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prani\Downloads\dump August Miraroad\"/>
    </mc:Choice>
  </mc:AlternateContent>
  <xr:revisionPtr revIDLastSave="0" documentId="13_ncr:1_{E9EF2DE4-6863-45DB-8229-904B9CD81BB1}" xr6:coauthVersionLast="47" xr6:coauthVersionMax="47" xr10:uidLastSave="{00000000-0000-0000-0000-000000000000}"/>
  <bookViews>
    <workbookView xWindow="-108" yWindow="-108" windowWidth="23256" windowHeight="12456" xr2:uid="{00000000-000D-0000-FFFF-FFFF00000000}"/>
  </bookViews>
  <sheets>
    <sheet name="Report" sheetId="1" r:id="rId1"/>
    <sheet name="Sheet1" sheetId="6" r:id="rId2"/>
    <sheet name="Flat detail" sheetId="3" r:id="rId3"/>
    <sheet name="Note" sheetId="4" r:id="rId4"/>
    <sheet name="valuation" sheetId="5" r:id="rId5"/>
  </sheets>
  <definedNames>
    <definedName name="_xlnm.Print_Area" localSheetId="0">Report!$A$1:$H$844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1" i="1" l="1"/>
  <c r="C100" i="1"/>
  <c r="C99" i="1"/>
  <c r="C86" i="1"/>
  <c r="C72" i="1"/>
  <c r="C85" i="1"/>
  <c r="C140" i="1"/>
  <c r="C141" i="1" s="1"/>
  <c r="C142" i="1" s="1"/>
  <c r="C156" i="1"/>
  <c r="C154" i="1"/>
  <c r="C155" i="1" s="1"/>
  <c r="C126" i="1"/>
  <c r="C127" i="1" s="1"/>
  <c r="C84" i="1"/>
  <c r="C128" i="1" l="1"/>
  <c r="J593" i="1"/>
  <c r="J527" i="1"/>
  <c r="J523" i="1"/>
  <c r="D55" i="1"/>
  <c r="C112" i="1"/>
  <c r="C114" i="1" s="1"/>
  <c r="D618" i="1"/>
  <c r="D617" i="1"/>
  <c r="D616" i="1"/>
  <c r="D615" i="1"/>
  <c r="D614" i="1"/>
  <c r="D612" i="1"/>
  <c r="F612" i="1" s="1"/>
  <c r="D611" i="1"/>
  <c r="D609" i="1"/>
  <c r="F609" i="1" s="1"/>
  <c r="D608" i="1"/>
  <c r="D607" i="1"/>
  <c r="D606" i="1"/>
  <c r="D605" i="1"/>
  <c r="D603" i="1"/>
  <c r="F603" i="1" s="1"/>
  <c r="D602" i="1"/>
  <c r="F602" i="1" s="1"/>
  <c r="D600" i="1"/>
  <c r="D599" i="1"/>
  <c r="F599" i="1" s="1"/>
  <c r="D598" i="1"/>
  <c r="F598" i="1" s="1"/>
  <c r="D597" i="1"/>
  <c r="F597" i="1" s="1"/>
  <c r="D596" i="1"/>
  <c r="F596" i="1" s="1"/>
  <c r="D595" i="1"/>
  <c r="F595" i="1" s="1"/>
  <c r="D594" i="1"/>
  <c r="F594" i="1" s="1"/>
  <c r="D593" i="1"/>
  <c r="F593" i="1" s="1"/>
  <c r="D591" i="1"/>
  <c r="D590" i="1"/>
  <c r="F590" i="1" s="1"/>
  <c r="D589" i="1"/>
  <c r="F589" i="1" s="1"/>
  <c r="D588" i="1"/>
  <c r="F588" i="1" s="1"/>
  <c r="D587" i="1"/>
  <c r="F587" i="1" s="1"/>
  <c r="D586" i="1"/>
  <c r="D585" i="1"/>
  <c r="D584" i="1"/>
  <c r="F584" i="1" s="1"/>
  <c r="D582" i="1"/>
  <c r="D581" i="1"/>
  <c r="F581" i="1" s="1"/>
  <c r="D580" i="1"/>
  <c r="F580" i="1" s="1"/>
  <c r="D579" i="1"/>
  <c r="F579" i="1" s="1"/>
  <c r="D578" i="1"/>
  <c r="F578" i="1" s="1"/>
  <c r="D577" i="1"/>
  <c r="D576" i="1"/>
  <c r="D575" i="1"/>
  <c r="F575" i="1" s="1"/>
  <c r="D573" i="1"/>
  <c r="D572" i="1"/>
  <c r="F572" i="1" s="1"/>
  <c r="D571" i="1"/>
  <c r="F571" i="1" s="1"/>
  <c r="D570" i="1"/>
  <c r="F570" i="1" s="1"/>
  <c r="D569" i="1"/>
  <c r="F569" i="1" s="1"/>
  <c r="D568" i="1"/>
  <c r="F568" i="1" s="1"/>
  <c r="D564" i="1"/>
  <c r="F564" i="1" s="1"/>
  <c r="D563" i="1"/>
  <c r="F563" i="1" s="1"/>
  <c r="D562" i="1"/>
  <c r="D561" i="1"/>
  <c r="F561" i="1" s="1"/>
  <c r="D560" i="1"/>
  <c r="F560" i="1" s="1"/>
  <c r="D559" i="1"/>
  <c r="F559" i="1" s="1"/>
  <c r="D554" i="1"/>
  <c r="F554" i="1" s="1"/>
  <c r="D553" i="1"/>
  <c r="D552" i="1"/>
  <c r="D551" i="1"/>
  <c r="F551" i="1" s="1"/>
  <c r="D550" i="1"/>
  <c r="D545" i="1"/>
  <c r="F545" i="1" s="1"/>
  <c r="D544" i="1"/>
  <c r="F544" i="1" s="1"/>
  <c r="D543" i="1"/>
  <c r="F543" i="1" s="1"/>
  <c r="D542" i="1"/>
  <c r="F542" i="1" s="1"/>
  <c r="D541" i="1"/>
  <c r="D536" i="1"/>
  <c r="F536" i="1" s="1"/>
  <c r="D535" i="1"/>
  <c r="F535" i="1" s="1"/>
  <c r="D534" i="1"/>
  <c r="F534" i="1" s="1"/>
  <c r="D533" i="1"/>
  <c r="F533" i="1" s="1"/>
  <c r="D532" i="1"/>
  <c r="F532" i="1" s="1"/>
  <c r="D527" i="1"/>
  <c r="F527" i="1" s="1"/>
  <c r="D524" i="1"/>
  <c r="F524" i="1" s="1"/>
  <c r="D523" i="1"/>
  <c r="I610" i="1"/>
  <c r="I601" i="1"/>
  <c r="I592" i="1"/>
  <c r="I583" i="1"/>
  <c r="F618" i="1"/>
  <c r="F617" i="1"/>
  <c r="F616" i="1"/>
  <c r="F615" i="1"/>
  <c r="F614" i="1"/>
  <c r="A612" i="1"/>
  <c r="A613" i="1" s="1"/>
  <c r="A614" i="1" s="1"/>
  <c r="A615" i="1" s="1"/>
  <c r="A616" i="1" s="1"/>
  <c r="A617" i="1" s="1"/>
  <c r="A618" i="1" s="1"/>
  <c r="G611" i="1"/>
  <c r="F611" i="1"/>
  <c r="F608" i="1"/>
  <c r="F607" i="1"/>
  <c r="F606" i="1"/>
  <c r="F605" i="1"/>
  <c r="A603" i="1"/>
  <c r="A604" i="1" s="1"/>
  <c r="A605" i="1" s="1"/>
  <c r="A606" i="1" s="1"/>
  <c r="A607" i="1" s="1"/>
  <c r="A608" i="1" s="1"/>
  <c r="A609" i="1" s="1"/>
  <c r="G602" i="1"/>
  <c r="F600" i="1"/>
  <c r="A594" i="1"/>
  <c r="A595" i="1" s="1"/>
  <c r="A596" i="1" s="1"/>
  <c r="A597" i="1" s="1"/>
  <c r="A598" i="1" s="1"/>
  <c r="A599" i="1" s="1"/>
  <c r="A600" i="1" s="1"/>
  <c r="G593" i="1"/>
  <c r="F591" i="1"/>
  <c r="F586" i="1"/>
  <c r="F585" i="1"/>
  <c r="A585" i="1"/>
  <c r="A586" i="1" s="1"/>
  <c r="A587" i="1" s="1"/>
  <c r="A588" i="1" s="1"/>
  <c r="A589" i="1" s="1"/>
  <c r="A590" i="1" s="1"/>
  <c r="A591" i="1" s="1"/>
  <c r="G584" i="1"/>
  <c r="F582" i="1"/>
  <c r="A576" i="1"/>
  <c r="A577" i="1" s="1"/>
  <c r="A578" i="1" s="1"/>
  <c r="A579" i="1" s="1"/>
  <c r="A580" i="1" s="1"/>
  <c r="A581" i="1" s="1"/>
  <c r="A582" i="1" s="1"/>
  <c r="A567" i="1"/>
  <c r="A568" i="1" s="1"/>
  <c r="A569" i="1" s="1"/>
  <c r="A570" i="1" s="1"/>
  <c r="A571" i="1" s="1"/>
  <c r="A572" i="1" s="1"/>
  <c r="A573" i="1" s="1"/>
  <c r="F573" i="1"/>
  <c r="F562" i="1"/>
  <c r="F550" i="1"/>
  <c r="F552" i="1"/>
  <c r="F553" i="1"/>
  <c r="A558" i="1"/>
  <c r="A559" i="1" s="1"/>
  <c r="A560" i="1" s="1"/>
  <c r="A561" i="1" s="1"/>
  <c r="A562" i="1" s="1"/>
  <c r="A563" i="1" s="1"/>
  <c r="A564" i="1" s="1"/>
  <c r="A549" i="1"/>
  <c r="A550" i="1" s="1"/>
  <c r="A551" i="1" s="1"/>
  <c r="A552" i="1" s="1"/>
  <c r="A553" i="1" s="1"/>
  <c r="A554" i="1" s="1"/>
  <c r="A555" i="1" s="1"/>
  <c r="F541" i="1"/>
  <c r="A540" i="1"/>
  <c r="A541" i="1" s="1"/>
  <c r="A542" i="1" s="1"/>
  <c r="A543" i="1" s="1"/>
  <c r="A544" i="1" s="1"/>
  <c r="A545" i="1" s="1"/>
  <c r="A546" i="1" s="1"/>
  <c r="A531" i="1"/>
  <c r="A532" i="1" s="1"/>
  <c r="A533" i="1" s="1"/>
  <c r="A534" i="1" s="1"/>
  <c r="A535" i="1" s="1"/>
  <c r="A536" i="1" s="1"/>
  <c r="A537" i="1" s="1"/>
  <c r="F523" i="1"/>
  <c r="A522" i="1"/>
  <c r="A523" i="1" s="1"/>
  <c r="A524" i="1" s="1"/>
  <c r="F577" i="1"/>
  <c r="F576" i="1"/>
  <c r="G575" i="1"/>
  <c r="G566" i="1"/>
  <c r="G557" i="1"/>
  <c r="G548" i="1"/>
  <c r="G539" i="1"/>
  <c r="G530" i="1"/>
  <c r="G521" i="1"/>
  <c r="J144" i="1"/>
  <c r="J143" i="1"/>
  <c r="J142" i="1"/>
  <c r="J141" i="1"/>
  <c r="H134" i="1"/>
  <c r="C181" i="1" l="1"/>
  <c r="C113" i="1"/>
  <c r="F181" i="1"/>
  <c r="D181" i="1"/>
  <c r="A525" i="1"/>
  <c r="J138" i="1"/>
  <c r="C137" i="1" s="1"/>
  <c r="D137" i="1" s="1"/>
  <c r="J136" i="1"/>
  <c r="D146" i="1"/>
  <c r="D142" i="1"/>
  <c r="J139" i="1"/>
  <c r="D145" i="1"/>
  <c r="D141" i="1"/>
  <c r="J137" i="1"/>
  <c r="D140" i="1"/>
  <c r="D139" i="1"/>
  <c r="D144" i="1"/>
  <c r="D143" i="1"/>
  <c r="C98" i="1"/>
  <c r="C70" i="1"/>
  <c r="A526" i="1" l="1"/>
  <c r="J140" i="1"/>
  <c r="J145" i="1" l="1"/>
  <c r="J146" i="1" s="1"/>
  <c r="A527" i="1"/>
  <c r="A528" i="1" s="1"/>
  <c r="P48" i="1"/>
  <c r="L48" i="1"/>
  <c r="G137" i="1" l="1"/>
  <c r="E137" i="1"/>
  <c r="I133" i="1" s="1"/>
  <c r="C135" i="1" s="1"/>
  <c r="D138" i="1"/>
  <c r="J158" i="1"/>
  <c r="J157" i="1"/>
  <c r="J156" i="1"/>
  <c r="J155" i="1"/>
  <c r="D708" i="1"/>
  <c r="F708" i="1" s="1"/>
  <c r="D707" i="1"/>
  <c r="F707" i="1" s="1"/>
  <c r="D706" i="1"/>
  <c r="F706" i="1" s="1"/>
  <c r="D705" i="1"/>
  <c r="F705" i="1" s="1"/>
  <c r="D704" i="1"/>
  <c r="F704" i="1" s="1"/>
  <c r="D703" i="1"/>
  <c r="F703" i="1" s="1"/>
  <c r="D702" i="1"/>
  <c r="F702" i="1" s="1"/>
  <c r="D699" i="1"/>
  <c r="F699" i="1" s="1"/>
  <c r="D698" i="1"/>
  <c r="F698" i="1" s="1"/>
  <c r="D697" i="1"/>
  <c r="F697" i="1" s="1"/>
  <c r="D696" i="1"/>
  <c r="F696" i="1" s="1"/>
  <c r="D695" i="1"/>
  <c r="F695" i="1" s="1"/>
  <c r="D694" i="1"/>
  <c r="F694" i="1" s="1"/>
  <c r="D693" i="1"/>
  <c r="F693" i="1" s="1"/>
  <c r="D691" i="1"/>
  <c r="F691" i="1" s="1"/>
  <c r="D690" i="1"/>
  <c r="F690" i="1" s="1"/>
  <c r="D689" i="1"/>
  <c r="F689" i="1" s="1"/>
  <c r="D688" i="1"/>
  <c r="F688" i="1" s="1"/>
  <c r="D687" i="1"/>
  <c r="F687" i="1" s="1"/>
  <c r="D686" i="1"/>
  <c r="F686" i="1" s="1"/>
  <c r="D685" i="1"/>
  <c r="F685" i="1" s="1"/>
  <c r="D684" i="1"/>
  <c r="D682" i="1"/>
  <c r="F682" i="1" s="1"/>
  <c r="D681" i="1"/>
  <c r="F681" i="1" s="1"/>
  <c r="D680" i="1"/>
  <c r="F680" i="1" s="1"/>
  <c r="D679" i="1"/>
  <c r="F679" i="1" s="1"/>
  <c r="D678" i="1"/>
  <c r="F678" i="1" s="1"/>
  <c r="D677" i="1"/>
  <c r="F677" i="1" s="1"/>
  <c r="D676" i="1"/>
  <c r="F676" i="1" s="1"/>
  <c r="D675" i="1"/>
  <c r="F675" i="1" s="1"/>
  <c r="D673" i="1"/>
  <c r="F673" i="1" s="1"/>
  <c r="D672" i="1"/>
  <c r="F672" i="1" s="1"/>
  <c r="D671" i="1"/>
  <c r="F671" i="1" s="1"/>
  <c r="D670" i="1"/>
  <c r="F670" i="1" s="1"/>
  <c r="D669" i="1"/>
  <c r="F669" i="1" s="1"/>
  <c r="D668" i="1"/>
  <c r="F668" i="1" s="1"/>
  <c r="D667" i="1"/>
  <c r="F667" i="1" s="1"/>
  <c r="D666" i="1"/>
  <c r="F666" i="1" s="1"/>
  <c r="D663" i="1"/>
  <c r="D662" i="1"/>
  <c r="F662" i="1" s="1"/>
  <c r="D661" i="1"/>
  <c r="F661" i="1" s="1"/>
  <c r="D660" i="1"/>
  <c r="F660" i="1" s="1"/>
  <c r="D659" i="1"/>
  <c r="F659" i="1" s="1"/>
  <c r="D658" i="1"/>
  <c r="F658" i="1" s="1"/>
  <c r="D657" i="1"/>
  <c r="F657" i="1" s="1"/>
  <c r="D655" i="1"/>
  <c r="F655" i="1" s="1"/>
  <c r="D654" i="1"/>
  <c r="F654" i="1" s="1"/>
  <c r="D653" i="1"/>
  <c r="F653" i="1" s="1"/>
  <c r="D652" i="1"/>
  <c r="F652" i="1" s="1"/>
  <c r="D651" i="1"/>
  <c r="F651" i="1" s="1"/>
  <c r="D650" i="1"/>
  <c r="F650" i="1" s="1"/>
  <c r="D649" i="1"/>
  <c r="F649" i="1" s="1"/>
  <c r="D648" i="1"/>
  <c r="F648" i="1" s="1"/>
  <c r="D646" i="1"/>
  <c r="F646" i="1" s="1"/>
  <c r="D645" i="1"/>
  <c r="F645" i="1" s="1"/>
  <c r="D644" i="1"/>
  <c r="F644" i="1" s="1"/>
  <c r="D643" i="1"/>
  <c r="F643" i="1" s="1"/>
  <c r="D642" i="1"/>
  <c r="F642" i="1" s="1"/>
  <c r="D641" i="1"/>
  <c r="F641" i="1" s="1"/>
  <c r="D640" i="1"/>
  <c r="F640" i="1" s="1"/>
  <c r="D639" i="1"/>
  <c r="F639" i="1" s="1"/>
  <c r="D637" i="1"/>
  <c r="F637" i="1" s="1"/>
  <c r="D636" i="1"/>
  <c r="D633" i="1"/>
  <c r="F633" i="1" s="1"/>
  <c r="D632" i="1"/>
  <c r="F632" i="1" s="1"/>
  <c r="D624" i="1"/>
  <c r="F624" i="1" s="1"/>
  <c r="D623" i="1"/>
  <c r="J622" i="1"/>
  <c r="G702" i="1"/>
  <c r="G693" i="1"/>
  <c r="G684" i="1"/>
  <c r="F684" i="1"/>
  <c r="G675" i="1"/>
  <c r="G666" i="1"/>
  <c r="F663" i="1"/>
  <c r="G657" i="1"/>
  <c r="G648" i="1"/>
  <c r="G639" i="1"/>
  <c r="F636" i="1"/>
  <c r="G621" i="1"/>
  <c r="G630" i="1"/>
  <c r="H148" i="1"/>
  <c r="D182" i="1" l="1"/>
  <c r="F623" i="1"/>
  <c r="F182" i="1" s="1"/>
  <c r="J153" i="1"/>
  <c r="D159" i="1"/>
  <c r="J150" i="1"/>
  <c r="D160" i="1"/>
  <c r="D154" i="1"/>
  <c r="D153" i="1"/>
  <c r="D156" i="1"/>
  <c r="J152" i="1"/>
  <c r="D158" i="1"/>
  <c r="D157" i="1"/>
  <c r="J151" i="1"/>
  <c r="D155" i="1"/>
  <c r="C182" i="1"/>
  <c r="C151" i="1" l="1"/>
  <c r="D151" i="1" s="1"/>
  <c r="J154" i="1"/>
  <c r="D517" i="1"/>
  <c r="F517" i="1" s="1"/>
  <c r="D516" i="1"/>
  <c r="F516" i="1" s="1"/>
  <c r="D515" i="1"/>
  <c r="F515" i="1" s="1"/>
  <c r="D514" i="1"/>
  <c r="F514" i="1" s="1"/>
  <c r="D513" i="1"/>
  <c r="F513" i="1" s="1"/>
  <c r="I513" i="1" s="1"/>
  <c r="D511" i="1"/>
  <c r="F511" i="1" s="1"/>
  <c r="D510" i="1"/>
  <c r="F510" i="1" s="1"/>
  <c r="D508" i="1"/>
  <c r="D507" i="1"/>
  <c r="D506" i="1"/>
  <c r="D505" i="1"/>
  <c r="F505" i="1" s="1"/>
  <c r="D504" i="1"/>
  <c r="F504" i="1" s="1"/>
  <c r="D503" i="1"/>
  <c r="F503" i="1" s="1"/>
  <c r="D502" i="1"/>
  <c r="F502" i="1" s="1"/>
  <c r="D501" i="1"/>
  <c r="F501" i="1" s="1"/>
  <c r="D499" i="1"/>
  <c r="F499" i="1" s="1"/>
  <c r="D498" i="1"/>
  <c r="F498" i="1" s="1"/>
  <c r="D497" i="1"/>
  <c r="F497" i="1" s="1"/>
  <c r="D496" i="1"/>
  <c r="F496" i="1" s="1"/>
  <c r="D495" i="1"/>
  <c r="F495" i="1" s="1"/>
  <c r="D494" i="1"/>
  <c r="F494" i="1" s="1"/>
  <c r="D493" i="1"/>
  <c r="F493" i="1" s="1"/>
  <c r="G492" i="1"/>
  <c r="D492" i="1"/>
  <c r="F492" i="1" s="1"/>
  <c r="D484" i="1"/>
  <c r="F484" i="1" s="1"/>
  <c r="D483" i="1"/>
  <c r="F483" i="1" s="1"/>
  <c r="D490" i="1"/>
  <c r="F490" i="1" s="1"/>
  <c r="D489" i="1"/>
  <c r="F489" i="1" s="1"/>
  <c r="D488" i="1"/>
  <c r="F488" i="1" s="1"/>
  <c r="D487" i="1"/>
  <c r="F487" i="1" s="1"/>
  <c r="D486" i="1"/>
  <c r="F486" i="1" s="1"/>
  <c r="G483" i="1"/>
  <c r="D485" i="1"/>
  <c r="F485" i="1" s="1"/>
  <c r="D481" i="1"/>
  <c r="F481" i="1" s="1"/>
  <c r="D480" i="1"/>
  <c r="F480" i="1" s="1"/>
  <c r="D479" i="1"/>
  <c r="F479" i="1" s="1"/>
  <c r="D478" i="1"/>
  <c r="F478" i="1" s="1"/>
  <c r="D477" i="1"/>
  <c r="F477" i="1" s="1"/>
  <c r="D476" i="1"/>
  <c r="F476" i="1" s="1"/>
  <c r="D474" i="1"/>
  <c r="F474" i="1" s="1"/>
  <c r="D473" i="1"/>
  <c r="F473" i="1" s="1"/>
  <c r="D472" i="1"/>
  <c r="F472" i="1" s="1"/>
  <c r="D471" i="1"/>
  <c r="F471" i="1" s="1"/>
  <c r="D470" i="1"/>
  <c r="F470" i="1" s="1"/>
  <c r="D469" i="1"/>
  <c r="F469" i="1" s="1"/>
  <c r="D466" i="1"/>
  <c r="F466" i="1" s="1"/>
  <c r="D465" i="1"/>
  <c r="F465" i="1" s="1"/>
  <c r="D464" i="1"/>
  <c r="F464" i="1" s="1"/>
  <c r="G463" i="1"/>
  <c r="D463" i="1"/>
  <c r="F463" i="1" s="1"/>
  <c r="D460" i="1"/>
  <c r="F460" i="1" s="1"/>
  <c r="D459" i="1"/>
  <c r="F459" i="1" s="1"/>
  <c r="D458" i="1"/>
  <c r="F458" i="1" s="1"/>
  <c r="G457" i="1"/>
  <c r="D457" i="1"/>
  <c r="F457" i="1" s="1"/>
  <c r="D454" i="1"/>
  <c r="F454" i="1" s="1"/>
  <c r="D453" i="1"/>
  <c r="F453" i="1" s="1"/>
  <c r="D452" i="1"/>
  <c r="F452" i="1" s="1"/>
  <c r="G451" i="1"/>
  <c r="D451" i="1"/>
  <c r="F451" i="1" s="1"/>
  <c r="D448" i="1"/>
  <c r="F448" i="1" s="1"/>
  <c r="D447" i="1"/>
  <c r="F447" i="1" s="1"/>
  <c r="D446" i="1"/>
  <c r="F446" i="1" s="1"/>
  <c r="D445" i="1"/>
  <c r="F445" i="1" s="1"/>
  <c r="D443" i="1"/>
  <c r="J513" i="1"/>
  <c r="G510" i="1"/>
  <c r="F508" i="1"/>
  <c r="F507" i="1"/>
  <c r="F506" i="1"/>
  <c r="G501" i="1"/>
  <c r="G476" i="1"/>
  <c r="G469" i="1"/>
  <c r="G445" i="1"/>
  <c r="G443" i="1"/>
  <c r="J130" i="1"/>
  <c r="J129" i="1"/>
  <c r="H120" i="1"/>
  <c r="J159" i="1" l="1"/>
  <c r="J160" i="1" s="1"/>
  <c r="G151" i="1"/>
  <c r="D180" i="1"/>
  <c r="C180" i="1"/>
  <c r="F443" i="1"/>
  <c r="F180" i="1" s="1"/>
  <c r="K513" i="1"/>
  <c r="D132" i="1"/>
  <c r="D130" i="1"/>
  <c r="D128" i="1"/>
  <c r="D126" i="1"/>
  <c r="J125" i="1"/>
  <c r="D131" i="1"/>
  <c r="D129" i="1"/>
  <c r="D127" i="1"/>
  <c r="D125" i="1"/>
  <c r="J123" i="1"/>
  <c r="J122" i="1"/>
  <c r="J124" i="1"/>
  <c r="C123" i="1" s="1"/>
  <c r="E3" i="1"/>
  <c r="E151" i="1" l="1"/>
  <c r="I147" i="1" s="1"/>
  <c r="C149" i="1" s="1"/>
  <c r="D152" i="1"/>
  <c r="J126" i="1"/>
  <c r="D123" i="1"/>
  <c r="J127" i="1"/>
  <c r="J128" i="1" s="1"/>
  <c r="J435" i="1"/>
  <c r="J172" i="1"/>
  <c r="J131" i="1" l="1"/>
  <c r="J132" i="1" s="1"/>
  <c r="G123" i="1"/>
  <c r="J116" i="1"/>
  <c r="D439" i="1"/>
  <c r="F439" i="1" s="1"/>
  <c r="D438" i="1"/>
  <c r="F438" i="1" s="1"/>
  <c r="D437" i="1"/>
  <c r="F437" i="1" s="1"/>
  <c r="D436" i="1"/>
  <c r="F436" i="1" s="1"/>
  <c r="D435" i="1"/>
  <c r="F435" i="1" s="1"/>
  <c r="I435" i="1" s="1"/>
  <c r="K435" i="1" s="1"/>
  <c r="D434" i="1"/>
  <c r="F434" i="1" s="1"/>
  <c r="D433" i="1"/>
  <c r="F433" i="1" s="1"/>
  <c r="G432" i="1"/>
  <c r="D432" i="1"/>
  <c r="F432" i="1" s="1"/>
  <c r="D430" i="1"/>
  <c r="F430" i="1" s="1"/>
  <c r="D429" i="1"/>
  <c r="D428" i="1"/>
  <c r="D427" i="1"/>
  <c r="D426" i="1"/>
  <c r="D425" i="1"/>
  <c r="D424" i="1"/>
  <c r="D423" i="1"/>
  <c r="D421" i="1"/>
  <c r="D420" i="1"/>
  <c r="D419" i="1"/>
  <c r="D418" i="1"/>
  <c r="D417" i="1"/>
  <c r="D416" i="1"/>
  <c r="D415" i="1"/>
  <c r="D414" i="1"/>
  <c r="D412" i="1"/>
  <c r="D411" i="1"/>
  <c r="D410" i="1"/>
  <c r="D409" i="1"/>
  <c r="D408" i="1"/>
  <c r="D407" i="1"/>
  <c r="D406" i="1"/>
  <c r="D405" i="1"/>
  <c r="D403" i="1"/>
  <c r="D402" i="1"/>
  <c r="D401" i="1"/>
  <c r="D400" i="1"/>
  <c r="D399" i="1"/>
  <c r="D398" i="1"/>
  <c r="D397" i="1"/>
  <c r="D396" i="1"/>
  <c r="D394" i="1"/>
  <c r="D393" i="1"/>
  <c r="D392" i="1"/>
  <c r="D390" i="1"/>
  <c r="H106" i="1"/>
  <c r="E123" i="1" l="1"/>
  <c r="I119" i="1" s="1"/>
  <c r="C121" i="1" s="1"/>
  <c r="D124" i="1"/>
  <c r="C179" i="1"/>
  <c r="D179" i="1"/>
  <c r="J110" i="1"/>
  <c r="J108" i="1"/>
  <c r="D118" i="1"/>
  <c r="D116" i="1"/>
  <c r="D114" i="1"/>
  <c r="D112" i="1"/>
  <c r="D117" i="1"/>
  <c r="D115" i="1"/>
  <c r="D113" i="1"/>
  <c r="D111" i="1"/>
  <c r="J109" i="1"/>
  <c r="J111" i="1"/>
  <c r="D109" i="1" l="1"/>
  <c r="J112" i="1"/>
  <c r="J117" i="1" l="1"/>
  <c r="J113" i="1"/>
  <c r="J114" i="1" l="1"/>
  <c r="J115" i="1" l="1"/>
  <c r="J118" i="1" s="1"/>
  <c r="F429" i="1"/>
  <c r="F428" i="1"/>
  <c r="F427" i="1"/>
  <c r="F426" i="1"/>
  <c r="F425" i="1"/>
  <c r="F424" i="1"/>
  <c r="G423" i="1"/>
  <c r="F423" i="1"/>
  <c r="F421" i="1"/>
  <c r="F420" i="1"/>
  <c r="F419" i="1"/>
  <c r="F418" i="1"/>
  <c r="F417" i="1"/>
  <c r="F416" i="1"/>
  <c r="F415" i="1"/>
  <c r="G414" i="1"/>
  <c r="F414" i="1"/>
  <c r="F412" i="1"/>
  <c r="F411" i="1"/>
  <c r="F410" i="1"/>
  <c r="F409" i="1"/>
  <c r="F408" i="1"/>
  <c r="F407" i="1"/>
  <c r="F406" i="1"/>
  <c r="G405" i="1"/>
  <c r="F405" i="1"/>
  <c r="F403" i="1"/>
  <c r="F402" i="1"/>
  <c r="F401" i="1"/>
  <c r="F400" i="1"/>
  <c r="F399" i="1"/>
  <c r="F398" i="1"/>
  <c r="F397" i="1"/>
  <c r="G396" i="1"/>
  <c r="F396" i="1"/>
  <c r="F394" i="1"/>
  <c r="F393" i="1"/>
  <c r="G392" i="1"/>
  <c r="F392" i="1"/>
  <c r="G390" i="1"/>
  <c r="F390" i="1"/>
  <c r="C110" i="1" l="1"/>
  <c r="E109" i="1" s="1"/>
  <c r="I105" i="1" s="1"/>
  <c r="C107" i="1" s="1"/>
  <c r="F179" i="1"/>
  <c r="J88" i="1"/>
  <c r="J87" i="1"/>
  <c r="J86" i="1"/>
  <c r="J74" i="1"/>
  <c r="J73" i="1"/>
  <c r="J72" i="1"/>
  <c r="J71" i="1"/>
  <c r="H64" i="1"/>
  <c r="H92" i="1"/>
  <c r="H78" i="1"/>
  <c r="D110" i="1" l="1"/>
  <c r="G109" i="1"/>
  <c r="J96" i="1"/>
  <c r="C95" i="1" s="1"/>
  <c r="J97" i="1"/>
  <c r="J95" i="1"/>
  <c r="D103" i="1"/>
  <c r="D99" i="1"/>
  <c r="J94" i="1"/>
  <c r="D104" i="1"/>
  <c r="D102" i="1"/>
  <c r="D100" i="1"/>
  <c r="D98" i="1"/>
  <c r="D101" i="1"/>
  <c r="D97" i="1"/>
  <c r="J82" i="1"/>
  <c r="C81" i="1" s="1"/>
  <c r="D87" i="1"/>
  <c r="D90" i="1"/>
  <c r="D88" i="1"/>
  <c r="D86" i="1"/>
  <c r="D84" i="1"/>
  <c r="J83" i="1"/>
  <c r="J81" i="1"/>
  <c r="D89" i="1"/>
  <c r="D85" i="1"/>
  <c r="D83" i="1"/>
  <c r="J80" i="1"/>
  <c r="J67" i="1"/>
  <c r="D76" i="1"/>
  <c r="D74" i="1"/>
  <c r="D72" i="1"/>
  <c r="D70" i="1"/>
  <c r="J68" i="1"/>
  <c r="C67" i="1" s="1"/>
  <c r="D67" i="1" s="1"/>
  <c r="J66" i="1"/>
  <c r="D73" i="1"/>
  <c r="J69" i="1"/>
  <c r="D75" i="1"/>
  <c r="D71" i="1"/>
  <c r="D69" i="1"/>
  <c r="J98" i="1" l="1"/>
  <c r="J103" i="1" s="1"/>
  <c r="J84" i="1"/>
  <c r="J70" i="1"/>
  <c r="J75" i="1" s="1"/>
  <c r="D95" i="1"/>
  <c r="D81" i="1"/>
  <c r="G194" i="1"/>
  <c r="G201" i="1"/>
  <c r="G210" i="1"/>
  <c r="G219" i="1"/>
  <c r="G228" i="1"/>
  <c r="G237" i="1"/>
  <c r="G246" i="1"/>
  <c r="G255" i="1"/>
  <c r="G268" i="1"/>
  <c r="G270" i="1"/>
  <c r="G273" i="1"/>
  <c r="G278" i="1"/>
  <c r="G286" i="1"/>
  <c r="G294" i="1"/>
  <c r="G303" i="1"/>
  <c r="G312" i="1"/>
  <c r="G321" i="1"/>
  <c r="G337" i="1"/>
  <c r="G342" i="1"/>
  <c r="G349" i="1"/>
  <c r="G358" i="1"/>
  <c r="G367" i="1"/>
  <c r="G376" i="1"/>
  <c r="C2" i="4"/>
  <c r="C3" i="4"/>
  <c r="C4" i="4"/>
  <c r="C5" i="4"/>
  <c r="C6" i="4"/>
  <c r="C7" i="4"/>
  <c r="C8" i="4"/>
  <c r="C1" i="4"/>
  <c r="D382" i="1"/>
  <c r="F382" i="1" s="1"/>
  <c r="D381" i="1"/>
  <c r="F381" i="1" s="1"/>
  <c r="D380" i="1"/>
  <c r="F380" i="1" s="1"/>
  <c r="D379" i="1"/>
  <c r="F379" i="1" s="1"/>
  <c r="D378" i="1"/>
  <c r="F378" i="1" s="1"/>
  <c r="D377" i="1"/>
  <c r="F377" i="1" s="1"/>
  <c r="D376" i="1"/>
  <c r="F376" i="1" s="1"/>
  <c r="D374" i="1"/>
  <c r="F374" i="1" s="1"/>
  <c r="D373" i="1"/>
  <c r="F373" i="1" s="1"/>
  <c r="D372" i="1"/>
  <c r="F372" i="1" s="1"/>
  <c r="D371" i="1"/>
  <c r="F371" i="1" s="1"/>
  <c r="D370" i="1"/>
  <c r="F370" i="1" s="1"/>
  <c r="D369" i="1"/>
  <c r="F369" i="1" s="1"/>
  <c r="D368" i="1"/>
  <c r="F368" i="1" s="1"/>
  <c r="D367" i="1"/>
  <c r="F367" i="1" s="1"/>
  <c r="D365" i="1"/>
  <c r="F365" i="1" s="1"/>
  <c r="D364" i="1"/>
  <c r="F364" i="1" s="1"/>
  <c r="D363" i="1"/>
  <c r="F363" i="1" s="1"/>
  <c r="D362" i="1"/>
  <c r="F362" i="1" s="1"/>
  <c r="D361" i="1"/>
  <c r="F361" i="1" s="1"/>
  <c r="D360" i="1"/>
  <c r="F360" i="1" s="1"/>
  <c r="D359" i="1"/>
  <c r="F359" i="1" s="1"/>
  <c r="D358" i="1"/>
  <c r="F358" i="1" s="1"/>
  <c r="D350" i="1"/>
  <c r="F350" i="1" s="1"/>
  <c r="D349" i="1"/>
  <c r="F349" i="1" s="1"/>
  <c r="D356" i="1"/>
  <c r="F356" i="1" s="1"/>
  <c r="D355" i="1"/>
  <c r="F355" i="1" s="1"/>
  <c r="D354" i="1"/>
  <c r="F354" i="1" s="1"/>
  <c r="D353" i="1"/>
  <c r="F353" i="1" s="1"/>
  <c r="D352" i="1"/>
  <c r="F352" i="1" s="1"/>
  <c r="D351" i="1"/>
  <c r="F351" i="1" s="1"/>
  <c r="D347" i="1"/>
  <c r="F347" i="1" s="1"/>
  <c r="D346" i="1"/>
  <c r="F346" i="1" s="1"/>
  <c r="D345" i="1"/>
  <c r="F345" i="1" s="1"/>
  <c r="D344" i="1"/>
  <c r="F344" i="1" s="1"/>
  <c r="D343" i="1"/>
  <c r="F343" i="1" s="1"/>
  <c r="D342" i="1"/>
  <c r="F342" i="1" s="1"/>
  <c r="D340" i="1"/>
  <c r="F340" i="1" s="1"/>
  <c r="D339" i="1"/>
  <c r="F339" i="1" s="1"/>
  <c r="D338" i="1"/>
  <c r="F338" i="1" s="1"/>
  <c r="D337" i="1"/>
  <c r="D326" i="1"/>
  <c r="F326" i="1" s="1"/>
  <c r="D325" i="1"/>
  <c r="F325" i="1" s="1"/>
  <c r="D327" i="1"/>
  <c r="F327" i="1" s="1"/>
  <c r="D324" i="1"/>
  <c r="F324" i="1" s="1"/>
  <c r="D323" i="1"/>
  <c r="F323" i="1" s="1"/>
  <c r="D322" i="1"/>
  <c r="F322" i="1" s="1"/>
  <c r="D321" i="1"/>
  <c r="F321" i="1" s="1"/>
  <c r="D319" i="1"/>
  <c r="F319" i="1" s="1"/>
  <c r="D318" i="1"/>
  <c r="F318" i="1" s="1"/>
  <c r="D317" i="1"/>
  <c r="F317" i="1" s="1"/>
  <c r="D316" i="1"/>
  <c r="F316" i="1" s="1"/>
  <c r="D315" i="1"/>
  <c r="F315" i="1" s="1"/>
  <c r="D314" i="1"/>
  <c r="F314" i="1" s="1"/>
  <c r="D313" i="1"/>
  <c r="F313" i="1" s="1"/>
  <c r="D312" i="1"/>
  <c r="F312" i="1" s="1"/>
  <c r="D304" i="1"/>
  <c r="F304" i="1" s="1"/>
  <c r="D295" i="1"/>
  <c r="F295" i="1" s="1"/>
  <c r="D309" i="1"/>
  <c r="F309" i="1" s="1"/>
  <c r="D308" i="1"/>
  <c r="F308" i="1" s="1"/>
  <c r="D307" i="1"/>
  <c r="F307" i="1" s="1"/>
  <c r="D306" i="1"/>
  <c r="F306" i="1" s="1"/>
  <c r="D305" i="1"/>
  <c r="F305" i="1" s="1"/>
  <c r="D303" i="1"/>
  <c r="F303" i="1" s="1"/>
  <c r="D301" i="1"/>
  <c r="F301" i="1" s="1"/>
  <c r="D300" i="1"/>
  <c r="F300" i="1" s="1"/>
  <c r="D299" i="1"/>
  <c r="F299" i="1" s="1"/>
  <c r="D298" i="1"/>
  <c r="F298" i="1" s="1"/>
  <c r="D297" i="1"/>
  <c r="F297" i="1" s="1"/>
  <c r="D296" i="1"/>
  <c r="F296" i="1" s="1"/>
  <c r="D294" i="1"/>
  <c r="F294" i="1" s="1"/>
  <c r="D292" i="1"/>
  <c r="F292" i="1" s="1"/>
  <c r="D291" i="1"/>
  <c r="F291" i="1" s="1"/>
  <c r="D290" i="1"/>
  <c r="F290" i="1" s="1"/>
  <c r="D289" i="1"/>
  <c r="F289" i="1" s="1"/>
  <c r="D288" i="1"/>
  <c r="F288" i="1" s="1"/>
  <c r="D287" i="1"/>
  <c r="F287" i="1" s="1"/>
  <c r="D286" i="1"/>
  <c r="F286" i="1" s="1"/>
  <c r="D284" i="1"/>
  <c r="F284" i="1" s="1"/>
  <c r="D283" i="1"/>
  <c r="F283" i="1" s="1"/>
  <c r="D280" i="1"/>
  <c r="F280" i="1" s="1"/>
  <c r="D282" i="1"/>
  <c r="F282" i="1" s="1"/>
  <c r="D281" i="1"/>
  <c r="F281" i="1" s="1"/>
  <c r="D279" i="1"/>
  <c r="F279" i="1" s="1"/>
  <c r="D278" i="1"/>
  <c r="F278" i="1" s="1"/>
  <c r="D276" i="1"/>
  <c r="F276" i="1" s="1"/>
  <c r="D275" i="1"/>
  <c r="F275" i="1" s="1"/>
  <c r="D274" i="1"/>
  <c r="F274" i="1" s="1"/>
  <c r="D273" i="1"/>
  <c r="F273" i="1" s="1"/>
  <c r="D271" i="1"/>
  <c r="F271" i="1" s="1"/>
  <c r="D270" i="1"/>
  <c r="F270" i="1" s="1"/>
  <c r="D268" i="1"/>
  <c r="D261" i="1"/>
  <c r="F261" i="1" s="1"/>
  <c r="D260" i="1"/>
  <c r="F260" i="1" s="1"/>
  <c r="D259" i="1"/>
  <c r="F259" i="1" s="1"/>
  <c r="D258" i="1"/>
  <c r="F258" i="1" s="1"/>
  <c r="D257" i="1"/>
  <c r="F257" i="1" s="1"/>
  <c r="D256" i="1"/>
  <c r="F256" i="1" s="1"/>
  <c r="D255" i="1"/>
  <c r="F255" i="1" s="1"/>
  <c r="D253" i="1"/>
  <c r="F253" i="1" s="1"/>
  <c r="D252" i="1"/>
  <c r="F252" i="1" s="1"/>
  <c r="D251" i="1"/>
  <c r="F251" i="1" s="1"/>
  <c r="D250" i="1"/>
  <c r="F250" i="1" s="1"/>
  <c r="D249" i="1"/>
  <c r="F249" i="1" s="1"/>
  <c r="D248" i="1"/>
  <c r="F248" i="1" s="1"/>
  <c r="D247" i="1"/>
  <c r="F247" i="1" s="1"/>
  <c r="D246" i="1"/>
  <c r="F246" i="1" s="1"/>
  <c r="D243" i="1"/>
  <c r="F243" i="1" s="1"/>
  <c r="D242" i="1"/>
  <c r="F242" i="1" s="1"/>
  <c r="D241" i="1"/>
  <c r="F241" i="1" s="1"/>
  <c r="D240" i="1"/>
  <c r="F240" i="1" s="1"/>
  <c r="D239" i="1"/>
  <c r="F239" i="1" s="1"/>
  <c r="D238" i="1"/>
  <c r="F238" i="1" s="1"/>
  <c r="D237" i="1"/>
  <c r="F237" i="1" s="1"/>
  <c r="D235" i="1"/>
  <c r="F235" i="1" s="1"/>
  <c r="D234" i="1"/>
  <c r="F234" i="1" s="1"/>
  <c r="D233" i="1"/>
  <c r="F233" i="1" s="1"/>
  <c r="D232" i="1"/>
  <c r="F232" i="1" s="1"/>
  <c r="D231" i="1"/>
  <c r="F231" i="1" s="1"/>
  <c r="D230" i="1"/>
  <c r="F230" i="1" s="1"/>
  <c r="D229" i="1"/>
  <c r="F229" i="1" s="1"/>
  <c r="D228" i="1"/>
  <c r="F228" i="1" s="1"/>
  <c r="D226" i="1"/>
  <c r="F226" i="1" s="1"/>
  <c r="D225" i="1"/>
  <c r="F225" i="1" s="1"/>
  <c r="D224" i="1"/>
  <c r="F224" i="1" s="1"/>
  <c r="D223" i="1"/>
  <c r="F223" i="1" s="1"/>
  <c r="D222" i="1"/>
  <c r="F222" i="1" s="1"/>
  <c r="D221" i="1"/>
  <c r="F221" i="1" s="1"/>
  <c r="D220" i="1"/>
  <c r="F220" i="1" s="1"/>
  <c r="D219" i="1"/>
  <c r="F219" i="1" s="1"/>
  <c r="D217" i="1"/>
  <c r="F217" i="1" s="1"/>
  <c r="D216" i="1"/>
  <c r="F216" i="1" s="1"/>
  <c r="D215" i="1"/>
  <c r="F215" i="1" s="1"/>
  <c r="D214" i="1"/>
  <c r="F214" i="1" s="1"/>
  <c r="D213" i="1"/>
  <c r="F213" i="1" s="1"/>
  <c r="D212" i="1"/>
  <c r="F212" i="1" s="1"/>
  <c r="D211" i="1"/>
  <c r="F211" i="1" s="1"/>
  <c r="D210" i="1"/>
  <c r="F210" i="1" s="1"/>
  <c r="D208" i="1"/>
  <c r="F208" i="1" s="1"/>
  <c r="D207" i="1"/>
  <c r="F207" i="1" s="1"/>
  <c r="D206" i="1"/>
  <c r="F206" i="1" s="1"/>
  <c r="D205" i="1"/>
  <c r="F205" i="1" s="1"/>
  <c r="D204" i="1"/>
  <c r="F204" i="1" s="1"/>
  <c r="D203" i="1"/>
  <c r="F203" i="1" s="1"/>
  <c r="D202" i="1"/>
  <c r="F202" i="1" s="1"/>
  <c r="D201" i="1"/>
  <c r="F201" i="1" s="1"/>
  <c r="D199" i="1"/>
  <c r="F199" i="1" s="1"/>
  <c r="D198" i="1"/>
  <c r="F198" i="1" s="1"/>
  <c r="D197" i="1"/>
  <c r="F197" i="1" s="1"/>
  <c r="D196" i="1"/>
  <c r="F196" i="1" s="1"/>
  <c r="D195" i="1"/>
  <c r="F195" i="1" s="1"/>
  <c r="D194" i="1"/>
  <c r="F194" i="1" s="1"/>
  <c r="D192" i="1"/>
  <c r="F192" i="1" s="1"/>
  <c r="D191" i="1"/>
  <c r="F191" i="1" s="1"/>
  <c r="J99" i="1" l="1"/>
  <c r="J100" i="1" s="1"/>
  <c r="J101" i="1" s="1"/>
  <c r="J102" i="1" s="1"/>
  <c r="J89" i="1"/>
  <c r="J76" i="1"/>
  <c r="C68" i="1" s="1"/>
  <c r="G67" i="1" s="1"/>
  <c r="J85" i="1"/>
  <c r="D177" i="1"/>
  <c r="C178" i="1"/>
  <c r="F177" i="1"/>
  <c r="D178" i="1"/>
  <c r="F268" i="1"/>
  <c r="F178" i="1"/>
  <c r="C176" i="1"/>
  <c r="F337" i="1"/>
  <c r="C177" i="1"/>
  <c r="D176" i="1"/>
  <c r="F176" i="1"/>
  <c r="F183" i="1" s="1"/>
  <c r="D183" i="1" l="1"/>
  <c r="C183" i="1"/>
  <c r="J90" i="1"/>
  <c r="C82" i="1" s="1"/>
  <c r="G81" i="1" s="1"/>
  <c r="E67" i="1"/>
  <c r="I63" i="1" s="1"/>
  <c r="C65" i="1" s="1"/>
  <c r="D68" i="1"/>
  <c r="J104" i="1"/>
  <c r="C96" i="1" s="1"/>
  <c r="G95" i="1" s="1"/>
  <c r="F6" i="5"/>
  <c r="G6" i="5" s="1"/>
  <c r="F7" i="5"/>
  <c r="G7" i="5" s="1"/>
  <c r="F8" i="5"/>
  <c r="G8" i="5" s="1"/>
  <c r="F5" i="5"/>
  <c r="G5" i="5" s="1"/>
  <c r="D82" i="1" l="1"/>
  <c r="E81" i="1"/>
  <c r="I77" i="1" s="1"/>
  <c r="C79" i="1" s="1"/>
  <c r="E95" i="1"/>
  <c r="I91" i="1" s="1"/>
  <c r="C93" i="1" s="1"/>
  <c r="D96" i="1"/>
  <c r="G9" i="5"/>
  <c r="E7" i="1" l="1"/>
  <c r="E41" i="1" l="1"/>
  <c r="D723" i="1" l="1"/>
  <c r="F173" i="1"/>
  <c r="E42"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<sst xmlns="http://schemas.openxmlformats.org/spreadsheetml/2006/main" count="1117" uniqueCount="355">
  <si>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</si>
  <si>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</si>
  <si>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</si>
  <si>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</si>
  <si>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</si>
  <si>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</si>
  <si>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</si>
  <si>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</si>
  <si>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</si>
  <si>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</si>
  <si>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</si>
  <si>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</si>
  <si>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</si>
  <si>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</si>
  <si>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</si>
  <si>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</si>
  <si>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</si>
  <si>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</si>
  <si>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</si>
  <si>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</si>
  <si>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</si>
  <si>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</si>
  <si>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</si>
  <si>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</si>
  <si>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</si>
  <si>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</si>
  <si>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</si>
  <si>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</si>
  <si>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</si>
  <si>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</si>
  <si>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</si>
  <si>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</si>
  <si>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</si>
  <si>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</si>
  <si>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</si>
  <si>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</si>
  <si>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</si>
  <si>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</si>
  <si>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</si>
  <si>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</si>
  <si>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</si>
  <si>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</si>
  <si>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</si>
  <si>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Dated</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</si>
  <si>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</si>
  <si>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</si>
  <si>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</si>
  <si>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</si>
  <si>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</si>
  <si>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</si>
  <si>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</si>
  <si>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</si>
  <si>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</si>
  <si>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</si>
  <si>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</si>
  <si>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</si>
  <si>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</si>
  <si>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</si>
  <si>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</si>
  <si>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</si>
  <si>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</si>
  <si>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</si>
  <si>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</si>
  <si>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</si>
  <si>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</si>
  <si>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</si>
  <si>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</si>
  <si>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</si>
  <si>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</si>
  <si>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</si>
  <si>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</si>
  <si>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</si>
  <si>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</si>
  <si>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</si>
  <si>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</si>
  <si>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</si>
  <si>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</si>
  <si>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</si>
  <si>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</si>
  <si>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</si>
  <si>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</si>
  <si>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</si>
  <si>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</si>
  <si>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</si>
  <si>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</si>
  <si>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</si>
  <si>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</si>
  <si>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</si>
  <si>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</si>
  <si>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</si>
  <si>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</si>
  <si>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</si>
  <si>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</si>
  <si>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</si>
  <si>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</si>
  <si>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</si>
  <si>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</si>
  <si>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</si>
  <si>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</si>
  <si>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</si>
  <si>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</si>
  <si>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</si>
  <si>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</si>
  <si>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</si>
  <si>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</si>
  <si>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</si>
  <si>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</si>
  <si>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</si>
  <si>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</si>
  <si>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</si>
  <si>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</si>
  <si>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</si>
  <si>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</si>
  <si>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</si>
  <si>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</si>
  <si>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</si>
  <si>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</si>
  <si>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</si>
  <si>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</si>
  <si>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</si>
  <si>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</si>
  <si>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</si>
  <si>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</si>
  <si>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</si>
  <si>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</si>
  <si>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</si>
  <si>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</si>
  <si>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</si>
  <si>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</si>
  <si>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</si>
  <si>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</si>
  <si>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</si>
  <si>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</si>
  <si>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</si>
  <si>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</si>
  <si>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</si>
  <si>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</si>
  <si>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</si>
  <si>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</si>
  <si>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</si>
  <si>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</si>
  <si>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</si>
  <si>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</si>
  <si>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</si>
  <si>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</si>
  <si>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99 Acres</t>
  </si>
  <si>
    <t>Average</t>
  </si>
  <si>
    <t xml:space="preserve">Valuation Adopted </t>
  </si>
  <si>
    <t>Saleable Area</t>
  </si>
  <si>
    <t>Rate on Saleable</t>
  </si>
  <si>
    <t>Axis Sanpada</t>
  </si>
  <si>
    <t>Mr.Deepak Agrawal - 8433701860</t>
  </si>
  <si>
    <t>Survey No</t>
  </si>
  <si>
    <t>Internal Road</t>
  </si>
  <si>
    <t>Village</t>
  </si>
  <si>
    <t>Talegaon</t>
  </si>
  <si>
    <t>Raigad</t>
  </si>
  <si>
    <t>Panvel</t>
  </si>
  <si>
    <t>Khalapur</t>
  </si>
  <si>
    <t xml:space="preserve">Golf Meadows </t>
  </si>
  <si>
    <t>Developing</t>
  </si>
  <si>
    <t>Middle Class</t>
  </si>
  <si>
    <t>MSRCD/SPA/ITP-3/CC/2020/502</t>
  </si>
  <si>
    <t xml:space="preserve">Cement, Aggregate, Steel, etc </t>
  </si>
  <si>
    <t>RZ - 5</t>
  </si>
  <si>
    <t>Tower No.1</t>
  </si>
  <si>
    <t>2BHK</t>
  </si>
  <si>
    <t>1BHK</t>
  </si>
  <si>
    <t>Refuge Area</t>
  </si>
  <si>
    <t>8th, 9th, 10th, 11th, 13th, 14th, 15th, 16th, 18th, 19th, 20th, 21st, 23rd, 24th, 25th, 26th, 28th, 29th, 30th, 31st, 33th, 34th, 35th, 36th, 38th &amp; 39th Floor</t>
  </si>
  <si>
    <t>801,…,3901</t>
  </si>
  <si>
    <t>802,…,3902</t>
  </si>
  <si>
    <t>803,…,3903</t>
  </si>
  <si>
    <t>804,…,3904</t>
  </si>
  <si>
    <t>805,…,3905</t>
  </si>
  <si>
    <t>806,…,3906</t>
  </si>
  <si>
    <t>807,…,3907</t>
  </si>
  <si>
    <t>808,…,3908</t>
  </si>
  <si>
    <t>1201,…,3701</t>
  </si>
  <si>
    <t>1202,…,3702</t>
  </si>
  <si>
    <t>1203,…,3703</t>
  </si>
  <si>
    <t>1204,…,3704</t>
  </si>
  <si>
    <t>1205,…,3705</t>
  </si>
  <si>
    <t>1206,…,3706</t>
  </si>
  <si>
    <t>1207,…,3707</t>
  </si>
  <si>
    <t>1208,…,3708</t>
  </si>
  <si>
    <t>12th, 17th, 22nd, 27th, 32nd &amp; 37th Floor ( Part Refuge Area)</t>
  </si>
  <si>
    <t>Tower No.2</t>
  </si>
  <si>
    <t>Tower No.3</t>
  </si>
  <si>
    <t>5th, 6th, 7th, 8th, 10th, 11th, 12th, 13th, 15th, 16th, 17th, 18th, 20th, 21st, 22nd, 23rd, 25th, 26th, 27th, 28th, 30th, 31st, 32nd, 33rd, 35th &amp; 36th Floor</t>
  </si>
  <si>
    <t>501,…,3601</t>
  </si>
  <si>
    <t>502,…,3602</t>
  </si>
  <si>
    <t>503,…,3603</t>
  </si>
  <si>
    <t>504,…,3604</t>
  </si>
  <si>
    <t>505,…,3605</t>
  </si>
  <si>
    <t>506,…,3606</t>
  </si>
  <si>
    <t>507,…,3607</t>
  </si>
  <si>
    <t>508,…,3608</t>
  </si>
  <si>
    <t>901,…,3401</t>
  </si>
  <si>
    <t>902,…,3402</t>
  </si>
  <si>
    <t>903,…,3403</t>
  </si>
  <si>
    <t>904,…,3404</t>
  </si>
  <si>
    <t>905,…,3405</t>
  </si>
  <si>
    <t>906,…,3406</t>
  </si>
  <si>
    <t>907,…,3407</t>
  </si>
  <si>
    <t>908,…,3408</t>
  </si>
  <si>
    <t>9th, 14th, 19th, 24th, 29th &amp; 34th Floor (Part Refuge Area)</t>
  </si>
  <si>
    <t>Wheather the construction is as per approved Building plan : Under Construction</t>
  </si>
  <si>
    <t>Residential</t>
  </si>
  <si>
    <t>Approved Plans, CC</t>
  </si>
  <si>
    <t>The Highlands, Godrej City, Panvel</t>
  </si>
  <si>
    <t>Open Plot</t>
  </si>
  <si>
    <t>Integrated Township Project (ITP) on land bearing S.No.38/0, 74/0, 36/1, 73/0, 30/1, 75/0, 42/4, 42/1, 42/3, 32/2, 39/0, 43/0, 44/4, 70/1, 70/2, 72/0, 76/1, 76/2, 68/0, 81/2A, 81/2B, 40/0, 47/2, 50/12, 50/13, 69/0, 41/1, 41/2, 44/3, 47/1, 71/0, 36/2, 37/1, 37/2, 78/0 of village -Khanavale, Taluka-Panvel, Dist -Raigad, And S.No.6/1, 6/5, 7/1, 6/6, 7/2, 7/3A, 7/4, 5/2B, 9/2, 4/1, 4/2, 4/3, 4/4, 4/5, 4/6, 7/3B, 7/B/1, 7/B/2, 7B/3, 7B/4, 7B/5, 7B/6, 7B/7, 7C/1, 7C/2, 7C/3, 7C/4, 7C/5, 7C/6, 7C/7, 7C/8, 8/3A/1, 8/3A/2, 8/3A/3, 8/3A/4, 8/3A/5, 8/3A/6, 8/3A/7, 8/3A/8, 8/3A/9, 8/3A/10, 8/D/1, 8/D/2, 8/D/3, 8/D/4, 8/D/5, 8/D/6, 8/D/7, 8/D/8, 8/B/1, 8/B/2, 8/B/3, 8/B/4, 8/B/5, 8/D/6, 8/D/7, 8/D/8, 8/B/1, 8/B/2, 8/B/3, 8/B/4, 8/B/5, 8/B/6, 8/C/1, 8/C/2, 8/1A/1, 8/1A/2, 8/1A/3, 8/1A/4, 8/1A/5, 8/1A/6, 9/B/1, 9/B/2, 9/B/3, 9/B/4, 9/B/5, 9/B/6, 9/B/7, 9/B/8, 9/D/1, 9/D/2, 9/D/3, 9/D/4, 9/D/5, 9/D/6, 9/D/7, 9/D/8, 9/C/1, 9/C/2, 9/C/3, 9/C/4, 9/C/5, 9/C/5, 9/C/6, 9/C/7, 9/C/8, 9/C/9, 7/C/9, 7/C/10 of village Talegaon, Taluka-Khalapur, Dist-Raigad - 410221</t>
  </si>
  <si>
    <t>Ground Floor (Level 6.9 M) for parking</t>
  </si>
  <si>
    <t>1st Floor (Level 10.05 M) for Residential &amp; Meter Room</t>
  </si>
  <si>
    <t>1st Floor (Level 10.05 M)</t>
  </si>
  <si>
    <t>2nd Floor (Level 13.2 M)</t>
  </si>
  <si>
    <t>3rd Floor (Level 16.35 M)</t>
  </si>
  <si>
    <t>4th Floor (Level 19.675 M)</t>
  </si>
  <si>
    <t>5th Floor (Level 22.825 M)</t>
  </si>
  <si>
    <t>6th Floor (Level 25.775 M)</t>
  </si>
  <si>
    <t>7th Floor (Level 28.725 M)</t>
  </si>
  <si>
    <t xml:space="preserve">8th, 9th, 10th, 11th, 13th, 14th, 15th, 16th, 18th, 19th, 20th, 21st, 23rd, 24th, 25th, 26th, 28th, 29th, 30th, 31st, 33th, 34th, 35th, 36th, 38th &amp; 39th Floor
</t>
  </si>
  <si>
    <t>Basement 0 + Parking Floor 0 (Level 0.6 M)</t>
  </si>
  <si>
    <t>Basement 1 + Parking Floor 1 (Level 3.75 M)</t>
  </si>
  <si>
    <t>Ground Floor (+B2) +Parking Floor 2 (Level 6.9 M) for parking</t>
  </si>
  <si>
    <t>1st Floor (+B3) +Parking Floor 3 (Level 10.5 M) for Parking &amp; Residential</t>
  </si>
  <si>
    <t>2nd Floor Floor (Level 13.2 M) for Residential &amp; Meter Room, Double Height Lobby</t>
  </si>
  <si>
    <t>3rd Floor + Parking Floor 5th (Level 16.35 M)</t>
  </si>
  <si>
    <t>Basement 2 + Parking Floor 2 (Level 6.9 M)</t>
  </si>
  <si>
    <t>Basement 3 + Parking Floor 3 (Level 10.05 M)</t>
  </si>
  <si>
    <t>Basement 4 + Parking Floor 4 (Level 13.2 M)</t>
  </si>
  <si>
    <t>Ground Floor + Parking Floor 5 (Level 16.35 M)</t>
  </si>
  <si>
    <t xml:space="preserve">1st Floor (Level 19.675M SFL &amp; 19.875 FFl) </t>
  </si>
  <si>
    <t>2nd Floor (Level 22.825M)</t>
  </si>
  <si>
    <t>3rd Floor (Level 25.775M)</t>
  </si>
  <si>
    <t>4th Floor (Level 28.725M)</t>
  </si>
  <si>
    <t>The Highlands, Godrej City, Panvel, S.Nos.4/1,4/2,4/3pt,4/4pt, 4/5pt, 4/6,5pt,6/6pt &amp; others at Village - Talegaon, Taluka- Khalapur, Dist- Raigad - 410221</t>
  </si>
  <si>
    <t>Construction details:</t>
  </si>
  <si>
    <t>Slab/Floor</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</si>
  <si>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</si>
  <si>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</si>
  <si>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</si>
  <si>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</si>
  <si>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</si>
  <si>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</si>
  <si>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</si>
  <si>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</si>
  <si>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</si>
  <si>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</si>
  <si>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</si>
  <si>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</si>
  <si>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</si>
  <si>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</si>
  <si>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</si>
  <si>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Tower No.1 = Gr. + 1st to 39th Floor</t>
  </si>
  <si>
    <t xml:space="preserve">RCC </t>
  </si>
  <si>
    <t>Tower No.2 = B + B1 + Gr. + 1st to 39th Floor</t>
  </si>
  <si>
    <t>Tower No.3 = B + B1 to B4 + Gr.+ 1st to 36th Floor</t>
  </si>
  <si>
    <t>Tower No.4</t>
  </si>
  <si>
    <t>Ground Floor + Parking Floor 3 (Level 10.050 M)</t>
  </si>
  <si>
    <t>1st Floor + Parking Floor 4 + Amenities(Level 13.200 M)</t>
  </si>
  <si>
    <t>3BHK</t>
  </si>
  <si>
    <t>2nd Floor + Parking Floor 5 + Amenities(Level 16.35 M)</t>
  </si>
  <si>
    <t>3rd Floor + Parking Floor 6 (Level 19.675 M)</t>
  </si>
  <si>
    <t>4th Floor (Level 22.825 M)</t>
  </si>
  <si>
    <t>5th Floor (Level 25.775 M)</t>
  </si>
  <si>
    <t xml:space="preserve"> 6th to 10th, 12th, 14th, 16th, 18th, 20th, 22nd, 24th, 26th, 28th, 30th, 32nd, 34th, 36th &amp; 38th Floor</t>
  </si>
  <si>
    <t xml:space="preserve"> 11th, 13th, 15th, 17th, 19th, 21st, 23rd, 25th, 27th, 29th, 31st, 33rd, 35th &amp; 37th Floor ( Part Refuge Area)</t>
  </si>
  <si>
    <t>Tower No.4 = B + B1 + B2 + G + 1st to 38th Floor</t>
  </si>
  <si>
    <t>M/s.Caroa Properties LLP</t>
  </si>
  <si>
    <t>Maintenance Charges for 12 Months</t>
  </si>
  <si>
    <t>Township Maintenance Charges for 3 Years</t>
  </si>
  <si>
    <t>Corpus Amount</t>
  </si>
  <si>
    <t>Water &amp; Electricity Charges</t>
  </si>
  <si>
    <t>Location Link</t>
  </si>
  <si>
    <t>Valid Up to: 
Tower No.1 = Gr. + 39th Floor
Tower No.2 = B + B1 + Gr. + 39th Floor
Tower No.3 = B + B1 to B4 + Gr.  36th Floor
Tower No.4 = B + B1 to B2 + G + 1st to 38th Floor
Tower No.5 = G + 1st to 41st Floor</t>
  </si>
  <si>
    <t>Tower No.5 = G + 1st to 41st Floor</t>
  </si>
  <si>
    <t>Tower No.5</t>
  </si>
  <si>
    <t>Ground Floor + Parking Floor 0
For Parking, Doubled Heighted Lobby, Amenity Room, Meter Room &amp; Garbage Room</t>
  </si>
  <si>
    <t>1st Floor + Parking Floor 1 
For Parking, Doubled Heighted Lobby, Amenity Room, Letter Room &amp; Residential</t>
  </si>
  <si>
    <t>2nd Floor + Parking Floor 2
For Parking, Drivers Room &amp; Residential</t>
  </si>
  <si>
    <t>Drivers Room</t>
  </si>
  <si>
    <t>3rd Floor + Parking Floor 3
For Parking, Drivers Room &amp; Residential</t>
  </si>
  <si>
    <t>4th Floor + Parking Floor 4
For Parking, Drivers Room &amp; Residential</t>
  </si>
  <si>
    <t>5th Floor + Parking Floor 5
For Parking, Servant Toilet &amp; Residential</t>
  </si>
  <si>
    <t>6th Floor + Parking Floor 6
For Parking &amp; Residential</t>
  </si>
  <si>
    <t>Servant Toilet</t>
  </si>
  <si>
    <t>7th Floor For Residential</t>
  </si>
  <si>
    <t>8th Floor For Residential</t>
  </si>
  <si>
    <t>9th Floor For Residential</t>
  </si>
  <si>
    <t>10th to 13th, 15th to 18th, 20th to 23rd, 25th to 28th, 30th to 33rd, 35th to 38th, 40th &amp; 41st Floor</t>
  </si>
  <si>
    <t xml:space="preserve"> 14th, 19th, 24th, 29th, 34th &amp; 39th Floor (Part Refuge Area)</t>
  </si>
  <si>
    <t>-</t>
  </si>
  <si>
    <t>Layout Plan</t>
  </si>
  <si>
    <t>MSRDC/SPA/ITP-3/RZ-5/Amended/ CC/2023/1178</t>
  </si>
  <si>
    <t>Tower No. 7</t>
  </si>
  <si>
    <t>Double Height Entrance Lobby</t>
  </si>
  <si>
    <t>Meter Room/ Garbej Room</t>
  </si>
  <si>
    <t>Double Height Entrance Lobby Below</t>
  </si>
  <si>
    <t>1st Floor for Residential</t>
  </si>
  <si>
    <t>2nd Floor</t>
  </si>
  <si>
    <t>3rd Floor</t>
  </si>
  <si>
    <t>4th Floor (Part Refuge Area)</t>
  </si>
  <si>
    <t>5th Floor</t>
  </si>
  <si>
    <t>6th to 8th, 10th to 13th, 15th &amp; 16th Floor</t>
  </si>
  <si>
    <t>17th, 18th, 20th to 23rd, 25th to 28th, 30th to 33rd, 35th to 38th, 40th &amp; 41st Floor</t>
  </si>
  <si>
    <t>9th &amp; 14th Floor (Part Refuge Area)</t>
  </si>
  <si>
    <t>19th, 24th, 29th, 34th, 39th Floor (Part Refuge Area)</t>
  </si>
  <si>
    <t>Tower No.7</t>
  </si>
  <si>
    <t>Tower No.7 = G + 1st to 41st Floor</t>
  </si>
  <si>
    <t>Contact Details ( Name &amp; Contact No.)</t>
  </si>
  <si>
    <t>Office No. 1031, Wing J, Akshar Business Park, Plot No. 03 Sector 25, Near APMC Market,
Vashi, Navi Mumbai, Maharashtra 400703 TEL: 022-46090378/79/80                                                                                                     Email : vsjcapf@gmail.com. Web site : www.vsjadon.com</t>
  </si>
  <si>
    <t>Ground Floor For Doubled Heighted Lobby, Residential, Meter Room &amp; Garbage Room</t>
  </si>
  <si>
    <t>Approved Floor plan No.  (Tower No. 1 to 5)</t>
  </si>
  <si>
    <t>Site Meet Person Contact Details ( Name &amp; Contact No.)</t>
  </si>
  <si>
    <t>7000 to 7250</t>
  </si>
  <si>
    <t>smith</t>
  </si>
  <si>
    <t>7250 to 7500</t>
  </si>
  <si>
    <t>Latitude,Longitude</t>
  </si>
  <si>
    <t>35/- from 1st floor</t>
  </si>
  <si>
    <t>7500 to 8250</t>
  </si>
  <si>
    <t>Other Charges (Only For 3BHK)</t>
  </si>
  <si>
    <t>Tower no.1 to 3 - P52000026790
Tower no.4 - P52000030367
Tower no.5 - P52000049669
Tower no.6 - P52000056268
Tower no.7 - P52000052251</t>
  </si>
  <si>
    <t>18.00 M. Wide Road</t>
  </si>
  <si>
    <t>Other Plot</t>
  </si>
  <si>
    <t>Valid Up to: 
Tower No.1 = Gr. + 39th Floor (BUA = 22760.163 sq.mt &amp; Height = 125.87mts)
Tower No.2 = B + B1 + Gr. + 39th Floor (BUA = 22219.65 sq.mt &amp; Height = 125.87mts)
Tower No.3 = B + B1 to B4 + Gr.  36th Floor (BUA = 22206.848 sq.mt &amp; Height = 125.87mts)
Tower No.4 = B + B1 to B2 + Gr + 1st to 38th Floor (BUA = 33655.079 sq.mt &amp; Height = 125.87mts)
Tower No.5 = Gr + 1st to 41st Floor (BUA = 23982.755 sq.mt &amp; Height = 125.87mts)
Tower No.6 = Gr + 1st to 41st Floor (BUA = 22451.770 sq.mt &amp; Height = 125.87mts)
Tower No.7 = Gr + 1st to 41st Floor (BUA = 26116.507 sq.mt &amp; Height = 125.87mts)</t>
  </si>
  <si>
    <t>Tower No.6 = G + 1st to 41st Floor</t>
  </si>
  <si>
    <t>Tower No.6</t>
  </si>
  <si>
    <t>Tower No.1 = Gr. + 39th Floor
Tower No.2 = B + B1 + Gr. + 39th Floor
Tower No.3 = B + B1 to B4 + Gr.  36th Floor
Tower No.4 = B + B1 + B2 + G + 1st to 38th Floor
Tower No.5, 6 &amp; 7 = Gr + 1st to 41st Floor</t>
  </si>
  <si>
    <t>Tower No.1 = Gr. + 1st to 39th Floor
Tower No.2 = B + B1 + Gr. + 1st to 39th Floor
Tower No.3 = B + B1 to B4 + Gr.+ 1st to 36th Floor
Tower No.4 = B + B1 + B2 + G + 1st to 38th Floor
Tower No.5, 6 &amp; 7 = Gr + 1st to 41st Floor</t>
  </si>
  <si>
    <t>Parking Floor 01</t>
  </si>
  <si>
    <t>Parking Floor 02</t>
  </si>
  <si>
    <t>Parking Floor 03</t>
  </si>
  <si>
    <t>Parking Floor 04</t>
  </si>
  <si>
    <t>Double Heighted Lobby &amp; Top Parking Floor</t>
  </si>
  <si>
    <t>Lobby Below</t>
  </si>
  <si>
    <t>19th, 24th, 29th, 34th &amp; 39th Floor (Part Refuge Area)</t>
  </si>
  <si>
    <t>Nitesh Patil</t>
  </si>
  <si>
    <t>18.927256,73.183454</t>
  </si>
  <si>
    <t>https://maps.app.goo.gl/qgfRSxRRwY5QQ8fo9</t>
  </si>
  <si>
    <t>13.80Km from Panvel Railway Station</t>
  </si>
  <si>
    <t>Tower no.1 to 7</t>
  </si>
  <si>
    <t>Approved Floor plan No.  (Tower No.6 &amp; 7)</t>
  </si>
  <si>
    <t xml:space="preserve">Layout Approval No 
(Tower 1 to 7)    </t>
  </si>
  <si>
    <t>Flats - 2067</t>
  </si>
  <si>
    <t>MSRDC/SPA/ITP-3/RZ-5/Amended CC/2023/1178</t>
  </si>
  <si>
    <t>MSRDC/SPA/ITP-3/RZ-5/Amended
CC/2023/1178</t>
  </si>
  <si>
    <t>Double Heighted Lobby Below</t>
  </si>
  <si>
    <t>8th, 10th to 13th, 15th &amp; 16th Floor</t>
  </si>
  <si>
    <t>Tower No.6 (Type D)</t>
  </si>
  <si>
    <t>07 Towers</t>
  </si>
  <si>
    <r>
      <t>1. Tower 1 to 7 = Construction work is in process at the time of Visit. Internal photographs was not allowed.
2. We considered Saleable area as per our calculation.
3. We considered Carpet area as per Approved Plan.
4. We considered Gross carpet area = Net carpet.
5. We have considered rate by verifying it from market inquire.
6. Car parking is subjected to authentic documentation.
7. Construction details are collected from Ms. Micheal - 7710024861.
8. We have updated latest approved floor plan &amp; C.C (on 06/12/2021).
9. We have updated latest approved floor plan &amp; C.C for Tower 5(on 27/07/2023).
10. We have considered Ground floor level at 6.9mts with reference to Tower No. 1.
11. We have updated latest approved Floor plan &amp; CC of Tower 7 (on 17/10/2023).
12. Recommended Rates/Other Charges of the Property have been revised on 09/01/2024, 29/01/2024 &amp; 10/05/2</t>
    </r>
    <r>
      <rPr>
        <b/>
        <sz val="12"/>
        <rFont val="Times New Roman"/>
        <family val="1"/>
      </rPr>
      <t>024.
13. We have updated latest approved Floor plan &amp; CC of Tower 6 (on 27/05/2024).</t>
    </r>
  </si>
  <si>
    <t>As per RERA - Tower 1 to 3 = 30/09/2026
Tower 4 = 31/12/2026
Tower 5 = 31/05/2029
Tower 7 = 30/11/2029
Tower 6 = 31/07/2031</t>
  </si>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</sst>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0.00_);_(* \(#,##0.00\);_(* &quot;-&quot;??_);_(@_)"/>
    <numFmt numFmtId="166" formatCode="0.0"/>
    <numFmt numFmtId="167" formatCode="_(* #,##0_);_(* \(#,##0\);_(* &quot;-&quot;??_);_(@_)"/>
    <numFmt numFmtId="168" formatCode="_ * #,##0_ ;_ * \-#,##0_ ;_ * &quot;-&quot;??_ ;_ @_ "/>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2"/>
      <color theme="4" tint="-0.249977111117893"/>
      <name val="Times New Roman"/>
      <family val="1"/>
    </font>
    <font>
      <sz val="11"/>
      <color rgb="FF000000"/>
      <name val="Calibri"/>
      <family val="2"/>
    </font>
    <font>
      <u/>
      <sz val="11"/>
      <color theme="10"/>
      <name val="Calibri"/>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10">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1" fillId="0" borderId="0"/>
    <xf numFmtId="164" fontId="23" fillId="0" borderId="0" applyFont="0" applyFill="0" applyBorder="0" applyAlignment="0" applyProtection="0"/>
    <xf numFmtId="0" fontId="24" fillId="0" borderId="0" applyNumberFormat="0" applyFill="0" applyBorder="0" applyAlignment="0" applyProtection="0"/>
  </cellStyleXfs>
  <cellXfs count="183">
    <xf numFmtId="0" fontId="0" fillId="0" borderId="0" xfId="0"/>
    <xf numFmtId="0" fontId="8" fillId="0" borderId="0" xfId="0" applyFont="1" applyAlignment="1">
      <alignment horizontal="center" vertical="center"/>
    </xf>
    <xf numFmtId="0" fontId="8" fillId="0" borderId="0" xfId="1" applyFont="1" applyAlignment="1">
      <alignment horizontal="center" vertical="center"/>
    </xf>
    <xf numFmtId="0" fontId="0" fillId="3"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0" fontId="8" fillId="0" borderId="0" xfId="1" applyFont="1"/>
    <xf numFmtId="0" fontId="7" fillId="0" borderId="0" xfId="2" applyFont="1"/>
    <xf numFmtId="0" fontId="8" fillId="0" borderId="0" xfId="0" applyFont="1"/>
    <xf numFmtId="0" fontId="13" fillId="0" borderId="0" xfId="1" applyFont="1"/>
    <xf numFmtId="0" fontId="16" fillId="0" borderId="0" xfId="1" applyFont="1"/>
    <xf numFmtId="0" fontId="17" fillId="0" borderId="0" xfId="1" applyFont="1"/>
    <xf numFmtId="0" fontId="13" fillId="2" borderId="1" xfId="1" applyFont="1"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1" fontId="5" fillId="0" borderId="1" xfId="1" applyNumberFormat="1" applyFont="1" applyBorder="1" applyAlignment="1" applyProtection="1">
      <alignment horizontal="center" vertical="top" wrapText="1"/>
      <protection locked="0"/>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8" fillId="0" borderId="0" xfId="1" applyFont="1" applyProtection="1">
      <protection hidden="1"/>
    </xf>
    <xf numFmtId="0" fontId="8" fillId="0" borderId="6" xfId="1" applyFont="1" applyBorder="1" applyProtection="1">
      <protection hidden="1"/>
    </xf>
    <xf numFmtId="0" fontId="8" fillId="0" borderId="7" xfId="1" applyFont="1" applyBorder="1" applyProtection="1">
      <protection hidden="1"/>
    </xf>
    <xf numFmtId="0" fontId="8" fillId="0" borderId="7" xfId="1" applyFont="1" applyBorder="1"/>
    <xf numFmtId="9" fontId="18" fillId="0" borderId="7" xfId="0" applyNumberFormat="1" applyFont="1" applyBorder="1" applyProtection="1">
      <protection hidden="1"/>
    </xf>
    <xf numFmtId="9" fontId="18" fillId="0" borderId="9" xfId="0" applyNumberFormat="1" applyFont="1" applyBorder="1" applyProtection="1">
      <protection hidden="1"/>
    </xf>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7"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13" fillId="2" borderId="1" xfId="1" applyFont="1" applyFill="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14" fillId="2" borderId="1" xfId="1" applyFont="1" applyFill="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wrapText="1"/>
      <protection locked="0"/>
    </xf>
    <xf numFmtId="1" fontId="13" fillId="0" borderId="1" xfId="1" applyNumberFormat="1" applyFont="1" applyBorder="1" applyAlignment="1" applyProtection="1">
      <alignment horizontal="center" wrapText="1"/>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8" fillId="0" borderId="5" xfId="1" applyFont="1" applyBorder="1" applyProtection="1">
      <protection hidden="1"/>
    </xf>
    <xf numFmtId="1" fontId="9" fillId="0" borderId="1" xfId="1" applyNumberFormat="1" applyFont="1" applyBorder="1" applyAlignment="1" applyProtection="1">
      <alignment horizontal="center" vertical="top" wrapText="1"/>
      <protection locked="0"/>
    </xf>
    <xf numFmtId="0" fontId="18" fillId="0" borderId="0" xfId="0" applyFont="1" applyProtection="1">
      <protection hidden="1"/>
    </xf>
    <xf numFmtId="0" fontId="18"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0" fontId="18" fillId="0" borderId="8" xfId="0" applyFont="1" applyBorder="1" applyProtection="1">
      <protection hidden="1"/>
    </xf>
    <xf numFmtId="1" fontId="0" fillId="0" borderId="9" xfId="0" applyNumberFormat="1" applyBorder="1"/>
    <xf numFmtId="0" fontId="13" fillId="0" borderId="1" xfId="1" applyFont="1" applyBorder="1" applyAlignment="1" applyProtection="1">
      <alignment horizontal="center" vertical="top"/>
      <protection locked="0"/>
    </xf>
    <xf numFmtId="9" fontId="13" fillId="2" borderId="1" xfId="1" applyNumberFormat="1" applyFont="1" applyFill="1" applyBorder="1" applyAlignment="1" applyProtection="1">
      <alignment horizontal="center" vertical="center" wrapText="1"/>
      <protection hidden="1"/>
    </xf>
    <xf numFmtId="0" fontId="13" fillId="0" borderId="15" xfId="1" applyFont="1" applyBorder="1" applyAlignment="1" applyProtection="1">
      <alignment horizontal="center" vertical="top"/>
      <protection locked="0"/>
    </xf>
    <xf numFmtId="0" fontId="13" fillId="0" borderId="16" xfId="1" applyFont="1" applyBorder="1" applyAlignment="1" applyProtection="1">
      <alignment horizontal="center" vertical="top"/>
      <protection locked="0"/>
    </xf>
    <xf numFmtId="0" fontId="13" fillId="0" borderId="18" xfId="1" applyFont="1" applyBorder="1" applyAlignment="1" applyProtection="1">
      <alignment horizontal="center" wrapText="1"/>
      <protection locked="0"/>
    </xf>
    <xf numFmtId="9" fontId="13" fillId="2" borderId="18" xfId="1" applyNumberFormat="1" applyFont="1" applyFill="1" applyBorder="1" applyAlignment="1" applyProtection="1">
      <alignment horizontal="center" vertical="center" wrapText="1"/>
      <protection hidden="1"/>
    </xf>
    <xf numFmtId="0" fontId="22" fillId="0" borderId="0" xfId="1" applyFont="1" applyAlignment="1">
      <alignment horizontal="center" vertical="center"/>
    </xf>
    <xf numFmtId="1" fontId="13" fillId="0" borderId="1" xfId="1" applyNumberFormat="1" applyFont="1" applyBorder="1" applyAlignment="1" applyProtection="1">
      <alignment horizontal="center" vertical="center" wrapText="1"/>
      <protection locked="0"/>
    </xf>
    <xf numFmtId="1" fontId="22" fillId="0" borderId="0" xfId="1" applyNumberFormat="1" applyFont="1" applyAlignment="1">
      <alignment horizontal="center" vertical="center"/>
    </xf>
    <xf numFmtId="1" fontId="8" fillId="0" borderId="1" xfId="1" applyNumberFormat="1" applyFont="1" applyBorder="1" applyAlignment="1">
      <alignment horizontal="center" vertical="center"/>
    </xf>
    <xf numFmtId="1" fontId="8" fillId="0" borderId="27" xfId="0" applyNumberFormat="1" applyFont="1" applyBorder="1" applyAlignment="1" applyProtection="1">
      <alignment horizontal="center" vertical="center"/>
      <protection locked="0"/>
    </xf>
    <xf numFmtId="1" fontId="11" fillId="0" borderId="29" xfId="0" applyNumberFormat="1" applyFont="1" applyBorder="1" applyAlignment="1" applyProtection="1">
      <alignment horizontal="center" vertical="center"/>
      <protection locked="0"/>
    </xf>
    <xf numFmtId="0" fontId="13" fillId="0" borderId="1" xfId="1" applyFont="1" applyBorder="1" applyAlignment="1" applyProtection="1">
      <alignment vertical="top"/>
      <protection locked="0"/>
    </xf>
    <xf numFmtId="14" fontId="8" fillId="0" borderId="0" xfId="1" applyNumberFormat="1" applyFont="1"/>
    <xf numFmtId="1" fontId="14" fillId="0" borderId="1" xfId="1" applyNumberFormat="1" applyFont="1" applyBorder="1" applyAlignment="1" applyProtection="1">
      <alignment horizontal="center" vertical="center" wrapText="1"/>
      <protection locked="0"/>
    </xf>
    <xf numFmtId="1" fontId="13" fillId="0" borderId="1" xfId="1" applyNumberFormat="1" applyFont="1" applyBorder="1" applyAlignment="1" applyProtection="1">
      <alignment horizontal="center" vertical="center" wrapText="1"/>
      <protection locked="0"/>
    </xf>
    <xf numFmtId="1" fontId="13" fillId="0" borderId="22" xfId="1" applyNumberFormat="1" applyFont="1" applyBorder="1" applyAlignment="1" applyProtection="1">
      <alignment horizontal="center" vertical="center" wrapText="1"/>
      <protection locked="0"/>
    </xf>
    <xf numFmtId="1" fontId="13" fillId="0" borderId="23" xfId="1" applyNumberFormat="1" applyFont="1" applyBorder="1" applyAlignment="1" applyProtection="1">
      <alignment horizontal="center" vertical="center" wrapText="1"/>
      <protection locked="0"/>
    </xf>
    <xf numFmtId="1" fontId="13" fillId="0" borderId="21" xfId="1" applyNumberFormat="1" applyFont="1" applyBorder="1" applyAlignment="1" applyProtection="1">
      <alignment horizontal="center" vertical="center" wrapText="1"/>
      <protection locked="0"/>
    </xf>
    <xf numFmtId="1" fontId="13" fillId="0" borderId="20" xfId="1" applyNumberFormat="1" applyFont="1" applyBorder="1" applyAlignment="1" applyProtection="1">
      <alignment horizontal="center" vertical="center" wrapText="1"/>
      <protection locked="0"/>
    </xf>
    <xf numFmtId="1" fontId="13" fillId="0" borderId="24" xfId="1" applyNumberFormat="1" applyFont="1" applyBorder="1" applyAlignment="1" applyProtection="1">
      <alignment horizontal="center" vertical="center" wrapText="1"/>
      <protection locked="0"/>
    </xf>
    <xf numFmtId="1" fontId="13" fillId="0" borderId="25" xfId="1" applyNumberFormat="1" applyFont="1" applyBorder="1" applyAlignment="1" applyProtection="1">
      <alignment horizontal="center" vertical="center" wrapText="1"/>
      <protection locked="0"/>
    </xf>
    <xf numFmtId="1" fontId="13" fillId="0" borderId="3" xfId="1" applyNumberFormat="1" applyFont="1" applyBorder="1" applyAlignment="1" applyProtection="1">
      <alignment horizontal="center" vertical="center" wrapText="1"/>
      <protection locked="0"/>
    </xf>
    <xf numFmtId="1" fontId="13" fillId="0" borderId="10" xfId="1" applyNumberFormat="1" applyFont="1" applyBorder="1" applyAlignment="1" applyProtection="1">
      <alignment horizontal="center" vertical="center" wrapText="1"/>
      <protection locked="0"/>
    </xf>
    <xf numFmtId="1" fontId="13" fillId="0" borderId="4" xfId="1" applyNumberFormat="1" applyFont="1" applyBorder="1" applyAlignment="1" applyProtection="1">
      <alignment horizontal="center" vertical="center" wrapText="1"/>
      <protection locked="0"/>
    </xf>
    <xf numFmtId="1" fontId="13" fillId="0" borderId="26" xfId="1" applyNumberFormat="1" applyFont="1" applyBorder="1" applyAlignment="1" applyProtection="1">
      <alignment horizontal="center" vertical="center" wrapText="1"/>
      <protection locked="0"/>
    </xf>
    <xf numFmtId="1" fontId="13" fillId="0" borderId="2"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14" fillId="4" borderId="1" xfId="1" applyNumberFormat="1" applyFont="1" applyFill="1" applyBorder="1" applyAlignment="1" applyProtection="1">
      <alignment horizontal="center" vertical="center" wrapText="1"/>
      <protection locked="0"/>
    </xf>
    <xf numFmtId="0" fontId="14" fillId="0" borderId="12" xfId="1" applyFont="1" applyBorder="1" applyAlignment="1" applyProtection="1">
      <alignment horizontal="left" vertical="top" wrapText="1"/>
      <protection locked="0"/>
    </xf>
    <xf numFmtId="0" fontId="14" fillId="0" borderId="13" xfId="1" applyFont="1" applyBorder="1" applyAlignment="1" applyProtection="1">
      <alignment horizontal="left"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16" xfId="1" applyFont="1" applyBorder="1" applyAlignment="1" applyProtection="1">
      <alignment horizontal="left" vertical="top" wrapText="1"/>
      <protection locked="0"/>
    </xf>
    <xf numFmtId="0" fontId="13" fillId="0" borderId="15"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16" xfId="1" applyFont="1" applyBorder="1" applyAlignment="1" applyProtection="1">
      <alignment horizontal="center" vertical="top" wrapText="1"/>
      <protection locked="0"/>
    </xf>
    <xf numFmtId="9" fontId="13" fillId="2" borderId="1" xfId="1" applyNumberFormat="1" applyFont="1" applyFill="1" applyBorder="1" applyAlignment="1" applyProtection="1">
      <alignment horizontal="center" vertical="center" wrapText="1"/>
      <protection hidden="1"/>
    </xf>
    <xf numFmtId="9" fontId="13" fillId="2" borderId="18" xfId="1" applyNumberFormat="1" applyFont="1" applyFill="1" applyBorder="1" applyAlignment="1" applyProtection="1">
      <alignment horizontal="center" vertical="center" wrapText="1"/>
      <protection hidden="1"/>
    </xf>
    <xf numFmtId="9" fontId="13" fillId="2" borderId="16" xfId="1" applyNumberFormat="1" applyFont="1" applyFill="1" applyBorder="1" applyAlignment="1" applyProtection="1">
      <alignment horizontal="center" vertical="center" wrapText="1"/>
      <protection hidden="1"/>
    </xf>
    <xf numFmtId="9" fontId="13" fillId="2" borderId="19" xfId="1" applyNumberFormat="1" applyFont="1" applyFill="1" applyBorder="1" applyAlignment="1" applyProtection="1">
      <alignment horizontal="center" vertical="center" wrapText="1"/>
      <protection hidden="1"/>
    </xf>
    <xf numFmtId="0" fontId="13" fillId="0" borderId="15"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7" xfId="1" applyFont="1" applyBorder="1" applyAlignment="1" applyProtection="1">
      <alignment horizontal="center" vertical="top" wrapText="1"/>
      <protection locked="0"/>
    </xf>
    <xf numFmtId="0" fontId="13" fillId="0" borderId="18" xfId="1" applyFont="1" applyBorder="1" applyAlignment="1" applyProtection="1">
      <alignment horizontal="center" vertical="top" wrapText="1"/>
      <protection locked="0"/>
    </xf>
    <xf numFmtId="1" fontId="14" fillId="0" borderId="3" xfId="1" applyNumberFormat="1" applyFont="1" applyBorder="1" applyAlignment="1" applyProtection="1">
      <alignment horizontal="center" vertical="center" wrapText="1"/>
      <protection locked="0"/>
    </xf>
    <xf numFmtId="1" fontId="14" fillId="0" borderId="10" xfId="1" applyNumberFormat="1" applyFont="1" applyBorder="1" applyAlignment="1" applyProtection="1">
      <alignment horizontal="center" vertical="center" wrapText="1"/>
      <protection locked="0"/>
    </xf>
    <xf numFmtId="1" fontId="14" fillId="0" borderId="4"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wrapText="1"/>
      <protection locked="0"/>
    </xf>
    <xf numFmtId="0" fontId="13" fillId="2" borderId="1" xfId="1" applyFont="1" applyFill="1" applyBorder="1" applyAlignment="1" applyProtection="1">
      <alignment horizontal="left" vertical="top" wrapText="1"/>
      <protection locked="0"/>
    </xf>
    <xf numFmtId="14" fontId="13"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4" fontId="13" fillId="0" borderId="1" xfId="1" applyNumberFormat="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3" fillId="0" borderId="10"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1" fontId="7" fillId="0" borderId="27" xfId="0" applyNumberFormat="1" applyFont="1" applyBorder="1" applyAlignment="1" applyProtection="1">
      <alignment horizontal="center" vertical="center" wrapText="1"/>
      <protection locked="0"/>
    </xf>
    <xf numFmtId="1" fontId="8" fillId="0" borderId="27" xfId="0" applyNumberFormat="1" applyFont="1" applyBorder="1" applyAlignment="1" applyProtection="1">
      <alignment horizontal="center" vertical="top" wrapText="1"/>
      <protection locked="0"/>
    </xf>
    <xf numFmtId="1" fontId="7" fillId="0" borderId="27" xfId="0" applyNumberFormat="1" applyFont="1" applyBorder="1" applyAlignment="1" applyProtection="1">
      <alignment horizontal="center" vertical="top" wrapText="1"/>
      <protection locked="0"/>
    </xf>
    <xf numFmtId="0" fontId="14" fillId="0" borderId="34" xfId="1" applyFont="1" applyBorder="1" applyAlignment="1" applyProtection="1">
      <alignment horizontal="left" vertical="top" wrapText="1"/>
      <protection locked="0"/>
    </xf>
    <xf numFmtId="0" fontId="14" fillId="0" borderId="35" xfId="1" applyFont="1" applyBorder="1" applyAlignment="1" applyProtection="1">
      <alignment horizontal="left" vertical="top" wrapText="1"/>
      <protection locked="0"/>
    </xf>
    <xf numFmtId="0" fontId="14" fillId="0" borderId="31" xfId="1" applyFont="1" applyBorder="1" applyAlignment="1" applyProtection="1">
      <alignment horizontal="left" vertical="top" wrapText="1"/>
      <protection locked="0"/>
    </xf>
    <xf numFmtId="0" fontId="14" fillId="0" borderId="32" xfId="1" applyFont="1" applyBorder="1" applyAlignment="1" applyProtection="1">
      <alignment horizontal="left" vertical="top" wrapText="1"/>
      <protection locked="0"/>
    </xf>
    <xf numFmtId="0" fontId="14" fillId="0" borderId="33" xfId="1" applyFont="1" applyBorder="1" applyAlignment="1" applyProtection="1">
      <alignment horizontal="left" vertical="top" wrapText="1"/>
      <protection locked="0"/>
    </xf>
    <xf numFmtId="1" fontId="9" fillId="0" borderId="1" xfId="0" applyNumberFormat="1" applyFont="1" applyBorder="1" applyAlignment="1" applyProtection="1">
      <alignment horizontal="center" vertical="top" wrapText="1"/>
      <protection locked="0"/>
    </xf>
    <xf numFmtId="0" fontId="11" fillId="0" borderId="1" xfId="0" applyFont="1" applyBorder="1" applyAlignment="1" applyProtection="1">
      <alignment horizontal="center" vertical="top" wrapText="1"/>
      <protection locked="0"/>
    </xf>
    <xf numFmtId="1" fontId="9" fillId="0" borderId="28" xfId="0" applyNumberFormat="1" applyFont="1" applyBorder="1" applyAlignment="1" applyProtection="1">
      <alignment horizontal="center" vertical="center" wrapText="1"/>
      <protection locked="0"/>
    </xf>
    <xf numFmtId="1" fontId="9" fillId="0" borderId="29" xfId="0" applyNumberFormat="1" applyFont="1" applyBorder="1" applyAlignment="1" applyProtection="1">
      <alignment horizontal="center" vertical="center" wrapText="1"/>
      <protection locked="0"/>
    </xf>
    <xf numFmtId="1" fontId="11" fillId="0" borderId="29" xfId="0" applyNumberFormat="1" applyFont="1" applyBorder="1" applyAlignment="1" applyProtection="1">
      <alignment horizontal="center" vertical="top" wrapText="1"/>
      <protection locked="0"/>
    </xf>
    <xf numFmtId="1" fontId="9" fillId="0" borderId="29" xfId="0" applyNumberFormat="1" applyFont="1" applyBorder="1" applyAlignment="1" applyProtection="1">
      <alignment horizontal="center" vertical="top" wrapText="1"/>
      <protection locked="0"/>
    </xf>
    <xf numFmtId="1" fontId="9" fillId="0" borderId="30" xfId="0" applyNumberFormat="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center" wrapText="1"/>
      <protection locked="0"/>
    </xf>
    <xf numFmtId="1" fontId="9" fillId="4" borderId="1" xfId="1" applyNumberFormat="1" applyFont="1" applyFill="1" applyBorder="1" applyAlignment="1" applyProtection="1">
      <alignment horizontal="center" vertical="center" wrapText="1"/>
      <protection locked="0"/>
    </xf>
    <xf numFmtId="0" fontId="13" fillId="2" borderId="3" xfId="1" applyFont="1" applyFill="1" applyBorder="1" applyAlignment="1" applyProtection="1">
      <alignment horizontal="left" vertical="top" wrapText="1"/>
      <protection locked="0"/>
    </xf>
    <xf numFmtId="0" fontId="13" fillId="2" borderId="10" xfId="1" applyFont="1" applyFill="1" applyBorder="1" applyAlignment="1" applyProtection="1">
      <alignment horizontal="left" vertical="top" wrapText="1"/>
      <protection locked="0"/>
    </xf>
    <xf numFmtId="0" fontId="13" fillId="2" borderId="4" xfId="1" applyFont="1" applyFill="1" applyBorder="1" applyAlignment="1" applyProtection="1">
      <alignment horizontal="left" vertical="top" wrapText="1"/>
      <protection locked="0"/>
    </xf>
    <xf numFmtId="0" fontId="9" fillId="0" borderId="11" xfId="1" applyFont="1" applyBorder="1" applyAlignment="1" applyProtection="1">
      <alignment horizontal="center" vertical="top"/>
      <protection locked="0"/>
    </xf>
    <xf numFmtId="0" fontId="11" fillId="0" borderId="1" xfId="2"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7" fillId="0" borderId="1" xfId="1" applyFont="1" applyBorder="1" applyAlignment="1" applyProtection="1">
      <alignment horizontal="left" vertical="top"/>
      <protection locked="0"/>
    </xf>
    <xf numFmtId="0" fontId="9" fillId="0" borderId="1" xfId="1" applyFont="1" applyBorder="1" applyAlignment="1" applyProtection="1">
      <alignment horizontal="center" vertical="top"/>
      <protection locked="0"/>
    </xf>
    <xf numFmtId="0" fontId="13" fillId="0" borderId="11"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168" fontId="13" fillId="2" borderId="1" xfId="8" applyNumberFormat="1" applyFont="1" applyFill="1" applyBorder="1" applyAlignment="1" applyProtection="1">
      <alignment horizontal="left" vertical="top"/>
      <protection locked="0"/>
    </xf>
    <xf numFmtId="0" fontId="13" fillId="0" borderId="18"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13" fillId="0" borderId="1" xfId="1" applyFont="1" applyBorder="1" applyAlignment="1" applyProtection="1">
      <alignment horizontal="left"/>
      <protection locked="0"/>
    </xf>
    <xf numFmtId="14" fontId="7"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center" wrapText="1"/>
      <protection locked="0"/>
    </xf>
    <xf numFmtId="1" fontId="9" fillId="0" borderId="1" xfId="0" applyNumberFormat="1" applyFont="1" applyBorder="1" applyAlignment="1" applyProtection="1">
      <alignment horizontal="left" vertical="top" wrapText="1"/>
      <protection locked="0"/>
    </xf>
    <xf numFmtId="166" fontId="13"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2" fontId="13" fillId="0" borderId="1" xfId="1" applyNumberFormat="1" applyFont="1" applyBorder="1" applyAlignment="1" applyProtection="1">
      <alignment horizontal="left" vertical="top" wrapText="1"/>
      <protection locked="0"/>
    </xf>
    <xf numFmtId="0" fontId="14" fillId="0" borderId="1" xfId="1" applyFont="1" applyBorder="1" applyAlignment="1" applyProtection="1">
      <alignment horizontal="center" vertical="top"/>
      <protection locked="0"/>
    </xf>
    <xf numFmtId="0" fontId="14" fillId="0" borderId="3" xfId="1" applyFont="1" applyBorder="1" applyAlignment="1" applyProtection="1">
      <alignment horizontal="left" vertical="top" wrapText="1"/>
      <protection locked="0"/>
    </xf>
    <xf numFmtId="0" fontId="14" fillId="0" borderId="4" xfId="1" applyFont="1" applyBorder="1" applyAlignment="1" applyProtection="1">
      <alignment horizontal="left" vertical="top" wrapText="1"/>
      <protection locked="0"/>
    </xf>
    <xf numFmtId="0" fontId="14" fillId="2" borderId="1" xfId="1" applyFont="1" applyFill="1" applyBorder="1" applyAlignment="1" applyProtection="1">
      <alignment horizontal="left" vertical="top" wrapText="1"/>
      <protection locked="0"/>
    </xf>
    <xf numFmtId="0" fontId="14" fillId="2" borderId="1" xfId="1" applyFont="1" applyFill="1" applyBorder="1" applyAlignment="1" applyProtection="1">
      <alignment horizontal="left" vertical="top"/>
      <protection locked="0"/>
    </xf>
    <xf numFmtId="0" fontId="9" fillId="0" borderId="1" xfId="1" applyFont="1" applyBorder="1" applyAlignment="1" applyProtection="1">
      <alignment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9" fillId="5" borderId="1" xfId="1" applyNumberFormat="1" applyFont="1" applyFill="1" applyBorder="1" applyAlignment="1" applyProtection="1">
      <alignment horizontal="center" vertical="center" wrapText="1"/>
      <protection locked="0"/>
    </xf>
    <xf numFmtId="0" fontId="13" fillId="2" borderId="1" xfId="1" applyFont="1" applyFill="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168" fontId="13" fillId="2" borderId="1" xfId="8" applyNumberFormat="1" applyFont="1" applyFill="1" applyBorder="1" applyAlignment="1" applyProtection="1">
      <alignment horizontal="right" vertical="top"/>
      <protection locked="0"/>
    </xf>
    <xf numFmtId="0" fontId="11" fillId="0" borderId="3" xfId="1" applyFont="1" applyBorder="1" applyAlignment="1" applyProtection="1">
      <alignment horizontal="left"/>
      <protection locked="0"/>
    </xf>
    <xf numFmtId="0" fontId="11" fillId="0" borderId="10" xfId="1" applyFont="1" applyBorder="1" applyAlignment="1" applyProtection="1">
      <alignment horizontal="left"/>
      <protection locked="0"/>
    </xf>
    <xf numFmtId="0" fontId="11" fillId="0" borderId="4" xfId="1" applyFont="1" applyBorder="1" applyAlignment="1" applyProtection="1">
      <alignment horizontal="left"/>
      <protection locked="0"/>
    </xf>
    <xf numFmtId="0" fontId="24" fillId="0" borderId="3" xfId="9" applyBorder="1" applyAlignment="1" applyProtection="1">
      <alignment horizontal="left"/>
      <protection locked="0"/>
    </xf>
    <xf numFmtId="0" fontId="8" fillId="0" borderId="10" xfId="1" applyFont="1" applyBorder="1" applyAlignment="1" applyProtection="1">
      <alignment horizontal="left"/>
      <protection locked="0"/>
    </xf>
    <xf numFmtId="0" fontId="8" fillId="0" borderId="4" xfId="1" applyFont="1" applyBorder="1" applyAlignment="1" applyProtection="1">
      <alignment horizontal="left"/>
      <protection locked="0"/>
    </xf>
    <xf numFmtId="0" fontId="14" fillId="0" borderId="1" xfId="1" applyFont="1" applyBorder="1" applyAlignment="1" applyProtection="1">
      <alignment horizontal="center"/>
      <protection locked="0"/>
    </xf>
    <xf numFmtId="2" fontId="13" fillId="0" borderId="1" xfId="1" applyNumberFormat="1" applyFont="1" applyBorder="1" applyAlignment="1" applyProtection="1">
      <alignment horizontal="left" vertical="top"/>
      <protection locked="0"/>
    </xf>
    <xf numFmtId="0" fontId="0" fillId="3" borderId="1" xfId="0" applyFill="1" applyBorder="1" applyAlignment="1">
      <alignment horizontal="center" wrapText="1"/>
    </xf>
    <xf numFmtId="0" fontId="10" fillId="0" borderId="1" xfId="0" applyFont="1" applyBorder="1" applyAlignment="1">
      <alignment horizontal="center"/>
    </xf>
    <xf numFmtId="0" fontId="0" fillId="0" borderId="0" xfId="0" applyAlignment="1">
      <alignment horizontal="center"/>
    </xf>
    <xf numFmtId="0" fontId="10" fillId="0" borderId="1" xfId="5" applyFont="1" applyBorder="1" applyAlignment="1">
      <alignment horizontal="left"/>
    </xf>
  </cellXfs>
  <cellStyles count="10">
    <cellStyle name="Comma" xfId="8" builtinId="3"/>
    <cellStyle name="Comma 2" xfId="6" xr:uid="{00000000-0005-0000-0000-000001000000}"/>
    <cellStyle name="Excel Built-in Normal" xfId="2" xr:uid="{00000000-0005-0000-0000-000002000000}"/>
    <cellStyle name="Excel Built-in Normal 2" xfId="4" xr:uid="{00000000-0005-0000-0000-000003000000}"/>
    <cellStyle name="Hyperlink" xfId="9"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6.png"/><Relationship Id="rId1" Type="http://schemas.openxmlformats.org/officeDocument/2006/relationships/image" Target="../media/image25.png"/><Relationship Id="rId4" Type="http://schemas.openxmlformats.org/officeDocument/2006/relationships/image" Target="../media/image2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768</xdr:row>
      <xdr:rowOff>66675</xdr:rowOff>
    </xdr:from>
    <xdr:to>
      <xdr:col>7</xdr:col>
      <xdr:colOff>589826</xdr:colOff>
      <xdr:row>797</xdr:row>
      <xdr:rowOff>25948</xdr:rowOff>
    </xdr:to>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1"/>
        <a:stretch>
          <a:fillRect/>
        </a:stretch>
      </xdr:blipFill>
      <xdr:spPr>
        <a:xfrm>
          <a:off x="285750" y="144637125"/>
          <a:ext cx="5904776" cy="5760000"/>
        </a:xfrm>
        <a:prstGeom prst="rect">
          <a:avLst/>
        </a:prstGeom>
        <a:ln>
          <a:solidFill>
            <a:schemeClr val="tx1"/>
          </a:solidFill>
        </a:ln>
      </xdr:spPr>
    </xdr:pic>
    <xdr:clientData/>
  </xdr:twoCellAnchor>
  <xdr:twoCellAnchor>
    <xdr:from>
      <xdr:col>2</xdr:col>
      <xdr:colOff>245194</xdr:colOff>
      <xdr:row>772</xdr:row>
      <xdr:rowOff>55235</xdr:rowOff>
    </xdr:from>
    <xdr:to>
      <xdr:col>2</xdr:col>
      <xdr:colOff>637866</xdr:colOff>
      <xdr:row>775</xdr:row>
      <xdr:rowOff>48464</xdr:rowOff>
    </xdr:to>
    <xdr:sp macro="" textlink="">
      <xdr:nvSpPr>
        <xdr:cNvPr id="40" name="TextBox 4">
          <a:extLst>
            <a:ext uri="{FF2B5EF4-FFF2-40B4-BE49-F238E27FC236}">
              <a16:creationId xmlns:a16="http://schemas.microsoft.com/office/drawing/2014/main" id="{00000000-0008-0000-0000-000028000000}"/>
            </a:ext>
          </a:extLst>
        </xdr:cNvPr>
        <xdr:cNvSpPr txBox="1"/>
      </xdr:nvSpPr>
      <xdr:spPr>
        <a:xfrm>
          <a:off x="1750144" y="145425785"/>
          <a:ext cx="392672" cy="59330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3200" b="1">
              <a:solidFill>
                <a:schemeClr val="tx1"/>
              </a:solidFill>
            </a:rPr>
            <a:t>1</a:t>
          </a:r>
        </a:p>
      </xdr:txBody>
    </xdr:sp>
    <xdr:clientData/>
  </xdr:twoCellAnchor>
  <xdr:twoCellAnchor>
    <xdr:from>
      <xdr:col>1</xdr:col>
      <xdr:colOff>620999</xdr:colOff>
      <xdr:row>776</xdr:row>
      <xdr:rowOff>152217</xdr:rowOff>
    </xdr:from>
    <xdr:to>
      <xdr:col>2</xdr:col>
      <xdr:colOff>270721</xdr:colOff>
      <xdr:row>779</xdr:row>
      <xdr:rowOff>145446</xdr:rowOff>
    </xdr:to>
    <xdr:sp macro="" textlink="">
      <xdr:nvSpPr>
        <xdr:cNvPr id="49" name="TextBox 29">
          <a:extLst>
            <a:ext uri="{FF2B5EF4-FFF2-40B4-BE49-F238E27FC236}">
              <a16:creationId xmlns:a16="http://schemas.microsoft.com/office/drawing/2014/main" id="{00000000-0008-0000-0000-000031000000}"/>
            </a:ext>
          </a:extLst>
        </xdr:cNvPr>
        <xdr:cNvSpPr txBox="1"/>
      </xdr:nvSpPr>
      <xdr:spPr>
        <a:xfrm>
          <a:off x="1382999" y="146322867"/>
          <a:ext cx="392672" cy="59330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3200" b="1">
              <a:solidFill>
                <a:schemeClr val="tx1"/>
              </a:solidFill>
            </a:rPr>
            <a:t>2</a:t>
          </a:r>
        </a:p>
      </xdr:txBody>
    </xdr:sp>
    <xdr:clientData/>
  </xdr:twoCellAnchor>
  <xdr:twoCellAnchor>
    <xdr:from>
      <xdr:col>1</xdr:col>
      <xdr:colOff>84134</xdr:colOff>
      <xdr:row>781</xdr:row>
      <xdr:rowOff>139228</xdr:rowOff>
    </xdr:from>
    <xdr:to>
      <xdr:col>1</xdr:col>
      <xdr:colOff>476806</xdr:colOff>
      <xdr:row>784</xdr:row>
      <xdr:rowOff>132457</xdr:rowOff>
    </xdr:to>
    <xdr:sp macro="" textlink="">
      <xdr:nvSpPr>
        <xdr:cNvPr id="50" name="TextBox 30">
          <a:extLst>
            <a:ext uri="{FF2B5EF4-FFF2-40B4-BE49-F238E27FC236}">
              <a16:creationId xmlns:a16="http://schemas.microsoft.com/office/drawing/2014/main" id="{00000000-0008-0000-0000-000032000000}"/>
            </a:ext>
          </a:extLst>
        </xdr:cNvPr>
        <xdr:cNvSpPr txBox="1"/>
      </xdr:nvSpPr>
      <xdr:spPr>
        <a:xfrm>
          <a:off x="846134" y="147310003"/>
          <a:ext cx="392672" cy="59330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3200" b="1">
              <a:solidFill>
                <a:schemeClr val="tx1"/>
              </a:solidFill>
            </a:rPr>
            <a:t>3</a:t>
          </a:r>
        </a:p>
      </xdr:txBody>
    </xdr:sp>
    <xdr:clientData/>
  </xdr:twoCellAnchor>
  <xdr:twoCellAnchor>
    <xdr:from>
      <xdr:col>2</xdr:col>
      <xdr:colOff>544255</xdr:colOff>
      <xdr:row>790</xdr:row>
      <xdr:rowOff>100526</xdr:rowOff>
    </xdr:from>
    <xdr:to>
      <xdr:col>3</xdr:col>
      <xdr:colOff>89202</xdr:colOff>
      <xdr:row>793</xdr:row>
      <xdr:rowOff>93755</xdr:rowOff>
    </xdr:to>
    <xdr:sp macro="" textlink="">
      <xdr:nvSpPr>
        <xdr:cNvPr id="51" name="TextBox 31">
          <a:extLst>
            <a:ext uri="{FF2B5EF4-FFF2-40B4-BE49-F238E27FC236}">
              <a16:creationId xmlns:a16="http://schemas.microsoft.com/office/drawing/2014/main" id="{00000000-0008-0000-0000-000033000000}"/>
            </a:ext>
          </a:extLst>
        </xdr:cNvPr>
        <xdr:cNvSpPr txBox="1"/>
      </xdr:nvSpPr>
      <xdr:spPr>
        <a:xfrm>
          <a:off x="2049205" y="149071526"/>
          <a:ext cx="392672" cy="59330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3200" b="1">
              <a:solidFill>
                <a:schemeClr val="tx1"/>
              </a:solidFill>
            </a:rPr>
            <a:t>4</a:t>
          </a:r>
        </a:p>
      </xdr:txBody>
    </xdr:sp>
    <xdr:clientData/>
  </xdr:twoCellAnchor>
  <xdr:twoCellAnchor>
    <xdr:from>
      <xdr:col>5</xdr:col>
      <xdr:colOff>166732</xdr:colOff>
      <xdr:row>790</xdr:row>
      <xdr:rowOff>100526</xdr:rowOff>
    </xdr:from>
    <xdr:to>
      <xdr:col>5</xdr:col>
      <xdr:colOff>559404</xdr:colOff>
      <xdr:row>793</xdr:row>
      <xdr:rowOff>93755</xdr:rowOff>
    </xdr:to>
    <xdr:sp macro="" textlink="">
      <xdr:nvSpPr>
        <xdr:cNvPr id="52" name="TextBox 32">
          <a:extLst>
            <a:ext uri="{FF2B5EF4-FFF2-40B4-BE49-F238E27FC236}">
              <a16:creationId xmlns:a16="http://schemas.microsoft.com/office/drawing/2014/main" id="{00000000-0008-0000-0000-000034000000}"/>
            </a:ext>
          </a:extLst>
        </xdr:cNvPr>
        <xdr:cNvSpPr txBox="1"/>
      </xdr:nvSpPr>
      <xdr:spPr>
        <a:xfrm>
          <a:off x="4205332" y="149071526"/>
          <a:ext cx="392672" cy="59330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3200" b="1">
              <a:solidFill>
                <a:schemeClr val="tx1"/>
              </a:solidFill>
            </a:rPr>
            <a:t>5</a:t>
          </a:r>
        </a:p>
      </xdr:txBody>
    </xdr:sp>
    <xdr:clientData/>
  </xdr:twoCellAnchor>
  <xdr:twoCellAnchor>
    <xdr:from>
      <xdr:col>5</xdr:col>
      <xdr:colOff>559404</xdr:colOff>
      <xdr:row>785</xdr:row>
      <xdr:rowOff>71704</xdr:rowOff>
    </xdr:from>
    <xdr:to>
      <xdr:col>6</xdr:col>
      <xdr:colOff>171026</xdr:colOff>
      <xdr:row>788</xdr:row>
      <xdr:rowOff>64933</xdr:rowOff>
    </xdr:to>
    <xdr:sp macro="" textlink="">
      <xdr:nvSpPr>
        <xdr:cNvPr id="53" name="TextBox 33">
          <a:extLst>
            <a:ext uri="{FF2B5EF4-FFF2-40B4-BE49-F238E27FC236}">
              <a16:creationId xmlns:a16="http://schemas.microsoft.com/office/drawing/2014/main" id="{00000000-0008-0000-0000-000035000000}"/>
            </a:ext>
          </a:extLst>
        </xdr:cNvPr>
        <xdr:cNvSpPr txBox="1"/>
      </xdr:nvSpPr>
      <xdr:spPr>
        <a:xfrm>
          <a:off x="4598004" y="148042579"/>
          <a:ext cx="392672" cy="59330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3200" b="1">
              <a:solidFill>
                <a:schemeClr val="tx1"/>
              </a:solidFill>
            </a:rPr>
            <a:t>6</a:t>
          </a:r>
        </a:p>
      </xdr:txBody>
    </xdr:sp>
    <xdr:clientData/>
  </xdr:twoCellAnchor>
  <xdr:twoCellAnchor>
    <xdr:from>
      <xdr:col>6</xdr:col>
      <xdr:colOff>171026</xdr:colOff>
      <xdr:row>782</xdr:row>
      <xdr:rowOff>78475</xdr:rowOff>
    </xdr:from>
    <xdr:to>
      <xdr:col>6</xdr:col>
      <xdr:colOff>518565</xdr:colOff>
      <xdr:row>785</xdr:row>
      <xdr:rowOff>71704</xdr:rowOff>
    </xdr:to>
    <xdr:sp macro="" textlink="">
      <xdr:nvSpPr>
        <xdr:cNvPr id="54" name="TextBox 34">
          <a:extLst>
            <a:ext uri="{FF2B5EF4-FFF2-40B4-BE49-F238E27FC236}">
              <a16:creationId xmlns:a16="http://schemas.microsoft.com/office/drawing/2014/main" id="{00000000-0008-0000-0000-000036000000}"/>
            </a:ext>
          </a:extLst>
        </xdr:cNvPr>
        <xdr:cNvSpPr txBox="1"/>
      </xdr:nvSpPr>
      <xdr:spPr>
        <a:xfrm>
          <a:off x="4990676" y="147449275"/>
          <a:ext cx="347539" cy="59330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3200" b="1">
              <a:solidFill>
                <a:schemeClr val="tx1"/>
              </a:solidFill>
            </a:rPr>
            <a:t>7</a:t>
          </a:r>
        </a:p>
      </xdr:txBody>
    </xdr:sp>
    <xdr:clientData/>
  </xdr:twoCellAnchor>
  <xdr:twoCellAnchor>
    <xdr:from>
      <xdr:col>8</xdr:col>
      <xdr:colOff>326223</xdr:colOff>
      <xdr:row>625</xdr:row>
      <xdr:rowOff>150116</xdr:rowOff>
    </xdr:from>
    <xdr:to>
      <xdr:col>8</xdr:col>
      <xdr:colOff>1264557</xdr:colOff>
      <xdr:row>627</xdr:row>
      <xdr:rowOff>123794</xdr:rowOff>
    </xdr:to>
    <xdr:sp macro="" textlink="">
      <xdr:nvSpPr>
        <xdr:cNvPr id="56" name="Rectangle 55">
          <a:extLst>
            <a:ext uri="{FF2B5EF4-FFF2-40B4-BE49-F238E27FC236}">
              <a16:creationId xmlns:a16="http://schemas.microsoft.com/office/drawing/2014/main" id="{00000000-0008-0000-0000-000038000000}"/>
            </a:ext>
          </a:extLst>
        </xdr:cNvPr>
        <xdr:cNvSpPr/>
      </xdr:nvSpPr>
      <xdr:spPr>
        <a:xfrm>
          <a:off x="6745245" y="113191159"/>
          <a:ext cx="938334" cy="371244"/>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Tower 3</a:t>
          </a:r>
        </a:p>
      </xdr:txBody>
    </xdr:sp>
    <xdr:clientData/>
  </xdr:twoCellAnchor>
  <xdr:twoCellAnchor>
    <xdr:from>
      <xdr:col>8</xdr:col>
      <xdr:colOff>478623</xdr:colOff>
      <xdr:row>626</xdr:row>
      <xdr:rowOff>103733</xdr:rowOff>
    </xdr:from>
    <xdr:to>
      <xdr:col>9</xdr:col>
      <xdr:colOff>58609</xdr:colOff>
      <xdr:row>628</xdr:row>
      <xdr:rowOff>77412</xdr:rowOff>
    </xdr:to>
    <xdr:sp macro="" textlink="">
      <xdr:nvSpPr>
        <xdr:cNvPr id="57" name="Rectangle 56">
          <a:extLst>
            <a:ext uri="{FF2B5EF4-FFF2-40B4-BE49-F238E27FC236}">
              <a16:creationId xmlns:a16="http://schemas.microsoft.com/office/drawing/2014/main" id="{00000000-0008-0000-0000-000039000000}"/>
            </a:ext>
          </a:extLst>
        </xdr:cNvPr>
        <xdr:cNvSpPr/>
      </xdr:nvSpPr>
      <xdr:spPr>
        <a:xfrm>
          <a:off x="6897645" y="113343559"/>
          <a:ext cx="938334" cy="371244"/>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Tower 3</a:t>
          </a:r>
        </a:p>
      </xdr:txBody>
    </xdr:sp>
    <xdr:clientData/>
  </xdr:twoCellAnchor>
  <xdr:twoCellAnchor editAs="oneCell">
    <xdr:from>
      <xdr:col>8</xdr:col>
      <xdr:colOff>844826</xdr:colOff>
      <xdr:row>565</xdr:row>
      <xdr:rowOff>16566</xdr:rowOff>
    </xdr:from>
    <xdr:to>
      <xdr:col>14</xdr:col>
      <xdr:colOff>468587</xdr:colOff>
      <xdr:row>572</xdr:row>
      <xdr:rowOff>30864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7661413" y="126765327"/>
          <a:ext cx="4320000" cy="1405777"/>
        </a:xfrm>
        <a:prstGeom prst="rect">
          <a:avLst/>
        </a:prstGeom>
      </xdr:spPr>
    </xdr:pic>
    <xdr:clientData/>
  </xdr:twoCellAnchor>
  <xdr:twoCellAnchor editAs="oneCell">
    <xdr:from>
      <xdr:col>8</xdr:col>
      <xdr:colOff>1060176</xdr:colOff>
      <xdr:row>581</xdr:row>
      <xdr:rowOff>91107</xdr:rowOff>
    </xdr:from>
    <xdr:to>
      <xdr:col>15</xdr:col>
      <xdr:colOff>71024</xdr:colOff>
      <xdr:row>588</xdr:row>
      <xdr:rowOff>99390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3"/>
        <a:srcRect b="8363"/>
        <a:stretch/>
      </xdr:blipFill>
      <xdr:spPr>
        <a:xfrm>
          <a:off x="7876763" y="130020390"/>
          <a:ext cx="4320000" cy="1399761"/>
        </a:xfrm>
        <a:prstGeom prst="rect">
          <a:avLst/>
        </a:prstGeom>
      </xdr:spPr>
    </xdr:pic>
    <xdr:clientData/>
  </xdr:twoCellAnchor>
  <xdr:twoCellAnchor editAs="oneCell">
    <xdr:from>
      <xdr:col>8</xdr:col>
      <xdr:colOff>935936</xdr:colOff>
      <xdr:row>605</xdr:row>
      <xdr:rowOff>190500</xdr:rowOff>
    </xdr:from>
    <xdr:to>
      <xdr:col>16</xdr:col>
      <xdr:colOff>61490</xdr:colOff>
      <xdr:row>614</xdr:row>
      <xdr:rowOff>20505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7752523" y="134890565"/>
          <a:ext cx="5047619" cy="1619048"/>
        </a:xfrm>
        <a:prstGeom prst="rect">
          <a:avLst/>
        </a:prstGeom>
      </xdr:spPr>
    </xdr:pic>
    <xdr:clientData/>
  </xdr:twoCellAnchor>
  <xdr:twoCellAnchor>
    <xdr:from>
      <xdr:col>1</xdr:col>
      <xdr:colOff>182218</xdr:colOff>
      <xdr:row>812</xdr:row>
      <xdr:rowOff>24848</xdr:rowOff>
    </xdr:from>
    <xdr:to>
      <xdr:col>6</xdr:col>
      <xdr:colOff>745435</xdr:colOff>
      <xdr:row>842</xdr:row>
      <xdr:rowOff>57978</xdr:rowOff>
    </xdr:to>
    <xdr:grpSp>
      <xdr:nvGrpSpPr>
        <xdr:cNvPr id="86" name="Group 85">
          <a:extLst>
            <a:ext uri="{FF2B5EF4-FFF2-40B4-BE49-F238E27FC236}">
              <a16:creationId xmlns:a16="http://schemas.microsoft.com/office/drawing/2014/main" id="{00000000-0008-0000-0000-000056000000}"/>
            </a:ext>
          </a:extLst>
        </xdr:cNvPr>
        <xdr:cNvGrpSpPr/>
      </xdr:nvGrpSpPr>
      <xdr:grpSpPr>
        <a:xfrm>
          <a:off x="967078" y="179833988"/>
          <a:ext cx="4723737" cy="5976730"/>
          <a:chOff x="603848" y="172527"/>
          <a:chExt cx="5040000" cy="7364446"/>
        </a:xfrm>
      </xdr:grpSpPr>
      <xdr:pic>
        <xdr:nvPicPr>
          <xdr:cNvPr id="87" name="Picture 86">
            <a:extLst>
              <a:ext uri="{FF2B5EF4-FFF2-40B4-BE49-F238E27FC236}">
                <a16:creationId xmlns:a16="http://schemas.microsoft.com/office/drawing/2014/main" id="{00000000-0008-0000-0000-000057000000}"/>
              </a:ext>
            </a:extLst>
          </xdr:cNvPr>
          <xdr:cNvPicPr>
            <a:picLocks noChangeAspect="1"/>
          </xdr:cNvPicPr>
        </xdr:nvPicPr>
        <xdr:blipFill rotWithShape="1">
          <a:blip xmlns:r="http://schemas.openxmlformats.org/officeDocument/2006/relationships" r:embed="rId5"/>
          <a:srcRect l="24861" t="28342" r="31513" b="19536"/>
          <a:stretch/>
        </xdr:blipFill>
        <xdr:spPr>
          <a:xfrm>
            <a:off x="603848" y="172527"/>
            <a:ext cx="5040000" cy="3385533"/>
          </a:xfrm>
          <a:prstGeom prst="rect">
            <a:avLst/>
          </a:prstGeom>
          <a:ln>
            <a:solidFill>
              <a:schemeClr val="tx1"/>
            </a:solidFill>
          </a:ln>
        </xdr:spPr>
      </xdr:pic>
      <xdr:grpSp>
        <xdr:nvGrpSpPr>
          <xdr:cNvPr id="88" name="Group 87">
            <a:extLst>
              <a:ext uri="{FF2B5EF4-FFF2-40B4-BE49-F238E27FC236}">
                <a16:creationId xmlns:a16="http://schemas.microsoft.com/office/drawing/2014/main" id="{00000000-0008-0000-0000-000058000000}"/>
              </a:ext>
            </a:extLst>
          </xdr:cNvPr>
          <xdr:cNvGrpSpPr/>
        </xdr:nvGrpSpPr>
        <xdr:grpSpPr>
          <a:xfrm>
            <a:off x="603848" y="3726612"/>
            <a:ext cx="5040000" cy="3810361"/>
            <a:chOff x="603848" y="3726612"/>
            <a:chExt cx="5040000" cy="3810361"/>
          </a:xfrm>
        </xdr:grpSpPr>
        <xdr:pic>
          <xdr:nvPicPr>
            <xdr:cNvPr id="89" name="Picture 88">
              <a:extLst>
                <a:ext uri="{FF2B5EF4-FFF2-40B4-BE49-F238E27FC236}">
                  <a16:creationId xmlns:a16="http://schemas.microsoft.com/office/drawing/2014/main" id="{00000000-0008-0000-0000-000059000000}"/>
                </a:ext>
              </a:extLst>
            </xdr:cNvPr>
            <xdr:cNvPicPr>
              <a:picLocks noChangeAspect="1"/>
            </xdr:cNvPicPr>
          </xdr:nvPicPr>
          <xdr:blipFill rotWithShape="1">
            <a:blip xmlns:r="http://schemas.openxmlformats.org/officeDocument/2006/relationships" r:embed="rId6"/>
            <a:srcRect l="17413" t="27358" r="38564" b="13444"/>
            <a:stretch/>
          </xdr:blipFill>
          <xdr:spPr>
            <a:xfrm>
              <a:off x="603848" y="3726612"/>
              <a:ext cx="5040000" cy="3810361"/>
            </a:xfrm>
            <a:prstGeom prst="rect">
              <a:avLst/>
            </a:prstGeom>
            <a:ln>
              <a:solidFill>
                <a:schemeClr val="tx1"/>
              </a:solidFill>
            </a:ln>
          </xdr:spPr>
        </xdr:pic>
        <xdr:sp macro="" textlink="">
          <xdr:nvSpPr>
            <xdr:cNvPr id="90" name="Rectangle 89">
              <a:extLst>
                <a:ext uri="{FF2B5EF4-FFF2-40B4-BE49-F238E27FC236}">
                  <a16:creationId xmlns:a16="http://schemas.microsoft.com/office/drawing/2014/main" id="{00000000-0008-0000-0000-00005A000000}"/>
                </a:ext>
              </a:extLst>
            </xdr:cNvPr>
            <xdr:cNvSpPr/>
          </xdr:nvSpPr>
          <xdr:spPr>
            <a:xfrm rot="1171119">
              <a:off x="1880558" y="4502989"/>
              <a:ext cx="1828800" cy="1863306"/>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8</xdr:col>
      <xdr:colOff>685254</xdr:colOff>
      <xdr:row>724</xdr:row>
      <xdr:rowOff>85179</xdr:rowOff>
    </xdr:from>
    <xdr:to>
      <xdr:col>17</xdr:col>
      <xdr:colOff>485579</xdr:colOff>
      <xdr:row>763</xdr:row>
      <xdr:rowOff>111580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7695654" y="162467379"/>
          <a:ext cx="6490685" cy="7745461"/>
          <a:chOff x="247649" y="162677475"/>
          <a:chExt cx="6324134" cy="7817850"/>
        </a:xfrm>
      </xdr:grpSpPr>
      <xdr:grpSp>
        <xdr:nvGrpSpPr>
          <xdr:cNvPr id="5" name="Group 4">
            <a:extLst>
              <a:ext uri="{FF2B5EF4-FFF2-40B4-BE49-F238E27FC236}">
                <a16:creationId xmlns:a16="http://schemas.microsoft.com/office/drawing/2014/main" id="{00000000-0008-0000-0000-000005000000}"/>
              </a:ext>
            </a:extLst>
          </xdr:cNvPr>
          <xdr:cNvGrpSpPr/>
        </xdr:nvGrpSpPr>
        <xdr:grpSpPr>
          <a:xfrm>
            <a:off x="247649" y="162677475"/>
            <a:ext cx="6324134" cy="7817850"/>
            <a:chOff x="247649" y="162306000"/>
            <a:chExt cx="6324134" cy="7817850"/>
          </a:xfrm>
        </xdr:grpSpPr>
        <xdr:pic>
          <xdr:nvPicPr>
            <xdr:cNvPr id="55" name="Picture 54" descr="https://vsjcllp.vsjadon.com/upload/insp-233975-1525.jpg">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4933950" y="16796385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33975-843.jpg">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2390774" y="162306000"/>
              <a:ext cx="2047409"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33975-844.jpg">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57174" y="162306000"/>
              <a:ext cx="2047409"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33975-847.jpg">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228975" y="16796385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5" name="Picture 74" descr="https://vsjcllp.vsjadon.com/upload/insp-233975-849.jpg">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57175" y="167960675"/>
              <a:ext cx="2875999"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6" name="Picture 75" descr="https://vsjcllp.vsjadon.com/upload/insp-233975-871.jpg">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4524374" y="162306000"/>
              <a:ext cx="2047409"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7" name="Picture 76" descr="https://vsjcllp.vsjadon.com/upload/insp-233975-874.jpg">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4514849" y="165144450"/>
              <a:ext cx="2047409"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8" name="Picture 77" descr="https://vsjcllp.vsjadon.com/upload/insp-233975-877.jpg">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47649" y="165125400"/>
              <a:ext cx="2047409"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81" name="Picture 80" descr="https://vsjcllp.vsjadon.com/upload/insp-233975-931.jpg">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2371724" y="165134925"/>
              <a:ext cx="2047409" cy="273367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82" name="Rectangle 81">
            <a:extLst>
              <a:ext uri="{FF2B5EF4-FFF2-40B4-BE49-F238E27FC236}">
                <a16:creationId xmlns:a16="http://schemas.microsoft.com/office/drawing/2014/main" id="{00000000-0008-0000-0000-000052000000}"/>
              </a:ext>
            </a:extLst>
          </xdr:cNvPr>
          <xdr:cNvSpPr/>
        </xdr:nvSpPr>
        <xdr:spPr>
          <a:xfrm>
            <a:off x="1304924" y="162810825"/>
            <a:ext cx="381001" cy="316397"/>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T1</a:t>
            </a:r>
          </a:p>
        </xdr:txBody>
      </xdr:sp>
      <xdr:sp macro="" textlink="">
        <xdr:nvSpPr>
          <xdr:cNvPr id="83" name="Rectangle 82">
            <a:extLst>
              <a:ext uri="{FF2B5EF4-FFF2-40B4-BE49-F238E27FC236}">
                <a16:creationId xmlns:a16="http://schemas.microsoft.com/office/drawing/2014/main" id="{00000000-0008-0000-0000-000053000000}"/>
              </a:ext>
            </a:extLst>
          </xdr:cNvPr>
          <xdr:cNvSpPr/>
        </xdr:nvSpPr>
        <xdr:spPr>
          <a:xfrm>
            <a:off x="5495924" y="163287075"/>
            <a:ext cx="753680" cy="316397"/>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T4</a:t>
            </a:r>
          </a:p>
        </xdr:txBody>
      </xdr:sp>
      <xdr:sp macro="" textlink="">
        <xdr:nvSpPr>
          <xdr:cNvPr id="84" name="Rectangle 83">
            <a:extLst>
              <a:ext uri="{FF2B5EF4-FFF2-40B4-BE49-F238E27FC236}">
                <a16:creationId xmlns:a16="http://schemas.microsoft.com/office/drawing/2014/main" id="{00000000-0008-0000-0000-000054000000}"/>
              </a:ext>
            </a:extLst>
          </xdr:cNvPr>
          <xdr:cNvSpPr/>
        </xdr:nvSpPr>
        <xdr:spPr>
          <a:xfrm>
            <a:off x="3629024" y="162847009"/>
            <a:ext cx="447676" cy="316397"/>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T1</a:t>
            </a:r>
          </a:p>
        </xdr:txBody>
      </xdr:sp>
      <xdr:sp macro="" textlink="">
        <xdr:nvSpPr>
          <xdr:cNvPr id="93" name="Rectangle 92">
            <a:extLst>
              <a:ext uri="{FF2B5EF4-FFF2-40B4-BE49-F238E27FC236}">
                <a16:creationId xmlns:a16="http://schemas.microsoft.com/office/drawing/2014/main" id="{00000000-0008-0000-0000-00005D000000}"/>
              </a:ext>
            </a:extLst>
          </xdr:cNvPr>
          <xdr:cNvSpPr/>
        </xdr:nvSpPr>
        <xdr:spPr>
          <a:xfrm>
            <a:off x="2609850" y="163087050"/>
            <a:ext cx="447676" cy="316397"/>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T3</a:t>
            </a:r>
          </a:p>
        </xdr:txBody>
      </xdr:sp>
      <xdr:sp macro="" textlink="">
        <xdr:nvSpPr>
          <xdr:cNvPr id="94" name="Rectangle 93">
            <a:extLst>
              <a:ext uri="{FF2B5EF4-FFF2-40B4-BE49-F238E27FC236}">
                <a16:creationId xmlns:a16="http://schemas.microsoft.com/office/drawing/2014/main" id="{00000000-0008-0000-0000-00005E000000}"/>
              </a:ext>
            </a:extLst>
          </xdr:cNvPr>
          <xdr:cNvSpPr/>
        </xdr:nvSpPr>
        <xdr:spPr>
          <a:xfrm>
            <a:off x="3076575" y="162982275"/>
            <a:ext cx="447676" cy="316397"/>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T2</a:t>
            </a:r>
          </a:p>
        </xdr:txBody>
      </xdr:sp>
      <xdr:sp macro="" textlink="">
        <xdr:nvSpPr>
          <xdr:cNvPr id="95" name="Rectangle 94">
            <a:extLst>
              <a:ext uri="{FF2B5EF4-FFF2-40B4-BE49-F238E27FC236}">
                <a16:creationId xmlns:a16="http://schemas.microsoft.com/office/drawing/2014/main" id="{00000000-0008-0000-0000-00005F000000}"/>
              </a:ext>
            </a:extLst>
          </xdr:cNvPr>
          <xdr:cNvSpPr/>
        </xdr:nvSpPr>
        <xdr:spPr>
          <a:xfrm>
            <a:off x="628649" y="166049325"/>
            <a:ext cx="447676" cy="316397"/>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T5</a:t>
            </a:r>
          </a:p>
        </xdr:txBody>
      </xdr:sp>
      <xdr:sp macro="" textlink="">
        <xdr:nvSpPr>
          <xdr:cNvPr id="96" name="Rectangle 95">
            <a:extLst>
              <a:ext uri="{FF2B5EF4-FFF2-40B4-BE49-F238E27FC236}">
                <a16:creationId xmlns:a16="http://schemas.microsoft.com/office/drawing/2014/main" id="{00000000-0008-0000-0000-000060000000}"/>
              </a:ext>
            </a:extLst>
          </xdr:cNvPr>
          <xdr:cNvSpPr/>
        </xdr:nvSpPr>
        <xdr:spPr>
          <a:xfrm>
            <a:off x="2619374" y="166144575"/>
            <a:ext cx="447676" cy="316397"/>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T6</a:t>
            </a:r>
          </a:p>
        </xdr:txBody>
      </xdr:sp>
      <xdr:sp macro="" textlink="">
        <xdr:nvSpPr>
          <xdr:cNvPr id="97" name="Rectangle 96">
            <a:extLst>
              <a:ext uri="{FF2B5EF4-FFF2-40B4-BE49-F238E27FC236}">
                <a16:creationId xmlns:a16="http://schemas.microsoft.com/office/drawing/2014/main" id="{00000000-0008-0000-0000-000061000000}"/>
              </a:ext>
            </a:extLst>
          </xdr:cNvPr>
          <xdr:cNvSpPr/>
        </xdr:nvSpPr>
        <xdr:spPr>
          <a:xfrm>
            <a:off x="5029200" y="165801675"/>
            <a:ext cx="447676" cy="316397"/>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T7</a:t>
            </a:r>
          </a:p>
        </xdr:txBody>
      </xdr:sp>
    </xdr:grpSp>
    <xdr:clientData/>
  </xdr:twoCellAnchor>
  <xdr:twoCellAnchor>
    <xdr:from>
      <xdr:col>0</xdr:col>
      <xdr:colOff>280851</xdr:colOff>
      <xdr:row>723</xdr:row>
      <xdr:rowOff>97973</xdr:rowOff>
    </xdr:from>
    <xdr:to>
      <xdr:col>7</xdr:col>
      <xdr:colOff>807720</xdr:colOff>
      <xdr:row>765</xdr:row>
      <xdr:rowOff>45720</xdr:rowOff>
    </xdr:to>
    <xdr:grpSp>
      <xdr:nvGrpSpPr>
        <xdr:cNvPr id="22" name="Group 21">
          <a:extLst>
            <a:ext uri="{FF2B5EF4-FFF2-40B4-BE49-F238E27FC236}">
              <a16:creationId xmlns:a16="http://schemas.microsoft.com/office/drawing/2014/main" id="{EE3D7B9E-A8F2-E9FE-5335-BA231F070C02}"/>
            </a:ext>
          </a:extLst>
        </xdr:cNvPr>
        <xdr:cNvGrpSpPr/>
      </xdr:nvGrpSpPr>
      <xdr:grpSpPr>
        <a:xfrm>
          <a:off x="280851" y="162282053"/>
          <a:ext cx="6272349" cy="8261167"/>
          <a:chOff x="478971" y="162582877"/>
          <a:chExt cx="6038732" cy="8056374"/>
        </a:xfrm>
      </xdr:grpSpPr>
      <xdr:grpSp>
        <xdr:nvGrpSpPr>
          <xdr:cNvPr id="6" name="Group 5">
            <a:extLst>
              <a:ext uri="{FF2B5EF4-FFF2-40B4-BE49-F238E27FC236}">
                <a16:creationId xmlns:a16="http://schemas.microsoft.com/office/drawing/2014/main" id="{8EB2CAF0-060F-F8A1-6073-357C8B1755A6}"/>
              </a:ext>
            </a:extLst>
          </xdr:cNvPr>
          <xdr:cNvGrpSpPr/>
        </xdr:nvGrpSpPr>
        <xdr:grpSpPr>
          <a:xfrm>
            <a:off x="478971" y="162582877"/>
            <a:ext cx="6038732" cy="8056374"/>
            <a:chOff x="1026438" y="253448"/>
            <a:chExt cx="5087482" cy="6928586"/>
          </a:xfrm>
        </xdr:grpSpPr>
        <xdr:pic>
          <xdr:nvPicPr>
            <xdr:cNvPr id="8" name="Picture 7">
              <a:extLst>
                <a:ext uri="{FF2B5EF4-FFF2-40B4-BE49-F238E27FC236}">
                  <a16:creationId xmlns:a16="http://schemas.microsoft.com/office/drawing/2014/main" id="{0062E876-A84E-5073-517A-8EAC9BDF266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561450" y="5401762"/>
              <a:ext cx="1333350" cy="178027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6FFC1F85-A56F-7395-A464-093AEA409326}"/>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513020" y="253448"/>
              <a:ext cx="2080230" cy="27774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0" name="Picture 9">
              <a:extLst>
                <a:ext uri="{FF2B5EF4-FFF2-40B4-BE49-F238E27FC236}">
                  <a16:creationId xmlns:a16="http://schemas.microsoft.com/office/drawing/2014/main" id="{06C87088-9F65-BE6E-7C98-49321CDCFFCD}"/>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093254" y="5401762"/>
              <a:ext cx="1333350" cy="178027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1" name="Picture 10">
              <a:extLst>
                <a:ext uri="{FF2B5EF4-FFF2-40B4-BE49-F238E27FC236}">
                  <a16:creationId xmlns:a16="http://schemas.microsoft.com/office/drawing/2014/main" id="{2CB841B5-F125-2CDF-E29E-40B30E4524A2}"/>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678014" y="253448"/>
              <a:ext cx="2080230" cy="277749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a:extLst>
                <a:ext uri="{FF2B5EF4-FFF2-40B4-BE49-F238E27FC236}">
                  <a16:creationId xmlns:a16="http://schemas.microsoft.com/office/drawing/2014/main" id="{57D44566-C7EB-AE28-00DD-F33E008FDC62}"/>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4496170" y="3136354"/>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a:extLst>
                <a:ext uri="{FF2B5EF4-FFF2-40B4-BE49-F238E27FC236}">
                  <a16:creationId xmlns:a16="http://schemas.microsoft.com/office/drawing/2014/main" id="{A7E2A4C1-1CC8-E9A0-8E0D-3F5D62330368}"/>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026438" y="3136354"/>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a:extLst>
                <a:ext uri="{FF2B5EF4-FFF2-40B4-BE49-F238E27FC236}">
                  <a16:creationId xmlns:a16="http://schemas.microsoft.com/office/drawing/2014/main" id="{3AA8B43D-0360-B479-9E03-ECE36EB9CD03}"/>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761304" y="3136354"/>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15" name="Rectangle 14">
            <a:extLst>
              <a:ext uri="{FF2B5EF4-FFF2-40B4-BE49-F238E27FC236}">
                <a16:creationId xmlns:a16="http://schemas.microsoft.com/office/drawing/2014/main" id="{5186C5F7-9B81-4718-A188-59670C40A4C3}"/>
              </a:ext>
            </a:extLst>
          </xdr:cNvPr>
          <xdr:cNvSpPr/>
        </xdr:nvSpPr>
        <xdr:spPr>
          <a:xfrm>
            <a:off x="2407162" y="162635885"/>
            <a:ext cx="458669" cy="31455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T1</a:t>
            </a:r>
          </a:p>
        </xdr:txBody>
      </xdr:sp>
      <xdr:sp macro="" textlink="">
        <xdr:nvSpPr>
          <xdr:cNvPr id="16" name="Rectangle 15">
            <a:extLst>
              <a:ext uri="{FF2B5EF4-FFF2-40B4-BE49-F238E27FC236}">
                <a16:creationId xmlns:a16="http://schemas.microsoft.com/office/drawing/2014/main" id="{6AF91676-B969-A94C-2891-B8589D84BBA0}"/>
              </a:ext>
            </a:extLst>
          </xdr:cNvPr>
          <xdr:cNvSpPr/>
        </xdr:nvSpPr>
        <xdr:spPr>
          <a:xfrm>
            <a:off x="1857197" y="162735277"/>
            <a:ext cx="458669" cy="31455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T2</a:t>
            </a:r>
          </a:p>
        </xdr:txBody>
      </xdr:sp>
      <xdr:sp macro="" textlink="">
        <xdr:nvSpPr>
          <xdr:cNvPr id="17" name="Rectangle 16">
            <a:extLst>
              <a:ext uri="{FF2B5EF4-FFF2-40B4-BE49-F238E27FC236}">
                <a16:creationId xmlns:a16="http://schemas.microsoft.com/office/drawing/2014/main" id="{05E18D5C-088E-0A3E-2DE6-BD47D3A088F4}"/>
              </a:ext>
            </a:extLst>
          </xdr:cNvPr>
          <xdr:cNvSpPr/>
        </xdr:nvSpPr>
        <xdr:spPr>
          <a:xfrm>
            <a:off x="1373493" y="162927433"/>
            <a:ext cx="458669" cy="31455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T3</a:t>
            </a:r>
          </a:p>
        </xdr:txBody>
      </xdr:sp>
      <xdr:sp macro="" textlink="">
        <xdr:nvSpPr>
          <xdr:cNvPr id="18" name="Rectangle 17">
            <a:extLst>
              <a:ext uri="{FF2B5EF4-FFF2-40B4-BE49-F238E27FC236}">
                <a16:creationId xmlns:a16="http://schemas.microsoft.com/office/drawing/2014/main" id="{29443D41-C2BC-225D-CC1B-9553453D0256}"/>
              </a:ext>
            </a:extLst>
          </xdr:cNvPr>
          <xdr:cNvSpPr/>
        </xdr:nvSpPr>
        <xdr:spPr>
          <a:xfrm>
            <a:off x="4633528" y="163139468"/>
            <a:ext cx="458669" cy="31455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T4</a:t>
            </a:r>
          </a:p>
        </xdr:txBody>
      </xdr:sp>
      <xdr:sp macro="" textlink="">
        <xdr:nvSpPr>
          <xdr:cNvPr id="19" name="Rectangle 18">
            <a:extLst>
              <a:ext uri="{FF2B5EF4-FFF2-40B4-BE49-F238E27FC236}">
                <a16:creationId xmlns:a16="http://schemas.microsoft.com/office/drawing/2014/main" id="{F0C6623A-083B-76E2-B347-BECB4A5FED86}"/>
              </a:ext>
            </a:extLst>
          </xdr:cNvPr>
          <xdr:cNvSpPr/>
        </xdr:nvSpPr>
        <xdr:spPr>
          <a:xfrm>
            <a:off x="1393372" y="166180842"/>
            <a:ext cx="458669" cy="31455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T5</a:t>
            </a:r>
          </a:p>
        </xdr:txBody>
      </xdr:sp>
      <xdr:sp macro="" textlink="">
        <xdr:nvSpPr>
          <xdr:cNvPr id="20" name="Rectangle 19">
            <a:extLst>
              <a:ext uri="{FF2B5EF4-FFF2-40B4-BE49-F238E27FC236}">
                <a16:creationId xmlns:a16="http://schemas.microsoft.com/office/drawing/2014/main" id="{B9EA3220-4053-1C1F-6C8D-FA033FADFD9D}"/>
              </a:ext>
            </a:extLst>
          </xdr:cNvPr>
          <xdr:cNvSpPr/>
        </xdr:nvSpPr>
        <xdr:spPr>
          <a:xfrm>
            <a:off x="3155911" y="166571781"/>
            <a:ext cx="458669" cy="31455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T6</a:t>
            </a:r>
          </a:p>
        </xdr:txBody>
      </xdr:sp>
      <xdr:sp macro="" textlink="">
        <xdr:nvSpPr>
          <xdr:cNvPr id="21" name="Rectangle 20">
            <a:extLst>
              <a:ext uri="{FF2B5EF4-FFF2-40B4-BE49-F238E27FC236}">
                <a16:creationId xmlns:a16="http://schemas.microsoft.com/office/drawing/2014/main" id="{D069300D-FA37-4B9C-682E-B1216EDE3524}"/>
              </a:ext>
            </a:extLst>
          </xdr:cNvPr>
          <xdr:cNvSpPr/>
        </xdr:nvSpPr>
        <xdr:spPr>
          <a:xfrm>
            <a:off x="5885859" y="166054946"/>
            <a:ext cx="458669" cy="314553"/>
          </a:xfrm>
          <a:prstGeom prst="rect">
            <a:avLst/>
          </a:prstGeom>
        </xdr:spPr>
        <xdr:txBody>
          <a:bodyPr wrap="square">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cap="none" spc="0">
                <a:ln w="0"/>
                <a:solidFill>
                  <a:sysClr val="windowText" lastClr="000000"/>
                </a:solidFill>
                <a:effectLst>
                  <a:outerShdw blurRad="38100" dist="25400" dir="5400000" algn="ctr" rotWithShape="0">
                    <a:srgbClr val="6E747A">
                      <a:alpha val="43000"/>
                    </a:srgbClr>
                  </a:outerShdw>
                </a:effectLst>
              </a:rPr>
              <a:t>T7</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352489</xdr:colOff>
      <xdr:row>29</xdr:row>
      <xdr:rowOff>171000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79783" y="2103783"/>
          <a:ext cx="6754945" cy="3600000"/>
        </a:xfrm>
        <a:prstGeom prst="rect">
          <a:avLst/>
        </a:prstGeom>
        <a:ln>
          <a:solidFill>
            <a:schemeClr val="tx1"/>
          </a:solidFill>
        </a:ln>
      </xdr:spPr>
    </xdr:pic>
    <xdr:clientData/>
  </xdr:twoCellAnchor>
  <xdr:twoCellAnchor editAs="oneCell">
    <xdr:from>
      <xdr:col>1</xdr:col>
      <xdr:colOff>61462</xdr:colOff>
      <xdr:row>30</xdr:row>
      <xdr:rowOff>118999</xdr:rowOff>
    </xdr:from>
    <xdr:to>
      <xdr:col>6</xdr:col>
      <xdr:colOff>413951</xdr:colOff>
      <xdr:row>49</xdr:row>
      <xdr:rowOff>99499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641245" y="5842282"/>
          <a:ext cx="6754945" cy="3600000"/>
        </a:xfrm>
        <a:prstGeom prst="rect">
          <a:avLst/>
        </a:prstGeom>
        <a:ln>
          <a:solidFill>
            <a:schemeClr val="tx1"/>
          </a:solidFill>
        </a:ln>
      </xdr:spPr>
    </xdr:pic>
    <xdr:clientData/>
  </xdr:twoCellAnchor>
  <xdr:twoCellAnchor editAs="oneCell">
    <xdr:from>
      <xdr:col>6</xdr:col>
      <xdr:colOff>556995</xdr:colOff>
      <xdr:row>11</xdr:row>
      <xdr:rowOff>14675</xdr:rowOff>
    </xdr:from>
    <xdr:to>
      <xdr:col>16</xdr:col>
      <xdr:colOff>246875</xdr:colOff>
      <xdr:row>29</xdr:row>
      <xdr:rowOff>185675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7539234" y="2118458"/>
          <a:ext cx="6754945" cy="3600000"/>
        </a:xfrm>
        <a:prstGeom prst="rect">
          <a:avLst/>
        </a:prstGeom>
        <a:ln>
          <a:solidFill>
            <a:schemeClr val="tx1"/>
          </a:solidFill>
        </a:ln>
      </xdr:spPr>
    </xdr:pic>
    <xdr:clientData/>
  </xdr:twoCellAnchor>
  <xdr:twoCellAnchor editAs="oneCell">
    <xdr:from>
      <xdr:col>6</xdr:col>
      <xdr:colOff>657868</xdr:colOff>
      <xdr:row>30</xdr:row>
      <xdr:rowOff>183832</xdr:rowOff>
    </xdr:from>
    <xdr:to>
      <xdr:col>16</xdr:col>
      <xdr:colOff>347748</xdr:colOff>
      <xdr:row>49</xdr:row>
      <xdr:rowOff>164332</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7640107" y="5907115"/>
          <a:ext cx="675494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qgfRSxRRwY5QQ8fo9"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11"/>
  <sheetViews>
    <sheetView tabSelected="1" view="pageBreakPreview" topLeftCell="A706" zoomScaleNormal="100" zoomScaleSheetLayoutView="100" zoomScalePageLayoutView="115" workbookViewId="0">
      <selection activeCell="L711" sqref="L711"/>
    </sheetView>
  </sheetViews>
  <sheetFormatPr defaultColWidth="9.109375" defaultRowHeight="15.6" x14ac:dyDescent="0.3"/>
  <cols>
    <col min="1" max="1" width="11.44140625" style="20" customWidth="1"/>
    <col min="2" max="2" width="11.109375" style="20" customWidth="1"/>
    <col min="3" max="3" width="12.6640625" style="20" customWidth="1"/>
    <col min="4" max="4" width="13.5546875" style="20" customWidth="1"/>
    <col min="5" max="7" width="11.6640625" style="20" customWidth="1"/>
    <col min="8" max="8" width="18.44140625" style="20" customWidth="1"/>
    <col min="9" max="9" width="20.44140625" style="8" customWidth="1"/>
    <col min="10" max="10" width="11.109375" style="8" bestFit="1" customWidth="1"/>
    <col min="11" max="11" width="11.33203125" style="8" bestFit="1" customWidth="1"/>
    <col min="12" max="252" width="9.109375" style="8"/>
    <col min="253" max="253" width="8.6640625" style="8" customWidth="1"/>
    <col min="254" max="254" width="9.88671875" style="8" customWidth="1"/>
    <col min="255" max="255" width="14.44140625" style="8" customWidth="1"/>
    <col min="256" max="256" width="7.33203125" style="8" customWidth="1"/>
    <col min="257" max="257" width="5.5546875" style="8" customWidth="1"/>
    <col min="258" max="258" width="9" style="8" customWidth="1"/>
    <col min="259" max="260" width="9.88671875" style="8" customWidth="1"/>
    <col min="261" max="261" width="11.109375" style="8" customWidth="1"/>
    <col min="262" max="262" width="2.88671875" style="8" customWidth="1"/>
    <col min="263" max="263" width="3.5546875" style="8" customWidth="1"/>
    <col min="264" max="508" width="9.109375" style="8"/>
    <col min="509" max="509" width="8.6640625" style="8" customWidth="1"/>
    <col min="510" max="510" width="9.88671875" style="8" customWidth="1"/>
    <col min="511" max="511" width="14.44140625" style="8" customWidth="1"/>
    <col min="512" max="512" width="7.33203125" style="8" customWidth="1"/>
    <col min="513" max="513" width="5.5546875" style="8" customWidth="1"/>
    <col min="514" max="514" width="9" style="8" customWidth="1"/>
    <col min="515" max="516" width="9.88671875" style="8" customWidth="1"/>
    <col min="517" max="517" width="11.109375" style="8" customWidth="1"/>
    <col min="518" max="518" width="2.88671875" style="8" customWidth="1"/>
    <col min="519" max="519" width="3.5546875" style="8" customWidth="1"/>
    <col min="520" max="764" width="9.109375" style="8"/>
    <col min="765" max="765" width="8.6640625" style="8" customWidth="1"/>
    <col min="766" max="766" width="9.88671875" style="8" customWidth="1"/>
    <col min="767" max="767" width="14.44140625" style="8" customWidth="1"/>
    <col min="768" max="768" width="7.33203125" style="8" customWidth="1"/>
    <col min="769" max="769" width="5.5546875" style="8" customWidth="1"/>
    <col min="770" max="770" width="9" style="8" customWidth="1"/>
    <col min="771" max="772" width="9.88671875" style="8" customWidth="1"/>
    <col min="773" max="773" width="11.109375" style="8" customWidth="1"/>
    <col min="774" max="774" width="2.88671875" style="8" customWidth="1"/>
    <col min="775" max="775" width="3.5546875" style="8" customWidth="1"/>
    <col min="776" max="1020" width="9.109375" style="8"/>
    <col min="1021" max="1021" width="8.6640625" style="8" customWidth="1"/>
    <col min="1022" max="1022" width="9.88671875" style="8" customWidth="1"/>
    <col min="1023" max="1023" width="14.44140625" style="8" customWidth="1"/>
    <col min="1024" max="1024" width="7.33203125" style="8" customWidth="1"/>
    <col min="1025" max="1025" width="5.5546875" style="8" customWidth="1"/>
    <col min="1026" max="1026" width="9" style="8" customWidth="1"/>
    <col min="1027" max="1028" width="9.88671875" style="8" customWidth="1"/>
    <col min="1029" max="1029" width="11.109375" style="8" customWidth="1"/>
    <col min="1030" max="1030" width="2.88671875" style="8" customWidth="1"/>
    <col min="1031" max="1031" width="3.5546875" style="8" customWidth="1"/>
    <col min="1032" max="1276" width="9.109375" style="8"/>
    <col min="1277" max="1277" width="8.6640625" style="8" customWidth="1"/>
    <col min="1278" max="1278" width="9.88671875" style="8" customWidth="1"/>
    <col min="1279" max="1279" width="14.44140625" style="8" customWidth="1"/>
    <col min="1280" max="1280" width="7.33203125" style="8" customWidth="1"/>
    <col min="1281" max="1281" width="5.5546875" style="8" customWidth="1"/>
    <col min="1282" max="1282" width="9" style="8" customWidth="1"/>
    <col min="1283" max="1284" width="9.88671875" style="8" customWidth="1"/>
    <col min="1285" max="1285" width="11.109375" style="8" customWidth="1"/>
    <col min="1286" max="1286" width="2.88671875" style="8" customWidth="1"/>
    <col min="1287" max="1287" width="3.5546875" style="8" customWidth="1"/>
    <col min="1288" max="1532" width="9.109375" style="8"/>
    <col min="1533" max="1533" width="8.6640625" style="8" customWidth="1"/>
    <col min="1534" max="1534" width="9.88671875" style="8" customWidth="1"/>
    <col min="1535" max="1535" width="14.44140625" style="8" customWidth="1"/>
    <col min="1536" max="1536" width="7.33203125" style="8" customWidth="1"/>
    <col min="1537" max="1537" width="5.5546875" style="8" customWidth="1"/>
    <col min="1538" max="1538" width="9" style="8" customWidth="1"/>
    <col min="1539" max="1540" width="9.88671875" style="8" customWidth="1"/>
    <col min="1541" max="1541" width="11.109375" style="8" customWidth="1"/>
    <col min="1542" max="1542" width="2.88671875" style="8" customWidth="1"/>
    <col min="1543" max="1543" width="3.5546875" style="8" customWidth="1"/>
    <col min="1544" max="1788" width="9.109375" style="8"/>
    <col min="1789" max="1789" width="8.6640625" style="8" customWidth="1"/>
    <col min="1790" max="1790" width="9.88671875" style="8" customWidth="1"/>
    <col min="1791" max="1791" width="14.44140625" style="8" customWidth="1"/>
    <col min="1792" max="1792" width="7.33203125" style="8" customWidth="1"/>
    <col min="1793" max="1793" width="5.5546875" style="8" customWidth="1"/>
    <col min="1794" max="1794" width="9" style="8" customWidth="1"/>
    <col min="1795" max="1796" width="9.88671875" style="8" customWidth="1"/>
    <col min="1797" max="1797" width="11.109375" style="8" customWidth="1"/>
    <col min="1798" max="1798" width="2.88671875" style="8" customWidth="1"/>
    <col min="1799" max="1799" width="3.5546875" style="8" customWidth="1"/>
    <col min="1800" max="2044" width="9.109375" style="8"/>
    <col min="2045" max="2045" width="8.6640625" style="8" customWidth="1"/>
    <col min="2046" max="2046" width="9.88671875" style="8" customWidth="1"/>
    <col min="2047" max="2047" width="14.44140625" style="8" customWidth="1"/>
    <col min="2048" max="2048" width="7.33203125" style="8" customWidth="1"/>
    <col min="2049" max="2049" width="5.5546875" style="8" customWidth="1"/>
    <col min="2050" max="2050" width="9" style="8" customWidth="1"/>
    <col min="2051" max="2052" width="9.88671875" style="8" customWidth="1"/>
    <col min="2053" max="2053" width="11.109375" style="8" customWidth="1"/>
    <col min="2054" max="2054" width="2.88671875" style="8" customWidth="1"/>
    <col min="2055" max="2055" width="3.5546875" style="8" customWidth="1"/>
    <col min="2056" max="2300" width="9.109375" style="8"/>
    <col min="2301" max="2301" width="8.6640625" style="8" customWidth="1"/>
    <col min="2302" max="2302" width="9.88671875" style="8" customWidth="1"/>
    <col min="2303" max="2303" width="14.44140625" style="8" customWidth="1"/>
    <col min="2304" max="2304" width="7.33203125" style="8" customWidth="1"/>
    <col min="2305" max="2305" width="5.5546875" style="8" customWidth="1"/>
    <col min="2306" max="2306" width="9" style="8" customWidth="1"/>
    <col min="2307" max="2308" width="9.88671875" style="8" customWidth="1"/>
    <col min="2309" max="2309" width="11.109375" style="8" customWidth="1"/>
    <col min="2310" max="2310" width="2.88671875" style="8" customWidth="1"/>
    <col min="2311" max="2311" width="3.5546875" style="8" customWidth="1"/>
    <col min="2312" max="2556" width="9.109375" style="8"/>
    <col min="2557" max="2557" width="8.6640625" style="8" customWidth="1"/>
    <col min="2558" max="2558" width="9.88671875" style="8" customWidth="1"/>
    <col min="2559" max="2559" width="14.44140625" style="8" customWidth="1"/>
    <col min="2560" max="2560" width="7.33203125" style="8" customWidth="1"/>
    <col min="2561" max="2561" width="5.5546875" style="8" customWidth="1"/>
    <col min="2562" max="2562" width="9" style="8" customWidth="1"/>
    <col min="2563" max="2564" width="9.88671875" style="8" customWidth="1"/>
    <col min="2565" max="2565" width="11.109375" style="8" customWidth="1"/>
    <col min="2566" max="2566" width="2.88671875" style="8" customWidth="1"/>
    <col min="2567" max="2567" width="3.5546875" style="8" customWidth="1"/>
    <col min="2568" max="2812" width="9.109375" style="8"/>
    <col min="2813" max="2813" width="8.6640625" style="8" customWidth="1"/>
    <col min="2814" max="2814" width="9.88671875" style="8" customWidth="1"/>
    <col min="2815" max="2815" width="14.44140625" style="8" customWidth="1"/>
    <col min="2816" max="2816" width="7.33203125" style="8" customWidth="1"/>
    <col min="2817" max="2817" width="5.5546875" style="8" customWidth="1"/>
    <col min="2818" max="2818" width="9" style="8" customWidth="1"/>
    <col min="2819" max="2820" width="9.88671875" style="8" customWidth="1"/>
    <col min="2821" max="2821" width="11.109375" style="8" customWidth="1"/>
    <col min="2822" max="2822" width="2.88671875" style="8" customWidth="1"/>
    <col min="2823" max="2823" width="3.5546875" style="8" customWidth="1"/>
    <col min="2824" max="3068" width="9.109375" style="8"/>
    <col min="3069" max="3069" width="8.6640625" style="8" customWidth="1"/>
    <col min="3070" max="3070" width="9.88671875" style="8" customWidth="1"/>
    <col min="3071" max="3071" width="14.44140625" style="8" customWidth="1"/>
    <col min="3072" max="3072" width="7.33203125" style="8" customWidth="1"/>
    <col min="3073" max="3073" width="5.5546875" style="8" customWidth="1"/>
    <col min="3074" max="3074" width="9" style="8" customWidth="1"/>
    <col min="3075" max="3076" width="9.88671875" style="8" customWidth="1"/>
    <col min="3077" max="3077" width="11.109375" style="8" customWidth="1"/>
    <col min="3078" max="3078" width="2.88671875" style="8" customWidth="1"/>
    <col min="3079" max="3079" width="3.5546875" style="8" customWidth="1"/>
    <col min="3080" max="3324" width="9.109375" style="8"/>
    <col min="3325" max="3325" width="8.6640625" style="8" customWidth="1"/>
    <col min="3326" max="3326" width="9.88671875" style="8" customWidth="1"/>
    <col min="3327" max="3327" width="14.44140625" style="8" customWidth="1"/>
    <col min="3328" max="3328" width="7.33203125" style="8" customWidth="1"/>
    <col min="3329" max="3329" width="5.5546875" style="8" customWidth="1"/>
    <col min="3330" max="3330" width="9" style="8" customWidth="1"/>
    <col min="3331" max="3332" width="9.88671875" style="8" customWidth="1"/>
    <col min="3333" max="3333" width="11.109375" style="8" customWidth="1"/>
    <col min="3334" max="3334" width="2.88671875" style="8" customWidth="1"/>
    <col min="3335" max="3335" width="3.5546875" style="8" customWidth="1"/>
    <col min="3336" max="3580" width="9.109375" style="8"/>
    <col min="3581" max="3581" width="8.6640625" style="8" customWidth="1"/>
    <col min="3582" max="3582" width="9.88671875" style="8" customWidth="1"/>
    <col min="3583" max="3583" width="14.44140625" style="8" customWidth="1"/>
    <col min="3584" max="3584" width="7.33203125" style="8" customWidth="1"/>
    <col min="3585" max="3585" width="5.5546875" style="8" customWidth="1"/>
    <col min="3586" max="3586" width="9" style="8" customWidth="1"/>
    <col min="3587" max="3588" width="9.88671875" style="8" customWidth="1"/>
    <col min="3589" max="3589" width="11.109375" style="8" customWidth="1"/>
    <col min="3590" max="3590" width="2.88671875" style="8" customWidth="1"/>
    <col min="3591" max="3591" width="3.5546875" style="8" customWidth="1"/>
    <col min="3592" max="3836" width="9.109375" style="8"/>
    <col min="3837" max="3837" width="8.6640625" style="8" customWidth="1"/>
    <col min="3838" max="3838" width="9.88671875" style="8" customWidth="1"/>
    <col min="3839" max="3839" width="14.44140625" style="8" customWidth="1"/>
    <col min="3840" max="3840" width="7.33203125" style="8" customWidth="1"/>
    <col min="3841" max="3841" width="5.5546875" style="8" customWidth="1"/>
    <col min="3842" max="3842" width="9" style="8" customWidth="1"/>
    <col min="3843" max="3844" width="9.88671875" style="8" customWidth="1"/>
    <col min="3845" max="3845" width="11.109375" style="8" customWidth="1"/>
    <col min="3846" max="3846" width="2.88671875" style="8" customWidth="1"/>
    <col min="3847" max="3847" width="3.5546875" style="8" customWidth="1"/>
    <col min="3848" max="4092" width="9.109375" style="8"/>
    <col min="4093" max="4093" width="8.6640625" style="8" customWidth="1"/>
    <col min="4094" max="4094" width="9.88671875" style="8" customWidth="1"/>
    <col min="4095" max="4095" width="14.44140625" style="8" customWidth="1"/>
    <col min="4096" max="4096" width="7.33203125" style="8" customWidth="1"/>
    <col min="4097" max="4097" width="5.5546875" style="8" customWidth="1"/>
    <col min="4098" max="4098" width="9" style="8" customWidth="1"/>
    <col min="4099" max="4100" width="9.88671875" style="8" customWidth="1"/>
    <col min="4101" max="4101" width="11.109375" style="8" customWidth="1"/>
    <col min="4102" max="4102" width="2.88671875" style="8" customWidth="1"/>
    <col min="4103" max="4103" width="3.5546875" style="8" customWidth="1"/>
    <col min="4104" max="4348" width="9.109375" style="8"/>
    <col min="4349" max="4349" width="8.6640625" style="8" customWidth="1"/>
    <col min="4350" max="4350" width="9.88671875" style="8" customWidth="1"/>
    <col min="4351" max="4351" width="14.44140625" style="8" customWidth="1"/>
    <col min="4352" max="4352" width="7.33203125" style="8" customWidth="1"/>
    <col min="4353" max="4353" width="5.5546875" style="8" customWidth="1"/>
    <col min="4354" max="4354" width="9" style="8" customWidth="1"/>
    <col min="4355" max="4356" width="9.88671875" style="8" customWidth="1"/>
    <col min="4357" max="4357" width="11.109375" style="8" customWidth="1"/>
    <col min="4358" max="4358" width="2.88671875" style="8" customWidth="1"/>
    <col min="4359" max="4359" width="3.5546875" style="8" customWidth="1"/>
    <col min="4360" max="4604" width="9.109375" style="8"/>
    <col min="4605" max="4605" width="8.6640625" style="8" customWidth="1"/>
    <col min="4606" max="4606" width="9.88671875" style="8" customWidth="1"/>
    <col min="4607" max="4607" width="14.44140625" style="8" customWidth="1"/>
    <col min="4608" max="4608" width="7.33203125" style="8" customWidth="1"/>
    <col min="4609" max="4609" width="5.5546875" style="8" customWidth="1"/>
    <col min="4610" max="4610" width="9" style="8" customWidth="1"/>
    <col min="4611" max="4612" width="9.88671875" style="8" customWidth="1"/>
    <col min="4613" max="4613" width="11.109375" style="8" customWidth="1"/>
    <col min="4614" max="4614" width="2.88671875" style="8" customWidth="1"/>
    <col min="4615" max="4615" width="3.5546875" style="8" customWidth="1"/>
    <col min="4616" max="4860" width="9.109375" style="8"/>
    <col min="4861" max="4861" width="8.6640625" style="8" customWidth="1"/>
    <col min="4862" max="4862" width="9.88671875" style="8" customWidth="1"/>
    <col min="4863" max="4863" width="14.44140625" style="8" customWidth="1"/>
    <col min="4864" max="4864" width="7.33203125" style="8" customWidth="1"/>
    <col min="4865" max="4865" width="5.5546875" style="8" customWidth="1"/>
    <col min="4866" max="4866" width="9" style="8" customWidth="1"/>
    <col min="4867" max="4868" width="9.88671875" style="8" customWidth="1"/>
    <col min="4869" max="4869" width="11.109375" style="8" customWidth="1"/>
    <col min="4870" max="4870" width="2.88671875" style="8" customWidth="1"/>
    <col min="4871" max="4871" width="3.5546875" style="8" customWidth="1"/>
    <col min="4872" max="5116" width="9.109375" style="8"/>
    <col min="5117" max="5117" width="8.6640625" style="8" customWidth="1"/>
    <col min="5118" max="5118" width="9.88671875" style="8" customWidth="1"/>
    <col min="5119" max="5119" width="14.44140625" style="8" customWidth="1"/>
    <col min="5120" max="5120" width="7.33203125" style="8" customWidth="1"/>
    <col min="5121" max="5121" width="5.5546875" style="8" customWidth="1"/>
    <col min="5122" max="5122" width="9" style="8" customWidth="1"/>
    <col min="5123" max="5124" width="9.88671875" style="8" customWidth="1"/>
    <col min="5125" max="5125" width="11.109375" style="8" customWidth="1"/>
    <col min="5126" max="5126" width="2.88671875" style="8" customWidth="1"/>
    <col min="5127" max="5127" width="3.5546875" style="8" customWidth="1"/>
    <col min="5128" max="5372" width="9.109375" style="8"/>
    <col min="5373" max="5373" width="8.6640625" style="8" customWidth="1"/>
    <col min="5374" max="5374" width="9.88671875" style="8" customWidth="1"/>
    <col min="5375" max="5375" width="14.44140625" style="8" customWidth="1"/>
    <col min="5376" max="5376" width="7.33203125" style="8" customWidth="1"/>
    <col min="5377" max="5377" width="5.5546875" style="8" customWidth="1"/>
    <col min="5378" max="5378" width="9" style="8" customWidth="1"/>
    <col min="5379" max="5380" width="9.88671875" style="8" customWidth="1"/>
    <col min="5381" max="5381" width="11.109375" style="8" customWidth="1"/>
    <col min="5382" max="5382" width="2.88671875" style="8" customWidth="1"/>
    <col min="5383" max="5383" width="3.5546875" style="8" customWidth="1"/>
    <col min="5384" max="5628" width="9.109375" style="8"/>
    <col min="5629" max="5629" width="8.6640625" style="8" customWidth="1"/>
    <col min="5630" max="5630" width="9.88671875" style="8" customWidth="1"/>
    <col min="5631" max="5631" width="14.44140625" style="8" customWidth="1"/>
    <col min="5632" max="5632" width="7.33203125" style="8" customWidth="1"/>
    <col min="5633" max="5633" width="5.5546875" style="8" customWidth="1"/>
    <col min="5634" max="5634" width="9" style="8" customWidth="1"/>
    <col min="5635" max="5636" width="9.88671875" style="8" customWidth="1"/>
    <col min="5637" max="5637" width="11.109375" style="8" customWidth="1"/>
    <col min="5638" max="5638" width="2.88671875" style="8" customWidth="1"/>
    <col min="5639" max="5639" width="3.5546875" style="8" customWidth="1"/>
    <col min="5640" max="5884" width="9.109375" style="8"/>
    <col min="5885" max="5885" width="8.6640625" style="8" customWidth="1"/>
    <col min="5886" max="5886" width="9.88671875" style="8" customWidth="1"/>
    <col min="5887" max="5887" width="14.44140625" style="8" customWidth="1"/>
    <col min="5888" max="5888" width="7.33203125" style="8" customWidth="1"/>
    <col min="5889" max="5889" width="5.5546875" style="8" customWidth="1"/>
    <col min="5890" max="5890" width="9" style="8" customWidth="1"/>
    <col min="5891" max="5892" width="9.88671875" style="8" customWidth="1"/>
    <col min="5893" max="5893" width="11.109375" style="8" customWidth="1"/>
    <col min="5894" max="5894" width="2.88671875" style="8" customWidth="1"/>
    <col min="5895" max="5895" width="3.5546875" style="8" customWidth="1"/>
    <col min="5896" max="6140" width="9.109375" style="8"/>
    <col min="6141" max="6141" width="8.6640625" style="8" customWidth="1"/>
    <col min="6142" max="6142" width="9.88671875" style="8" customWidth="1"/>
    <col min="6143" max="6143" width="14.44140625" style="8" customWidth="1"/>
    <col min="6144" max="6144" width="7.33203125" style="8" customWidth="1"/>
    <col min="6145" max="6145" width="5.5546875" style="8" customWidth="1"/>
    <col min="6146" max="6146" width="9" style="8" customWidth="1"/>
    <col min="6147" max="6148" width="9.88671875" style="8" customWidth="1"/>
    <col min="6149" max="6149" width="11.109375" style="8" customWidth="1"/>
    <col min="6150" max="6150" width="2.88671875" style="8" customWidth="1"/>
    <col min="6151" max="6151" width="3.5546875" style="8" customWidth="1"/>
    <col min="6152" max="6396" width="9.109375" style="8"/>
    <col min="6397" max="6397" width="8.6640625" style="8" customWidth="1"/>
    <col min="6398" max="6398" width="9.88671875" style="8" customWidth="1"/>
    <col min="6399" max="6399" width="14.44140625" style="8" customWidth="1"/>
    <col min="6400" max="6400" width="7.33203125" style="8" customWidth="1"/>
    <col min="6401" max="6401" width="5.5546875" style="8" customWidth="1"/>
    <col min="6402" max="6402" width="9" style="8" customWidth="1"/>
    <col min="6403" max="6404" width="9.88671875" style="8" customWidth="1"/>
    <col min="6405" max="6405" width="11.109375" style="8" customWidth="1"/>
    <col min="6406" max="6406" width="2.88671875" style="8" customWidth="1"/>
    <col min="6407" max="6407" width="3.5546875" style="8" customWidth="1"/>
    <col min="6408" max="6652" width="9.109375" style="8"/>
    <col min="6653" max="6653" width="8.6640625" style="8" customWidth="1"/>
    <col min="6654" max="6654" width="9.88671875" style="8" customWidth="1"/>
    <col min="6655" max="6655" width="14.44140625" style="8" customWidth="1"/>
    <col min="6656" max="6656" width="7.33203125" style="8" customWidth="1"/>
    <col min="6657" max="6657" width="5.5546875" style="8" customWidth="1"/>
    <col min="6658" max="6658" width="9" style="8" customWidth="1"/>
    <col min="6659" max="6660" width="9.88671875" style="8" customWidth="1"/>
    <col min="6661" max="6661" width="11.109375" style="8" customWidth="1"/>
    <col min="6662" max="6662" width="2.88671875" style="8" customWidth="1"/>
    <col min="6663" max="6663" width="3.5546875" style="8" customWidth="1"/>
    <col min="6664" max="6908" width="9.109375" style="8"/>
    <col min="6909" max="6909" width="8.6640625" style="8" customWidth="1"/>
    <col min="6910" max="6910" width="9.88671875" style="8" customWidth="1"/>
    <col min="6911" max="6911" width="14.44140625" style="8" customWidth="1"/>
    <col min="6912" max="6912" width="7.33203125" style="8" customWidth="1"/>
    <col min="6913" max="6913" width="5.5546875" style="8" customWidth="1"/>
    <col min="6914" max="6914" width="9" style="8" customWidth="1"/>
    <col min="6915" max="6916" width="9.88671875" style="8" customWidth="1"/>
    <col min="6917" max="6917" width="11.109375" style="8" customWidth="1"/>
    <col min="6918" max="6918" width="2.88671875" style="8" customWidth="1"/>
    <col min="6919" max="6919" width="3.5546875" style="8" customWidth="1"/>
    <col min="6920" max="7164" width="9.109375" style="8"/>
    <col min="7165" max="7165" width="8.6640625" style="8" customWidth="1"/>
    <col min="7166" max="7166" width="9.88671875" style="8" customWidth="1"/>
    <col min="7167" max="7167" width="14.44140625" style="8" customWidth="1"/>
    <col min="7168" max="7168" width="7.33203125" style="8" customWidth="1"/>
    <col min="7169" max="7169" width="5.5546875" style="8" customWidth="1"/>
    <col min="7170" max="7170" width="9" style="8" customWidth="1"/>
    <col min="7171" max="7172" width="9.88671875" style="8" customWidth="1"/>
    <col min="7173" max="7173" width="11.109375" style="8" customWidth="1"/>
    <col min="7174" max="7174" width="2.88671875" style="8" customWidth="1"/>
    <col min="7175" max="7175" width="3.5546875" style="8" customWidth="1"/>
    <col min="7176" max="7420" width="9.109375" style="8"/>
    <col min="7421" max="7421" width="8.6640625" style="8" customWidth="1"/>
    <col min="7422" max="7422" width="9.88671875" style="8" customWidth="1"/>
    <col min="7423" max="7423" width="14.44140625" style="8" customWidth="1"/>
    <col min="7424" max="7424" width="7.33203125" style="8" customWidth="1"/>
    <col min="7425" max="7425" width="5.5546875" style="8" customWidth="1"/>
    <col min="7426" max="7426" width="9" style="8" customWidth="1"/>
    <col min="7427" max="7428" width="9.88671875" style="8" customWidth="1"/>
    <col min="7429" max="7429" width="11.109375" style="8" customWidth="1"/>
    <col min="7430" max="7430" width="2.88671875" style="8" customWidth="1"/>
    <col min="7431" max="7431" width="3.5546875" style="8" customWidth="1"/>
    <col min="7432" max="7676" width="9.109375" style="8"/>
    <col min="7677" max="7677" width="8.6640625" style="8" customWidth="1"/>
    <col min="7678" max="7678" width="9.88671875" style="8" customWidth="1"/>
    <col min="7679" max="7679" width="14.44140625" style="8" customWidth="1"/>
    <col min="7680" max="7680" width="7.33203125" style="8" customWidth="1"/>
    <col min="7681" max="7681" width="5.5546875" style="8" customWidth="1"/>
    <col min="7682" max="7682" width="9" style="8" customWidth="1"/>
    <col min="7683" max="7684" width="9.88671875" style="8" customWidth="1"/>
    <col min="7685" max="7685" width="11.109375" style="8" customWidth="1"/>
    <col min="7686" max="7686" width="2.88671875" style="8" customWidth="1"/>
    <col min="7687" max="7687" width="3.5546875" style="8" customWidth="1"/>
    <col min="7688" max="7932" width="9.109375" style="8"/>
    <col min="7933" max="7933" width="8.6640625" style="8" customWidth="1"/>
    <col min="7934" max="7934" width="9.88671875" style="8" customWidth="1"/>
    <col min="7935" max="7935" width="14.44140625" style="8" customWidth="1"/>
    <col min="7936" max="7936" width="7.33203125" style="8" customWidth="1"/>
    <col min="7937" max="7937" width="5.5546875" style="8" customWidth="1"/>
    <col min="7938" max="7938" width="9" style="8" customWidth="1"/>
    <col min="7939" max="7940" width="9.88671875" style="8" customWidth="1"/>
    <col min="7941" max="7941" width="11.109375" style="8" customWidth="1"/>
    <col min="7942" max="7942" width="2.88671875" style="8" customWidth="1"/>
    <col min="7943" max="7943" width="3.5546875" style="8" customWidth="1"/>
    <col min="7944" max="8188" width="9.109375" style="8"/>
    <col min="8189" max="8189" width="8.6640625" style="8" customWidth="1"/>
    <col min="8190" max="8190" width="9.88671875" style="8" customWidth="1"/>
    <col min="8191" max="8191" width="14.44140625" style="8" customWidth="1"/>
    <col min="8192" max="8192" width="7.33203125" style="8" customWidth="1"/>
    <col min="8193" max="8193" width="5.5546875" style="8" customWidth="1"/>
    <col min="8194" max="8194" width="9" style="8" customWidth="1"/>
    <col min="8195" max="8196" width="9.88671875" style="8" customWidth="1"/>
    <col min="8197" max="8197" width="11.109375" style="8" customWidth="1"/>
    <col min="8198" max="8198" width="2.88671875" style="8" customWidth="1"/>
    <col min="8199" max="8199" width="3.5546875" style="8" customWidth="1"/>
    <col min="8200" max="8444" width="9.109375" style="8"/>
    <col min="8445" max="8445" width="8.6640625" style="8" customWidth="1"/>
    <col min="8446" max="8446" width="9.88671875" style="8" customWidth="1"/>
    <col min="8447" max="8447" width="14.44140625" style="8" customWidth="1"/>
    <col min="8448" max="8448" width="7.33203125" style="8" customWidth="1"/>
    <col min="8449" max="8449" width="5.5546875" style="8" customWidth="1"/>
    <col min="8450" max="8450" width="9" style="8" customWidth="1"/>
    <col min="8451" max="8452" width="9.88671875" style="8" customWidth="1"/>
    <col min="8453" max="8453" width="11.109375" style="8" customWidth="1"/>
    <col min="8454" max="8454" width="2.88671875" style="8" customWidth="1"/>
    <col min="8455" max="8455" width="3.5546875" style="8" customWidth="1"/>
    <col min="8456" max="8700" width="9.109375" style="8"/>
    <col min="8701" max="8701" width="8.6640625" style="8" customWidth="1"/>
    <col min="8702" max="8702" width="9.88671875" style="8" customWidth="1"/>
    <col min="8703" max="8703" width="14.44140625" style="8" customWidth="1"/>
    <col min="8704" max="8704" width="7.33203125" style="8" customWidth="1"/>
    <col min="8705" max="8705" width="5.5546875" style="8" customWidth="1"/>
    <col min="8706" max="8706" width="9" style="8" customWidth="1"/>
    <col min="8707" max="8708" width="9.88671875" style="8" customWidth="1"/>
    <col min="8709" max="8709" width="11.109375" style="8" customWidth="1"/>
    <col min="8710" max="8710" width="2.88671875" style="8" customWidth="1"/>
    <col min="8711" max="8711" width="3.5546875" style="8" customWidth="1"/>
    <col min="8712" max="8956" width="9.109375" style="8"/>
    <col min="8957" max="8957" width="8.6640625" style="8" customWidth="1"/>
    <col min="8958" max="8958" width="9.88671875" style="8" customWidth="1"/>
    <col min="8959" max="8959" width="14.44140625" style="8" customWidth="1"/>
    <col min="8960" max="8960" width="7.33203125" style="8" customWidth="1"/>
    <col min="8961" max="8961" width="5.5546875" style="8" customWidth="1"/>
    <col min="8962" max="8962" width="9" style="8" customWidth="1"/>
    <col min="8963" max="8964" width="9.88671875" style="8" customWidth="1"/>
    <col min="8965" max="8965" width="11.109375" style="8" customWidth="1"/>
    <col min="8966" max="8966" width="2.88671875" style="8" customWidth="1"/>
    <col min="8967" max="8967" width="3.5546875" style="8" customWidth="1"/>
    <col min="8968" max="9212" width="9.109375" style="8"/>
    <col min="9213" max="9213" width="8.6640625" style="8" customWidth="1"/>
    <col min="9214" max="9214" width="9.88671875" style="8" customWidth="1"/>
    <col min="9215" max="9215" width="14.44140625" style="8" customWidth="1"/>
    <col min="9216" max="9216" width="7.33203125" style="8" customWidth="1"/>
    <col min="9217" max="9217" width="5.5546875" style="8" customWidth="1"/>
    <col min="9218" max="9218" width="9" style="8" customWidth="1"/>
    <col min="9219" max="9220" width="9.88671875" style="8" customWidth="1"/>
    <col min="9221" max="9221" width="11.109375" style="8" customWidth="1"/>
    <col min="9222" max="9222" width="2.88671875" style="8" customWidth="1"/>
    <col min="9223" max="9223" width="3.5546875" style="8" customWidth="1"/>
    <col min="9224" max="9468" width="9.109375" style="8"/>
    <col min="9469" max="9469" width="8.6640625" style="8" customWidth="1"/>
    <col min="9470" max="9470" width="9.88671875" style="8" customWidth="1"/>
    <col min="9471" max="9471" width="14.44140625" style="8" customWidth="1"/>
    <col min="9472" max="9472" width="7.33203125" style="8" customWidth="1"/>
    <col min="9473" max="9473" width="5.5546875" style="8" customWidth="1"/>
    <col min="9474" max="9474" width="9" style="8" customWidth="1"/>
    <col min="9475" max="9476" width="9.88671875" style="8" customWidth="1"/>
    <col min="9477" max="9477" width="11.109375" style="8" customWidth="1"/>
    <col min="9478" max="9478" width="2.88671875" style="8" customWidth="1"/>
    <col min="9479" max="9479" width="3.5546875" style="8" customWidth="1"/>
    <col min="9480" max="9724" width="9.109375" style="8"/>
    <col min="9725" max="9725" width="8.6640625" style="8" customWidth="1"/>
    <col min="9726" max="9726" width="9.88671875" style="8" customWidth="1"/>
    <col min="9727" max="9727" width="14.44140625" style="8" customWidth="1"/>
    <col min="9728" max="9728" width="7.33203125" style="8" customWidth="1"/>
    <col min="9729" max="9729" width="5.5546875" style="8" customWidth="1"/>
    <col min="9730" max="9730" width="9" style="8" customWidth="1"/>
    <col min="9731" max="9732" width="9.88671875" style="8" customWidth="1"/>
    <col min="9733" max="9733" width="11.109375" style="8" customWidth="1"/>
    <col min="9734" max="9734" width="2.88671875" style="8" customWidth="1"/>
    <col min="9735" max="9735" width="3.5546875" style="8" customWidth="1"/>
    <col min="9736" max="9980" width="9.109375" style="8"/>
    <col min="9981" max="9981" width="8.6640625" style="8" customWidth="1"/>
    <col min="9982" max="9982" width="9.88671875" style="8" customWidth="1"/>
    <col min="9983" max="9983" width="14.44140625" style="8" customWidth="1"/>
    <col min="9984" max="9984" width="7.33203125" style="8" customWidth="1"/>
    <col min="9985" max="9985" width="5.5546875" style="8" customWidth="1"/>
    <col min="9986" max="9986" width="9" style="8" customWidth="1"/>
    <col min="9987" max="9988" width="9.88671875" style="8" customWidth="1"/>
    <col min="9989" max="9989" width="11.109375" style="8" customWidth="1"/>
    <col min="9990" max="9990" width="2.88671875" style="8" customWidth="1"/>
    <col min="9991" max="9991" width="3.5546875" style="8" customWidth="1"/>
    <col min="9992" max="10236" width="9.109375" style="8"/>
    <col min="10237" max="10237" width="8.6640625" style="8" customWidth="1"/>
    <col min="10238" max="10238" width="9.88671875" style="8" customWidth="1"/>
    <col min="10239" max="10239" width="14.44140625" style="8" customWidth="1"/>
    <col min="10240" max="10240" width="7.33203125" style="8" customWidth="1"/>
    <col min="10241" max="10241" width="5.5546875" style="8" customWidth="1"/>
    <col min="10242" max="10242" width="9" style="8" customWidth="1"/>
    <col min="10243" max="10244" width="9.88671875" style="8" customWidth="1"/>
    <col min="10245" max="10245" width="11.109375" style="8" customWidth="1"/>
    <col min="10246" max="10246" width="2.88671875" style="8" customWidth="1"/>
    <col min="10247" max="10247" width="3.5546875" style="8" customWidth="1"/>
    <col min="10248" max="10492" width="9.109375" style="8"/>
    <col min="10493" max="10493" width="8.6640625" style="8" customWidth="1"/>
    <col min="10494" max="10494" width="9.88671875" style="8" customWidth="1"/>
    <col min="10495" max="10495" width="14.44140625" style="8" customWidth="1"/>
    <col min="10496" max="10496" width="7.33203125" style="8" customWidth="1"/>
    <col min="10497" max="10497" width="5.5546875" style="8" customWidth="1"/>
    <col min="10498" max="10498" width="9" style="8" customWidth="1"/>
    <col min="10499" max="10500" width="9.88671875" style="8" customWidth="1"/>
    <col min="10501" max="10501" width="11.109375" style="8" customWidth="1"/>
    <col min="10502" max="10502" width="2.88671875" style="8" customWidth="1"/>
    <col min="10503" max="10503" width="3.5546875" style="8" customWidth="1"/>
    <col min="10504" max="10748" width="9.109375" style="8"/>
    <col min="10749" max="10749" width="8.6640625" style="8" customWidth="1"/>
    <col min="10750" max="10750" width="9.88671875" style="8" customWidth="1"/>
    <col min="10751" max="10751" width="14.44140625" style="8" customWidth="1"/>
    <col min="10752" max="10752" width="7.33203125" style="8" customWidth="1"/>
    <col min="10753" max="10753" width="5.5546875" style="8" customWidth="1"/>
    <col min="10754" max="10754" width="9" style="8" customWidth="1"/>
    <col min="10755" max="10756" width="9.88671875" style="8" customWidth="1"/>
    <col min="10757" max="10757" width="11.109375" style="8" customWidth="1"/>
    <col min="10758" max="10758" width="2.88671875" style="8" customWidth="1"/>
    <col min="10759" max="10759" width="3.5546875" style="8" customWidth="1"/>
    <col min="10760" max="11004" width="9.109375" style="8"/>
    <col min="11005" max="11005" width="8.6640625" style="8" customWidth="1"/>
    <col min="11006" max="11006" width="9.88671875" style="8" customWidth="1"/>
    <col min="11007" max="11007" width="14.44140625" style="8" customWidth="1"/>
    <col min="11008" max="11008" width="7.33203125" style="8" customWidth="1"/>
    <col min="11009" max="11009" width="5.5546875" style="8" customWidth="1"/>
    <col min="11010" max="11010" width="9" style="8" customWidth="1"/>
    <col min="11011" max="11012" width="9.88671875" style="8" customWidth="1"/>
    <col min="11013" max="11013" width="11.109375" style="8" customWidth="1"/>
    <col min="11014" max="11014" width="2.88671875" style="8" customWidth="1"/>
    <col min="11015" max="11015" width="3.5546875" style="8" customWidth="1"/>
    <col min="11016" max="11260" width="9.109375" style="8"/>
    <col min="11261" max="11261" width="8.6640625" style="8" customWidth="1"/>
    <col min="11262" max="11262" width="9.88671875" style="8" customWidth="1"/>
    <col min="11263" max="11263" width="14.44140625" style="8" customWidth="1"/>
    <col min="11264" max="11264" width="7.33203125" style="8" customWidth="1"/>
    <col min="11265" max="11265" width="5.5546875" style="8" customWidth="1"/>
    <col min="11266" max="11266" width="9" style="8" customWidth="1"/>
    <col min="11267" max="11268" width="9.88671875" style="8" customWidth="1"/>
    <col min="11269" max="11269" width="11.109375" style="8" customWidth="1"/>
    <col min="11270" max="11270" width="2.88671875" style="8" customWidth="1"/>
    <col min="11271" max="11271" width="3.5546875" style="8" customWidth="1"/>
    <col min="11272" max="11516" width="9.109375" style="8"/>
    <col min="11517" max="11517" width="8.6640625" style="8" customWidth="1"/>
    <col min="11518" max="11518" width="9.88671875" style="8" customWidth="1"/>
    <col min="11519" max="11519" width="14.44140625" style="8" customWidth="1"/>
    <col min="11520" max="11520" width="7.33203125" style="8" customWidth="1"/>
    <col min="11521" max="11521" width="5.5546875" style="8" customWidth="1"/>
    <col min="11522" max="11522" width="9" style="8" customWidth="1"/>
    <col min="11523" max="11524" width="9.88671875" style="8" customWidth="1"/>
    <col min="11525" max="11525" width="11.109375" style="8" customWidth="1"/>
    <col min="11526" max="11526" width="2.88671875" style="8" customWidth="1"/>
    <col min="11527" max="11527" width="3.5546875" style="8" customWidth="1"/>
    <col min="11528" max="11772" width="9.109375" style="8"/>
    <col min="11773" max="11773" width="8.6640625" style="8" customWidth="1"/>
    <col min="11774" max="11774" width="9.88671875" style="8" customWidth="1"/>
    <col min="11775" max="11775" width="14.44140625" style="8" customWidth="1"/>
    <col min="11776" max="11776" width="7.33203125" style="8" customWidth="1"/>
    <col min="11777" max="11777" width="5.5546875" style="8" customWidth="1"/>
    <col min="11778" max="11778" width="9" style="8" customWidth="1"/>
    <col min="11779" max="11780" width="9.88671875" style="8" customWidth="1"/>
    <col min="11781" max="11781" width="11.109375" style="8" customWidth="1"/>
    <col min="11782" max="11782" width="2.88671875" style="8" customWidth="1"/>
    <col min="11783" max="11783" width="3.5546875" style="8" customWidth="1"/>
    <col min="11784" max="12028" width="9.109375" style="8"/>
    <col min="12029" max="12029" width="8.6640625" style="8" customWidth="1"/>
    <col min="12030" max="12030" width="9.88671875" style="8" customWidth="1"/>
    <col min="12031" max="12031" width="14.44140625" style="8" customWidth="1"/>
    <col min="12032" max="12032" width="7.33203125" style="8" customWidth="1"/>
    <col min="12033" max="12033" width="5.5546875" style="8" customWidth="1"/>
    <col min="12034" max="12034" width="9" style="8" customWidth="1"/>
    <col min="12035" max="12036" width="9.88671875" style="8" customWidth="1"/>
    <col min="12037" max="12037" width="11.109375" style="8" customWidth="1"/>
    <col min="12038" max="12038" width="2.88671875" style="8" customWidth="1"/>
    <col min="12039" max="12039" width="3.5546875" style="8" customWidth="1"/>
    <col min="12040" max="12284" width="9.109375" style="8"/>
    <col min="12285" max="12285" width="8.6640625" style="8" customWidth="1"/>
    <col min="12286" max="12286" width="9.88671875" style="8" customWidth="1"/>
    <col min="12287" max="12287" width="14.44140625" style="8" customWidth="1"/>
    <col min="12288" max="12288" width="7.33203125" style="8" customWidth="1"/>
    <col min="12289" max="12289" width="5.5546875" style="8" customWidth="1"/>
    <col min="12290" max="12290" width="9" style="8" customWidth="1"/>
    <col min="12291" max="12292" width="9.88671875" style="8" customWidth="1"/>
    <col min="12293" max="12293" width="11.109375" style="8" customWidth="1"/>
    <col min="12294" max="12294" width="2.88671875" style="8" customWidth="1"/>
    <col min="12295" max="12295" width="3.5546875" style="8" customWidth="1"/>
    <col min="12296" max="12540" width="9.109375" style="8"/>
    <col min="12541" max="12541" width="8.6640625" style="8" customWidth="1"/>
    <col min="12542" max="12542" width="9.88671875" style="8" customWidth="1"/>
    <col min="12543" max="12543" width="14.44140625" style="8" customWidth="1"/>
    <col min="12544" max="12544" width="7.33203125" style="8" customWidth="1"/>
    <col min="12545" max="12545" width="5.5546875" style="8" customWidth="1"/>
    <col min="12546" max="12546" width="9" style="8" customWidth="1"/>
    <col min="12547" max="12548" width="9.88671875" style="8" customWidth="1"/>
    <col min="12549" max="12549" width="11.109375" style="8" customWidth="1"/>
    <col min="12550" max="12550" width="2.88671875" style="8" customWidth="1"/>
    <col min="12551" max="12551" width="3.5546875" style="8" customWidth="1"/>
    <col min="12552" max="12796" width="9.109375" style="8"/>
    <col min="12797" max="12797" width="8.6640625" style="8" customWidth="1"/>
    <col min="12798" max="12798" width="9.88671875" style="8" customWidth="1"/>
    <col min="12799" max="12799" width="14.44140625" style="8" customWidth="1"/>
    <col min="12800" max="12800" width="7.33203125" style="8" customWidth="1"/>
    <col min="12801" max="12801" width="5.5546875" style="8" customWidth="1"/>
    <col min="12802" max="12802" width="9" style="8" customWidth="1"/>
    <col min="12803" max="12804" width="9.88671875" style="8" customWidth="1"/>
    <col min="12805" max="12805" width="11.109375" style="8" customWidth="1"/>
    <col min="12806" max="12806" width="2.88671875" style="8" customWidth="1"/>
    <col min="12807" max="12807" width="3.5546875" style="8" customWidth="1"/>
    <col min="12808" max="13052" width="9.109375" style="8"/>
    <col min="13053" max="13053" width="8.6640625" style="8" customWidth="1"/>
    <col min="13054" max="13054" width="9.88671875" style="8" customWidth="1"/>
    <col min="13055" max="13055" width="14.44140625" style="8" customWidth="1"/>
    <col min="13056" max="13056" width="7.33203125" style="8" customWidth="1"/>
    <col min="13057" max="13057" width="5.5546875" style="8" customWidth="1"/>
    <col min="13058" max="13058" width="9" style="8" customWidth="1"/>
    <col min="13059" max="13060" width="9.88671875" style="8" customWidth="1"/>
    <col min="13061" max="13061" width="11.109375" style="8" customWidth="1"/>
    <col min="13062" max="13062" width="2.88671875" style="8" customWidth="1"/>
    <col min="13063" max="13063" width="3.5546875" style="8" customWidth="1"/>
    <col min="13064" max="13308" width="9.109375" style="8"/>
    <col min="13309" max="13309" width="8.6640625" style="8" customWidth="1"/>
    <col min="13310" max="13310" width="9.88671875" style="8" customWidth="1"/>
    <col min="13311" max="13311" width="14.44140625" style="8" customWidth="1"/>
    <col min="13312" max="13312" width="7.33203125" style="8" customWidth="1"/>
    <col min="13313" max="13313" width="5.5546875" style="8" customWidth="1"/>
    <col min="13314" max="13314" width="9" style="8" customWidth="1"/>
    <col min="13315" max="13316" width="9.88671875" style="8" customWidth="1"/>
    <col min="13317" max="13317" width="11.109375" style="8" customWidth="1"/>
    <col min="13318" max="13318" width="2.88671875" style="8" customWidth="1"/>
    <col min="13319" max="13319" width="3.5546875" style="8" customWidth="1"/>
    <col min="13320" max="13564" width="9.109375" style="8"/>
    <col min="13565" max="13565" width="8.6640625" style="8" customWidth="1"/>
    <col min="13566" max="13566" width="9.88671875" style="8" customWidth="1"/>
    <col min="13567" max="13567" width="14.44140625" style="8" customWidth="1"/>
    <col min="13568" max="13568" width="7.33203125" style="8" customWidth="1"/>
    <col min="13569" max="13569" width="5.5546875" style="8" customWidth="1"/>
    <col min="13570" max="13570" width="9" style="8" customWidth="1"/>
    <col min="13571" max="13572" width="9.88671875" style="8" customWidth="1"/>
    <col min="13573" max="13573" width="11.109375" style="8" customWidth="1"/>
    <col min="13574" max="13574" width="2.88671875" style="8" customWidth="1"/>
    <col min="13575" max="13575" width="3.5546875" style="8" customWidth="1"/>
    <col min="13576" max="13820" width="9.109375" style="8"/>
    <col min="13821" max="13821" width="8.6640625" style="8" customWidth="1"/>
    <col min="13822" max="13822" width="9.88671875" style="8" customWidth="1"/>
    <col min="13823" max="13823" width="14.44140625" style="8" customWidth="1"/>
    <col min="13824" max="13824" width="7.33203125" style="8" customWidth="1"/>
    <col min="13825" max="13825" width="5.5546875" style="8" customWidth="1"/>
    <col min="13826" max="13826" width="9" style="8" customWidth="1"/>
    <col min="13827" max="13828" width="9.88671875" style="8" customWidth="1"/>
    <col min="13829" max="13829" width="11.109375" style="8" customWidth="1"/>
    <col min="13830" max="13830" width="2.88671875" style="8" customWidth="1"/>
    <col min="13831" max="13831" width="3.5546875" style="8" customWidth="1"/>
    <col min="13832" max="14076" width="9.109375" style="8"/>
    <col min="14077" max="14077" width="8.6640625" style="8" customWidth="1"/>
    <col min="14078" max="14078" width="9.88671875" style="8" customWidth="1"/>
    <col min="14079" max="14079" width="14.44140625" style="8" customWidth="1"/>
    <col min="14080" max="14080" width="7.33203125" style="8" customWidth="1"/>
    <col min="14081" max="14081" width="5.5546875" style="8" customWidth="1"/>
    <col min="14082" max="14082" width="9" style="8" customWidth="1"/>
    <col min="14083" max="14084" width="9.88671875" style="8" customWidth="1"/>
    <col min="14085" max="14085" width="11.109375" style="8" customWidth="1"/>
    <col min="14086" max="14086" width="2.88671875" style="8" customWidth="1"/>
    <col min="14087" max="14087" width="3.5546875" style="8" customWidth="1"/>
    <col min="14088" max="14332" width="9.109375" style="8"/>
    <col min="14333" max="14333" width="8.6640625" style="8" customWidth="1"/>
    <col min="14334" max="14334" width="9.88671875" style="8" customWidth="1"/>
    <col min="14335" max="14335" width="14.44140625" style="8" customWidth="1"/>
    <col min="14336" max="14336" width="7.33203125" style="8" customWidth="1"/>
    <col min="14337" max="14337" width="5.5546875" style="8" customWidth="1"/>
    <col min="14338" max="14338" width="9" style="8" customWidth="1"/>
    <col min="14339" max="14340" width="9.88671875" style="8" customWidth="1"/>
    <col min="14341" max="14341" width="11.109375" style="8" customWidth="1"/>
    <col min="14342" max="14342" width="2.88671875" style="8" customWidth="1"/>
    <col min="14343" max="14343" width="3.5546875" style="8" customWidth="1"/>
    <col min="14344" max="14588" width="9.109375" style="8"/>
    <col min="14589" max="14589" width="8.6640625" style="8" customWidth="1"/>
    <col min="14590" max="14590" width="9.88671875" style="8" customWidth="1"/>
    <col min="14591" max="14591" width="14.44140625" style="8" customWidth="1"/>
    <col min="14592" max="14592" width="7.33203125" style="8" customWidth="1"/>
    <col min="14593" max="14593" width="5.5546875" style="8" customWidth="1"/>
    <col min="14594" max="14594" width="9" style="8" customWidth="1"/>
    <col min="14595" max="14596" width="9.88671875" style="8" customWidth="1"/>
    <col min="14597" max="14597" width="11.109375" style="8" customWidth="1"/>
    <col min="14598" max="14598" width="2.88671875" style="8" customWidth="1"/>
    <col min="14599" max="14599" width="3.5546875" style="8" customWidth="1"/>
    <col min="14600" max="14844" width="9.109375" style="8"/>
    <col min="14845" max="14845" width="8.6640625" style="8" customWidth="1"/>
    <col min="14846" max="14846" width="9.88671875" style="8" customWidth="1"/>
    <col min="14847" max="14847" width="14.44140625" style="8" customWidth="1"/>
    <col min="14848" max="14848" width="7.33203125" style="8" customWidth="1"/>
    <col min="14849" max="14849" width="5.5546875" style="8" customWidth="1"/>
    <col min="14850" max="14850" width="9" style="8" customWidth="1"/>
    <col min="14851" max="14852" width="9.88671875" style="8" customWidth="1"/>
    <col min="14853" max="14853" width="11.109375" style="8" customWidth="1"/>
    <col min="14854" max="14854" width="2.88671875" style="8" customWidth="1"/>
    <col min="14855" max="14855" width="3.5546875" style="8" customWidth="1"/>
    <col min="14856" max="15100" width="9.109375" style="8"/>
    <col min="15101" max="15101" width="8.6640625" style="8" customWidth="1"/>
    <col min="15102" max="15102" width="9.88671875" style="8" customWidth="1"/>
    <col min="15103" max="15103" width="14.44140625" style="8" customWidth="1"/>
    <col min="15104" max="15104" width="7.33203125" style="8" customWidth="1"/>
    <col min="15105" max="15105" width="5.5546875" style="8" customWidth="1"/>
    <col min="15106" max="15106" width="9" style="8" customWidth="1"/>
    <col min="15107" max="15108" width="9.88671875" style="8" customWidth="1"/>
    <col min="15109" max="15109" width="11.109375" style="8" customWidth="1"/>
    <col min="15110" max="15110" width="2.88671875" style="8" customWidth="1"/>
    <col min="15111" max="15111" width="3.5546875" style="8" customWidth="1"/>
    <col min="15112" max="15356" width="9.109375" style="8"/>
    <col min="15357" max="15357" width="8.6640625" style="8" customWidth="1"/>
    <col min="15358" max="15358" width="9.88671875" style="8" customWidth="1"/>
    <col min="15359" max="15359" width="14.44140625" style="8" customWidth="1"/>
    <col min="15360" max="15360" width="7.33203125" style="8" customWidth="1"/>
    <col min="15361" max="15361" width="5.5546875" style="8" customWidth="1"/>
    <col min="15362" max="15362" width="9" style="8" customWidth="1"/>
    <col min="15363" max="15364" width="9.88671875" style="8" customWidth="1"/>
    <col min="15365" max="15365" width="11.109375" style="8" customWidth="1"/>
    <col min="15366" max="15366" width="2.88671875" style="8" customWidth="1"/>
    <col min="15367" max="15367" width="3.5546875" style="8" customWidth="1"/>
    <col min="15368" max="15612" width="9.109375" style="8"/>
    <col min="15613" max="15613" width="8.6640625" style="8" customWidth="1"/>
    <col min="15614" max="15614" width="9.88671875" style="8" customWidth="1"/>
    <col min="15615" max="15615" width="14.44140625" style="8" customWidth="1"/>
    <col min="15616" max="15616" width="7.33203125" style="8" customWidth="1"/>
    <col min="15617" max="15617" width="5.5546875" style="8" customWidth="1"/>
    <col min="15618" max="15618" width="9" style="8" customWidth="1"/>
    <col min="15619" max="15620" width="9.88671875" style="8" customWidth="1"/>
    <col min="15621" max="15621" width="11.109375" style="8" customWidth="1"/>
    <col min="15622" max="15622" width="2.88671875" style="8" customWidth="1"/>
    <col min="15623" max="15623" width="3.5546875" style="8" customWidth="1"/>
    <col min="15624" max="15868" width="9.109375" style="8"/>
    <col min="15869" max="15869" width="8.6640625" style="8" customWidth="1"/>
    <col min="15870" max="15870" width="9.88671875" style="8" customWidth="1"/>
    <col min="15871" max="15871" width="14.44140625" style="8" customWidth="1"/>
    <col min="15872" max="15872" width="7.33203125" style="8" customWidth="1"/>
    <col min="15873" max="15873" width="5.5546875" style="8" customWidth="1"/>
    <col min="15874" max="15874" width="9" style="8" customWidth="1"/>
    <col min="15875" max="15876" width="9.88671875" style="8" customWidth="1"/>
    <col min="15877" max="15877" width="11.109375" style="8" customWidth="1"/>
    <col min="15878" max="15878" width="2.88671875" style="8" customWidth="1"/>
    <col min="15879" max="15879" width="3.5546875" style="8" customWidth="1"/>
    <col min="15880" max="16124" width="9.109375" style="8"/>
    <col min="16125" max="16125" width="8.6640625" style="8" customWidth="1"/>
    <col min="16126" max="16126" width="9.88671875" style="8" customWidth="1"/>
    <col min="16127" max="16127" width="14.44140625" style="8" customWidth="1"/>
    <col min="16128" max="16128" width="7.33203125" style="8" customWidth="1"/>
    <col min="16129" max="16129" width="5.5546875" style="8" customWidth="1"/>
    <col min="16130" max="16130" width="9" style="8" customWidth="1"/>
    <col min="16131" max="16132" width="9.88671875" style="8" customWidth="1"/>
    <col min="16133" max="16133" width="11.109375" style="8" customWidth="1"/>
    <col min="16134" max="16134" width="2.88671875" style="8" customWidth="1"/>
    <col min="16135" max="16135" width="3.5546875" style="8" customWidth="1"/>
    <col min="16136" max="16384" width="9.109375" style="8"/>
  </cols>
  <sheetData>
    <row r="1" spans="1:8" ht="46.5" customHeight="1" x14ac:dyDescent="0.3">
      <c r="A1" s="149" t="s">
        <v>312</v>
      </c>
      <c r="B1" s="149"/>
      <c r="C1" s="149"/>
      <c r="D1" s="149"/>
      <c r="E1" s="149"/>
      <c r="F1" s="149"/>
      <c r="G1" s="149"/>
      <c r="H1" s="149"/>
    </row>
    <row r="2" spans="1:8" ht="16.5" customHeight="1" x14ac:dyDescent="0.3">
      <c r="A2" s="141" t="s">
        <v>0</v>
      </c>
      <c r="B2" s="141"/>
      <c r="C2" s="141"/>
      <c r="D2" s="141"/>
      <c r="E2" s="141"/>
      <c r="F2" s="141"/>
      <c r="G2" s="141"/>
      <c r="H2" s="141"/>
    </row>
    <row r="3" spans="1:8" x14ac:dyDescent="0.3">
      <c r="A3" s="140" t="s">
        <v>1</v>
      </c>
      <c r="B3" s="140"/>
      <c r="C3" s="140"/>
      <c r="D3" s="140"/>
      <c r="E3" s="148" t="str">
        <f ca="1">TEXT(TODAY(),"DD/MM/YYYY")</f>
        <v>15/08/2025</v>
      </c>
      <c r="F3" s="148"/>
      <c r="G3" s="148"/>
      <c r="H3" s="148"/>
    </row>
    <row r="4" spans="1:8" ht="15" customHeight="1" x14ac:dyDescent="0.3">
      <c r="A4" s="140" t="s">
        <v>2</v>
      </c>
      <c r="B4" s="140"/>
      <c r="C4" s="140"/>
      <c r="D4" s="140"/>
      <c r="E4" s="151" t="s">
        <v>150</v>
      </c>
      <c r="F4" s="151"/>
      <c r="G4" s="151"/>
      <c r="H4" s="151"/>
    </row>
    <row r="5" spans="1:8" x14ac:dyDescent="0.3">
      <c r="A5" s="140" t="s">
        <v>3</v>
      </c>
      <c r="B5" s="140"/>
      <c r="C5" s="140"/>
      <c r="D5" s="140"/>
      <c r="E5" s="148">
        <v>45882</v>
      </c>
      <c r="F5" s="148"/>
      <c r="G5" s="148"/>
      <c r="H5" s="148"/>
    </row>
    <row r="6" spans="1:8" ht="16.5" customHeight="1" x14ac:dyDescent="0.3">
      <c r="A6" s="140" t="s">
        <v>4</v>
      </c>
      <c r="B6" s="140"/>
      <c r="C6" s="140"/>
      <c r="D6" s="140"/>
      <c r="E6" s="106" t="s">
        <v>270</v>
      </c>
      <c r="F6" s="106"/>
      <c r="G6" s="106"/>
      <c r="H6" s="106"/>
    </row>
    <row r="7" spans="1:8" ht="15" customHeight="1" x14ac:dyDescent="0.3">
      <c r="A7" s="140" t="s">
        <v>5</v>
      </c>
      <c r="B7" s="140"/>
      <c r="C7" s="140"/>
      <c r="D7" s="140"/>
      <c r="E7" s="106" t="str">
        <f>E6</f>
        <v>M/s.Caroa Properties LLP</v>
      </c>
      <c r="F7" s="106"/>
      <c r="G7" s="106"/>
      <c r="H7" s="106"/>
    </row>
    <row r="8" spans="1:8" x14ac:dyDescent="0.3">
      <c r="A8" s="140" t="s">
        <v>6</v>
      </c>
      <c r="B8" s="140"/>
      <c r="C8" s="140"/>
      <c r="D8" s="140"/>
      <c r="E8" s="150" t="s">
        <v>210</v>
      </c>
      <c r="F8" s="143"/>
      <c r="G8" s="143"/>
      <c r="H8" s="143"/>
    </row>
    <row r="9" spans="1:8" x14ac:dyDescent="0.3">
      <c r="A9" s="140" t="s">
        <v>311</v>
      </c>
      <c r="B9" s="140"/>
      <c r="C9" s="140"/>
      <c r="D9" s="140"/>
      <c r="E9" s="140" t="s">
        <v>151</v>
      </c>
      <c r="F9" s="140"/>
      <c r="G9" s="140"/>
      <c r="H9" s="140"/>
    </row>
    <row r="10" spans="1:8" x14ac:dyDescent="0.3">
      <c r="A10" s="140" t="s">
        <v>315</v>
      </c>
      <c r="B10" s="140"/>
      <c r="C10" s="140"/>
      <c r="D10" s="140"/>
      <c r="E10" s="140">
        <v>9819558028</v>
      </c>
      <c r="F10" s="140"/>
      <c r="G10" s="140"/>
      <c r="H10" s="140"/>
    </row>
    <row r="11" spans="1:8" x14ac:dyDescent="0.3">
      <c r="A11" s="110" t="s">
        <v>7</v>
      </c>
      <c r="B11" s="110"/>
      <c r="C11" s="110"/>
      <c r="D11" s="110"/>
      <c r="E11" s="110" t="s">
        <v>342</v>
      </c>
      <c r="F11" s="110"/>
      <c r="G11" s="110"/>
      <c r="H11" s="110"/>
    </row>
    <row r="12" spans="1:8" x14ac:dyDescent="0.3">
      <c r="A12" s="140" t="s">
        <v>8</v>
      </c>
      <c r="B12" s="140"/>
      <c r="C12" s="140"/>
      <c r="D12" s="140"/>
      <c r="E12" s="109" t="s">
        <v>209</v>
      </c>
      <c r="F12" s="109"/>
      <c r="G12" s="109"/>
      <c r="H12" s="109"/>
    </row>
    <row r="13" spans="1:8" ht="82.5" customHeight="1" x14ac:dyDescent="0.3">
      <c r="A13" s="140" t="s">
        <v>9</v>
      </c>
      <c r="B13" s="140"/>
      <c r="C13" s="140"/>
      <c r="D13" s="140"/>
      <c r="E13" s="109" t="s">
        <v>323</v>
      </c>
      <c r="F13" s="110"/>
      <c r="G13" s="110"/>
      <c r="H13" s="110"/>
    </row>
    <row r="14" spans="1:8" ht="35.25" customHeight="1" x14ac:dyDescent="0.3">
      <c r="A14" s="106" t="s">
        <v>10</v>
      </c>
      <c r="B14" s="106"/>
      <c r="C14" s="106" t="s">
        <v>237</v>
      </c>
      <c r="D14" s="106"/>
      <c r="E14" s="106"/>
      <c r="F14" s="106"/>
      <c r="G14" s="106"/>
      <c r="H14" s="106"/>
    </row>
    <row r="15" spans="1:8" ht="209.25" customHeight="1" x14ac:dyDescent="0.3">
      <c r="A15" s="109" t="s">
        <v>152</v>
      </c>
      <c r="B15" s="109"/>
      <c r="C15" s="109" t="s">
        <v>212</v>
      </c>
      <c r="D15" s="109"/>
      <c r="E15" s="109"/>
      <c r="F15" s="109"/>
      <c r="G15" s="109"/>
      <c r="H15" s="109"/>
    </row>
    <row r="16" spans="1:8" ht="15.75" customHeight="1" x14ac:dyDescent="0.3">
      <c r="A16" s="106" t="s">
        <v>11</v>
      </c>
      <c r="B16" s="106"/>
      <c r="C16" s="110" t="s">
        <v>153</v>
      </c>
      <c r="D16" s="110"/>
      <c r="E16" s="106" t="s">
        <v>154</v>
      </c>
      <c r="F16" s="106"/>
      <c r="G16" s="109" t="s">
        <v>155</v>
      </c>
      <c r="H16" s="109"/>
    </row>
    <row r="17" spans="1:8" x14ac:dyDescent="0.3">
      <c r="A17" s="140" t="s">
        <v>13</v>
      </c>
      <c r="B17" s="140"/>
      <c r="C17" s="109" t="s">
        <v>157</v>
      </c>
      <c r="D17" s="109"/>
      <c r="E17" s="106" t="s">
        <v>12</v>
      </c>
      <c r="F17" s="106"/>
      <c r="G17" s="147" t="s">
        <v>156</v>
      </c>
      <c r="H17" s="147"/>
    </row>
    <row r="18" spans="1:8" x14ac:dyDescent="0.3">
      <c r="A18" s="140" t="s">
        <v>105</v>
      </c>
      <c r="B18" s="140"/>
      <c r="C18" s="109" t="s">
        <v>158</v>
      </c>
      <c r="D18" s="109"/>
      <c r="E18" s="106" t="s">
        <v>14</v>
      </c>
      <c r="F18" s="106"/>
      <c r="G18" s="109">
        <v>410221</v>
      </c>
      <c r="H18" s="109"/>
    </row>
    <row r="19" spans="1:8" ht="32.25" customHeight="1" x14ac:dyDescent="0.3">
      <c r="A19" s="140" t="s">
        <v>15</v>
      </c>
      <c r="B19" s="140"/>
      <c r="C19" s="146" t="s">
        <v>159</v>
      </c>
      <c r="D19" s="146"/>
      <c r="E19" s="106" t="s">
        <v>16</v>
      </c>
      <c r="F19" s="106"/>
      <c r="G19" s="109" t="s">
        <v>341</v>
      </c>
      <c r="H19" s="109"/>
    </row>
    <row r="20" spans="1:8" ht="15" customHeight="1" x14ac:dyDescent="0.3">
      <c r="A20" s="106" t="s">
        <v>110</v>
      </c>
      <c r="B20" s="106"/>
      <c r="C20" s="106"/>
      <c r="D20" s="106"/>
      <c r="E20" s="110" t="s">
        <v>17</v>
      </c>
      <c r="F20" s="110"/>
      <c r="G20" s="110"/>
      <c r="H20" s="110"/>
    </row>
    <row r="21" spans="1:8" ht="18.75" customHeight="1" x14ac:dyDescent="0.3">
      <c r="A21" s="106"/>
      <c r="B21" s="106"/>
      <c r="C21" s="106"/>
      <c r="D21" s="106"/>
      <c r="E21" s="110"/>
      <c r="F21" s="110"/>
      <c r="G21" s="110"/>
      <c r="H21" s="110"/>
    </row>
    <row r="22" spans="1:8" ht="15" customHeight="1" x14ac:dyDescent="0.3">
      <c r="A22" s="106" t="s">
        <v>18</v>
      </c>
      <c r="B22" s="106"/>
      <c r="C22" s="106"/>
      <c r="D22" s="106"/>
      <c r="E22" s="109" t="s">
        <v>19</v>
      </c>
      <c r="F22" s="109"/>
      <c r="G22" s="109"/>
      <c r="H22" s="109"/>
    </row>
    <row r="23" spans="1:8" ht="15" customHeight="1" x14ac:dyDescent="0.3">
      <c r="A23" s="140" t="s">
        <v>20</v>
      </c>
      <c r="B23" s="140"/>
      <c r="C23" s="140"/>
      <c r="D23" s="140"/>
      <c r="E23" s="109" t="s">
        <v>161</v>
      </c>
      <c r="F23" s="109"/>
      <c r="G23" s="109"/>
      <c r="H23" s="109"/>
    </row>
    <row r="24" spans="1:8" x14ac:dyDescent="0.3">
      <c r="A24" s="140" t="s">
        <v>21</v>
      </c>
      <c r="B24" s="140"/>
      <c r="C24" s="140"/>
      <c r="D24" s="140"/>
      <c r="E24" s="109" t="s">
        <v>22</v>
      </c>
      <c r="F24" s="109"/>
      <c r="G24" s="109"/>
      <c r="H24" s="109"/>
    </row>
    <row r="25" spans="1:8" x14ac:dyDescent="0.3">
      <c r="A25" s="140" t="s">
        <v>23</v>
      </c>
      <c r="B25" s="140"/>
      <c r="C25" s="140"/>
      <c r="D25" s="140"/>
      <c r="E25" s="109" t="s">
        <v>160</v>
      </c>
      <c r="F25" s="109"/>
      <c r="G25" s="109"/>
      <c r="H25" s="109"/>
    </row>
    <row r="26" spans="1:8" x14ac:dyDescent="0.3">
      <c r="A26" s="140" t="s">
        <v>24</v>
      </c>
      <c r="B26" s="140"/>
      <c r="C26" s="140"/>
      <c r="D26" s="140"/>
      <c r="E26" s="109" t="s">
        <v>25</v>
      </c>
      <c r="F26" s="109"/>
      <c r="G26" s="109"/>
      <c r="H26" s="109"/>
    </row>
    <row r="27" spans="1:8" x14ac:dyDescent="0.3">
      <c r="A27" s="140" t="s">
        <v>115</v>
      </c>
      <c r="B27" s="140"/>
      <c r="C27" s="140"/>
      <c r="D27" s="140"/>
      <c r="E27" s="109" t="s">
        <v>116</v>
      </c>
      <c r="F27" s="109"/>
      <c r="G27" s="109"/>
      <c r="H27" s="109"/>
    </row>
    <row r="28" spans="1:8" ht="15" customHeight="1" x14ac:dyDescent="0.3">
      <c r="A28" s="106" t="s">
        <v>34</v>
      </c>
      <c r="B28" s="106"/>
      <c r="C28" s="106"/>
      <c r="D28" s="106"/>
      <c r="E28" s="151" t="s">
        <v>208</v>
      </c>
      <c r="F28" s="151"/>
      <c r="G28" s="151"/>
      <c r="H28" s="151"/>
    </row>
    <row r="29" spans="1:8" x14ac:dyDescent="0.3">
      <c r="A29" s="106" t="s">
        <v>128</v>
      </c>
      <c r="B29" s="106"/>
      <c r="C29" s="106"/>
      <c r="D29" s="106"/>
      <c r="E29" s="106" t="s">
        <v>35</v>
      </c>
      <c r="F29" s="106"/>
      <c r="G29" s="106"/>
      <c r="H29" s="106"/>
    </row>
    <row r="30" spans="1:8" s="12" customFormat="1" x14ac:dyDescent="0.3">
      <c r="A30" s="177" t="s">
        <v>129</v>
      </c>
      <c r="B30" s="177"/>
      <c r="C30" s="156" t="s">
        <v>30</v>
      </c>
      <c r="D30" s="156"/>
      <c r="E30" s="156"/>
      <c r="F30" s="156" t="s">
        <v>32</v>
      </c>
      <c r="G30" s="156"/>
      <c r="H30" s="156"/>
    </row>
    <row r="31" spans="1:8" s="12" customFormat="1" x14ac:dyDescent="0.3">
      <c r="A31" s="154" t="s">
        <v>26</v>
      </c>
      <c r="B31" s="154" t="s">
        <v>31</v>
      </c>
      <c r="C31" s="100" t="s">
        <v>324</v>
      </c>
      <c r="D31" s="100"/>
      <c r="E31" s="100"/>
      <c r="F31" s="100" t="s">
        <v>153</v>
      </c>
      <c r="G31" s="100"/>
      <c r="H31" s="100"/>
    </row>
    <row r="32" spans="1:8" x14ac:dyDescent="0.3">
      <c r="A32" s="154" t="s">
        <v>27</v>
      </c>
      <c r="B32" s="154" t="s">
        <v>31</v>
      </c>
      <c r="C32" s="100" t="s">
        <v>325</v>
      </c>
      <c r="D32" s="100"/>
      <c r="E32" s="100"/>
      <c r="F32" s="100" t="s">
        <v>211</v>
      </c>
      <c r="G32" s="100"/>
      <c r="H32" s="100"/>
    </row>
    <row r="33" spans="1:17" s="12" customFormat="1" x14ac:dyDescent="0.3">
      <c r="A33" s="154" t="s">
        <v>29</v>
      </c>
      <c r="B33" s="154" t="s">
        <v>31</v>
      </c>
      <c r="C33" s="100" t="s">
        <v>325</v>
      </c>
      <c r="D33" s="100"/>
      <c r="E33" s="100"/>
      <c r="F33" s="100" t="s">
        <v>211</v>
      </c>
      <c r="G33" s="100"/>
      <c r="H33" s="100"/>
    </row>
    <row r="34" spans="1:17" x14ac:dyDescent="0.3">
      <c r="A34" s="154" t="s">
        <v>28</v>
      </c>
      <c r="B34" s="154" t="s">
        <v>31</v>
      </c>
      <c r="C34" s="100" t="s">
        <v>325</v>
      </c>
      <c r="D34" s="100"/>
      <c r="E34" s="100"/>
      <c r="F34" s="100" t="s">
        <v>211</v>
      </c>
      <c r="G34" s="100"/>
      <c r="H34" s="100"/>
    </row>
    <row r="35" spans="1:17" x14ac:dyDescent="0.3">
      <c r="A35" s="140" t="s">
        <v>33</v>
      </c>
      <c r="B35" s="140"/>
      <c r="C35" s="140"/>
      <c r="D35" s="140"/>
      <c r="E35" s="140"/>
      <c r="F35" s="140"/>
      <c r="G35" s="140"/>
      <c r="H35" s="140"/>
    </row>
    <row r="36" spans="1:17" ht="15.75" customHeight="1" x14ac:dyDescent="0.3">
      <c r="A36" s="140" t="s">
        <v>319</v>
      </c>
      <c r="B36" s="140"/>
      <c r="C36" s="171" t="s">
        <v>339</v>
      </c>
      <c r="D36" s="172"/>
      <c r="E36" s="172"/>
      <c r="F36" s="172"/>
      <c r="G36" s="172"/>
      <c r="H36" s="173"/>
    </row>
    <row r="37" spans="1:17" ht="15.75" customHeight="1" x14ac:dyDescent="0.3">
      <c r="A37" s="140" t="s">
        <v>275</v>
      </c>
      <c r="B37" s="140"/>
      <c r="C37" s="174" t="s">
        <v>340</v>
      </c>
      <c r="D37" s="175"/>
      <c r="E37" s="175"/>
      <c r="F37" s="175"/>
      <c r="G37" s="175"/>
      <c r="H37" s="176"/>
    </row>
    <row r="38" spans="1:17" x14ac:dyDescent="0.3">
      <c r="A38" s="143" t="s">
        <v>36</v>
      </c>
      <c r="B38" s="143"/>
      <c r="C38" s="143"/>
      <c r="D38" s="143"/>
      <c r="E38" s="143"/>
      <c r="F38" s="143"/>
      <c r="G38" s="143"/>
      <c r="H38" s="143"/>
    </row>
    <row r="39" spans="1:17" x14ac:dyDescent="0.3">
      <c r="A39" s="110" t="s">
        <v>37</v>
      </c>
      <c r="B39" s="110"/>
      <c r="C39" s="110"/>
      <c r="D39" s="110"/>
      <c r="E39" s="155">
        <v>44114.58</v>
      </c>
      <c r="F39" s="155"/>
      <c r="G39" s="155"/>
      <c r="H39" s="155"/>
    </row>
    <row r="40" spans="1:17" x14ac:dyDescent="0.3">
      <c r="A40" s="110" t="s">
        <v>38</v>
      </c>
      <c r="B40" s="110"/>
      <c r="C40" s="110"/>
      <c r="D40" s="110"/>
      <c r="E40" s="153">
        <v>1</v>
      </c>
      <c r="F40" s="153"/>
      <c r="G40" s="153"/>
      <c r="H40" s="153"/>
    </row>
    <row r="41" spans="1:17" x14ac:dyDescent="0.3">
      <c r="A41" s="110" t="s">
        <v>39</v>
      </c>
      <c r="B41" s="110"/>
      <c r="C41" s="110"/>
      <c r="D41" s="110"/>
      <c r="E41" s="153">
        <f>E43/E39-E40</f>
        <v>3.0144451108907759</v>
      </c>
      <c r="F41" s="153"/>
      <c r="G41" s="153"/>
      <c r="H41" s="153"/>
    </row>
    <row r="42" spans="1:17" x14ac:dyDescent="0.3">
      <c r="A42" s="110" t="s">
        <v>40</v>
      </c>
      <c r="B42" s="110"/>
      <c r="C42" s="110"/>
      <c r="D42" s="110"/>
      <c r="E42" s="153">
        <f>E40+E41</f>
        <v>4.0144451108907759</v>
      </c>
      <c r="F42" s="153"/>
      <c r="G42" s="153"/>
      <c r="H42" s="153"/>
    </row>
    <row r="43" spans="1:17" x14ac:dyDescent="0.3">
      <c r="A43" s="110" t="s">
        <v>127</v>
      </c>
      <c r="B43" s="110"/>
      <c r="C43" s="110"/>
      <c r="D43" s="110"/>
      <c r="E43" s="178">
        <v>177095.56</v>
      </c>
      <c r="F43" s="178"/>
      <c r="G43" s="178"/>
      <c r="H43" s="178"/>
    </row>
    <row r="44" spans="1:17" x14ac:dyDescent="0.3">
      <c r="A44" s="110" t="s">
        <v>41</v>
      </c>
      <c r="B44" s="110"/>
      <c r="C44" s="110"/>
      <c r="D44" s="110"/>
      <c r="E44" s="110" t="s">
        <v>351</v>
      </c>
      <c r="F44" s="110"/>
      <c r="G44" s="110"/>
      <c r="H44" s="110"/>
    </row>
    <row r="45" spans="1:17" x14ac:dyDescent="0.3">
      <c r="A45" s="143" t="s">
        <v>42</v>
      </c>
      <c r="B45" s="143"/>
      <c r="C45" s="143"/>
      <c r="D45" s="143"/>
      <c r="E45" s="143"/>
      <c r="F45" s="143"/>
      <c r="G45" s="143"/>
      <c r="H45" s="143"/>
    </row>
    <row r="46" spans="1:17" ht="32.25" customHeight="1" x14ac:dyDescent="0.3">
      <c r="A46" s="106" t="s">
        <v>344</v>
      </c>
      <c r="B46" s="106"/>
      <c r="C46" s="107" t="s">
        <v>295</v>
      </c>
      <c r="D46" s="107"/>
      <c r="E46" s="107"/>
      <c r="F46" s="38" t="s">
        <v>43</v>
      </c>
      <c r="G46" s="108">
        <v>45114</v>
      </c>
      <c r="H46" s="109"/>
    </row>
    <row r="47" spans="1:17" ht="31.5" customHeight="1" x14ac:dyDescent="0.3">
      <c r="A47" s="106" t="s">
        <v>314</v>
      </c>
      <c r="B47" s="106"/>
      <c r="C47" s="107" t="s">
        <v>162</v>
      </c>
      <c r="D47" s="107"/>
      <c r="E47" s="107"/>
      <c r="F47" s="38" t="s">
        <v>43</v>
      </c>
      <c r="G47" s="108">
        <v>44110</v>
      </c>
      <c r="H47" s="109"/>
    </row>
    <row r="48" spans="1:17" s="11" customFormat="1" ht="15.75" hidden="1" customHeight="1" x14ac:dyDescent="0.3">
      <c r="A48" s="109" t="s">
        <v>44</v>
      </c>
      <c r="B48" s="109"/>
      <c r="C48" s="107"/>
      <c r="D48" s="166"/>
      <c r="E48" s="166"/>
      <c r="F48" s="14" t="s">
        <v>43</v>
      </c>
      <c r="G48" s="166"/>
      <c r="H48" s="166"/>
      <c r="J48" s="109" t="s">
        <v>44</v>
      </c>
      <c r="K48" s="109"/>
      <c r="L48" s="107">
        <f>L47</f>
        <v>0</v>
      </c>
      <c r="M48" s="166"/>
      <c r="N48" s="166"/>
      <c r="O48" s="14" t="s">
        <v>43</v>
      </c>
      <c r="P48" s="166">
        <f>P47</f>
        <v>0</v>
      </c>
      <c r="Q48" s="166"/>
    </row>
    <row r="49" spans="1:17" s="11" customFormat="1" ht="95.25" hidden="1" customHeight="1" x14ac:dyDescent="0.3">
      <c r="A49" s="109"/>
      <c r="B49" s="109"/>
      <c r="C49" s="134"/>
      <c r="D49" s="135"/>
      <c r="E49" s="135"/>
      <c r="F49" s="135"/>
      <c r="G49" s="135"/>
      <c r="H49" s="136"/>
      <c r="J49" s="109"/>
      <c r="K49" s="109"/>
      <c r="L49" s="134" t="s">
        <v>276</v>
      </c>
      <c r="M49" s="135"/>
      <c r="N49" s="135"/>
      <c r="O49" s="135"/>
      <c r="P49" s="135"/>
      <c r="Q49" s="136"/>
    </row>
    <row r="50" spans="1:17" ht="31.5" customHeight="1" x14ac:dyDescent="0.3">
      <c r="A50" s="106" t="s">
        <v>343</v>
      </c>
      <c r="B50" s="106"/>
      <c r="C50" s="107" t="s">
        <v>346</v>
      </c>
      <c r="D50" s="107"/>
      <c r="E50" s="107"/>
      <c r="F50" s="38" t="s">
        <v>43</v>
      </c>
      <c r="G50" s="108">
        <v>45114</v>
      </c>
      <c r="H50" s="109"/>
    </row>
    <row r="51" spans="1:17" s="11" customFormat="1" ht="33.75" customHeight="1" x14ac:dyDescent="0.3">
      <c r="A51" s="109" t="s">
        <v>44</v>
      </c>
      <c r="B51" s="109"/>
      <c r="C51" s="109" t="s">
        <v>347</v>
      </c>
      <c r="D51" s="110"/>
      <c r="E51" s="110"/>
      <c r="F51" s="66" t="s">
        <v>43</v>
      </c>
      <c r="G51" s="111">
        <v>45114</v>
      </c>
      <c r="H51" s="110"/>
    </row>
    <row r="52" spans="1:17" s="11" customFormat="1" ht="172.5" customHeight="1" x14ac:dyDescent="0.3">
      <c r="A52" s="109"/>
      <c r="B52" s="109"/>
      <c r="C52" s="112" t="s">
        <v>326</v>
      </c>
      <c r="D52" s="113"/>
      <c r="E52" s="113"/>
      <c r="F52" s="113"/>
      <c r="G52" s="113"/>
      <c r="H52" s="114"/>
    </row>
    <row r="53" spans="1:17" x14ac:dyDescent="0.3">
      <c r="A53" s="150" t="s">
        <v>45</v>
      </c>
      <c r="B53" s="150"/>
      <c r="C53" s="159" t="s">
        <v>138</v>
      </c>
      <c r="D53" s="160"/>
      <c r="E53" s="160" t="s">
        <v>46</v>
      </c>
      <c r="F53" s="40" t="s">
        <v>43</v>
      </c>
      <c r="G53" s="157" t="s">
        <v>31</v>
      </c>
      <c r="H53" s="158"/>
    </row>
    <row r="54" spans="1:17" x14ac:dyDescent="0.3">
      <c r="A54" s="161" t="s">
        <v>48</v>
      </c>
      <c r="B54" s="161"/>
      <c r="C54" s="161"/>
      <c r="D54" s="161"/>
      <c r="E54" s="161"/>
      <c r="F54" s="161"/>
      <c r="G54" s="161"/>
      <c r="H54" s="161"/>
    </row>
    <row r="55" spans="1:17" x14ac:dyDescent="0.3">
      <c r="A55" s="106" t="s">
        <v>126</v>
      </c>
      <c r="B55" s="106"/>
      <c r="C55" s="106"/>
      <c r="D55" s="110">
        <f>22760.163+22219.65+22206.848+33655.079+23982.755+22451.77+26116.507</f>
        <v>173392.77200000003</v>
      </c>
      <c r="E55" s="110"/>
      <c r="F55" s="110"/>
      <c r="G55" s="110"/>
      <c r="H55" s="110"/>
    </row>
    <row r="56" spans="1:17" x14ac:dyDescent="0.3">
      <c r="A56" s="109" t="s">
        <v>49</v>
      </c>
      <c r="B56" s="110"/>
      <c r="C56" s="110"/>
      <c r="D56" s="110" t="s">
        <v>345</v>
      </c>
      <c r="E56" s="110"/>
      <c r="F56" s="110"/>
      <c r="G56" s="110"/>
      <c r="H56" s="110"/>
    </row>
    <row r="57" spans="1:17" ht="80.25" customHeight="1" x14ac:dyDescent="0.3">
      <c r="A57" s="109" t="s">
        <v>50</v>
      </c>
      <c r="B57" s="110"/>
      <c r="C57" s="110"/>
      <c r="D57" s="167" t="s">
        <v>330</v>
      </c>
      <c r="E57" s="168"/>
      <c r="F57" s="168"/>
      <c r="G57" s="168"/>
      <c r="H57" s="168"/>
    </row>
    <row r="58" spans="1:17" ht="79.5" customHeight="1" x14ac:dyDescent="0.3">
      <c r="A58" s="109" t="s">
        <v>124</v>
      </c>
      <c r="B58" s="110"/>
      <c r="C58" s="110"/>
      <c r="D58" s="167" t="s">
        <v>329</v>
      </c>
      <c r="E58" s="168"/>
      <c r="F58" s="168"/>
      <c r="G58" s="168"/>
      <c r="H58" s="168"/>
    </row>
    <row r="59" spans="1:17" ht="84.6" customHeight="1" x14ac:dyDescent="0.3">
      <c r="A59" s="140" t="s">
        <v>47</v>
      </c>
      <c r="B59" s="140"/>
      <c r="C59" s="140"/>
      <c r="D59" s="106" t="s">
        <v>353</v>
      </c>
      <c r="E59" s="106"/>
      <c r="F59" s="106"/>
      <c r="G59" s="106"/>
      <c r="H59" s="106"/>
    </row>
    <row r="60" spans="1:17" ht="15.75" customHeight="1" x14ac:dyDescent="0.3">
      <c r="A60" s="140" t="s">
        <v>121</v>
      </c>
      <c r="B60" s="140"/>
      <c r="C60" s="140"/>
      <c r="D60" s="106" t="s">
        <v>122</v>
      </c>
      <c r="E60" s="106"/>
      <c r="F60" s="106"/>
      <c r="G60" s="106"/>
      <c r="H60" s="106"/>
    </row>
    <row r="61" spans="1:17" ht="15.75" customHeight="1" x14ac:dyDescent="0.3">
      <c r="A61" s="140" t="s">
        <v>123</v>
      </c>
      <c r="B61" s="140"/>
      <c r="C61" s="140"/>
      <c r="D61" s="106" t="s">
        <v>25</v>
      </c>
      <c r="E61" s="106"/>
      <c r="F61" s="106"/>
      <c r="G61" s="106"/>
      <c r="H61" s="106"/>
      <c r="J61" s="22"/>
      <c r="K61" s="22"/>
    </row>
    <row r="62" spans="1:17" ht="15.75" customHeight="1" thickBot="1" x14ac:dyDescent="0.35">
      <c r="A62" s="169" t="s">
        <v>120</v>
      </c>
      <c r="B62" s="169"/>
      <c r="C62" s="169"/>
      <c r="D62" s="145" t="s">
        <v>163</v>
      </c>
      <c r="E62" s="145"/>
      <c r="F62" s="145"/>
      <c r="G62" s="145"/>
      <c r="H62" s="145"/>
      <c r="J62" s="22"/>
      <c r="K62" s="22"/>
    </row>
    <row r="63" spans="1:17" ht="15.75" customHeight="1" x14ac:dyDescent="0.3">
      <c r="A63" s="85" t="s">
        <v>238</v>
      </c>
      <c r="B63" s="86"/>
      <c r="C63" s="86" t="s">
        <v>255</v>
      </c>
      <c r="D63" s="86"/>
      <c r="E63" s="86"/>
      <c r="F63" s="86"/>
      <c r="G63" s="86"/>
      <c r="H63" s="87"/>
      <c r="I63" s="46" t="str">
        <f ca="1">(IF(E67&gt;99%,"All work completed. Please provide OC.",IF(E67&gt;89.8%,"Plinth, RCC, Brick, Plaster, Flooring, Painting work Completed. Finishing work is in process.",IF(E67&lt;94%,(IF(C67=0,"Work not yet Started.",IF(D67=25%,"Piling work in process",IF(D67=50%,"Excavation work in process",IF(D67=100%,"Excavation work Completed. ","0")))&amp;(IF(C68=0%,"",IF(C68=J69,"Footing work is process",IF(C68=J70,"Footing work Completed",IF(C68=J71,"1st Basement Completed",IF(C68=J72,"1st &amp; 2nd Basement Completed",IF(C68=J73,"1st to 3rd Basement Completed",IF(C68=J74,"1st to 4th Basement Completed",IF(C68=J75,"Plinth work is process",IF(C68=J76,"Plinth work completed","0")))))))))))&amp;(IF(C69=(D64+F64+H64),", RCC Slab",IF(C69&gt;0,", RCC upto "&amp;C69&amp;" Slab",""))&amp;(IF(C70=H64,", Brickwork",IF(C70&gt;0,", Brickwork upto "&amp;C70&amp;" Floor",""))&amp;(IF(C71=H64,", Internal Plaster",IF(C71&gt;0,", Internal Plaster upto "&amp;C71&amp;" Floor",""))&amp;(IF(C72=H64,", External Plaster",IF(C72&gt;0,", External Plaster upto "&amp;C72&amp;" Floor",""))&amp;(IF(C73=H64,", Flooring",IF(C73&gt;0,", Flooring upto "&amp;C73&amp;" Floor",""))&amp;(IF(C74=H64,", Painting",IF(C74&gt;0,", Painting upto "&amp;C74&amp;" Floor",""))&amp;(IF(C75&gt;0,", Finishing upto "&amp;C75&amp;" Floor","")&amp;(IF(C69&gt;0.5," Completed",""))))))))))))))</f>
        <v>Excavation work Completed. Plinth work completed, RCC Slab, Brickwork, Internal Plaster upto 37.05 Floor, External Plaster upto 33.15 Floor Completed</v>
      </c>
      <c r="J63" s="23"/>
      <c r="K63" s="23"/>
    </row>
    <row r="64" spans="1:17" x14ac:dyDescent="0.3">
      <c r="A64" s="56" t="s">
        <v>102</v>
      </c>
      <c r="B64" s="54">
        <v>0</v>
      </c>
      <c r="C64" s="54" t="s">
        <v>104</v>
      </c>
      <c r="D64" s="54">
        <v>1</v>
      </c>
      <c r="E64" s="54" t="s">
        <v>103</v>
      </c>
      <c r="F64" s="54">
        <v>0</v>
      </c>
      <c r="G64" s="54" t="s">
        <v>114</v>
      </c>
      <c r="H64" s="57">
        <f ca="1">--TRIM(RIGHT(SUBSTITUTE(LEFT(C63,_xlfn.AGGREGATE(16,6,FIND({0,1,2,3,4,5,6,7,8,9},C63,ROW(INDIRECT("1:"&amp;LEN(C63)))),1))," ",REPT(" ",LEN(C63))),LEN(C63)))</f>
        <v>39</v>
      </c>
      <c r="I64" s="22"/>
      <c r="J64" s="24"/>
      <c r="K64" s="24"/>
    </row>
    <row r="65" spans="1:11" ht="33.75" customHeight="1" x14ac:dyDescent="0.3">
      <c r="A65" s="88" t="s">
        <v>125</v>
      </c>
      <c r="B65" s="89"/>
      <c r="C65" s="90" t="str">
        <f ca="1">I63</f>
        <v>Excavation work Completed. Plinth work completed, RCC Slab, Brickwork, Internal Plaster upto 37.05 Floor, External Plaster upto 33.15 Floor Completed</v>
      </c>
      <c r="D65" s="90"/>
      <c r="E65" s="90"/>
      <c r="F65" s="90"/>
      <c r="G65" s="90"/>
      <c r="H65" s="91"/>
      <c r="I65" s="22" t="s">
        <v>137</v>
      </c>
      <c r="J65" s="24"/>
      <c r="K65" s="24"/>
    </row>
    <row r="66" spans="1:11" x14ac:dyDescent="0.3">
      <c r="A66" s="92" t="s">
        <v>51</v>
      </c>
      <c r="B66" s="93"/>
      <c r="C66" s="41" t="s">
        <v>239</v>
      </c>
      <c r="D66" s="41" t="s">
        <v>117</v>
      </c>
      <c r="E66" s="93" t="s">
        <v>119</v>
      </c>
      <c r="F66" s="93"/>
      <c r="G66" s="93" t="s">
        <v>118</v>
      </c>
      <c r="H66" s="94"/>
      <c r="I66" s="48" t="s">
        <v>240</v>
      </c>
      <c r="J66" s="25">
        <f ca="1">H64*25%</f>
        <v>9.75</v>
      </c>
      <c r="K66" s="25"/>
    </row>
    <row r="67" spans="1:11" x14ac:dyDescent="0.3">
      <c r="A67" s="92" t="s">
        <v>241</v>
      </c>
      <c r="B67" s="93"/>
      <c r="C67" s="42">
        <f ca="1">J68</f>
        <v>39</v>
      </c>
      <c r="D67" s="55">
        <f ca="1">((100/H64)*C67)/100</f>
        <v>1.0000000000000002</v>
      </c>
      <c r="E67" s="95">
        <f ca="1">(((C68/H64*10)+(40/(D64+F64+H64)*C69)+(7.5/(H64)*C70)+(7.5/(H64)*C71)+(10/H64*C72)+(10/H64*C73)+(5/H64*C74)+(5/H64*C75)+(5/H64*C76))/100)</f>
        <v>0.73124999999999996</v>
      </c>
      <c r="F67" s="95"/>
      <c r="G67" s="95">
        <f ca="1">((((C67/H64)*20)+((C68/H64)*25)+(30/(H64+F64+D64)*C69)+(5/H64*C70)+(5/H64*C71)+(5/H64*C72)+(5/H64*C73)+(0/H64*C74)+(0/H64*C75)+(5/H64*C76))/100)</f>
        <v>0.89</v>
      </c>
      <c r="H67" s="97"/>
      <c r="I67" s="48" t="s">
        <v>131</v>
      </c>
      <c r="J67" s="49">
        <f ca="1">H64*50%</f>
        <v>19.5</v>
      </c>
      <c r="K67" s="25"/>
    </row>
    <row r="68" spans="1:11" x14ac:dyDescent="0.3">
      <c r="A68" s="92" t="s">
        <v>52</v>
      </c>
      <c r="B68" s="93"/>
      <c r="C68" s="43">
        <f ca="1">J76</f>
        <v>39</v>
      </c>
      <c r="D68" s="55">
        <f ca="1">((100/H64)*C68)/100</f>
        <v>1.0000000000000002</v>
      </c>
      <c r="E68" s="95"/>
      <c r="F68" s="95"/>
      <c r="G68" s="95"/>
      <c r="H68" s="97"/>
      <c r="I68" s="48" t="s">
        <v>132</v>
      </c>
      <c r="J68" s="49">
        <f ca="1">H64</f>
        <v>39</v>
      </c>
      <c r="K68" s="26"/>
    </row>
    <row r="69" spans="1:11" x14ac:dyDescent="0.3">
      <c r="A69" s="92" t="s">
        <v>256</v>
      </c>
      <c r="B69" s="93"/>
      <c r="C69" s="43">
        <v>40</v>
      </c>
      <c r="D69" s="55">
        <f ca="1">((100/(D64+F64+H64))*C69)/100</f>
        <v>1</v>
      </c>
      <c r="E69" s="95"/>
      <c r="F69" s="95"/>
      <c r="G69" s="95"/>
      <c r="H69" s="97"/>
      <c r="I69" s="48" t="s">
        <v>133</v>
      </c>
      <c r="J69" s="50">
        <f ca="1">(IF(B64&gt;1,(H64/(B64+2)),H64/4))</f>
        <v>9.75</v>
      </c>
      <c r="K69" s="26"/>
    </row>
    <row r="70" spans="1:11" x14ac:dyDescent="0.3">
      <c r="A70" s="92" t="s">
        <v>242</v>
      </c>
      <c r="B70" s="93" t="s">
        <v>243</v>
      </c>
      <c r="C70" s="43">
        <f>C69-1</f>
        <v>39</v>
      </c>
      <c r="D70" s="55">
        <f ca="1">((100/H64)*C70)/100</f>
        <v>1.0000000000000002</v>
      </c>
      <c r="E70" s="95"/>
      <c r="F70" s="95"/>
      <c r="G70" s="95"/>
      <c r="H70" s="97"/>
      <c r="I70" s="48" t="s">
        <v>134</v>
      </c>
      <c r="J70" s="50">
        <f ca="1">(IF(B64&gt;1,(H64/(B64+2)+J69),H64/4+J69))</f>
        <v>19.5</v>
      </c>
      <c r="K70" s="26"/>
    </row>
    <row r="71" spans="1:11" x14ac:dyDescent="0.3">
      <c r="A71" s="92" t="s">
        <v>244</v>
      </c>
      <c r="B71" s="93" t="s">
        <v>243</v>
      </c>
      <c r="C71" s="43">
        <f>C70*0.95</f>
        <v>37.049999999999997</v>
      </c>
      <c r="D71" s="55">
        <f ca="1">((100/H64)*C71)/100</f>
        <v>0.95</v>
      </c>
      <c r="E71" s="95"/>
      <c r="F71" s="95"/>
      <c r="G71" s="95"/>
      <c r="H71" s="97"/>
      <c r="I71" s="48" t="s">
        <v>245</v>
      </c>
      <c r="J71" s="50">
        <f>(IF(B64&gt;1,(H64/(B64+2)+J70),0))</f>
        <v>0</v>
      </c>
      <c r="K71" s="26"/>
    </row>
    <row r="72" spans="1:11" ht="15.75" customHeight="1" x14ac:dyDescent="0.3">
      <c r="A72" s="99" t="s">
        <v>246</v>
      </c>
      <c r="B72" s="100" t="s">
        <v>247</v>
      </c>
      <c r="C72" s="43">
        <f>C70*0.85</f>
        <v>33.15</v>
      </c>
      <c r="D72" s="55">
        <f ca="1">((100/(H64))*C72)/100</f>
        <v>0.85</v>
      </c>
      <c r="E72" s="95"/>
      <c r="F72" s="95"/>
      <c r="G72" s="95"/>
      <c r="H72" s="97"/>
      <c r="I72" s="48" t="s">
        <v>248</v>
      </c>
      <c r="J72" s="50">
        <f>(IF(B64&gt;2,(H64/(B64+2)+J71),0))</f>
        <v>0</v>
      </c>
      <c r="K72" s="26"/>
    </row>
    <row r="73" spans="1:11" ht="16.2" thickBot="1" x14ac:dyDescent="0.35">
      <c r="A73" s="92" t="s">
        <v>249</v>
      </c>
      <c r="B73" s="93" t="s">
        <v>249</v>
      </c>
      <c r="C73" s="42">
        <v>0</v>
      </c>
      <c r="D73" s="55">
        <f ca="1">((100/H64)*C73)/100</f>
        <v>0</v>
      </c>
      <c r="E73" s="95"/>
      <c r="F73" s="95"/>
      <c r="G73" s="95"/>
      <c r="H73" s="97"/>
      <c r="I73" s="48" t="s">
        <v>250</v>
      </c>
      <c r="J73" s="51">
        <f>(IF(B64&gt;3,(H64/(B64+2)+J72),0))</f>
        <v>0</v>
      </c>
      <c r="K73" s="27"/>
    </row>
    <row r="74" spans="1:11" x14ac:dyDescent="0.3">
      <c r="A74" s="92" t="s">
        <v>251</v>
      </c>
      <c r="B74" s="93"/>
      <c r="C74" s="42">
        <v>0</v>
      </c>
      <c r="D74" s="55">
        <f ca="1">((100/H64)*C74)/100</f>
        <v>0</v>
      </c>
      <c r="E74" s="95"/>
      <c r="F74" s="95"/>
      <c r="G74" s="95"/>
      <c r="H74" s="97"/>
      <c r="I74" s="48" t="s">
        <v>252</v>
      </c>
      <c r="J74" s="50">
        <f>(IF(B64&gt;4,(H64/(B64+2)+J73),0))</f>
        <v>0</v>
      </c>
      <c r="K74" s="26"/>
    </row>
    <row r="75" spans="1:11" ht="15.75" customHeight="1" x14ac:dyDescent="0.3">
      <c r="A75" s="92" t="s">
        <v>253</v>
      </c>
      <c r="B75" s="93" t="s">
        <v>253</v>
      </c>
      <c r="C75" s="42">
        <v>0</v>
      </c>
      <c r="D75" s="55">
        <f ca="1">((100/(H64))*C75)/100</f>
        <v>0</v>
      </c>
      <c r="E75" s="95"/>
      <c r="F75" s="95"/>
      <c r="G75" s="95"/>
      <c r="H75" s="97"/>
      <c r="I75" s="48" t="s">
        <v>135</v>
      </c>
      <c r="J75" s="50">
        <f ca="1">(IF(B64=1,(H64/(B64+3)+J70),IF(B64=0,(H64/4+J70),IF(B64&gt;1,0))))</f>
        <v>29.25</v>
      </c>
      <c r="K75" s="26"/>
    </row>
    <row r="76" spans="1:11" ht="16.2" thickBot="1" x14ac:dyDescent="0.35">
      <c r="A76" s="101" t="s">
        <v>254</v>
      </c>
      <c r="B76" s="102"/>
      <c r="C76" s="58">
        <v>0</v>
      </c>
      <c r="D76" s="59">
        <f ca="1">((100/(H64))*C76)/100</f>
        <v>0</v>
      </c>
      <c r="E76" s="96"/>
      <c r="F76" s="96"/>
      <c r="G76" s="96"/>
      <c r="H76" s="98"/>
      <c r="I76" s="52" t="s">
        <v>136</v>
      </c>
      <c r="J76" s="53">
        <f ca="1">(IF(B64&gt;1.5,(H64/(B64+2)+J70+MAX(0,J71-J70)+MAX(0,J72-J71)+MAX(0,J73-J72)+MAX(0,J74-J73)+MAX(0,J75-J74)),IF(B64=1,(H64/(B64+3)+J75),IF(B64=0,H64/4+J75))))</f>
        <v>39</v>
      </c>
      <c r="K76" s="27"/>
    </row>
    <row r="77" spans="1:11" ht="15.75" customHeight="1" x14ac:dyDescent="0.3">
      <c r="A77" s="85" t="s">
        <v>238</v>
      </c>
      <c r="B77" s="86"/>
      <c r="C77" s="86" t="s">
        <v>257</v>
      </c>
      <c r="D77" s="86"/>
      <c r="E77" s="86"/>
      <c r="F77" s="86"/>
      <c r="G77" s="86"/>
      <c r="H77" s="87"/>
      <c r="I77" s="46" t="str">
        <f ca="1">(IF(E81&gt;99%,"All work completed. Please provide OC.",IF(E81&gt;89.8%,"Plinth, RCC, Brick, Plaster, Flooring, Painting work Completed. Finishing work is in process.",IF(E81&lt;94%,(IF(C81=0,"Work not yet Started.",IF(D81=25%,"Piling work in process",IF(D81=50%,"Excavation work in process",IF(D81=100%,"Excavation work Completed. ","0")))&amp;(IF(C82=0%,"",IF(C82=J83,"Footing work is process",IF(C82=J84,"Footing work Completed",IF(C82=J85,"1st Basement Completed",IF(C82=J86,"1st &amp; 2nd Basement Completed",IF(C82=J87,"1st to 3rd Basement Completed",IF(C82=J88,"1st to 4th Basement Completed",IF(C82=J89,"Plinth work is process",IF(C82=J90,"Plinth work completed","0")))))))))))&amp;(IF(C83=(D78+F78+H78),", RCC Slab",IF(C83&gt;0,", RCC upto "&amp;C83&amp;" Slab",""))&amp;(IF(C84=H78,", Brickwork",IF(C84&gt;0,", Brickwork upto "&amp;C84&amp;" Floor",""))&amp;(IF(C85=H78,", Internal Plaster",IF(C85&gt;0,", Internal Plaster upto "&amp;C85&amp;" Floor",""))&amp;(IF(C86=H78,", External Plaster",IF(C86&gt;0,", External Plaster upto "&amp;C86&amp;" Floor",""))&amp;(IF(C87=H78,", Flooring",IF(C87&gt;0,", Flooring upto "&amp;C87&amp;" Floor",""))&amp;(IF(C88=H78,", Painting",IF(C88&gt;0,", Painting upto "&amp;C88&amp;" Floor",""))&amp;(IF(C89&gt;0,", Finishing upto "&amp;C89&amp;" Floor","")&amp;(IF(C83&gt;0.5," Completed",""))))))))))))))</f>
        <v>Excavation work Completed. Plinth work completed, RCC Slab, Brickwork, Internal Plaster upto 37.05 Floor, External Plaster upto 33.15 Floor Completed</v>
      </c>
      <c r="J77" s="23"/>
      <c r="K77" s="23"/>
    </row>
    <row r="78" spans="1:11" x14ac:dyDescent="0.3">
      <c r="A78" s="56" t="s">
        <v>102</v>
      </c>
      <c r="B78" s="54">
        <v>2</v>
      </c>
      <c r="C78" s="54" t="s">
        <v>104</v>
      </c>
      <c r="D78" s="54">
        <v>1</v>
      </c>
      <c r="E78" s="54" t="s">
        <v>103</v>
      </c>
      <c r="F78" s="54">
        <v>0</v>
      </c>
      <c r="G78" s="54" t="s">
        <v>114</v>
      </c>
      <c r="H78" s="57">
        <f ca="1">--TRIM(RIGHT(SUBSTITUTE(LEFT(C77,_xlfn.AGGREGATE(16,6,FIND({0,1,2,3,4,5,6,7,8,9},C77,ROW(INDIRECT("1:"&amp;LEN(C77)))),1))," ",REPT(" ",LEN(C77))),LEN(C77)))</f>
        <v>39</v>
      </c>
      <c r="I78" s="22"/>
      <c r="J78" s="24"/>
      <c r="K78" s="24"/>
    </row>
    <row r="79" spans="1:11" ht="35.25" customHeight="1" x14ac:dyDescent="0.3">
      <c r="A79" s="88" t="s">
        <v>125</v>
      </c>
      <c r="B79" s="89"/>
      <c r="C79" s="90" t="str">
        <f ca="1">I77</f>
        <v>Excavation work Completed. Plinth work completed, RCC Slab, Brickwork, Internal Plaster upto 37.05 Floor, External Plaster upto 33.15 Floor Completed</v>
      </c>
      <c r="D79" s="90"/>
      <c r="E79" s="90"/>
      <c r="F79" s="90"/>
      <c r="G79" s="90"/>
      <c r="H79" s="91"/>
      <c r="I79" s="22" t="s">
        <v>137</v>
      </c>
      <c r="J79" s="24"/>
      <c r="K79" s="24"/>
    </row>
    <row r="80" spans="1:11" x14ac:dyDescent="0.3">
      <c r="A80" s="92" t="s">
        <v>51</v>
      </c>
      <c r="B80" s="93"/>
      <c r="C80" s="41" t="s">
        <v>239</v>
      </c>
      <c r="D80" s="41" t="s">
        <v>117</v>
      </c>
      <c r="E80" s="93" t="s">
        <v>119</v>
      </c>
      <c r="F80" s="93"/>
      <c r="G80" s="93" t="s">
        <v>118</v>
      </c>
      <c r="H80" s="94"/>
      <c r="I80" s="48" t="s">
        <v>240</v>
      </c>
      <c r="J80" s="25">
        <f ca="1">H78*25%</f>
        <v>9.75</v>
      </c>
      <c r="K80" s="25"/>
    </row>
    <row r="81" spans="1:11" x14ac:dyDescent="0.3">
      <c r="A81" s="92" t="s">
        <v>241</v>
      </c>
      <c r="B81" s="93"/>
      <c r="C81" s="42">
        <f ca="1">J82</f>
        <v>39</v>
      </c>
      <c r="D81" s="55">
        <f ca="1">((100/H78)*C81)/100</f>
        <v>1.0000000000000002</v>
      </c>
      <c r="E81" s="95">
        <f ca="1">(((C82/H78*10)+(40/(D78+F78+H78)*C83)+(7.5/(H78)*C84)+(7.5/(H78)*C85)+(10/H78*C86)+(10/H78*C87)+(5/H78*C88)+(5/H78*C89)+(5/H78*C90))/100)</f>
        <v>0.73124999999999996</v>
      </c>
      <c r="F81" s="95"/>
      <c r="G81" s="95">
        <f ca="1">((((C81/H78)*20)+((C82/H78)*25)+(30/(H78+F78+D78)*C83)+(5/H78*C84)+(5/H78*C85)+(5/H78*C86)+(5/H78*C87)+(0/H78*C88)+(0/H78*C89)+(5/H78*C90))/100)</f>
        <v>0.89</v>
      </c>
      <c r="H81" s="97"/>
      <c r="I81" s="48" t="s">
        <v>131</v>
      </c>
      <c r="J81" s="49">
        <f ca="1">H78*50%</f>
        <v>19.5</v>
      </c>
      <c r="K81" s="25"/>
    </row>
    <row r="82" spans="1:11" x14ac:dyDescent="0.3">
      <c r="A82" s="92" t="s">
        <v>52</v>
      </c>
      <c r="B82" s="93"/>
      <c r="C82" s="43">
        <f ca="1">J90</f>
        <v>39</v>
      </c>
      <c r="D82" s="55">
        <f ca="1">((100/H78)*C82)/100</f>
        <v>1.0000000000000002</v>
      </c>
      <c r="E82" s="95"/>
      <c r="F82" s="95"/>
      <c r="G82" s="95"/>
      <c r="H82" s="97"/>
      <c r="I82" s="48" t="s">
        <v>132</v>
      </c>
      <c r="J82" s="49">
        <f ca="1">H78</f>
        <v>39</v>
      </c>
      <c r="K82" s="26"/>
    </row>
    <row r="83" spans="1:11" x14ac:dyDescent="0.3">
      <c r="A83" s="92" t="s">
        <v>256</v>
      </c>
      <c r="B83" s="93"/>
      <c r="C83" s="43">
        <v>40</v>
      </c>
      <c r="D83" s="55">
        <f ca="1">((100/(D78+F78+H78))*C83)/100</f>
        <v>1</v>
      </c>
      <c r="E83" s="95"/>
      <c r="F83" s="95"/>
      <c r="G83" s="95"/>
      <c r="H83" s="97"/>
      <c r="I83" s="48" t="s">
        <v>133</v>
      </c>
      <c r="J83" s="50">
        <f ca="1">(IF(B78&gt;1,(H78/(B78+2)),H78/4))</f>
        <v>9.75</v>
      </c>
      <c r="K83" s="26"/>
    </row>
    <row r="84" spans="1:11" x14ac:dyDescent="0.3">
      <c r="A84" s="92" t="s">
        <v>242</v>
      </c>
      <c r="B84" s="93" t="s">
        <v>243</v>
      </c>
      <c r="C84" s="43">
        <f>C83-1</f>
        <v>39</v>
      </c>
      <c r="D84" s="55">
        <f ca="1">((100/H78)*C84)/100</f>
        <v>1.0000000000000002</v>
      </c>
      <c r="E84" s="95"/>
      <c r="F84" s="95"/>
      <c r="G84" s="95"/>
      <c r="H84" s="97"/>
      <c r="I84" s="48" t="s">
        <v>134</v>
      </c>
      <c r="J84" s="50">
        <f ca="1">(IF(B78&gt;1,(H78/(B78+2)+J83),H78/4+J83))</f>
        <v>19.5</v>
      </c>
      <c r="K84" s="26"/>
    </row>
    <row r="85" spans="1:11" x14ac:dyDescent="0.3">
      <c r="A85" s="92" t="s">
        <v>244</v>
      </c>
      <c r="B85" s="93" t="s">
        <v>243</v>
      </c>
      <c r="C85" s="43">
        <f>C84*0.95</f>
        <v>37.049999999999997</v>
      </c>
      <c r="D85" s="55">
        <f ca="1">((100/H78)*C85)/100</f>
        <v>0.95</v>
      </c>
      <c r="E85" s="95"/>
      <c r="F85" s="95"/>
      <c r="G85" s="95"/>
      <c r="H85" s="97"/>
      <c r="I85" s="48" t="s">
        <v>245</v>
      </c>
      <c r="J85" s="50">
        <f ca="1">(IF(B78&gt;1,(H78/(B78+2)+J84),0))</f>
        <v>29.25</v>
      </c>
      <c r="K85" s="26"/>
    </row>
    <row r="86" spans="1:11" ht="15.75" customHeight="1" x14ac:dyDescent="0.3">
      <c r="A86" s="99" t="s">
        <v>246</v>
      </c>
      <c r="B86" s="100" t="s">
        <v>247</v>
      </c>
      <c r="C86" s="43">
        <f>C84*0.85</f>
        <v>33.15</v>
      </c>
      <c r="D86" s="55">
        <f ca="1">((100/(H78))*C86)/100</f>
        <v>0.85</v>
      </c>
      <c r="E86" s="95"/>
      <c r="F86" s="95"/>
      <c r="G86" s="95"/>
      <c r="H86" s="97"/>
      <c r="I86" s="48" t="s">
        <v>248</v>
      </c>
      <c r="J86" s="50">
        <f>(IF(B78&gt;2,(H78/(B78+2)+J85),0))</f>
        <v>0</v>
      </c>
      <c r="K86" s="26"/>
    </row>
    <row r="87" spans="1:11" ht="16.2" thickBot="1" x14ac:dyDescent="0.35">
      <c r="A87" s="92" t="s">
        <v>249</v>
      </c>
      <c r="B87" s="93" t="s">
        <v>249</v>
      </c>
      <c r="C87" s="42">
        <v>0</v>
      </c>
      <c r="D87" s="55">
        <f ca="1">((100/H78)*C87)/100</f>
        <v>0</v>
      </c>
      <c r="E87" s="95"/>
      <c r="F87" s="95"/>
      <c r="G87" s="95"/>
      <c r="H87" s="97"/>
      <c r="I87" s="48" t="s">
        <v>250</v>
      </c>
      <c r="J87" s="51">
        <f>(IF(B78&gt;3,(H78/(B78+2)+J86),0))</f>
        <v>0</v>
      </c>
      <c r="K87" s="27"/>
    </row>
    <row r="88" spans="1:11" x14ac:dyDescent="0.3">
      <c r="A88" s="92" t="s">
        <v>251</v>
      </c>
      <c r="B88" s="93"/>
      <c r="C88" s="42">
        <v>0</v>
      </c>
      <c r="D88" s="55">
        <f ca="1">((100/H78)*C88)/100</f>
        <v>0</v>
      </c>
      <c r="E88" s="95"/>
      <c r="F88" s="95"/>
      <c r="G88" s="95"/>
      <c r="H88" s="97"/>
      <c r="I88" s="48" t="s">
        <v>252</v>
      </c>
      <c r="J88" s="50">
        <f>(IF(B78&gt;4,(H78/(B78+2)+J87),0))</f>
        <v>0</v>
      </c>
      <c r="K88" s="26"/>
    </row>
    <row r="89" spans="1:11" ht="15.75" customHeight="1" x14ac:dyDescent="0.3">
      <c r="A89" s="92" t="s">
        <v>253</v>
      </c>
      <c r="B89" s="93" t="s">
        <v>253</v>
      </c>
      <c r="C89" s="42">
        <v>0</v>
      </c>
      <c r="D89" s="55">
        <f ca="1">((100/(H78))*C89)/100</f>
        <v>0</v>
      </c>
      <c r="E89" s="95"/>
      <c r="F89" s="95"/>
      <c r="G89" s="95"/>
      <c r="H89" s="97"/>
      <c r="I89" s="48" t="s">
        <v>135</v>
      </c>
      <c r="J89" s="50">
        <f>(IF(B78=1,(H78/(B78+3)+J84),IF(B78=0,(H78/4+J84),IF(B78&gt;1,0))))</f>
        <v>0</v>
      </c>
      <c r="K89" s="26"/>
    </row>
    <row r="90" spans="1:11" ht="16.2" thickBot="1" x14ac:dyDescent="0.35">
      <c r="A90" s="101" t="s">
        <v>254</v>
      </c>
      <c r="B90" s="102"/>
      <c r="C90" s="58">
        <v>0</v>
      </c>
      <c r="D90" s="59">
        <f ca="1">((100/(H78))*C90)/100</f>
        <v>0</v>
      </c>
      <c r="E90" s="96"/>
      <c r="F90" s="96"/>
      <c r="G90" s="96"/>
      <c r="H90" s="98"/>
      <c r="I90" s="52" t="s">
        <v>136</v>
      </c>
      <c r="J90" s="53">
        <f ca="1">(IF(B78&gt;1.5,(H78/(B78+2)+J84+MAX(0,J85-J84)+MAX(0,J86-J85)+MAX(0,J87-J86)+MAX(0,J88-J87)+MAX(0,J89-J88)),IF(B78=1,(H78/(B78+3)+J89),IF(B78=0,H78/4+J89))))</f>
        <v>39</v>
      </c>
      <c r="K90" s="27"/>
    </row>
    <row r="91" spans="1:11" ht="15.75" customHeight="1" x14ac:dyDescent="0.3">
      <c r="A91" s="85" t="s">
        <v>238</v>
      </c>
      <c r="B91" s="86"/>
      <c r="C91" s="86" t="s">
        <v>258</v>
      </c>
      <c r="D91" s="86"/>
      <c r="E91" s="86"/>
      <c r="F91" s="86"/>
      <c r="G91" s="86"/>
      <c r="H91" s="87"/>
      <c r="I91" s="46" t="str">
        <f ca="1">(IF(E95&gt;99%,"All work completed. Please provide OC.",IF(E95&gt;89.8%,"Plinth, RCC, Brick, Plaster, Flooring, Painting work Completed. Finishing work is in process.",IF(E95&lt;94%,(IF(C95=0,"Work not yet Started.",IF(D95=25%,"Piling work in process",IF(D95=50%,"Excavation work in process",IF(D95=100%,"Excavation work Completed. ","0")))&amp;(IF(C96=0%,"",IF(C96=J97,"Footing work is process",IF(C96=J98,"Footing work Completed",IF(C96=J99,"1st Basement Completed",IF(C96=J100,"1st &amp; 2nd Basement Completed",IF(C96=J101,"1st to 3rd Basement Completed",IF(C96=J102,"1st to 4th Basement Completed",IF(C96=J103,"Plinth work is process",IF(C96=J104,"Plinth work completed","0")))))))))))&amp;(IF(C97=(D92+F92+H92),", RCC Slab",IF(C97&gt;0,", RCC upto "&amp;C97&amp;" Slab",""))&amp;(IF(C98=H92,", Brickwork",IF(C98&gt;0,", Brickwork upto "&amp;C98&amp;" Floor",""))&amp;(IF(C99=H92,", Internal Plaster",IF(C99&gt;0,", Internal Plaster upto "&amp;C99&amp;" Floor",""))&amp;(IF(C100=H92,", External Plaster",IF(C100&gt;0,", External Plaster upto "&amp;C100&amp;" Floor",""))&amp;(IF(C101=H92,", Flooring",IF(C101&gt;0,", Flooring upto "&amp;C101&amp;" Floor",""))&amp;(IF(C102=H92,", Painting",IF(C102&gt;0,", Painting upto "&amp;C102&amp;" Floor",""))&amp;(IF(C103&gt;0,", Finishing upto "&amp;C103&amp;" Floor","")&amp;(IF(C97&gt;0.5," Completed",""))))))))))))))</f>
        <v>Excavation work Completed. Plinth work completed, RCC Slab, Brickwork, Internal Plaster upto 34.2 Floor, External Plaster upto 30.6 Floor Completed</v>
      </c>
      <c r="J91" s="23"/>
      <c r="K91" s="23"/>
    </row>
    <row r="92" spans="1:11" x14ac:dyDescent="0.3">
      <c r="A92" s="56" t="s">
        <v>102</v>
      </c>
      <c r="B92" s="54">
        <v>5</v>
      </c>
      <c r="C92" s="54" t="s">
        <v>104</v>
      </c>
      <c r="D92" s="54">
        <v>1</v>
      </c>
      <c r="E92" s="54" t="s">
        <v>103</v>
      </c>
      <c r="F92" s="54">
        <v>0</v>
      </c>
      <c r="G92" s="54" t="s">
        <v>114</v>
      </c>
      <c r="H92" s="57">
        <f ca="1">--TRIM(RIGHT(SUBSTITUTE(LEFT(C91,_xlfn.AGGREGATE(16,6,FIND({0,1,2,3,4,5,6,7,8,9},C91,ROW(INDIRECT("1:"&amp;LEN(C91)))),1))," ",REPT(" ",LEN(C91))),LEN(C91)))</f>
        <v>36</v>
      </c>
      <c r="I92" s="22"/>
      <c r="J92" s="24"/>
      <c r="K92" s="24"/>
    </row>
    <row r="93" spans="1:11" ht="34.5" customHeight="1" x14ac:dyDescent="0.3">
      <c r="A93" s="88" t="s">
        <v>125</v>
      </c>
      <c r="B93" s="89"/>
      <c r="C93" s="90" t="str">
        <f ca="1">I91</f>
        <v>Excavation work Completed. Plinth work completed, RCC Slab, Brickwork, Internal Plaster upto 34.2 Floor, External Plaster upto 30.6 Floor Completed</v>
      </c>
      <c r="D93" s="90"/>
      <c r="E93" s="90"/>
      <c r="F93" s="90"/>
      <c r="G93" s="90"/>
      <c r="H93" s="91"/>
      <c r="I93" s="22" t="s">
        <v>137</v>
      </c>
      <c r="J93" s="24"/>
      <c r="K93" s="24"/>
    </row>
    <row r="94" spans="1:11" x14ac:dyDescent="0.3">
      <c r="A94" s="92" t="s">
        <v>51</v>
      </c>
      <c r="B94" s="93"/>
      <c r="C94" s="41" t="s">
        <v>239</v>
      </c>
      <c r="D94" s="41" t="s">
        <v>117</v>
      </c>
      <c r="E94" s="93" t="s">
        <v>119</v>
      </c>
      <c r="F94" s="93"/>
      <c r="G94" s="93" t="s">
        <v>118</v>
      </c>
      <c r="H94" s="94"/>
      <c r="I94" s="48" t="s">
        <v>240</v>
      </c>
      <c r="J94" s="25">
        <f ca="1">H92*25%</f>
        <v>9</v>
      </c>
      <c r="K94" s="25"/>
    </row>
    <row r="95" spans="1:11" x14ac:dyDescent="0.3">
      <c r="A95" s="92" t="s">
        <v>241</v>
      </c>
      <c r="B95" s="93"/>
      <c r="C95" s="42">
        <f ca="1">J96</f>
        <v>36</v>
      </c>
      <c r="D95" s="55">
        <f ca="1">((100/H92)*C95)/100</f>
        <v>1</v>
      </c>
      <c r="E95" s="95">
        <f ca="1">(((C96/H92*10)+(40/(D92+F92+H92)*C97)+(7.5/(H92)*C98)+(7.5/(H92)*C99)+(10/H92*C100)+(10/H92*C101)+(5/H92*C102)+(5/H92*C103)+(5/H92*C104))/100)</f>
        <v>0.73124999999999996</v>
      </c>
      <c r="F95" s="95"/>
      <c r="G95" s="95">
        <f ca="1">((((C95/H92)*20)+((C96/H92)*25)+(30/(H92+F92+D92)*C97)+(5/H92*C98)+(5/H92*C99)+(5/H92*C100)+(5/H92*C101)+(0/H92*C102)+(0/H92*C103)+(5/H92*C104))/100)</f>
        <v>0.89</v>
      </c>
      <c r="H95" s="97"/>
      <c r="I95" s="48" t="s">
        <v>131</v>
      </c>
      <c r="J95" s="49">
        <f ca="1">H92*50%</f>
        <v>18</v>
      </c>
      <c r="K95" s="25"/>
    </row>
    <row r="96" spans="1:11" x14ac:dyDescent="0.3">
      <c r="A96" s="92" t="s">
        <v>52</v>
      </c>
      <c r="B96" s="93"/>
      <c r="C96" s="43">
        <f ca="1">J104</f>
        <v>36</v>
      </c>
      <c r="D96" s="55">
        <f ca="1">((100/H92)*C96)/100</f>
        <v>1</v>
      </c>
      <c r="E96" s="95"/>
      <c r="F96" s="95"/>
      <c r="G96" s="95"/>
      <c r="H96" s="97"/>
      <c r="I96" s="48" t="s">
        <v>132</v>
      </c>
      <c r="J96" s="49">
        <f ca="1">H92</f>
        <v>36</v>
      </c>
      <c r="K96" s="26"/>
    </row>
    <row r="97" spans="1:11" x14ac:dyDescent="0.3">
      <c r="A97" s="92" t="s">
        <v>256</v>
      </c>
      <c r="B97" s="93"/>
      <c r="C97" s="43">
        <v>37</v>
      </c>
      <c r="D97" s="55">
        <f ca="1">((100/(D92+F92+H92))*C97)/100</f>
        <v>1</v>
      </c>
      <c r="E97" s="95"/>
      <c r="F97" s="95"/>
      <c r="G97" s="95"/>
      <c r="H97" s="97"/>
      <c r="I97" s="48" t="s">
        <v>133</v>
      </c>
      <c r="J97" s="50">
        <f ca="1">(IF(B92&gt;1,(H92/(B92+2)),H92/4))</f>
        <v>5.1428571428571432</v>
      </c>
      <c r="K97" s="26"/>
    </row>
    <row r="98" spans="1:11" x14ac:dyDescent="0.3">
      <c r="A98" s="92" t="s">
        <v>242</v>
      </c>
      <c r="B98" s="93" t="s">
        <v>243</v>
      </c>
      <c r="C98" s="43">
        <f>C97-1</f>
        <v>36</v>
      </c>
      <c r="D98" s="55">
        <f ca="1">((100/H92)*C98)/100</f>
        <v>1</v>
      </c>
      <c r="E98" s="95"/>
      <c r="F98" s="95"/>
      <c r="G98" s="95"/>
      <c r="H98" s="97"/>
      <c r="I98" s="48" t="s">
        <v>134</v>
      </c>
      <c r="J98" s="50">
        <f ca="1">(IF(B92&gt;1,(H92/(B92+2)+J97),H92/4+J97))</f>
        <v>10.285714285714286</v>
      </c>
      <c r="K98" s="26"/>
    </row>
    <row r="99" spans="1:11" x14ac:dyDescent="0.3">
      <c r="A99" s="92" t="s">
        <v>244</v>
      </c>
      <c r="B99" s="93" t="s">
        <v>243</v>
      </c>
      <c r="C99" s="43">
        <f>C98*0.95</f>
        <v>34.199999999999996</v>
      </c>
      <c r="D99" s="55">
        <f ca="1">((100/H92)*C99)/100</f>
        <v>0.94999999999999984</v>
      </c>
      <c r="E99" s="95"/>
      <c r="F99" s="95"/>
      <c r="G99" s="95"/>
      <c r="H99" s="97"/>
      <c r="I99" s="48" t="s">
        <v>245</v>
      </c>
      <c r="J99" s="50">
        <f ca="1">(IF(B92&gt;1,(H92/(B92+2)+J98),0))</f>
        <v>15.428571428571431</v>
      </c>
      <c r="K99" s="26"/>
    </row>
    <row r="100" spans="1:11" ht="15.75" customHeight="1" x14ac:dyDescent="0.3">
      <c r="A100" s="99" t="s">
        <v>246</v>
      </c>
      <c r="B100" s="100" t="s">
        <v>247</v>
      </c>
      <c r="C100" s="43">
        <f>C98*0.85</f>
        <v>30.599999999999998</v>
      </c>
      <c r="D100" s="55">
        <f ca="1">((100/(H92))*C100)/100</f>
        <v>0.84999999999999987</v>
      </c>
      <c r="E100" s="95"/>
      <c r="F100" s="95"/>
      <c r="G100" s="95"/>
      <c r="H100" s="97"/>
      <c r="I100" s="48" t="s">
        <v>248</v>
      </c>
      <c r="J100" s="50">
        <f ca="1">(IF(B92&gt;2,(H92/(B92+2)+J99),0))</f>
        <v>20.571428571428573</v>
      </c>
      <c r="K100" s="26"/>
    </row>
    <row r="101" spans="1:11" ht="16.2" thickBot="1" x14ac:dyDescent="0.35">
      <c r="A101" s="92" t="s">
        <v>249</v>
      </c>
      <c r="B101" s="93" t="s">
        <v>249</v>
      </c>
      <c r="C101" s="42">
        <v>0</v>
      </c>
      <c r="D101" s="55">
        <f ca="1">((100/H92)*C101)/100</f>
        <v>0</v>
      </c>
      <c r="E101" s="95"/>
      <c r="F101" s="95"/>
      <c r="G101" s="95"/>
      <c r="H101" s="97"/>
      <c r="I101" s="48" t="s">
        <v>250</v>
      </c>
      <c r="J101" s="51">
        <f ca="1">(IF(B92&gt;3,(H92/(B92+2)+J100),0))</f>
        <v>25.714285714285715</v>
      </c>
      <c r="K101" s="27"/>
    </row>
    <row r="102" spans="1:11" x14ac:dyDescent="0.3">
      <c r="A102" s="92" t="s">
        <v>251</v>
      </c>
      <c r="B102" s="93"/>
      <c r="C102" s="42">
        <v>0</v>
      </c>
      <c r="D102" s="55">
        <f ca="1">((100/H92)*C102)/100</f>
        <v>0</v>
      </c>
      <c r="E102" s="95"/>
      <c r="F102" s="95"/>
      <c r="G102" s="95"/>
      <c r="H102" s="97"/>
      <c r="I102" s="48" t="s">
        <v>252</v>
      </c>
      <c r="J102" s="50">
        <f ca="1">(IF(B92&gt;4,(H92/(B92+2)+J101),0))</f>
        <v>30.857142857142858</v>
      </c>
      <c r="K102" s="26"/>
    </row>
    <row r="103" spans="1:11" ht="15.75" customHeight="1" x14ac:dyDescent="0.3">
      <c r="A103" s="92" t="s">
        <v>253</v>
      </c>
      <c r="B103" s="93" t="s">
        <v>253</v>
      </c>
      <c r="C103" s="42">
        <v>0</v>
      </c>
      <c r="D103" s="55">
        <f ca="1">((100/(H92))*C103)/100</f>
        <v>0</v>
      </c>
      <c r="E103" s="95"/>
      <c r="F103" s="95"/>
      <c r="G103" s="95"/>
      <c r="H103" s="97"/>
      <c r="I103" s="48" t="s">
        <v>135</v>
      </c>
      <c r="J103" s="50">
        <f>(IF(B92=1,(H92/(B92+3)+J98),IF(B92=0,(H92/4+J98),IF(B92&gt;1,0))))</f>
        <v>0</v>
      </c>
      <c r="K103" s="26"/>
    </row>
    <row r="104" spans="1:11" ht="16.2" thickBot="1" x14ac:dyDescent="0.35">
      <c r="A104" s="101" t="s">
        <v>254</v>
      </c>
      <c r="B104" s="102"/>
      <c r="C104" s="58">
        <v>0</v>
      </c>
      <c r="D104" s="59">
        <f ca="1">((100/(H92))*C104)/100</f>
        <v>0</v>
      </c>
      <c r="E104" s="96"/>
      <c r="F104" s="96"/>
      <c r="G104" s="96"/>
      <c r="H104" s="98"/>
      <c r="I104" s="52" t="s">
        <v>136</v>
      </c>
      <c r="J104" s="53">
        <f ca="1">(IF(B92&gt;1.5,(H92/(B92+2)+J98+MAX(0,J99-J98)+MAX(0,J100-J99)+MAX(0,J101-J100)+MAX(0,J102-J101)+MAX(0,J103-J102)),IF(B92=1,(H92/(B92+3)+J103),IF(B92=0,H92/4+J103))))</f>
        <v>36</v>
      </c>
      <c r="K104" s="27"/>
    </row>
    <row r="105" spans="1:11" ht="15.75" customHeight="1" x14ac:dyDescent="0.3">
      <c r="A105" s="85" t="s">
        <v>238</v>
      </c>
      <c r="B105" s="86"/>
      <c r="C105" s="86" t="s">
        <v>269</v>
      </c>
      <c r="D105" s="86"/>
      <c r="E105" s="86"/>
      <c r="F105" s="86"/>
      <c r="G105" s="86"/>
      <c r="H105" s="87"/>
      <c r="I105" s="46" t="str">
        <f ca="1">(IF(E109&gt;99%,"All work completed. Please provide OC.",IF(E109&gt;89.8%,"Plinth, RCC, Brick, Plaster, Flooring, Painting work Completed. Finishing work is in process.",IF(E109&lt;94%,(IF(C109=0,"Work not yet Started.",IF(D109=25%,"Piling work in process",IF(D109=50%,"Excavation work in process",IF(D109=100%,"Excavation work Completed. ","0")))&amp;(IF(C110=0%,"",IF(C110=J111,"Footing work is process",IF(C110=J112,"Footing work Completed",IF(C110=J113,"1st Basement Completed",IF(C110=J114,"1st &amp; 2nd Basement Completed",IF(C110=J115,"1st to 3rd Basement Completed",IF(C110=J116,"1st to 4th Basement Completed",IF(C110=J117,"Plinth work is process",IF(C110=J118,"Plinth work completed","0")))))))))))&amp;(IF(C111=(D106+F106+H106),", RCC Slab",IF(C111&gt;0,", RCC upto "&amp;C111&amp;" Slab",""))&amp;(IF(C112=H106,", Brickwork",IF(C112&gt;0,", Brickwork upto "&amp;C112&amp;" Floor",""))&amp;(IF(C113=H106,", Internal Plaster",IF(C113&gt;0,", Internal Plaster upto "&amp;C113&amp;" Floor",""))&amp;(IF(C114=H106,", External Plaster",IF(C114&gt;0,", External Plaster upto "&amp;C114&amp;" Floor",""))&amp;(IF(C115=H106,", Flooring",IF(C115&gt;0,", Flooring upto "&amp;C115&amp;" Floor",""))&amp;(IF(C116=H106,", Painting",IF(C116&gt;0,", Painting upto "&amp;C116&amp;" Floor",""))&amp;(IF(C117&gt;0,", Finishing upto "&amp;C117&amp;" Floor","")&amp;(IF(C111&gt;0.5," Completed",""))))))))))))))</f>
        <v>Excavation work Completed. Plinth work completed, RCC upto 32 Slab, Brickwork upto 31 Floor, Internal Plaster upto 23.25 Floor, External Plaster upto 20.15 Floor Completed</v>
      </c>
      <c r="J105" s="23"/>
      <c r="K105" s="23"/>
    </row>
    <row r="106" spans="1:11" x14ac:dyDescent="0.3">
      <c r="A106" s="56" t="s">
        <v>102</v>
      </c>
      <c r="B106" s="54">
        <v>3</v>
      </c>
      <c r="C106" s="54" t="s">
        <v>104</v>
      </c>
      <c r="D106" s="54">
        <v>1</v>
      </c>
      <c r="E106" s="54" t="s">
        <v>103</v>
      </c>
      <c r="F106" s="54">
        <v>0</v>
      </c>
      <c r="G106" s="54" t="s">
        <v>114</v>
      </c>
      <c r="H106" s="57">
        <f ca="1">--TRIM(RIGHT(SUBSTITUTE(LEFT(C105,_xlfn.AGGREGATE(16,6,FIND({0,1,2,3,4,5,6,7,8,9},C105,ROW(INDIRECT("1:"&amp;LEN(C105)))),1))," ",REPT(" ",LEN(C105))),LEN(C105)))</f>
        <v>38</v>
      </c>
      <c r="I106" s="22"/>
      <c r="J106" s="24"/>
      <c r="K106" s="24"/>
    </row>
    <row r="107" spans="1:11" ht="48.75" customHeight="1" x14ac:dyDescent="0.3">
      <c r="A107" s="88" t="s">
        <v>125</v>
      </c>
      <c r="B107" s="89"/>
      <c r="C107" s="90" t="str">
        <f ca="1">I105</f>
        <v>Excavation work Completed. Plinth work completed, RCC upto 32 Slab, Brickwork upto 31 Floor, Internal Plaster upto 23.25 Floor, External Plaster upto 20.15 Floor Completed</v>
      </c>
      <c r="D107" s="90"/>
      <c r="E107" s="90"/>
      <c r="F107" s="90"/>
      <c r="G107" s="90"/>
      <c r="H107" s="91"/>
      <c r="I107" s="22" t="s">
        <v>137</v>
      </c>
      <c r="J107" s="24"/>
      <c r="K107" s="24"/>
    </row>
    <row r="108" spans="1:11" x14ac:dyDescent="0.3">
      <c r="A108" s="92" t="s">
        <v>51</v>
      </c>
      <c r="B108" s="93"/>
      <c r="C108" s="41" t="s">
        <v>239</v>
      </c>
      <c r="D108" s="41" t="s">
        <v>117</v>
      </c>
      <c r="E108" s="93" t="s">
        <v>119</v>
      </c>
      <c r="F108" s="93"/>
      <c r="G108" s="93" t="s">
        <v>118</v>
      </c>
      <c r="H108" s="94"/>
      <c r="I108" s="48" t="s">
        <v>240</v>
      </c>
      <c r="J108" s="25">
        <f ca="1">H106*25%</f>
        <v>9.5</v>
      </c>
      <c r="K108" s="25"/>
    </row>
    <row r="109" spans="1:11" x14ac:dyDescent="0.3">
      <c r="A109" s="92" t="s">
        <v>241</v>
      </c>
      <c r="B109" s="93"/>
      <c r="C109" s="42">
        <v>38</v>
      </c>
      <c r="D109" s="55">
        <f ca="1">((100/H106)*C109)/100</f>
        <v>1</v>
      </c>
      <c r="E109" s="95">
        <f ca="1">(((C110/H106*10)+(40/(D106+F106+H106)*C111)+(7.5/(H106)*C112)+(7.5/(H106)*C113)+(10/H106*C114)+(10/H106*C115)+(5/H106*C116)+(5/H106*C117)+(5/H106*C118))/100)</f>
        <v>0.58830381241565444</v>
      </c>
      <c r="F109" s="95"/>
      <c r="G109" s="95">
        <f ca="1">((((C109/H106)*20)+((C110/H106)*25)+(30/(H106+F106+D106)*C111)+(5/H106*C112)+(5/H106*C113)+(5/H106*C114)+(5/H106*C115)+(0/H106*C116)+(0/H106*C117)+(5/H106*C118))/100)</f>
        <v>0.79404858299595149</v>
      </c>
      <c r="H109" s="97"/>
      <c r="I109" s="48" t="s">
        <v>131</v>
      </c>
      <c r="J109" s="49">
        <f ca="1">H106*50%</f>
        <v>19</v>
      </c>
      <c r="K109" s="25"/>
    </row>
    <row r="110" spans="1:11" x14ac:dyDescent="0.3">
      <c r="A110" s="92" t="s">
        <v>52</v>
      </c>
      <c r="B110" s="93"/>
      <c r="C110" s="43">
        <f ca="1">J118</f>
        <v>38</v>
      </c>
      <c r="D110" s="55">
        <f ca="1">((100/H106)*C110)/100</f>
        <v>1</v>
      </c>
      <c r="E110" s="95"/>
      <c r="F110" s="95"/>
      <c r="G110" s="95"/>
      <c r="H110" s="97"/>
      <c r="I110" s="48" t="s">
        <v>132</v>
      </c>
      <c r="J110" s="49">
        <f ca="1">H106</f>
        <v>38</v>
      </c>
      <c r="K110" s="26"/>
    </row>
    <row r="111" spans="1:11" x14ac:dyDescent="0.3">
      <c r="A111" s="92" t="s">
        <v>256</v>
      </c>
      <c r="B111" s="93"/>
      <c r="C111" s="43">
        <v>32</v>
      </c>
      <c r="D111" s="55">
        <f ca="1">((100/(D106+F106+H106))*C111)/100</f>
        <v>0.8205128205128206</v>
      </c>
      <c r="E111" s="95"/>
      <c r="F111" s="95"/>
      <c r="G111" s="95"/>
      <c r="H111" s="97"/>
      <c r="I111" s="48" t="s">
        <v>133</v>
      </c>
      <c r="J111" s="50">
        <f ca="1">(IF(B106&gt;1,(H106/(B106+2)),H106/4))</f>
        <v>7.6</v>
      </c>
      <c r="K111" s="26"/>
    </row>
    <row r="112" spans="1:11" x14ac:dyDescent="0.3">
      <c r="A112" s="92" t="s">
        <v>242</v>
      </c>
      <c r="B112" s="93" t="s">
        <v>243</v>
      </c>
      <c r="C112" s="43">
        <f>C111-1</f>
        <v>31</v>
      </c>
      <c r="D112" s="55">
        <f ca="1">((100/H106)*C112)/100</f>
        <v>0.81578947368421051</v>
      </c>
      <c r="E112" s="95"/>
      <c r="F112" s="95"/>
      <c r="G112" s="95"/>
      <c r="H112" s="97"/>
      <c r="I112" s="48" t="s">
        <v>134</v>
      </c>
      <c r="J112" s="50">
        <f ca="1">(IF(B106&gt;1,(H106/(B106+2)+J111),H106/4+J111))</f>
        <v>15.2</v>
      </c>
      <c r="K112" s="26"/>
    </row>
    <row r="113" spans="1:11" x14ac:dyDescent="0.3">
      <c r="A113" s="92" t="s">
        <v>244</v>
      </c>
      <c r="B113" s="93" t="s">
        <v>243</v>
      </c>
      <c r="C113" s="43">
        <f>C112*0.75</f>
        <v>23.25</v>
      </c>
      <c r="D113" s="55">
        <f ca="1">((100/H106)*C113)/100</f>
        <v>0.61184210526315796</v>
      </c>
      <c r="E113" s="95"/>
      <c r="F113" s="95"/>
      <c r="G113" s="95"/>
      <c r="H113" s="97"/>
      <c r="I113" s="48" t="s">
        <v>245</v>
      </c>
      <c r="J113" s="50">
        <f ca="1">(IF(B106&gt;1,(H106/(B106+2)+J112),0))</f>
        <v>22.799999999999997</v>
      </c>
      <c r="K113" s="26"/>
    </row>
    <row r="114" spans="1:11" ht="15.75" customHeight="1" x14ac:dyDescent="0.3">
      <c r="A114" s="99" t="s">
        <v>246</v>
      </c>
      <c r="B114" s="100" t="s">
        <v>247</v>
      </c>
      <c r="C114" s="43">
        <f>C112*0.65</f>
        <v>20.150000000000002</v>
      </c>
      <c r="D114" s="55">
        <f ca="1">((100/(H106))*C114)/100</f>
        <v>0.53026315789473688</v>
      </c>
      <c r="E114" s="95"/>
      <c r="F114" s="95"/>
      <c r="G114" s="95"/>
      <c r="H114" s="97"/>
      <c r="I114" s="48" t="s">
        <v>248</v>
      </c>
      <c r="J114" s="50">
        <f ca="1">(IF(B106&gt;2,(H106/(B106+2)+J113),0))</f>
        <v>30.4</v>
      </c>
      <c r="K114" s="26"/>
    </row>
    <row r="115" spans="1:11" ht="16.2" thickBot="1" x14ac:dyDescent="0.35">
      <c r="A115" s="92" t="s">
        <v>249</v>
      </c>
      <c r="B115" s="93" t="s">
        <v>249</v>
      </c>
      <c r="C115" s="42">
        <v>0</v>
      </c>
      <c r="D115" s="55">
        <f ca="1">((100/H106)*C115)/100</f>
        <v>0</v>
      </c>
      <c r="E115" s="95"/>
      <c r="F115" s="95"/>
      <c r="G115" s="95"/>
      <c r="H115" s="97"/>
      <c r="I115" s="48" t="s">
        <v>250</v>
      </c>
      <c r="J115" s="51">
        <f>(IF(B106&gt;3,(H106/(B106+2)+J114),0))</f>
        <v>0</v>
      </c>
      <c r="K115" s="27"/>
    </row>
    <row r="116" spans="1:11" x14ac:dyDescent="0.3">
      <c r="A116" s="92" t="s">
        <v>251</v>
      </c>
      <c r="B116" s="93"/>
      <c r="C116" s="42">
        <v>0</v>
      </c>
      <c r="D116" s="55">
        <f ca="1">((100/H106)*C116)/100</f>
        <v>0</v>
      </c>
      <c r="E116" s="95"/>
      <c r="F116" s="95"/>
      <c r="G116" s="95"/>
      <c r="H116" s="97"/>
      <c r="I116" s="48" t="s">
        <v>252</v>
      </c>
      <c r="J116" s="50">
        <f>(IF(B106&gt;4,(H106/(B106+2)+J115),0))</f>
        <v>0</v>
      </c>
      <c r="K116" s="26"/>
    </row>
    <row r="117" spans="1:11" ht="15.75" customHeight="1" x14ac:dyDescent="0.3">
      <c r="A117" s="92" t="s">
        <v>253</v>
      </c>
      <c r="B117" s="93" t="s">
        <v>253</v>
      </c>
      <c r="C117" s="42">
        <v>0</v>
      </c>
      <c r="D117" s="55">
        <f ca="1">((100/(H106))*C117)/100</f>
        <v>0</v>
      </c>
      <c r="E117" s="95"/>
      <c r="F117" s="95"/>
      <c r="G117" s="95"/>
      <c r="H117" s="97"/>
      <c r="I117" s="48" t="s">
        <v>135</v>
      </c>
      <c r="J117" s="50">
        <f>(IF(B106=1,(H106/(B106+3)+J112),IF(B106=0,(H106/4+J112),IF(B106&gt;1,0))))</f>
        <v>0</v>
      </c>
      <c r="K117" s="26"/>
    </row>
    <row r="118" spans="1:11" ht="16.2" thickBot="1" x14ac:dyDescent="0.35">
      <c r="A118" s="101" t="s">
        <v>254</v>
      </c>
      <c r="B118" s="102"/>
      <c r="C118" s="58">
        <v>0</v>
      </c>
      <c r="D118" s="59">
        <f ca="1">((100/(H106))*C118)/100</f>
        <v>0</v>
      </c>
      <c r="E118" s="96"/>
      <c r="F118" s="96"/>
      <c r="G118" s="96"/>
      <c r="H118" s="98"/>
      <c r="I118" s="52" t="s">
        <v>136</v>
      </c>
      <c r="J118" s="53">
        <f ca="1">(IF(B106&gt;1.5,(H106/(B106+2)+J112+MAX(0,J113-J112)+MAX(0,J114-J113)+MAX(0,J115-J114)+MAX(0,J116-J115)+MAX(0,J117-J116)),IF(B106=1,(H106/(B106+3)+J117),IF(B106=0,H106/4+J117))))</f>
        <v>38</v>
      </c>
      <c r="K118" s="27"/>
    </row>
    <row r="119" spans="1:11" ht="15.75" customHeight="1" x14ac:dyDescent="0.3">
      <c r="A119" s="85" t="s">
        <v>238</v>
      </c>
      <c r="B119" s="86"/>
      <c r="C119" s="86" t="s">
        <v>277</v>
      </c>
      <c r="D119" s="86"/>
      <c r="E119" s="86"/>
      <c r="F119" s="86"/>
      <c r="G119" s="86"/>
      <c r="H119" s="87"/>
      <c r="I119" s="46" t="str">
        <f ca="1">(IF(E123&gt;99%,"All work completed. Please provide OC.",IF(E123&gt;89.8%,"Plinth, RCC, Brick, Plaster, Flooring, Painting work Completed. Finishing work is in process.",IF(E123&lt;94%,(IF(C123=0,"Work not yet Started.",IF(D123=25%,"Piling work in process",IF(D123=50%,"Excavation work in process",IF(D123=100%,"Excavation work Completed. ","0")))&amp;(IF(C124=0%,"",IF(C124=J125,"Footing work is process",IF(C124=J126,"Footing work Completed",IF(C124=J127,"1st Basement Completed",IF(C124=J128,"1st &amp; 2nd Basement Completed",IF(C124=J129,"1st to 3rd Basement Completed",IF(C124=J130,"1st to 4th Basement Completed",IF(C124=J131,"Plinth work is process",IF(C124=J132,"Plinth work completed","0")))))))))))&amp;(IF(C125=(D120+F120+H120),", RCC Slab",IF(C125&gt;0,", RCC upto "&amp;C125&amp;" Slab",""))&amp;(IF(C126=H120,", Brickwork",IF(C126&gt;0,", Brickwork upto "&amp;C126&amp;" Floor",""))&amp;(IF(C127=H120,", Internal Plaster",IF(C127&gt;0,", Internal Plaster upto "&amp;C127&amp;" Floor",""))&amp;(IF(C128=H120,", External Plaster",IF(C128&gt;0,", External Plaster upto "&amp;C128&amp;" Floor",""))&amp;(IF(C129=H120,", Flooring",IF(C129&gt;0,", Flooring upto "&amp;C129&amp;" Floor",""))&amp;(IF(C130=H120,", Painting",IF(C130&gt;0,", Painting upto "&amp;C130&amp;" Floor",""))&amp;(IF(C131&gt;0,", Finishing upto "&amp;C131&amp;" Floor","")&amp;(IF(C125&gt;0.5," Completed",""))))))))))))))</f>
        <v>Excavation work Completed. Plinth work completed, RCC upto 12 Slab, Brickwork upto 11 Floor, Internal Plaster upto 8.25 Floor, External Plaster upto 7.15 Floor Completed</v>
      </c>
      <c r="J119" s="23"/>
      <c r="K119" s="23"/>
    </row>
    <row r="120" spans="1:11" x14ac:dyDescent="0.3">
      <c r="A120" s="56" t="s">
        <v>102</v>
      </c>
      <c r="B120" s="54">
        <v>0</v>
      </c>
      <c r="C120" s="54" t="s">
        <v>104</v>
      </c>
      <c r="D120" s="54">
        <v>1</v>
      </c>
      <c r="E120" s="54" t="s">
        <v>103</v>
      </c>
      <c r="F120" s="54">
        <v>0</v>
      </c>
      <c r="G120" s="54" t="s">
        <v>114</v>
      </c>
      <c r="H120" s="57">
        <f ca="1">--TRIM(RIGHT(SUBSTITUTE(LEFT(C119,_xlfn.AGGREGATE(16,6,FIND({0,1,2,3,4,5,6,7,8,9},C119,ROW(INDIRECT("1:"&amp;LEN(C119)))),1))," ",REPT(" ",LEN(C119))),LEN(C119)))</f>
        <v>41</v>
      </c>
      <c r="I120" s="22"/>
      <c r="J120" s="24"/>
      <c r="K120" s="24"/>
    </row>
    <row r="121" spans="1:11" ht="48.75" customHeight="1" x14ac:dyDescent="0.3">
      <c r="A121" s="88" t="s">
        <v>125</v>
      </c>
      <c r="B121" s="89"/>
      <c r="C121" s="90" t="str">
        <f ca="1">I119</f>
        <v>Excavation work Completed. Plinth work completed, RCC upto 12 Slab, Brickwork upto 11 Floor, Internal Plaster upto 8.25 Floor, External Plaster upto 7.15 Floor Completed</v>
      </c>
      <c r="D121" s="90"/>
      <c r="E121" s="90"/>
      <c r="F121" s="90"/>
      <c r="G121" s="90"/>
      <c r="H121" s="91"/>
      <c r="I121" s="22" t="s">
        <v>137</v>
      </c>
      <c r="J121" s="24"/>
      <c r="K121" s="24"/>
    </row>
    <row r="122" spans="1:11" x14ac:dyDescent="0.3">
      <c r="A122" s="92" t="s">
        <v>51</v>
      </c>
      <c r="B122" s="93"/>
      <c r="C122" s="41" t="s">
        <v>239</v>
      </c>
      <c r="D122" s="41" t="s">
        <v>117</v>
      </c>
      <c r="E122" s="93" t="s">
        <v>119</v>
      </c>
      <c r="F122" s="93"/>
      <c r="G122" s="93" t="s">
        <v>118</v>
      </c>
      <c r="H122" s="94"/>
      <c r="I122" s="48" t="s">
        <v>240</v>
      </c>
      <c r="J122" s="25">
        <f ca="1">H120*25%</f>
        <v>10.25</v>
      </c>
      <c r="K122" s="25"/>
    </row>
    <row r="123" spans="1:11" x14ac:dyDescent="0.3">
      <c r="A123" s="92" t="s">
        <v>241</v>
      </c>
      <c r="B123" s="93"/>
      <c r="C123" s="42">
        <f ca="1">J124</f>
        <v>41</v>
      </c>
      <c r="D123" s="55">
        <f ca="1">((100/H120)*C123)/100</f>
        <v>1</v>
      </c>
      <c r="E123" s="95">
        <f ca="1">(((C124/H120*10)+(40/(D120+F120+H120)*C125)+(7.5/(H120)*C126)+(7.5/(H120)*C127)+(10/H120*C128)+(10/H120*C129)+(5/H120*C130)+(5/H120*C131)+(5/H120*C132))/100)</f>
        <v>0.26693815331010451</v>
      </c>
      <c r="F123" s="95"/>
      <c r="G123" s="95">
        <f ca="1">((((C123/H120)*20)+((C124/H120)*25)+(30/(H120+F120+D120)*C125)+(5/H120*C126)+(5/H120*C127)+(5/H120*C128)+(5/H120*C129)+(0/H120*C130)+(0/H120*C131)+(5/H120*C132))/100)</f>
        <v>0.56790940766550524</v>
      </c>
      <c r="H123" s="97"/>
      <c r="I123" s="48" t="s">
        <v>131</v>
      </c>
      <c r="J123" s="49">
        <f ca="1">H120*50%</f>
        <v>20.5</v>
      </c>
      <c r="K123" s="25"/>
    </row>
    <row r="124" spans="1:11" x14ac:dyDescent="0.3">
      <c r="A124" s="92" t="s">
        <v>52</v>
      </c>
      <c r="B124" s="93"/>
      <c r="C124" s="43">
        <v>41</v>
      </c>
      <c r="D124" s="55">
        <f ca="1">((100/H120)*C124)/100</f>
        <v>1</v>
      </c>
      <c r="E124" s="95"/>
      <c r="F124" s="95"/>
      <c r="G124" s="95"/>
      <c r="H124" s="97"/>
      <c r="I124" s="48" t="s">
        <v>132</v>
      </c>
      <c r="J124" s="49">
        <f ca="1">H120</f>
        <v>41</v>
      </c>
      <c r="K124" s="26"/>
    </row>
    <row r="125" spans="1:11" x14ac:dyDescent="0.3">
      <c r="A125" s="92" t="s">
        <v>256</v>
      </c>
      <c r="B125" s="93"/>
      <c r="C125" s="43">
        <v>12</v>
      </c>
      <c r="D125" s="55">
        <f ca="1">((100/(D120+F120+H120))*C125)/100</f>
        <v>0.2857142857142857</v>
      </c>
      <c r="E125" s="95"/>
      <c r="F125" s="95"/>
      <c r="G125" s="95"/>
      <c r="H125" s="97"/>
      <c r="I125" s="48" t="s">
        <v>133</v>
      </c>
      <c r="J125" s="50">
        <f ca="1">(IF(B120&gt;1,(H120/(B120+2)),H120/4))</f>
        <v>10.25</v>
      </c>
      <c r="K125" s="26"/>
    </row>
    <row r="126" spans="1:11" x14ac:dyDescent="0.3">
      <c r="A126" s="92" t="s">
        <v>242</v>
      </c>
      <c r="B126" s="93" t="s">
        <v>243</v>
      </c>
      <c r="C126" s="43">
        <f>C125-1</f>
        <v>11</v>
      </c>
      <c r="D126" s="55">
        <f ca="1">((100/H120)*C126)/100</f>
        <v>0.26829268292682928</v>
      </c>
      <c r="E126" s="95"/>
      <c r="F126" s="95"/>
      <c r="G126" s="95"/>
      <c r="H126" s="97"/>
      <c r="I126" s="48" t="s">
        <v>134</v>
      </c>
      <c r="J126" s="50">
        <f ca="1">(IF(B120&gt;1,(H120/(B120+2)+J125),H120/4+J125))</f>
        <v>20.5</v>
      </c>
      <c r="K126" s="26"/>
    </row>
    <row r="127" spans="1:11" x14ac:dyDescent="0.3">
      <c r="A127" s="92" t="s">
        <v>244</v>
      </c>
      <c r="B127" s="93" t="s">
        <v>243</v>
      </c>
      <c r="C127" s="43">
        <f>C126*0.75</f>
        <v>8.25</v>
      </c>
      <c r="D127" s="55">
        <f ca="1">((100/H120)*C127)/100</f>
        <v>0.20121951219512194</v>
      </c>
      <c r="E127" s="95"/>
      <c r="F127" s="95"/>
      <c r="G127" s="95"/>
      <c r="H127" s="97"/>
      <c r="I127" s="48" t="s">
        <v>245</v>
      </c>
      <c r="J127" s="50">
        <f>(IF(B120&gt;1,(H120/(B120+2)+J126),0))</f>
        <v>0</v>
      </c>
      <c r="K127" s="26"/>
    </row>
    <row r="128" spans="1:11" ht="15.75" customHeight="1" x14ac:dyDescent="0.3">
      <c r="A128" s="99" t="s">
        <v>246</v>
      </c>
      <c r="B128" s="100" t="s">
        <v>247</v>
      </c>
      <c r="C128" s="43">
        <f>C126*0.65</f>
        <v>7.15</v>
      </c>
      <c r="D128" s="55">
        <f ca="1">((100/(H120))*C128)/100</f>
        <v>0.17439024390243904</v>
      </c>
      <c r="E128" s="95"/>
      <c r="F128" s="95"/>
      <c r="G128" s="95"/>
      <c r="H128" s="97"/>
      <c r="I128" s="48" t="s">
        <v>248</v>
      </c>
      <c r="J128" s="50">
        <f>(IF(B120&gt;2,(H120/(B120+2)+J127),0))</f>
        <v>0</v>
      </c>
      <c r="K128" s="26"/>
    </row>
    <row r="129" spans="1:11" ht="16.2" thickBot="1" x14ac:dyDescent="0.35">
      <c r="A129" s="92" t="s">
        <v>249</v>
      </c>
      <c r="B129" s="93" t="s">
        <v>249</v>
      </c>
      <c r="C129" s="42">
        <v>0</v>
      </c>
      <c r="D129" s="55">
        <f ca="1">((100/H120)*C129)/100</f>
        <v>0</v>
      </c>
      <c r="E129" s="95"/>
      <c r="F129" s="95"/>
      <c r="G129" s="95"/>
      <c r="H129" s="97"/>
      <c r="I129" s="48" t="s">
        <v>250</v>
      </c>
      <c r="J129" s="51">
        <f>(IF(B120&gt;3,(H120/(B120+2)+J128),0))</f>
        <v>0</v>
      </c>
      <c r="K129" s="27"/>
    </row>
    <row r="130" spans="1:11" x14ac:dyDescent="0.3">
      <c r="A130" s="92" t="s">
        <v>251</v>
      </c>
      <c r="B130" s="93"/>
      <c r="C130" s="42">
        <v>0</v>
      </c>
      <c r="D130" s="55">
        <f ca="1">((100/H120)*C130)/100</f>
        <v>0</v>
      </c>
      <c r="E130" s="95"/>
      <c r="F130" s="95"/>
      <c r="G130" s="95"/>
      <c r="H130" s="97"/>
      <c r="I130" s="48" t="s">
        <v>252</v>
      </c>
      <c r="J130" s="50">
        <f>(IF(B120&gt;4,(H120/(B120+2)+J129),0))</f>
        <v>0</v>
      </c>
      <c r="K130" s="26"/>
    </row>
    <row r="131" spans="1:11" ht="15.75" customHeight="1" x14ac:dyDescent="0.3">
      <c r="A131" s="92" t="s">
        <v>253</v>
      </c>
      <c r="B131" s="93" t="s">
        <v>253</v>
      </c>
      <c r="C131" s="42">
        <v>0</v>
      </c>
      <c r="D131" s="55">
        <f ca="1">((100/(H120))*C131)/100</f>
        <v>0</v>
      </c>
      <c r="E131" s="95"/>
      <c r="F131" s="95"/>
      <c r="G131" s="95"/>
      <c r="H131" s="97"/>
      <c r="I131" s="48" t="s">
        <v>135</v>
      </c>
      <c r="J131" s="50">
        <f ca="1">(IF(B120=1,(H120/(B120+3)+J126),IF(B120=0,(H120/4+J126),IF(B120&gt;1,0))))</f>
        <v>30.75</v>
      </c>
      <c r="K131" s="26"/>
    </row>
    <row r="132" spans="1:11" ht="16.2" thickBot="1" x14ac:dyDescent="0.35">
      <c r="A132" s="101" t="s">
        <v>254</v>
      </c>
      <c r="B132" s="102"/>
      <c r="C132" s="58">
        <v>0</v>
      </c>
      <c r="D132" s="59">
        <f ca="1">((100/(H120))*C132)/100</f>
        <v>0</v>
      </c>
      <c r="E132" s="96"/>
      <c r="F132" s="96"/>
      <c r="G132" s="96"/>
      <c r="H132" s="98"/>
      <c r="I132" s="52" t="s">
        <v>136</v>
      </c>
      <c r="J132" s="53">
        <f ca="1">(IF(B120&gt;1.5,(H120/(B120+2)+J126+MAX(0,J127-J126)+MAX(0,J128-J127)+MAX(0,J129-J128)+MAX(0,J130-J129)+MAX(0,J131-J130)),IF(B120=1,(H120/(B120+3)+J131),IF(B120=0,H120/4+J131))))</f>
        <v>41</v>
      </c>
      <c r="K132" s="27"/>
    </row>
    <row r="133" spans="1:11" ht="15.75" customHeight="1" x14ac:dyDescent="0.3">
      <c r="A133" s="85" t="s">
        <v>238</v>
      </c>
      <c r="B133" s="86"/>
      <c r="C133" s="86" t="s">
        <v>327</v>
      </c>
      <c r="D133" s="86"/>
      <c r="E133" s="86"/>
      <c r="F133" s="86"/>
      <c r="G133" s="86"/>
      <c r="H133" s="87"/>
      <c r="I133" s="46" t="str">
        <f ca="1">(IF(E137&gt;99%,"All work completed. Please provide OC.",IF(E137&gt;89.8%,"Plinth, RCC, Brick, Plaster, Flooring, Painting work Completed. Finishing work is in process.",IF(E137&lt;94%,(IF(C137=0,"Work not yet Started.",IF(D137=25%,"Piling work in process",IF(D137=50%,"Excavation work in process",IF(D137=100%,"Excavation work Completed. ","0")))&amp;(IF(C138=0%,"",IF(C138=J139,"Footing work is process",IF(C138=J140,"Footing work Completed",IF(C138=J141,"1st Basement Completed",IF(C138=J142,"1st &amp; 2nd Basement Completed",IF(C138=J143,"1st to 3rd Basement Completed",IF(C138=J144,"1st to 4th Basement Completed",IF(C138=J145,"Plinth work is process",IF(C138=J146,"Plinth work completed","0")))))))))))&amp;(IF(C139=(D134+F134+H134),", RCC Slab",IF(C139&gt;0,", RCC upto "&amp;C139&amp;" Slab",""))&amp;(IF(C140=H134,", Brickwork",IF(C140&gt;0,", Brickwork upto "&amp;C140&amp;" Floor",""))&amp;(IF(C141=H134,", Internal Plaster",IF(C141&gt;0,", Internal Plaster upto "&amp;C141&amp;" Floor",""))&amp;(IF(C142=H134,", External Plaster",IF(C142&gt;0,", External Plaster upto "&amp;C142&amp;" Floor",""))&amp;(IF(C143=H134,", Flooring",IF(C143&gt;0,", Flooring upto "&amp;C143&amp;" Floor",""))&amp;(IF(C144=H134,", Painting",IF(C144&gt;0,", Painting upto "&amp;C144&amp;" Floor",""))&amp;(IF(C145&gt;0,", Finishing upto "&amp;C145&amp;" Floor","")&amp;(IF(C139&gt;0.5," Completed",""))))))))))))))</f>
        <v>Excavation work Completed. Plinth work completed, RCC upto 5 Slab, Brickwork upto 4 Floor, Internal Plaster upto 3 Floor, External Plaster upto 1.95 Floor Completed</v>
      </c>
      <c r="J133" s="23"/>
      <c r="K133" s="23"/>
    </row>
    <row r="134" spans="1:11" x14ac:dyDescent="0.3">
      <c r="A134" s="56" t="s">
        <v>102</v>
      </c>
      <c r="B134" s="54">
        <v>0</v>
      </c>
      <c r="C134" s="54" t="s">
        <v>104</v>
      </c>
      <c r="D134" s="54">
        <v>1</v>
      </c>
      <c r="E134" s="54" t="s">
        <v>103</v>
      </c>
      <c r="F134" s="54">
        <v>0</v>
      </c>
      <c r="G134" s="54" t="s">
        <v>114</v>
      </c>
      <c r="H134" s="57">
        <f ca="1">--TRIM(RIGHT(SUBSTITUTE(LEFT(C133,_xlfn.AGGREGATE(16,6,FIND({0,1,2,3,4,5,6,7,8,9},C133,ROW(INDIRECT("1:"&amp;LEN(C133)))),1))," ",REPT(" ",LEN(C133))),LEN(C133)))</f>
        <v>41</v>
      </c>
      <c r="I134" s="22"/>
      <c r="J134" s="24"/>
      <c r="K134" s="24"/>
    </row>
    <row r="135" spans="1:11" ht="48" customHeight="1" x14ac:dyDescent="0.3">
      <c r="A135" s="88" t="s">
        <v>125</v>
      </c>
      <c r="B135" s="89"/>
      <c r="C135" s="90" t="str">
        <f ca="1">I133</f>
        <v>Excavation work Completed. Plinth work completed, RCC upto 5 Slab, Brickwork upto 4 Floor, Internal Plaster upto 3 Floor, External Plaster upto 1.95 Floor Completed</v>
      </c>
      <c r="D135" s="90"/>
      <c r="E135" s="90"/>
      <c r="F135" s="90"/>
      <c r="G135" s="90"/>
      <c r="H135" s="91"/>
      <c r="I135" s="22" t="s">
        <v>137</v>
      </c>
      <c r="J135" s="24"/>
      <c r="K135" s="24"/>
    </row>
    <row r="136" spans="1:11" x14ac:dyDescent="0.3">
      <c r="A136" s="92" t="s">
        <v>51</v>
      </c>
      <c r="B136" s="93"/>
      <c r="C136" s="41" t="s">
        <v>239</v>
      </c>
      <c r="D136" s="41" t="s">
        <v>117</v>
      </c>
      <c r="E136" s="93" t="s">
        <v>119</v>
      </c>
      <c r="F136" s="93"/>
      <c r="G136" s="93" t="s">
        <v>118</v>
      </c>
      <c r="H136" s="94"/>
      <c r="I136" s="48" t="s">
        <v>240</v>
      </c>
      <c r="J136" s="25">
        <f ca="1">H134*25%</f>
        <v>10.25</v>
      </c>
      <c r="K136" s="25"/>
    </row>
    <row r="137" spans="1:11" x14ac:dyDescent="0.3">
      <c r="A137" s="92" t="s">
        <v>241</v>
      </c>
      <c r="B137" s="93"/>
      <c r="C137" s="42">
        <f ca="1">J138</f>
        <v>41</v>
      </c>
      <c r="D137" s="55">
        <f ca="1">((100/H134)*C137)/100</f>
        <v>1</v>
      </c>
      <c r="E137" s="95">
        <f ca="1">(((C138/H134*10)+(40/(D134+F134+H134)*C139)+(7.5/(H134)*C140)+(7.5/(H134)*C141)+(10/H134*C142)+(10/H134*C143)+(5/H134*C144)+(5/H134*C145)+(5/H134*C146))/100)</f>
        <v>0.16518002322880374</v>
      </c>
      <c r="F137" s="95"/>
      <c r="G137" s="95">
        <f ca="1">((((C137/H134)*20)+((C138/H134)*25)+(30/(H134+F134+D134)*C139)+(5/H134*C140)+(5/H134*C141)+(5/H134*C142)+(5/H134*C143)+(0/H134*C144)+(0/H134*C145)+(5/H134*C146))/100)</f>
        <v>0.49662891986062713</v>
      </c>
      <c r="H137" s="97"/>
      <c r="I137" s="48" t="s">
        <v>131</v>
      </c>
      <c r="J137" s="49">
        <f ca="1">H134*50%</f>
        <v>20.5</v>
      </c>
      <c r="K137" s="25"/>
    </row>
    <row r="138" spans="1:11" x14ac:dyDescent="0.3">
      <c r="A138" s="92" t="s">
        <v>52</v>
      </c>
      <c r="B138" s="93"/>
      <c r="C138" s="43">
        <v>41</v>
      </c>
      <c r="D138" s="55">
        <f ca="1">((100/H134)*C138)/100</f>
        <v>1</v>
      </c>
      <c r="E138" s="95"/>
      <c r="F138" s="95"/>
      <c r="G138" s="95"/>
      <c r="H138" s="97"/>
      <c r="I138" s="48" t="s">
        <v>132</v>
      </c>
      <c r="J138" s="49">
        <f ca="1">H134</f>
        <v>41</v>
      </c>
      <c r="K138" s="26"/>
    </row>
    <row r="139" spans="1:11" x14ac:dyDescent="0.3">
      <c r="A139" s="92" t="s">
        <v>256</v>
      </c>
      <c r="B139" s="93"/>
      <c r="C139" s="43">
        <v>5</v>
      </c>
      <c r="D139" s="55">
        <f ca="1">((100/(D134+F134+H134))*C139)/100</f>
        <v>0.11904761904761905</v>
      </c>
      <c r="E139" s="95"/>
      <c r="F139" s="95"/>
      <c r="G139" s="95"/>
      <c r="H139" s="97"/>
      <c r="I139" s="48" t="s">
        <v>133</v>
      </c>
      <c r="J139" s="50">
        <f ca="1">(IF(B134&gt;1,(H134/(B134+2)),H134/4))</f>
        <v>10.25</v>
      </c>
      <c r="K139" s="26"/>
    </row>
    <row r="140" spans="1:11" x14ac:dyDescent="0.3">
      <c r="A140" s="92" t="s">
        <v>242</v>
      </c>
      <c r="B140" s="93" t="s">
        <v>243</v>
      </c>
      <c r="C140" s="43">
        <f>C139-D134</f>
        <v>4</v>
      </c>
      <c r="D140" s="55">
        <f ca="1">((100/H134)*C140)/100</f>
        <v>9.7560975609756101E-2</v>
      </c>
      <c r="E140" s="95"/>
      <c r="F140" s="95"/>
      <c r="G140" s="95"/>
      <c r="H140" s="97"/>
      <c r="I140" s="48" t="s">
        <v>134</v>
      </c>
      <c r="J140" s="50">
        <f ca="1">(IF(B134&gt;1,(H134/(B134+2)+J139),H134/4+J139))</f>
        <v>20.5</v>
      </c>
      <c r="K140" s="26"/>
    </row>
    <row r="141" spans="1:11" x14ac:dyDescent="0.3">
      <c r="A141" s="92" t="s">
        <v>244</v>
      </c>
      <c r="B141" s="93" t="s">
        <v>243</v>
      </c>
      <c r="C141" s="43">
        <f>C140*0.75</f>
        <v>3</v>
      </c>
      <c r="D141" s="55">
        <f ca="1">((100/H134)*C141)/100</f>
        <v>7.3170731707317069E-2</v>
      </c>
      <c r="E141" s="95"/>
      <c r="F141" s="95"/>
      <c r="G141" s="95"/>
      <c r="H141" s="97"/>
      <c r="I141" s="48" t="s">
        <v>245</v>
      </c>
      <c r="J141" s="50">
        <f>(IF(B134&gt;1,(H134/(B134+2)+J140),0))</f>
        <v>0</v>
      </c>
      <c r="K141" s="26"/>
    </row>
    <row r="142" spans="1:11" ht="15.75" customHeight="1" x14ac:dyDescent="0.3">
      <c r="A142" s="99" t="s">
        <v>246</v>
      </c>
      <c r="B142" s="100" t="s">
        <v>247</v>
      </c>
      <c r="C142" s="43">
        <f>C141*0.65</f>
        <v>1.9500000000000002</v>
      </c>
      <c r="D142" s="55">
        <f ca="1">((100/(H134))*C142)/100</f>
        <v>4.7560975609756105E-2</v>
      </c>
      <c r="E142" s="95"/>
      <c r="F142" s="95"/>
      <c r="G142" s="95"/>
      <c r="H142" s="97"/>
      <c r="I142" s="48" t="s">
        <v>248</v>
      </c>
      <c r="J142" s="50">
        <f>(IF(B134&gt;2,(H134/(B134+2)+J141),0))</f>
        <v>0</v>
      </c>
      <c r="K142" s="26"/>
    </row>
    <row r="143" spans="1:11" ht="16.2" thickBot="1" x14ac:dyDescent="0.35">
      <c r="A143" s="92" t="s">
        <v>249</v>
      </c>
      <c r="B143" s="93" t="s">
        <v>249</v>
      </c>
      <c r="C143" s="42">
        <v>0</v>
      </c>
      <c r="D143" s="55">
        <f ca="1">((100/H134)*C143)/100</f>
        <v>0</v>
      </c>
      <c r="E143" s="95"/>
      <c r="F143" s="95"/>
      <c r="G143" s="95"/>
      <c r="H143" s="97"/>
      <c r="I143" s="48" t="s">
        <v>250</v>
      </c>
      <c r="J143" s="51">
        <f>(IF(B134&gt;3,(H134/(B134+2)+J142),0))</f>
        <v>0</v>
      </c>
      <c r="K143" s="27"/>
    </row>
    <row r="144" spans="1:11" x14ac:dyDescent="0.3">
      <c r="A144" s="92" t="s">
        <v>251</v>
      </c>
      <c r="B144" s="93"/>
      <c r="C144" s="42">
        <v>0</v>
      </c>
      <c r="D144" s="55">
        <f ca="1">((100/H134)*C144)/100</f>
        <v>0</v>
      </c>
      <c r="E144" s="95"/>
      <c r="F144" s="95"/>
      <c r="G144" s="95"/>
      <c r="H144" s="97"/>
      <c r="I144" s="48" t="s">
        <v>252</v>
      </c>
      <c r="J144" s="50">
        <f>(IF(B134&gt;4,(H134/(B134+2)+J143),0))</f>
        <v>0</v>
      </c>
      <c r="K144" s="26"/>
    </row>
    <row r="145" spans="1:11" ht="15.75" customHeight="1" x14ac:dyDescent="0.3">
      <c r="A145" s="92" t="s">
        <v>253</v>
      </c>
      <c r="B145" s="93" t="s">
        <v>253</v>
      </c>
      <c r="C145" s="42">
        <v>0</v>
      </c>
      <c r="D145" s="55">
        <f ca="1">((100/(H134))*C145)/100</f>
        <v>0</v>
      </c>
      <c r="E145" s="95"/>
      <c r="F145" s="95"/>
      <c r="G145" s="95"/>
      <c r="H145" s="97"/>
      <c r="I145" s="48" t="s">
        <v>135</v>
      </c>
      <c r="J145" s="50">
        <f ca="1">(IF(B134=1,(H134/(B134+3)+J140),IF(B134=0,(H134/4+J140),IF(B134&gt;1,0))))</f>
        <v>30.75</v>
      </c>
      <c r="K145" s="26"/>
    </row>
    <row r="146" spans="1:11" ht="16.2" thickBot="1" x14ac:dyDescent="0.35">
      <c r="A146" s="101" t="s">
        <v>254</v>
      </c>
      <c r="B146" s="102"/>
      <c r="C146" s="58">
        <v>0</v>
      </c>
      <c r="D146" s="59">
        <f ca="1">((100/(H134))*C146)/100</f>
        <v>0</v>
      </c>
      <c r="E146" s="96"/>
      <c r="F146" s="96"/>
      <c r="G146" s="96"/>
      <c r="H146" s="98"/>
      <c r="I146" s="52" t="s">
        <v>136</v>
      </c>
      <c r="J146" s="53">
        <f ca="1">(IF(B134&gt;1.5,(H134/(B134+2)+J140+MAX(0,J141-J140)+MAX(0,J142-J141)+MAX(0,J143-J142)+MAX(0,J144-J143)+MAX(0,J145-J144)),IF(B134=1,(H134/(B134+3)+J145),IF(B134=0,H134/4+J145))))</f>
        <v>41</v>
      </c>
      <c r="K146" s="27"/>
    </row>
    <row r="147" spans="1:11" ht="15.75" customHeight="1" x14ac:dyDescent="0.3">
      <c r="A147" s="118" t="s">
        <v>238</v>
      </c>
      <c r="B147" s="119"/>
      <c r="C147" s="120" t="s">
        <v>310</v>
      </c>
      <c r="D147" s="121"/>
      <c r="E147" s="121"/>
      <c r="F147" s="121"/>
      <c r="G147" s="121"/>
      <c r="H147" s="122"/>
      <c r="I147" s="46" t="str">
        <f ca="1">(IF(E151&gt;99%,"All work completed. Please provide OC.",IF(E151&gt;89.8%,"Plinth, RCC, Brick, Plaster, Flooring, Painting work Completed. Finishing work is in process.",IF(E151&lt;94%,(IF(C151=0,"Work not yet Started.",IF(D151=25%,"Piling work in process",IF(D151=50%,"Excavation work in process",IF(D151=100%,"Excavation work Completed. ","0")))&amp;(IF(C152=0%,"",IF(C152=J153,"Footing work is process",IF(C152=J154,"Footing work Completed",IF(C152=J155,"1st Basement Completed",IF(C152=J156,"1st &amp; 2nd Basement Completed",IF(C152=J157,"1st to 3rd Basement Completed",IF(C152=J158,"1st to 4th Basement Completed",IF(C152=J159,"Plinth work is process",IF(C152=J160,"Plinth work completed","0")))))))))))&amp;(IF(C153=(D148+F148+H148),", RCC Slab",IF(C153&gt;0,", RCC upto "&amp;C153&amp;" Slab",""))&amp;(IF(C154=H148,", Brickwork",IF(C154&gt;0,", Brickwork upto "&amp;C154&amp;" Floor",""))&amp;(IF(C155=H148,", Internal Plaster",IF(C155&gt;0,", Internal Plaster upto "&amp;C155&amp;" Floor",""))&amp;(IF(C156=H148,", External Plaster",IF(C156&gt;0,", External Plaster upto "&amp;C156&amp;" Floor",""))&amp;(IF(C157=H148,", Flooring",IF(C157&gt;0,", Flooring upto "&amp;C157&amp;" Floor",""))&amp;(IF(C158=H148,", Painting",IF(C158&gt;0,", Painting upto "&amp;C158&amp;" Floor",""))&amp;(IF(C159&gt;0,", Finishing upto "&amp;C159&amp;" Floor","")&amp;(IF(C153&gt;0.5," Completed",""))))))))))))))</f>
        <v>Excavation work Completed. Plinth work completed, RCC upto 9 Slab, Brickwork upto 8 Floor, Internal Plaster upto 6 Floor, External Plaster upto 5.2 Floor Completed</v>
      </c>
      <c r="J147" s="23"/>
      <c r="K147" s="23"/>
    </row>
    <row r="148" spans="1:11" x14ac:dyDescent="0.3">
      <c r="A148" s="56" t="s">
        <v>102</v>
      </c>
      <c r="B148" s="54">
        <v>0</v>
      </c>
      <c r="C148" s="54" t="s">
        <v>104</v>
      </c>
      <c r="D148" s="54">
        <v>1</v>
      </c>
      <c r="E148" s="54" t="s">
        <v>103</v>
      </c>
      <c r="F148" s="54">
        <v>0</v>
      </c>
      <c r="G148" s="54" t="s">
        <v>114</v>
      </c>
      <c r="H148" s="57">
        <f ca="1">--TRIM(RIGHT(SUBSTITUTE(LEFT(C147,_xlfn.AGGREGATE(16,6,FIND({0,1,2,3,4,5,6,7,8,9},C147,ROW(INDIRECT("1:"&amp;LEN(C147)))),1))," ",REPT(" ",LEN(C147))),LEN(C147)))</f>
        <v>41</v>
      </c>
      <c r="I148" s="22"/>
      <c r="J148" s="24"/>
      <c r="K148" s="24"/>
    </row>
    <row r="149" spans="1:11" ht="50.4" customHeight="1" x14ac:dyDescent="0.3">
      <c r="A149" s="88" t="s">
        <v>125</v>
      </c>
      <c r="B149" s="89"/>
      <c r="C149" s="90" t="str">
        <f ca="1">I147</f>
        <v>Excavation work Completed. Plinth work completed, RCC upto 9 Slab, Brickwork upto 8 Floor, Internal Plaster upto 6 Floor, External Plaster upto 5.2 Floor Completed</v>
      </c>
      <c r="D149" s="90"/>
      <c r="E149" s="90"/>
      <c r="F149" s="90"/>
      <c r="G149" s="90"/>
      <c r="H149" s="91"/>
      <c r="I149" s="22" t="s">
        <v>137</v>
      </c>
      <c r="J149" s="24"/>
      <c r="K149" s="24"/>
    </row>
    <row r="150" spans="1:11" x14ac:dyDescent="0.3">
      <c r="A150" s="92" t="s">
        <v>51</v>
      </c>
      <c r="B150" s="93"/>
      <c r="C150" s="41" t="s">
        <v>239</v>
      </c>
      <c r="D150" s="41" t="s">
        <v>117</v>
      </c>
      <c r="E150" s="93" t="s">
        <v>119</v>
      </c>
      <c r="F150" s="93"/>
      <c r="G150" s="93" t="s">
        <v>118</v>
      </c>
      <c r="H150" s="94"/>
      <c r="I150" s="48" t="s">
        <v>240</v>
      </c>
      <c r="J150" s="25">
        <f ca="1">H148*25%</f>
        <v>10.25</v>
      </c>
      <c r="K150" s="25"/>
    </row>
    <row r="151" spans="1:11" x14ac:dyDescent="0.3">
      <c r="A151" s="92" t="s">
        <v>241</v>
      </c>
      <c r="B151" s="93"/>
      <c r="C151" s="43">
        <f ca="1">J152</f>
        <v>41</v>
      </c>
      <c r="D151" s="55">
        <f ca="1">((100/H148)*C151)/100</f>
        <v>1</v>
      </c>
      <c r="E151" s="95">
        <f ca="1">(((C152/H148*10)+(40/(D148+F148+H148)*C153)+(7.5/(H148)*C154)+(7.5/(H148)*C155)+(10/H148*C156)+(10/H148*C157)+(5/H148*C158)+(5/H148*C159)+(5/H148*C160))/100)</f>
        <v>0.224006968641115</v>
      </c>
      <c r="F151" s="95"/>
      <c r="G151" s="95">
        <f ca="1">((((C151/H148)*20)+((C152/H148)*25)+(30/(H148+F148+D148)*C153)+(5/H148*C154)+(5/H148*C155)+(5/H148*C156)+(5/H148*C157)+(0/H148*C158)+(0/H148*C159)+(5/H148*C160))/100)</f>
        <v>0.53770034843205583</v>
      </c>
      <c r="H151" s="97"/>
      <c r="I151" s="48" t="s">
        <v>131</v>
      </c>
      <c r="J151" s="49">
        <f ca="1">H148*50%</f>
        <v>20.5</v>
      </c>
      <c r="K151" s="25"/>
    </row>
    <row r="152" spans="1:11" x14ac:dyDescent="0.3">
      <c r="A152" s="92" t="s">
        <v>52</v>
      </c>
      <c r="B152" s="93"/>
      <c r="C152" s="43">
        <v>41</v>
      </c>
      <c r="D152" s="55">
        <f ca="1">((100/H148)*C152)/100</f>
        <v>1</v>
      </c>
      <c r="E152" s="95"/>
      <c r="F152" s="95"/>
      <c r="G152" s="95"/>
      <c r="H152" s="97"/>
      <c r="I152" s="48" t="s">
        <v>132</v>
      </c>
      <c r="J152" s="49">
        <f ca="1">H148</f>
        <v>41</v>
      </c>
      <c r="K152" s="26"/>
    </row>
    <row r="153" spans="1:11" x14ac:dyDescent="0.3">
      <c r="A153" s="92" t="s">
        <v>256</v>
      </c>
      <c r="B153" s="93"/>
      <c r="C153" s="43">
        <v>9</v>
      </c>
      <c r="D153" s="55">
        <f ca="1">((100/(D148+F148+H148))*C153)/100</f>
        <v>0.21428571428571427</v>
      </c>
      <c r="E153" s="95"/>
      <c r="F153" s="95"/>
      <c r="G153" s="95"/>
      <c r="H153" s="97"/>
      <c r="I153" s="48" t="s">
        <v>133</v>
      </c>
      <c r="J153" s="50">
        <f ca="1">(IF(B148&gt;1,(H148/(B148+2)),H148/4))</f>
        <v>10.25</v>
      </c>
      <c r="K153" s="26"/>
    </row>
    <row r="154" spans="1:11" x14ac:dyDescent="0.3">
      <c r="A154" s="92" t="s">
        <v>242</v>
      </c>
      <c r="B154" s="93" t="s">
        <v>243</v>
      </c>
      <c r="C154" s="43">
        <f>C153-D148</f>
        <v>8</v>
      </c>
      <c r="D154" s="55">
        <f ca="1">((100/H148)*C154)/100</f>
        <v>0.1951219512195122</v>
      </c>
      <c r="E154" s="95"/>
      <c r="F154" s="95"/>
      <c r="G154" s="95"/>
      <c r="H154" s="97"/>
      <c r="I154" s="48" t="s">
        <v>134</v>
      </c>
      <c r="J154" s="50">
        <f ca="1">(IF(B148&gt;1,(H148/(B148+2)+J153),H148/4+J153))</f>
        <v>20.5</v>
      </c>
      <c r="K154" s="26"/>
    </row>
    <row r="155" spans="1:11" x14ac:dyDescent="0.3">
      <c r="A155" s="92" t="s">
        <v>244</v>
      </c>
      <c r="B155" s="93" t="s">
        <v>243</v>
      </c>
      <c r="C155" s="42">
        <f>C154*0.75</f>
        <v>6</v>
      </c>
      <c r="D155" s="55">
        <f ca="1">((100/H148)*C155)/100</f>
        <v>0.14634146341463414</v>
      </c>
      <c r="E155" s="95"/>
      <c r="F155" s="95"/>
      <c r="G155" s="95"/>
      <c r="H155" s="97"/>
      <c r="I155" s="48" t="s">
        <v>245</v>
      </c>
      <c r="J155" s="50">
        <f>(IF(B148&gt;1,(H148/(B148+2)+J154),0))</f>
        <v>0</v>
      </c>
      <c r="K155" s="26"/>
    </row>
    <row r="156" spans="1:11" ht="15.75" customHeight="1" x14ac:dyDescent="0.3">
      <c r="A156" s="99" t="s">
        <v>246</v>
      </c>
      <c r="B156" s="100" t="s">
        <v>247</v>
      </c>
      <c r="C156" s="43">
        <f>C154*0.65</f>
        <v>5.2</v>
      </c>
      <c r="D156" s="55">
        <f ca="1">((100/(H148))*C156)/100</f>
        <v>0.12682926829268293</v>
      </c>
      <c r="E156" s="95"/>
      <c r="F156" s="95"/>
      <c r="G156" s="95"/>
      <c r="H156" s="97"/>
      <c r="I156" s="48" t="s">
        <v>248</v>
      </c>
      <c r="J156" s="50">
        <f>(IF(B148&gt;2,(H148/(B148+2)+J155),0))</f>
        <v>0</v>
      </c>
      <c r="K156" s="26"/>
    </row>
    <row r="157" spans="1:11" ht="16.2" thickBot="1" x14ac:dyDescent="0.35">
      <c r="A157" s="92" t="s">
        <v>249</v>
      </c>
      <c r="B157" s="93" t="s">
        <v>249</v>
      </c>
      <c r="C157" s="42">
        <v>0</v>
      </c>
      <c r="D157" s="55">
        <f ca="1">((100/H148)*C157)/100</f>
        <v>0</v>
      </c>
      <c r="E157" s="95"/>
      <c r="F157" s="95"/>
      <c r="G157" s="95"/>
      <c r="H157" s="97"/>
      <c r="I157" s="48" t="s">
        <v>250</v>
      </c>
      <c r="J157" s="51">
        <f>(IF(B148&gt;3,(H148/(B148+2)+J156),0))</f>
        <v>0</v>
      </c>
      <c r="K157" s="27"/>
    </row>
    <row r="158" spans="1:11" x14ac:dyDescent="0.3">
      <c r="A158" s="92" t="s">
        <v>251</v>
      </c>
      <c r="B158" s="93"/>
      <c r="C158" s="42">
        <v>0</v>
      </c>
      <c r="D158" s="55">
        <f ca="1">((100/H148)*C158)/100</f>
        <v>0</v>
      </c>
      <c r="E158" s="95"/>
      <c r="F158" s="95"/>
      <c r="G158" s="95"/>
      <c r="H158" s="97"/>
      <c r="I158" s="48" t="s">
        <v>252</v>
      </c>
      <c r="J158" s="50">
        <f>(IF(B148&gt;4,(H148/(B148+2)+J157),0))</f>
        <v>0</v>
      </c>
      <c r="K158" s="26"/>
    </row>
    <row r="159" spans="1:11" ht="15.75" customHeight="1" x14ac:dyDescent="0.3">
      <c r="A159" s="92" t="s">
        <v>253</v>
      </c>
      <c r="B159" s="93" t="s">
        <v>253</v>
      </c>
      <c r="C159" s="42">
        <v>0</v>
      </c>
      <c r="D159" s="55">
        <f ca="1">((100/(H148))*C159)/100</f>
        <v>0</v>
      </c>
      <c r="E159" s="95"/>
      <c r="F159" s="95"/>
      <c r="G159" s="95"/>
      <c r="H159" s="97"/>
      <c r="I159" s="48" t="s">
        <v>135</v>
      </c>
      <c r="J159" s="50">
        <f ca="1">(IF(B148=1,(H148/(B148+3)+J154),IF(B148=0,(H148/4+J154),IF(B148&gt;1,0))))</f>
        <v>30.75</v>
      </c>
      <c r="K159" s="26"/>
    </row>
    <row r="160" spans="1:11" ht="16.2" thickBot="1" x14ac:dyDescent="0.35">
      <c r="A160" s="101" t="s">
        <v>254</v>
      </c>
      <c r="B160" s="102"/>
      <c r="C160" s="58">
        <v>0</v>
      </c>
      <c r="D160" s="59">
        <f ca="1">((100/(H148))*C160)/100</f>
        <v>0</v>
      </c>
      <c r="E160" s="96"/>
      <c r="F160" s="96"/>
      <c r="G160" s="96"/>
      <c r="H160" s="98"/>
      <c r="I160" s="52" t="s">
        <v>136</v>
      </c>
      <c r="J160" s="53">
        <f ca="1">(IF(B148&gt;1.5,(H148/(B148+2)+J154+MAX(0,J155-J154)+MAX(0,J156-J155)+MAX(0,J157-J156)+MAX(0,J158-J157)+MAX(0,J159-J158)),IF(B148=1,(H148/(B148+3)+J159),IF(B148=0,H148/4+J159))))</f>
        <v>41</v>
      </c>
      <c r="K160" s="27"/>
    </row>
    <row r="161" spans="1:11" x14ac:dyDescent="0.3">
      <c r="A161" s="142" t="s">
        <v>207</v>
      </c>
      <c r="B161" s="142"/>
      <c r="C161" s="142"/>
      <c r="D161" s="142"/>
      <c r="E161" s="142"/>
      <c r="F161" s="142"/>
      <c r="G161" s="142"/>
      <c r="H161" s="142"/>
    </row>
    <row r="162" spans="1:11" x14ac:dyDescent="0.3">
      <c r="A162" s="140" t="s">
        <v>53</v>
      </c>
      <c r="B162" s="140"/>
      <c r="C162" s="140"/>
      <c r="D162" s="140"/>
      <c r="E162" s="140"/>
      <c r="F162" s="140"/>
      <c r="G162" s="140"/>
      <c r="H162" s="140"/>
    </row>
    <row r="163" spans="1:11" ht="15" customHeight="1" x14ac:dyDescent="0.3">
      <c r="A163" s="89" t="s">
        <v>106</v>
      </c>
      <c r="B163" s="89"/>
      <c r="C163" s="90" t="s">
        <v>107</v>
      </c>
      <c r="D163" s="90"/>
      <c r="E163" s="90"/>
      <c r="F163" s="90"/>
      <c r="G163" s="90"/>
      <c r="H163" s="90"/>
      <c r="I163" s="8" t="s">
        <v>316</v>
      </c>
      <c r="J163" s="8" t="s">
        <v>317</v>
      </c>
      <c r="K163" s="67">
        <v>45300</v>
      </c>
    </row>
    <row r="164" spans="1:11" x14ac:dyDescent="0.3">
      <c r="A164" s="143" t="s">
        <v>54</v>
      </c>
      <c r="B164" s="143"/>
      <c r="C164" s="143"/>
      <c r="D164" s="143"/>
      <c r="E164" s="143"/>
      <c r="F164" s="143"/>
      <c r="G164" s="143"/>
      <c r="H164" s="143"/>
      <c r="I164" s="8" t="s">
        <v>318</v>
      </c>
      <c r="J164" s="8" t="s">
        <v>317</v>
      </c>
      <c r="K164" s="67">
        <v>45320</v>
      </c>
    </row>
    <row r="165" spans="1:11" x14ac:dyDescent="0.3">
      <c r="A165" s="140" t="s">
        <v>108</v>
      </c>
      <c r="B165" s="140"/>
      <c r="C165" s="140"/>
      <c r="D165" s="140"/>
      <c r="E165" s="140"/>
      <c r="F165" s="144">
        <v>8250</v>
      </c>
      <c r="G165" s="144"/>
      <c r="H165" s="144"/>
      <c r="I165" s="8" t="s">
        <v>321</v>
      </c>
      <c r="J165" s="8" t="s">
        <v>317</v>
      </c>
      <c r="K165" s="67">
        <v>45422</v>
      </c>
    </row>
    <row r="166" spans="1:11" s="13" customFormat="1" x14ac:dyDescent="0.25">
      <c r="A166" s="140" t="s">
        <v>130</v>
      </c>
      <c r="B166" s="140"/>
      <c r="C166" s="140"/>
      <c r="D166" s="140"/>
      <c r="E166" s="140"/>
      <c r="F166" s="170" t="s">
        <v>320</v>
      </c>
      <c r="G166" s="170"/>
      <c r="H166" s="170"/>
    </row>
    <row r="167" spans="1:11" s="13" customFormat="1" x14ac:dyDescent="0.25">
      <c r="A167" s="140" t="s">
        <v>271</v>
      </c>
      <c r="B167" s="140"/>
      <c r="C167" s="140"/>
      <c r="D167" s="140"/>
      <c r="E167" s="140"/>
      <c r="F167" s="144">
        <v>89100</v>
      </c>
      <c r="G167" s="144"/>
      <c r="H167" s="144"/>
    </row>
    <row r="168" spans="1:11" s="13" customFormat="1" x14ac:dyDescent="0.25">
      <c r="A168" s="140" t="s">
        <v>272</v>
      </c>
      <c r="B168" s="140"/>
      <c r="C168" s="140"/>
      <c r="D168" s="140"/>
      <c r="E168" s="140"/>
      <c r="F168" s="144">
        <v>89100</v>
      </c>
      <c r="G168" s="144"/>
      <c r="H168" s="144"/>
    </row>
    <row r="169" spans="1:11" s="13" customFormat="1" x14ac:dyDescent="0.25">
      <c r="A169" s="140" t="s">
        <v>322</v>
      </c>
      <c r="B169" s="140"/>
      <c r="C169" s="140"/>
      <c r="D169" s="140"/>
      <c r="E169" s="140"/>
      <c r="F169" s="144">
        <v>350000</v>
      </c>
      <c r="G169" s="144"/>
      <c r="H169" s="144"/>
    </row>
    <row r="170" spans="1:11" s="13" customFormat="1" x14ac:dyDescent="0.25">
      <c r="A170" s="140" t="s">
        <v>273</v>
      </c>
      <c r="B170" s="140"/>
      <c r="C170" s="140"/>
      <c r="D170" s="140"/>
      <c r="E170" s="140"/>
      <c r="F170" s="144">
        <v>25000</v>
      </c>
      <c r="G170" s="144"/>
      <c r="H170" s="144"/>
    </row>
    <row r="171" spans="1:11" s="13" customFormat="1" x14ac:dyDescent="0.25">
      <c r="A171" s="140" t="s">
        <v>274</v>
      </c>
      <c r="B171" s="140"/>
      <c r="C171" s="140"/>
      <c r="D171" s="140"/>
      <c r="E171" s="140"/>
      <c r="F171" s="144">
        <v>75000</v>
      </c>
      <c r="G171" s="144"/>
      <c r="H171" s="144"/>
    </row>
    <row r="172" spans="1:11" x14ac:dyDescent="0.3">
      <c r="A172" s="140" t="s">
        <v>55</v>
      </c>
      <c r="B172" s="140"/>
      <c r="C172" s="140"/>
      <c r="D172" s="140"/>
      <c r="E172" s="140"/>
      <c r="F172" s="144">
        <v>500000</v>
      </c>
      <c r="G172" s="144"/>
      <c r="H172" s="144"/>
      <c r="J172" s="8">
        <f>13000000-700000</f>
        <v>12300000</v>
      </c>
    </row>
    <row r="173" spans="1:11" s="9" customFormat="1" x14ac:dyDescent="0.3">
      <c r="A173" s="143" t="s">
        <v>56</v>
      </c>
      <c r="B173" s="143"/>
      <c r="C173" s="143"/>
      <c r="D173" s="143"/>
      <c r="E173" s="143"/>
      <c r="F173" s="144">
        <f>F165*0.8</f>
        <v>6600</v>
      </c>
      <c r="G173" s="144"/>
      <c r="H173" s="144"/>
    </row>
    <row r="174" spans="1:11" s="1" customFormat="1" ht="15.75" customHeight="1" x14ac:dyDescent="0.3">
      <c r="A174" s="164" t="s">
        <v>101</v>
      </c>
      <c r="B174" s="164"/>
      <c r="C174" s="164"/>
      <c r="D174" s="164"/>
      <c r="E174" s="164"/>
      <c r="F174" s="164"/>
      <c r="G174" s="164"/>
      <c r="H174" s="164"/>
    </row>
    <row r="175" spans="1:11" s="1" customFormat="1" ht="15.75" customHeight="1" x14ac:dyDescent="0.3">
      <c r="A175" s="123" t="s">
        <v>57</v>
      </c>
      <c r="B175" s="123"/>
      <c r="C175" s="15" t="s">
        <v>112</v>
      </c>
      <c r="D175" s="124" t="s">
        <v>58</v>
      </c>
      <c r="E175" s="124"/>
      <c r="F175" s="123" t="s">
        <v>59</v>
      </c>
      <c r="G175" s="123"/>
      <c r="H175" s="123"/>
    </row>
    <row r="176" spans="1:11" s="1" customFormat="1" x14ac:dyDescent="0.3">
      <c r="A176" s="81" t="s">
        <v>165</v>
      </c>
      <c r="B176" s="81"/>
      <c r="C176" s="16">
        <f>COUNT(D191:D192)+COUNT(D194:D199)+COUNT(D201:D208)+COUNT(D210:D217)+COUNT(D219:D226)+COUNT(D228:D235)+COUNT(D237:D243)+COUNT(D246:D253)*26+COUNT(D255:D261)*6</f>
        <v>297</v>
      </c>
      <c r="D176" s="82">
        <f>SUM(D191:D192)+SUM(D194:D199)+SUM(D201:D208)+SUM(D210:D217)+SUM(D219:D226)+SUM(D228:D235)+SUM(D237:D243)+SUM(D246:D253)*26+SUM(D255:D261)*6</f>
        <v>152124.20842319998</v>
      </c>
      <c r="E176" s="82"/>
      <c r="F176" s="83">
        <f>SUM(D191:D192)+SUM(D194:D199)+SUM(D201:D208)+SUM(D210:D217)+SUM(D219:D226)+SUM(D228:D235)+SUM(D237:D243)+SUM(D246:D253)*26+SUM(D255:D261)*6</f>
        <v>152124.20842319998</v>
      </c>
      <c r="G176" s="83"/>
      <c r="H176" s="83"/>
    </row>
    <row r="177" spans="1:8" s="1" customFormat="1" x14ac:dyDescent="0.3">
      <c r="A177" s="81" t="s">
        <v>187</v>
      </c>
      <c r="B177" s="81"/>
      <c r="C177" s="16">
        <f>1+COUNT(D270:D271)+COUNT(D273:D276)+COUNT(D278:D284)+COUNT(D286:D292)+COUNT(D294:D301)+COUNT(D303:D309)+COUNT(D312:D319)*26+COUNT(D321:D327)*6</f>
        <v>286</v>
      </c>
      <c r="D177" s="82">
        <f>D268+SUM(D270:D271)+SUM(D273:D276)+SUM(D278:D284)+SUM(D286:D292)+SUM(D294:D301)+SUM(D303:D309)+SUM(D312:D319)*26+SUM(D321:D327)*6</f>
        <v>146445.6020976</v>
      </c>
      <c r="E177" s="82"/>
      <c r="F177" s="83">
        <f>D268+SUM(D270:D271)+SUM(D273:D276)+SUM(D278:D284)+SUM(D286:D292)+SUM(D294:D301)+SUM(D303:D309)+SUM(D312:D319)*26+SUM(D321:D327)*6</f>
        <v>146445.6020976</v>
      </c>
      <c r="G177" s="83"/>
      <c r="H177" s="83"/>
    </row>
    <row r="178" spans="1:8" s="1" customFormat="1" x14ac:dyDescent="0.3">
      <c r="A178" s="81" t="s">
        <v>188</v>
      </c>
      <c r="B178" s="81"/>
      <c r="C178" s="16">
        <f>COUNT(D337:D340)+COUNT(D342:D347)+COUNT(D349:D356)+COUNT(D358:D365)+COUNT(D367:D374)*26+COUNT(D376:D382)*6</f>
        <v>276</v>
      </c>
      <c r="D178" s="82">
        <f>SUM(D337:D340)+SUM(D342:D347)+SUM(D349:D356)+SUM(D358:D365)+SUM(D367:D374)*26+SUM(D376:D382)*6</f>
        <v>147012.69159720003</v>
      </c>
      <c r="E178" s="82"/>
      <c r="F178" s="83">
        <f>SUM(D337:D340)+SUM(D342:D347)+SUM(D349:D356)+SUM(D358:D365)+SUM(D367:D374)*26+SUM(D376:D382)*6</f>
        <v>147012.69159720003</v>
      </c>
      <c r="G178" s="83"/>
      <c r="H178" s="83"/>
    </row>
    <row r="179" spans="1:8" s="1" customFormat="1" x14ac:dyDescent="0.3">
      <c r="A179" s="81" t="s">
        <v>259</v>
      </c>
      <c r="B179" s="81"/>
      <c r="C179" s="16">
        <f>COUNT(D390)+COUNT(D392:D394)+COUNT(D396:D403)+COUNT(D405:D412)+COUNT(D414:D421)+COUNT(D423:D430)*19+COUNT(D432:D439)*14</f>
        <v>292</v>
      </c>
      <c r="D179" s="82">
        <f>SUM(D390)+SUM(D392:D394)+SUM(D396:D403)+SUM(D405:D412)+SUM(D414:D421)+SUM(D423:D430)*19+SUM(D432:D439)*14</f>
        <v>252219.76387919992</v>
      </c>
      <c r="E179" s="82"/>
      <c r="F179" s="83">
        <f>SUM(F390)+SUM(F392:F394)+SUM(F396:F403)+SUM(F405:F412)+SUM(F414:F421)+SUM(F423:F430)*19+SUM(F432:F439)*14</f>
        <v>403551.62220671994</v>
      </c>
      <c r="G179" s="83"/>
      <c r="H179" s="83"/>
    </row>
    <row r="180" spans="1:8" s="1" customFormat="1" x14ac:dyDescent="0.3">
      <c r="A180" s="81" t="s">
        <v>278</v>
      </c>
      <c r="B180" s="81"/>
      <c r="C180" s="16">
        <f>COUNT(D443)+COUNT(D445:D448)+COUNT(D451:D454)+COUNT(D457:D460)+COUNT(D463:D466)+COUNT(D469:D474)+COUNT(D476:D481)+COUNT(D483:D490)+COUNT(D492:D499)+COUNT(D501:D508)*26+COUNT(D510:D511,D513:D517)*6</f>
        <v>295</v>
      </c>
      <c r="D180" s="82">
        <f>SUM(D443)+SUM(D445:D448)+SUM(D451:D454)+SUM(D457:D460)+SUM(D463:D466)+SUM(D469:D474)+SUM(D476:D481)+SUM(D483:D490)+SUM(D492:D499)+SUM(D501:D508)*26+SUM(D510:D511,D513:D517)*6</f>
        <v>169115.47520399996</v>
      </c>
      <c r="E180" s="82"/>
      <c r="F180" s="83">
        <f>SUM(F443)+SUM(F445:F448)+SUM(F451:F454)+SUM(F457:F460)+SUM(F463:F466)+SUM(F469:F474)+SUM(F476:F481)+SUM(F483:F490)+SUM(F492:F499)+SUM(F501:F508)*26+SUM(F510:F511,F513:F517)*6</f>
        <v>270584.76032639993</v>
      </c>
      <c r="G180" s="83"/>
      <c r="H180" s="83"/>
    </row>
    <row r="181" spans="1:8" s="1" customFormat="1" x14ac:dyDescent="0.3">
      <c r="A181" s="81" t="s">
        <v>328</v>
      </c>
      <c r="B181" s="81"/>
      <c r="C181" s="16">
        <f>COUNT(D523:D524,D527)+COUNT(D532:D536)+COUNT(D541:D545)+COUNT(D550:D554)+COUNT(D559:D564)+COUNT(D568:D573)+COUNT(D575:D582)+COUNT(D584:D591)*7+COUNT(D593:D600)*20+COUNT(D602:D603,D605:D609)*2+COUNT(D611:D612,D614:D618)*5</f>
        <v>303</v>
      </c>
      <c r="D181" s="82">
        <f>SUM(D523:D524,D527)+SUM(D532:D536)+SUM(D541:D545)+SUM(D550:D554)+SUM(D559:D564)+SUM(D568:D573)+SUM(D575:D582)+SUM(D584:D591)*7+SUM(D593:D600)*20+SUM(D602:D603,D605:D609)*2+SUM(D611:D612,D614:D618)*5</f>
        <v>152132.86483199999</v>
      </c>
      <c r="E181" s="82"/>
      <c r="F181" s="83">
        <f>SUM(F523:F524,F527)+SUM(F532:F536)+SUM(F541:F545)+SUM(F550:F554)+SUM(F559:F564)+SUM(F568:F573)+SUM(F575:F582)+SUM(F584:F591)*7+SUM(F593:F600)*20+SUM(F602:F603,F605:F609)*2+SUM(F611:F612,F614:F618)*5</f>
        <v>243412.58373119996</v>
      </c>
      <c r="G181" s="83"/>
      <c r="H181" s="83"/>
    </row>
    <row r="182" spans="1:8" s="1" customFormat="1" ht="16.2" thickBot="1" x14ac:dyDescent="0.35">
      <c r="A182" s="115" t="s">
        <v>309</v>
      </c>
      <c r="B182" s="115"/>
      <c r="C182" s="64">
        <f>COUNT(D623:D624)+COUNT(D632:D633,D636:D637)+COUNT(D639:D646)+COUNT(D648:D655)+COUNT(D657:D663)+COUNT(D666:D673)+COUNT(D675:D682)*9+COUNT(D684:D691)*20+COUNT(D693:D699)*2+COUNT(D702:D708)*5</f>
        <v>318</v>
      </c>
      <c r="D182" s="116">
        <f>SUM(D623:D624)+SUM(D632:D633,D636:D637)+SUM(D639:D646)+SUM(D648:D655)+SUM(D657:D663)+SUM(D666:D673)+SUM(D675:D682)*9+SUM(D684:D691)*20+SUM(D693:D699)*2+SUM(D702:D708)*5</f>
        <v>182995.03965599998</v>
      </c>
      <c r="E182" s="116"/>
      <c r="F182" s="117">
        <f>SUM(F623:F624)+SUM(F632:F633,F636:F637)+SUM(F639:F646)+SUM(F648:F655)+SUM(F657:F663)+SUM(F666:F673)+SUM(F675:F682)*9+SUM(F684:F691)*20+SUM(F693:F699)*2+SUM(F702:F708)*5</f>
        <v>292792.06344960001</v>
      </c>
      <c r="G182" s="117"/>
      <c r="H182" s="117"/>
    </row>
    <row r="183" spans="1:8" s="1" customFormat="1" ht="16.2" thickBot="1" x14ac:dyDescent="0.35">
      <c r="A183" s="125" t="s">
        <v>61</v>
      </c>
      <c r="B183" s="126"/>
      <c r="C183" s="65">
        <f>SUM(C176:C182)</f>
        <v>2067</v>
      </c>
      <c r="D183" s="127">
        <f>SUM(D176:D182)</f>
        <v>1202045.6456891997</v>
      </c>
      <c r="E183" s="127"/>
      <c r="F183" s="128">
        <f>SUM(F176:F182)</f>
        <v>1655923.5318319199</v>
      </c>
      <c r="G183" s="128"/>
      <c r="H183" s="129"/>
    </row>
    <row r="184" spans="1:8" s="9" customFormat="1" x14ac:dyDescent="0.3">
      <c r="A184" s="137" t="s">
        <v>62</v>
      </c>
      <c r="B184" s="137"/>
      <c r="C184" s="137"/>
      <c r="D184" s="137"/>
      <c r="E184" s="137"/>
      <c r="F184" s="137"/>
      <c r="G184" s="137"/>
      <c r="H184" s="137"/>
    </row>
    <row r="185" spans="1:8" x14ac:dyDescent="0.3">
      <c r="A185" s="141" t="s">
        <v>63</v>
      </c>
      <c r="B185" s="141"/>
      <c r="C185" s="141"/>
      <c r="D185" s="141"/>
      <c r="E185" s="141"/>
      <c r="F185" s="141"/>
      <c r="G185" s="141"/>
      <c r="H185" s="141"/>
    </row>
    <row r="186" spans="1:8" ht="47.25" customHeight="1" x14ac:dyDescent="0.3">
      <c r="A186" s="131" t="s">
        <v>109</v>
      </c>
      <c r="B186" s="131"/>
      <c r="C186" s="47" t="s">
        <v>64</v>
      </c>
      <c r="D186" s="47" t="s">
        <v>65</v>
      </c>
      <c r="E186" s="17" t="s">
        <v>66</v>
      </c>
      <c r="F186" s="47" t="s">
        <v>67</v>
      </c>
      <c r="G186" s="131" t="s">
        <v>68</v>
      </c>
      <c r="H186" s="131"/>
    </row>
    <row r="187" spans="1:8" s="2" customFormat="1" x14ac:dyDescent="0.3">
      <c r="A187" s="165" t="s">
        <v>164</v>
      </c>
      <c r="B187" s="165"/>
      <c r="C187" s="165"/>
      <c r="D187" s="165"/>
      <c r="E187" s="165"/>
      <c r="F187" s="165"/>
      <c r="G187" s="165"/>
      <c r="H187" s="165"/>
    </row>
    <row r="188" spans="1:8" s="2" customFormat="1" x14ac:dyDescent="0.3">
      <c r="A188" s="133" t="s">
        <v>165</v>
      </c>
      <c r="B188" s="133"/>
      <c r="C188" s="133"/>
      <c r="D188" s="133"/>
      <c r="E188" s="133"/>
      <c r="F188" s="133"/>
      <c r="G188" s="133"/>
      <c r="H188" s="133"/>
    </row>
    <row r="189" spans="1:8" s="2" customFormat="1" x14ac:dyDescent="0.3">
      <c r="A189" s="132" t="s">
        <v>213</v>
      </c>
      <c r="B189" s="132"/>
      <c r="C189" s="132"/>
      <c r="D189" s="132"/>
      <c r="E189" s="132"/>
      <c r="F189" s="132"/>
      <c r="G189" s="132"/>
      <c r="H189" s="132"/>
    </row>
    <row r="190" spans="1:8" s="2" customFormat="1" x14ac:dyDescent="0.3">
      <c r="A190" s="132" t="s">
        <v>214</v>
      </c>
      <c r="B190" s="132"/>
      <c r="C190" s="132"/>
      <c r="D190" s="132"/>
      <c r="E190" s="132"/>
      <c r="F190" s="132"/>
      <c r="G190" s="132"/>
      <c r="H190" s="132"/>
    </row>
    <row r="191" spans="1:8" s="2" customFormat="1" x14ac:dyDescent="0.3">
      <c r="A191" s="130">
        <v>101</v>
      </c>
      <c r="B191" s="130"/>
      <c r="C191" s="39" t="s">
        <v>166</v>
      </c>
      <c r="D191" s="39">
        <f>(3*5.49+2.08*2.44+2.95*3.05+3*3.3+1.2*2.18+1.2*2.18+2.58*1.07+1*2.95+1.19*2.65+1.17*1.78)*10.764</f>
        <v>609.47274959999993</v>
      </c>
      <c r="E191" s="39">
        <v>0</v>
      </c>
      <c r="F191" s="39">
        <f>D191*1.6+E191</f>
        <v>975.15639935999991</v>
      </c>
      <c r="G191" s="130" t="s">
        <v>215</v>
      </c>
      <c r="H191" s="130"/>
    </row>
    <row r="192" spans="1:8" s="2" customFormat="1" x14ac:dyDescent="0.3">
      <c r="A192" s="130">
        <v>102</v>
      </c>
      <c r="B192" s="130"/>
      <c r="C192" s="39" t="s">
        <v>166</v>
      </c>
      <c r="D192" s="39">
        <f>(3*5.49+2.08*2.44+2.95*3.05+3*3.3+1.2*2.18+1.2*2.18+2.58*1.07+1*2.95+1.19*2.65+1.17*1.78)*10.764</f>
        <v>609.47274959999993</v>
      </c>
      <c r="E192" s="39">
        <v>0</v>
      </c>
      <c r="F192" s="39">
        <f>D192*1.6+E192</f>
        <v>975.15639935999991</v>
      </c>
      <c r="G192" s="130"/>
      <c r="H192" s="130"/>
    </row>
    <row r="193" spans="1:8" s="2" customFormat="1" x14ac:dyDescent="0.3">
      <c r="A193" s="132" t="s">
        <v>216</v>
      </c>
      <c r="B193" s="132"/>
      <c r="C193" s="132"/>
      <c r="D193" s="132"/>
      <c r="E193" s="132"/>
      <c r="F193" s="132"/>
      <c r="G193" s="132"/>
      <c r="H193" s="132"/>
    </row>
    <row r="194" spans="1:8" s="2" customFormat="1" x14ac:dyDescent="0.3">
      <c r="A194" s="130">
        <v>201</v>
      </c>
      <c r="B194" s="130"/>
      <c r="C194" s="39" t="s">
        <v>167</v>
      </c>
      <c r="D194" s="39">
        <f>(3.025*4.61+2.03*2.44+3*3.05+2.08*1.17*2+1*2.03+1.865*1.17)*10.764</f>
        <v>399.64256279999995</v>
      </c>
      <c r="E194" s="39">
        <v>0</v>
      </c>
      <c r="F194" s="39">
        <f>D194*1.6+E194</f>
        <v>639.42810048000001</v>
      </c>
      <c r="G194" s="130" t="str">
        <f>A193</f>
        <v>2nd Floor (Level 13.2 M)</v>
      </c>
      <c r="H194" s="130"/>
    </row>
    <row r="195" spans="1:8" s="2" customFormat="1" x14ac:dyDescent="0.3">
      <c r="A195" s="130">
        <v>202</v>
      </c>
      <c r="B195" s="130"/>
      <c r="C195" s="39" t="s">
        <v>167</v>
      </c>
      <c r="D195" s="39">
        <f>(3.025*4.61+2.03*2.44+3*3.05+2.08*1.17*2+1*2.03+1.865*1.17)*10.764</f>
        <v>399.64256279999995</v>
      </c>
      <c r="E195" s="39">
        <v>0</v>
      </c>
      <c r="F195" s="39">
        <f t="shared" ref="F195:F198" si="0">D195*1.6+E195</f>
        <v>639.42810048000001</v>
      </c>
      <c r="G195" s="130"/>
      <c r="H195" s="130"/>
    </row>
    <row r="196" spans="1:8" s="2" customFormat="1" x14ac:dyDescent="0.3">
      <c r="A196" s="130">
        <v>203</v>
      </c>
      <c r="B196" s="130"/>
      <c r="C196" s="39" t="s">
        <v>166</v>
      </c>
      <c r="D196" s="39">
        <f>(3*5.49+2.08*2.44+2.95*3.05+3*3.3+1.2*2.18+1.2*2.18+2.58*1.07+1*2.95+1.19*2.65+1.17*1.78)*10.764</f>
        <v>609.47274959999993</v>
      </c>
      <c r="E196" s="39">
        <v>0</v>
      </c>
      <c r="F196" s="39">
        <f t="shared" si="0"/>
        <v>975.15639935999991</v>
      </c>
      <c r="G196" s="130"/>
      <c r="H196" s="130"/>
    </row>
    <row r="197" spans="1:8" s="2" customFormat="1" x14ac:dyDescent="0.3">
      <c r="A197" s="130">
        <v>204</v>
      </c>
      <c r="B197" s="130"/>
      <c r="C197" s="39" t="s">
        <v>166</v>
      </c>
      <c r="D197" s="39">
        <f>(3*5.49+2.08*2.44+2.95*3.05+3*3.3+1.2*2.18+1.2*2.18+2.58*1.07+1*2.95+1.19*2.65+1.17*1.78)*10.764</f>
        <v>609.47274959999993</v>
      </c>
      <c r="E197" s="39">
        <v>0</v>
      </c>
      <c r="F197" s="39">
        <f t="shared" si="0"/>
        <v>975.15639935999991</v>
      </c>
      <c r="G197" s="130"/>
      <c r="H197" s="130"/>
    </row>
    <row r="198" spans="1:8" s="2" customFormat="1" x14ac:dyDescent="0.3">
      <c r="A198" s="130">
        <v>205</v>
      </c>
      <c r="B198" s="130"/>
      <c r="C198" s="39" t="s">
        <v>166</v>
      </c>
      <c r="D198" s="39">
        <f>(3*5.49+2.08*2.44+2.95*3.05+3*3.3+1.2*2.18+1.2*2.18+2.58*1.07+1*2.95+1.19*2.65+1.17*1.78)*10.764</f>
        <v>609.47274959999993</v>
      </c>
      <c r="E198" s="39">
        <v>0</v>
      </c>
      <c r="F198" s="39">
        <f t="shared" si="0"/>
        <v>975.15639935999991</v>
      </c>
      <c r="G198" s="130"/>
      <c r="H198" s="130"/>
    </row>
    <row r="199" spans="1:8" s="2" customFormat="1" x14ac:dyDescent="0.3">
      <c r="A199" s="130">
        <v>206</v>
      </c>
      <c r="B199" s="130"/>
      <c r="C199" s="39" t="s">
        <v>166</v>
      </c>
      <c r="D199" s="39">
        <f>(3*5.49+2.08*2.44+2.95*3.05+3*3.3+1.2*2.18+1.2*2.18+2.58*1.07+1*2.95+1.19*2.65+1.17*1.78)*10.764</f>
        <v>609.47274959999993</v>
      </c>
      <c r="E199" s="39">
        <v>0</v>
      </c>
      <c r="F199" s="39">
        <f>D199*1.6+E199</f>
        <v>975.15639935999991</v>
      </c>
      <c r="G199" s="130"/>
      <c r="H199" s="130"/>
    </row>
    <row r="200" spans="1:8" s="2" customFormat="1" x14ac:dyDescent="0.3">
      <c r="A200" s="132" t="s">
        <v>217</v>
      </c>
      <c r="B200" s="132"/>
      <c r="C200" s="132"/>
      <c r="D200" s="132"/>
      <c r="E200" s="132"/>
      <c r="F200" s="132"/>
      <c r="G200" s="132"/>
      <c r="H200" s="132"/>
    </row>
    <row r="201" spans="1:8" s="2" customFormat="1" x14ac:dyDescent="0.3">
      <c r="A201" s="130">
        <v>301</v>
      </c>
      <c r="B201" s="130"/>
      <c r="C201" s="39" t="s">
        <v>167</v>
      </c>
      <c r="D201" s="39">
        <f>(3.025*4.61+2.03*2.44+3*3.05+2.08*1.17*2+1*2.03+1.865*1.17)*10.764</f>
        <v>399.64256279999995</v>
      </c>
      <c r="E201" s="39">
        <v>0</v>
      </c>
      <c r="F201" s="39">
        <f>D201*1.6+E201</f>
        <v>639.42810048000001</v>
      </c>
      <c r="G201" s="130" t="str">
        <f>A200</f>
        <v>3rd Floor (Level 16.35 M)</v>
      </c>
      <c r="H201" s="130"/>
    </row>
    <row r="202" spans="1:8" s="2" customFormat="1" x14ac:dyDescent="0.3">
      <c r="A202" s="130">
        <v>302</v>
      </c>
      <c r="B202" s="130"/>
      <c r="C202" s="39" t="s">
        <v>167</v>
      </c>
      <c r="D202" s="39">
        <f>(3.025*4.61+2.03*2.44+3*3.05+2.08*1.17*2+1*2.03+1.865*1.17)*10.764</f>
        <v>399.64256279999995</v>
      </c>
      <c r="E202" s="39">
        <v>0</v>
      </c>
      <c r="F202" s="39">
        <f t="shared" ref="F202:F208" si="1">D202*1.6+E202</f>
        <v>639.42810048000001</v>
      </c>
      <c r="G202" s="130"/>
      <c r="H202" s="130"/>
    </row>
    <row r="203" spans="1:8" s="2" customFormat="1" x14ac:dyDescent="0.3">
      <c r="A203" s="130">
        <v>303</v>
      </c>
      <c r="B203" s="130"/>
      <c r="C203" s="39" t="s">
        <v>166</v>
      </c>
      <c r="D203" s="39">
        <f t="shared" ref="D203:D204" si="2">(3*5.49+2.08*2.44+2.95*3.05+3*3.3+1.2*2.18+1.2*2.18+2.58*1.07+1*2.95+1.19*2.65+1.17*1.78)*10.764</f>
        <v>609.47274959999993</v>
      </c>
      <c r="E203" s="39">
        <v>0</v>
      </c>
      <c r="F203" s="39">
        <f t="shared" si="1"/>
        <v>975.15639935999991</v>
      </c>
      <c r="G203" s="130"/>
      <c r="H203" s="130"/>
    </row>
    <row r="204" spans="1:8" s="2" customFormat="1" x14ac:dyDescent="0.3">
      <c r="A204" s="130">
        <v>304</v>
      </c>
      <c r="B204" s="130"/>
      <c r="C204" s="39" t="s">
        <v>166</v>
      </c>
      <c r="D204" s="39">
        <f t="shared" si="2"/>
        <v>609.47274959999993</v>
      </c>
      <c r="E204" s="39">
        <v>0</v>
      </c>
      <c r="F204" s="39">
        <f t="shared" si="1"/>
        <v>975.15639935999991</v>
      </c>
      <c r="G204" s="130"/>
      <c r="H204" s="130"/>
    </row>
    <row r="205" spans="1:8" s="2" customFormat="1" x14ac:dyDescent="0.3">
      <c r="A205" s="130">
        <v>305</v>
      </c>
      <c r="B205" s="130"/>
      <c r="C205" s="39" t="s">
        <v>167</v>
      </c>
      <c r="D205" s="39">
        <f>(3.025*4.61+2.03*2.44+3*3.05+2.08*1.17*2+1*2.03+1.865*1.17)*10.764</f>
        <v>399.64256279999995</v>
      </c>
      <c r="E205" s="39">
        <v>0</v>
      </c>
      <c r="F205" s="39">
        <f t="shared" si="1"/>
        <v>639.42810048000001</v>
      </c>
      <c r="G205" s="130"/>
      <c r="H205" s="130"/>
    </row>
    <row r="206" spans="1:8" s="2" customFormat="1" x14ac:dyDescent="0.3">
      <c r="A206" s="130">
        <v>306</v>
      </c>
      <c r="B206" s="130"/>
      <c r="C206" s="39" t="s">
        <v>167</v>
      </c>
      <c r="D206" s="39">
        <f>(3.025*4.61+2.03*2.44+3*3.05+2.08*1.17*2+1*2.03+1.865*1.17)*10.764</f>
        <v>399.64256279999995</v>
      </c>
      <c r="E206" s="39">
        <v>0</v>
      </c>
      <c r="F206" s="39">
        <f t="shared" si="1"/>
        <v>639.42810048000001</v>
      </c>
      <c r="G206" s="130"/>
      <c r="H206" s="130"/>
    </row>
    <row r="207" spans="1:8" s="2" customFormat="1" x14ac:dyDescent="0.3">
      <c r="A207" s="130">
        <v>307</v>
      </c>
      <c r="B207" s="130"/>
      <c r="C207" s="39" t="s">
        <v>166</v>
      </c>
      <c r="D207" s="39">
        <f t="shared" ref="D207:D208" si="3">(3*5.49+2.08*2.44+2.95*3.05+3*3.3+1.2*2.18+1.2*2.18+2.58*1.07+1*2.95+1.19*2.65+1.17*1.78)*10.764</f>
        <v>609.47274959999993</v>
      </c>
      <c r="E207" s="39">
        <v>0</v>
      </c>
      <c r="F207" s="39">
        <f t="shared" si="1"/>
        <v>975.15639935999991</v>
      </c>
      <c r="G207" s="130"/>
      <c r="H207" s="130"/>
    </row>
    <row r="208" spans="1:8" s="2" customFormat="1" x14ac:dyDescent="0.3">
      <c r="A208" s="130">
        <v>308</v>
      </c>
      <c r="B208" s="130"/>
      <c r="C208" s="39" t="s">
        <v>166</v>
      </c>
      <c r="D208" s="39">
        <f t="shared" si="3"/>
        <v>609.47274959999993</v>
      </c>
      <c r="E208" s="39">
        <v>0</v>
      </c>
      <c r="F208" s="39">
        <f t="shared" si="1"/>
        <v>975.15639935999991</v>
      </c>
      <c r="G208" s="130"/>
      <c r="H208" s="130"/>
    </row>
    <row r="209" spans="1:8" s="2" customFormat="1" x14ac:dyDescent="0.3">
      <c r="A209" s="132" t="s">
        <v>218</v>
      </c>
      <c r="B209" s="132"/>
      <c r="C209" s="132"/>
      <c r="D209" s="132"/>
      <c r="E209" s="132"/>
      <c r="F209" s="132"/>
      <c r="G209" s="132"/>
      <c r="H209" s="132"/>
    </row>
    <row r="210" spans="1:8" s="2" customFormat="1" x14ac:dyDescent="0.3">
      <c r="A210" s="130">
        <v>401</v>
      </c>
      <c r="B210" s="130"/>
      <c r="C210" s="39" t="s">
        <v>167</v>
      </c>
      <c r="D210" s="39">
        <f>(3.05*4.66+2.13*2.44+3.05*3.05+2.13*1.22+2.13*1.22+1*2.13+1.865*1.17)*10.764</f>
        <v>411.4210698</v>
      </c>
      <c r="E210" s="39">
        <v>0</v>
      </c>
      <c r="F210" s="39">
        <f>D210*1.6+E210</f>
        <v>658.27371168000002</v>
      </c>
      <c r="G210" s="130" t="str">
        <f>A209</f>
        <v>4th Floor (Level 19.675 M)</v>
      </c>
      <c r="H210" s="130"/>
    </row>
    <row r="211" spans="1:8" s="2" customFormat="1" x14ac:dyDescent="0.3">
      <c r="A211" s="130">
        <v>402</v>
      </c>
      <c r="B211" s="130"/>
      <c r="C211" s="39" t="s">
        <v>167</v>
      </c>
      <c r="D211" s="39">
        <f>(3.05*4.66+2.13*2.44+3.05*3.05+2.13*1.22+2.13*1.22+1*2.13+1.865*1.17)*10.764</f>
        <v>411.4210698</v>
      </c>
      <c r="E211" s="39">
        <v>0</v>
      </c>
      <c r="F211" s="39">
        <f t="shared" ref="F211:F217" si="4">D211*1.6+E211</f>
        <v>658.27371168000002</v>
      </c>
      <c r="G211" s="130"/>
      <c r="H211" s="130"/>
    </row>
    <row r="212" spans="1:8" s="2" customFormat="1" x14ac:dyDescent="0.3">
      <c r="A212" s="130">
        <v>403</v>
      </c>
      <c r="B212" s="130"/>
      <c r="C212" s="39" t="s">
        <v>166</v>
      </c>
      <c r="D212" s="39">
        <f>(3.05*5.49+2.13*2.44+3.05*3.05+3.05*3.35+1.3*2.13+1.3*2.13+2.53*1.07+1*3.05+2.65*0.9+1.78*1.17)*10.764</f>
        <v>615.96344159999978</v>
      </c>
      <c r="E212" s="39">
        <v>0</v>
      </c>
      <c r="F212" s="39">
        <f t="shared" si="4"/>
        <v>985.54150655999968</v>
      </c>
      <c r="G212" s="130"/>
      <c r="H212" s="130"/>
    </row>
    <row r="213" spans="1:8" s="2" customFormat="1" x14ac:dyDescent="0.3">
      <c r="A213" s="130">
        <v>404</v>
      </c>
      <c r="B213" s="130"/>
      <c r="C213" s="39" t="s">
        <v>166</v>
      </c>
      <c r="D213" s="39">
        <f>(3.05*5.49+2.13*2.44+3.05*3.05+3.05*3.35+1.3*2.13+1.3*2.13+2.53*1.07+1*3.05+2.65*0.9+1.78*1.17)*10.764</f>
        <v>615.96344159999978</v>
      </c>
      <c r="E213" s="39">
        <v>0</v>
      </c>
      <c r="F213" s="39">
        <f t="shared" si="4"/>
        <v>985.54150655999968</v>
      </c>
      <c r="G213" s="130"/>
      <c r="H213" s="130"/>
    </row>
    <row r="214" spans="1:8" s="2" customFormat="1" x14ac:dyDescent="0.3">
      <c r="A214" s="130">
        <v>405</v>
      </c>
      <c r="B214" s="130"/>
      <c r="C214" s="39" t="s">
        <v>167</v>
      </c>
      <c r="D214" s="39">
        <f t="shared" ref="D214:D215" si="5">(3.05*4.66+2.13*2.44+3.05*3.05+2.13*1.22+2.13*1.22+1*2.13+1.865*1.17)*10.764</f>
        <v>411.4210698</v>
      </c>
      <c r="E214" s="39">
        <v>0</v>
      </c>
      <c r="F214" s="39">
        <f t="shared" si="4"/>
        <v>658.27371168000002</v>
      </c>
      <c r="G214" s="130"/>
      <c r="H214" s="130"/>
    </row>
    <row r="215" spans="1:8" s="2" customFormat="1" x14ac:dyDescent="0.3">
      <c r="A215" s="130">
        <v>406</v>
      </c>
      <c r="B215" s="130"/>
      <c r="C215" s="39" t="s">
        <v>167</v>
      </c>
      <c r="D215" s="39">
        <f t="shared" si="5"/>
        <v>411.4210698</v>
      </c>
      <c r="E215" s="39">
        <v>0</v>
      </c>
      <c r="F215" s="39">
        <f>D215*1.6+E215</f>
        <v>658.27371168000002</v>
      </c>
      <c r="G215" s="130"/>
      <c r="H215" s="130"/>
    </row>
    <row r="216" spans="1:8" s="2" customFormat="1" x14ac:dyDescent="0.3">
      <c r="A216" s="130">
        <v>407</v>
      </c>
      <c r="B216" s="130"/>
      <c r="C216" s="39" t="s">
        <v>166</v>
      </c>
      <c r="D216" s="39">
        <f>(3.05*5.49+2.13*2.44+3.05*3.05+3.05*3.35+1.3*2.13+1.3*2.13+2.53*1.07+1*3.05+2.65*0.9+1.78*1.17)*10.764</f>
        <v>615.96344159999978</v>
      </c>
      <c r="E216" s="39">
        <v>0</v>
      </c>
      <c r="F216" s="39">
        <f t="shared" si="4"/>
        <v>985.54150655999968</v>
      </c>
      <c r="G216" s="130"/>
      <c r="H216" s="130"/>
    </row>
    <row r="217" spans="1:8" s="2" customFormat="1" x14ac:dyDescent="0.3">
      <c r="A217" s="130">
        <v>408</v>
      </c>
      <c r="B217" s="130"/>
      <c r="C217" s="39" t="s">
        <v>166</v>
      </c>
      <c r="D217" s="39">
        <f>(3.05*5.49+2.13*2.44+3.05*3.05+3.05*3.35+1.3*2.13+1.3*2.13+2.53*1.07+1*3.05+2.65*0.9+1.78*1.17)*10.764</f>
        <v>615.96344159999978</v>
      </c>
      <c r="E217" s="39">
        <v>0</v>
      </c>
      <c r="F217" s="39">
        <f t="shared" si="4"/>
        <v>985.54150655999968</v>
      </c>
      <c r="G217" s="130"/>
      <c r="H217" s="130"/>
    </row>
    <row r="218" spans="1:8" s="2" customFormat="1" x14ac:dyDescent="0.3">
      <c r="A218" s="132" t="s">
        <v>219</v>
      </c>
      <c r="B218" s="132"/>
      <c r="C218" s="132"/>
      <c r="D218" s="132"/>
      <c r="E218" s="132"/>
      <c r="F218" s="132"/>
      <c r="G218" s="132"/>
      <c r="H218" s="132"/>
    </row>
    <row r="219" spans="1:8" s="2" customFormat="1" x14ac:dyDescent="0.3">
      <c r="A219" s="130">
        <v>501</v>
      </c>
      <c r="B219" s="130"/>
      <c r="C219" s="39" t="s">
        <v>167</v>
      </c>
      <c r="D219" s="39">
        <f>(3.05*4.66+2.13*2.44+3.05*3.05+2.13*1.22+2.13*1.22+1*2.13+1.865*1.17)*10.764</f>
        <v>411.4210698</v>
      </c>
      <c r="E219" s="39">
        <v>0</v>
      </c>
      <c r="F219" s="39">
        <f>D219*1.6+E219</f>
        <v>658.27371168000002</v>
      </c>
      <c r="G219" s="130" t="str">
        <f>A218</f>
        <v>5th Floor (Level 22.825 M)</v>
      </c>
      <c r="H219" s="130"/>
    </row>
    <row r="220" spans="1:8" s="2" customFormat="1" x14ac:dyDescent="0.3">
      <c r="A220" s="130">
        <v>502</v>
      </c>
      <c r="B220" s="130"/>
      <c r="C220" s="39" t="s">
        <v>167</v>
      </c>
      <c r="D220" s="39">
        <f>(3.05*4.66+2.13*2.44+3.05*3.05+2.13*1.22+2.13*1.22+1*2.13+1.865*1.17)*10.764</f>
        <v>411.4210698</v>
      </c>
      <c r="E220" s="39">
        <v>0</v>
      </c>
      <c r="F220" s="39">
        <f t="shared" ref="F220:F223" si="6">D220*1.6+E220</f>
        <v>658.27371168000002</v>
      </c>
      <c r="G220" s="130"/>
      <c r="H220" s="130"/>
    </row>
    <row r="221" spans="1:8" s="2" customFormat="1" x14ac:dyDescent="0.3">
      <c r="A221" s="130">
        <v>503</v>
      </c>
      <c r="B221" s="130"/>
      <c r="C221" s="39" t="s">
        <v>166</v>
      </c>
      <c r="D221" s="39">
        <f>(3.05*5.49+2.13*2.44+3.05*3.05+3.05*3.35+1.3*2.13+1.3*2.13+2.53*1.07+1*3.05+2.65*0.9+1.78*1.17)*10.764</f>
        <v>615.96344159999978</v>
      </c>
      <c r="E221" s="39">
        <v>0</v>
      </c>
      <c r="F221" s="39">
        <f t="shared" si="6"/>
        <v>985.54150655999968</v>
      </c>
      <c r="G221" s="130"/>
      <c r="H221" s="130"/>
    </row>
    <row r="222" spans="1:8" s="2" customFormat="1" x14ac:dyDescent="0.3">
      <c r="A222" s="130">
        <v>504</v>
      </c>
      <c r="B222" s="130"/>
      <c r="C222" s="39" t="s">
        <v>166</v>
      </c>
      <c r="D222" s="39">
        <f>(3.05*5.49+2.13*2.44+3.05*3.05+3.05*3.35+1.3*2.13+1.3*2.13+2.53*1.07+1*3.05+2.65*0.9+1.78*1.17)*10.764</f>
        <v>615.96344159999978</v>
      </c>
      <c r="E222" s="39">
        <v>0</v>
      </c>
      <c r="F222" s="39">
        <f t="shared" si="6"/>
        <v>985.54150655999968</v>
      </c>
      <c r="G222" s="130"/>
      <c r="H222" s="130"/>
    </row>
    <row r="223" spans="1:8" s="2" customFormat="1" x14ac:dyDescent="0.3">
      <c r="A223" s="130">
        <v>505</v>
      </c>
      <c r="B223" s="130"/>
      <c r="C223" s="39" t="s">
        <v>167</v>
      </c>
      <c r="D223" s="39">
        <f t="shared" ref="D223:D224" si="7">(3.05*4.66+2.13*2.44+3.05*3.05+2.13*1.22+2.13*1.22+1*2.13+1.865*1.17)*10.764</f>
        <v>411.4210698</v>
      </c>
      <c r="E223" s="39">
        <v>0</v>
      </c>
      <c r="F223" s="39">
        <f t="shared" si="6"/>
        <v>658.27371168000002</v>
      </c>
      <c r="G223" s="130"/>
      <c r="H223" s="130"/>
    </row>
    <row r="224" spans="1:8" s="2" customFormat="1" x14ac:dyDescent="0.3">
      <c r="A224" s="130">
        <v>506</v>
      </c>
      <c r="B224" s="130"/>
      <c r="C224" s="39" t="s">
        <v>167</v>
      </c>
      <c r="D224" s="39">
        <f t="shared" si="7"/>
        <v>411.4210698</v>
      </c>
      <c r="E224" s="39">
        <v>0</v>
      </c>
      <c r="F224" s="39">
        <f>D224*1.6+E224</f>
        <v>658.27371168000002</v>
      </c>
      <c r="G224" s="130"/>
      <c r="H224" s="130"/>
    </row>
    <row r="225" spans="1:8" s="2" customFormat="1" x14ac:dyDescent="0.3">
      <c r="A225" s="130">
        <v>507</v>
      </c>
      <c r="B225" s="130"/>
      <c r="C225" s="39" t="s">
        <v>166</v>
      </c>
      <c r="D225" s="39">
        <f>(3.05*5.49+2.13*2.44+3.05*3.05+3.05*3.35+1.3*2.13+1.3*2.13+2.53*1.07+1*3.05+2.65*0.9+1.78*1.17)*10.764</f>
        <v>615.96344159999978</v>
      </c>
      <c r="E225" s="39">
        <v>0</v>
      </c>
      <c r="F225" s="39">
        <f t="shared" ref="F225:F226" si="8">D225*1.6+E225</f>
        <v>985.54150655999968</v>
      </c>
      <c r="G225" s="130"/>
      <c r="H225" s="130"/>
    </row>
    <row r="226" spans="1:8" s="2" customFormat="1" x14ac:dyDescent="0.3">
      <c r="A226" s="130">
        <v>508</v>
      </c>
      <c r="B226" s="130"/>
      <c r="C226" s="39" t="s">
        <v>166</v>
      </c>
      <c r="D226" s="39">
        <f>(3.05*5.49+2.13*2.44+3.05*3.05+3.05*3.35+1.3*2.13+1.3*2.13+2.53*1.07+1*3.05+2.65*0.9+1.78*1.17)*10.764</f>
        <v>615.96344159999978</v>
      </c>
      <c r="E226" s="39">
        <v>0</v>
      </c>
      <c r="F226" s="39">
        <f t="shared" si="8"/>
        <v>985.54150655999968</v>
      </c>
      <c r="G226" s="130"/>
      <c r="H226" s="130"/>
    </row>
    <row r="227" spans="1:8" s="2" customFormat="1" x14ac:dyDescent="0.3">
      <c r="A227" s="132" t="s">
        <v>220</v>
      </c>
      <c r="B227" s="132"/>
      <c r="C227" s="132"/>
      <c r="D227" s="132"/>
      <c r="E227" s="132"/>
      <c r="F227" s="132"/>
      <c r="G227" s="132"/>
      <c r="H227" s="132"/>
    </row>
    <row r="228" spans="1:8" s="2" customFormat="1" x14ac:dyDescent="0.3">
      <c r="A228" s="130">
        <v>601</v>
      </c>
      <c r="B228" s="130"/>
      <c r="C228" s="39" t="s">
        <v>167</v>
      </c>
      <c r="D228" s="39">
        <f>(3.05*4.66+2.13*2.44+3.05*3.05+2.13*1.22+2.13*1.22+1*2.13+1.865*1.17)*10.764</f>
        <v>411.4210698</v>
      </c>
      <c r="E228" s="39">
        <v>0</v>
      </c>
      <c r="F228" s="39">
        <f>D228*1.6+E228</f>
        <v>658.27371168000002</v>
      </c>
      <c r="G228" s="130" t="str">
        <f>A227</f>
        <v>6th Floor (Level 25.775 M)</v>
      </c>
      <c r="H228" s="130"/>
    </row>
    <row r="229" spans="1:8" s="2" customFormat="1" x14ac:dyDescent="0.3">
      <c r="A229" s="130">
        <v>602</v>
      </c>
      <c r="B229" s="130"/>
      <c r="C229" s="39" t="s">
        <v>167</v>
      </c>
      <c r="D229" s="39">
        <f>(3.05*4.66+2.13*2.44+3.05*3.05+2.13*1.22+2.13*1.22+1*2.13+1.865*1.17)*10.764</f>
        <v>411.4210698</v>
      </c>
      <c r="E229" s="39">
        <v>0</v>
      </c>
      <c r="F229" s="39">
        <f t="shared" ref="F229:F232" si="9">D229*1.6+E229</f>
        <v>658.27371168000002</v>
      </c>
      <c r="G229" s="130"/>
      <c r="H229" s="130"/>
    </row>
    <row r="230" spans="1:8" s="2" customFormat="1" x14ac:dyDescent="0.3">
      <c r="A230" s="130">
        <v>603</v>
      </c>
      <c r="B230" s="130"/>
      <c r="C230" s="39" t="s">
        <v>166</v>
      </c>
      <c r="D230" s="39">
        <f>(3.05*5.49+2.13*2.44+3.05*3.05+3.05*3.35+1.3*2.13+1.3*2.13+2.53*1.07+1*3.05+2.65*0.9+1.78*1.17)*10.764</f>
        <v>615.96344159999978</v>
      </c>
      <c r="E230" s="39">
        <v>0</v>
      </c>
      <c r="F230" s="39">
        <f t="shared" si="9"/>
        <v>985.54150655999968</v>
      </c>
      <c r="G230" s="130"/>
      <c r="H230" s="130"/>
    </row>
    <row r="231" spans="1:8" s="2" customFormat="1" x14ac:dyDescent="0.3">
      <c r="A231" s="130">
        <v>604</v>
      </c>
      <c r="B231" s="130"/>
      <c r="C231" s="39" t="s">
        <v>166</v>
      </c>
      <c r="D231" s="39">
        <f>(3.05*5.49+2.13*2.44+3.05*3.05+3.05*3.35+1.3*2.13+1.3*2.13+2.53*1.07+1*3.05+2.65*0.9+1.78*1.17)*10.764</f>
        <v>615.96344159999978</v>
      </c>
      <c r="E231" s="39">
        <v>0</v>
      </c>
      <c r="F231" s="39">
        <f t="shared" si="9"/>
        <v>985.54150655999968</v>
      </c>
      <c r="G231" s="130"/>
      <c r="H231" s="130"/>
    </row>
    <row r="232" spans="1:8" s="2" customFormat="1" x14ac:dyDescent="0.3">
      <c r="A232" s="130">
        <v>605</v>
      </c>
      <c r="B232" s="130"/>
      <c r="C232" s="39" t="s">
        <v>167</v>
      </c>
      <c r="D232" s="39">
        <f t="shared" ref="D232:D233" si="10">(3.05*4.66+2.13*2.44+3.05*3.05+2.13*1.22+2.13*1.22+1*2.13+1.865*1.17)*10.764</f>
        <v>411.4210698</v>
      </c>
      <c r="E232" s="39">
        <v>0</v>
      </c>
      <c r="F232" s="39">
        <f t="shared" si="9"/>
        <v>658.27371168000002</v>
      </c>
      <c r="G232" s="130"/>
      <c r="H232" s="130"/>
    </row>
    <row r="233" spans="1:8" s="2" customFormat="1" x14ac:dyDescent="0.3">
      <c r="A233" s="130">
        <v>606</v>
      </c>
      <c r="B233" s="130"/>
      <c r="C233" s="39" t="s">
        <v>167</v>
      </c>
      <c r="D233" s="39">
        <f t="shared" si="10"/>
        <v>411.4210698</v>
      </c>
      <c r="E233" s="39">
        <v>0</v>
      </c>
      <c r="F233" s="39">
        <f>D233*1.6+E233</f>
        <v>658.27371168000002</v>
      </c>
      <c r="G233" s="130"/>
      <c r="H233" s="130"/>
    </row>
    <row r="234" spans="1:8" s="2" customFormat="1" x14ac:dyDescent="0.3">
      <c r="A234" s="130">
        <v>607</v>
      </c>
      <c r="B234" s="130"/>
      <c r="C234" s="39" t="s">
        <v>166</v>
      </c>
      <c r="D234" s="39">
        <f>(3.05*5.49+2.13*2.44+3.05*3.05+3.05*3.35+1.3*2.13+1.3*2.13+2.53*1.07+1*3.05+2.65*0.9+1.78*1.17)*10.764</f>
        <v>615.96344159999978</v>
      </c>
      <c r="E234" s="39">
        <v>0</v>
      </c>
      <c r="F234" s="39">
        <f t="shared" ref="F234:F235" si="11">D234*1.6+E234</f>
        <v>985.54150655999968</v>
      </c>
      <c r="G234" s="130"/>
      <c r="H234" s="130"/>
    </row>
    <row r="235" spans="1:8" s="2" customFormat="1" x14ac:dyDescent="0.3">
      <c r="A235" s="130">
        <v>608</v>
      </c>
      <c r="B235" s="130"/>
      <c r="C235" s="39" t="s">
        <v>166</v>
      </c>
      <c r="D235" s="39">
        <f>(3.05*5.49+2.13*2.44+3.05*3.05+3.05*3.35+1.3*2.13+1.3*2.13+2.53*1.07+1*3.05+2.65*0.9+1.78*1.17)*10.764</f>
        <v>615.96344159999978</v>
      </c>
      <c r="E235" s="39">
        <v>0</v>
      </c>
      <c r="F235" s="39">
        <f t="shared" si="11"/>
        <v>985.54150655999968</v>
      </c>
      <c r="G235" s="130"/>
      <c r="H235" s="130"/>
    </row>
    <row r="236" spans="1:8" s="2" customFormat="1" x14ac:dyDescent="0.3">
      <c r="A236" s="132" t="s">
        <v>221</v>
      </c>
      <c r="B236" s="132"/>
      <c r="C236" s="132"/>
      <c r="D236" s="132"/>
      <c r="E236" s="132"/>
      <c r="F236" s="132"/>
      <c r="G236" s="132"/>
      <c r="H236" s="132"/>
    </row>
    <row r="237" spans="1:8" s="2" customFormat="1" x14ac:dyDescent="0.3">
      <c r="A237" s="130">
        <v>701</v>
      </c>
      <c r="B237" s="130"/>
      <c r="C237" s="39" t="s">
        <v>167</v>
      </c>
      <c r="D237" s="39">
        <f>(3.05*4.66+2.13*2.44+3.05*3.05+2.13*1.22+2.13*1.22+1*2.13+1.865*1.17)*10.764</f>
        <v>411.4210698</v>
      </c>
      <c r="E237" s="39">
        <v>0</v>
      </c>
      <c r="F237" s="39">
        <f>D237*1.6+E237</f>
        <v>658.27371168000002</v>
      </c>
      <c r="G237" s="130" t="str">
        <f>A236</f>
        <v>7th Floor (Level 28.725 M)</v>
      </c>
      <c r="H237" s="130"/>
    </row>
    <row r="238" spans="1:8" s="2" customFormat="1" x14ac:dyDescent="0.3">
      <c r="A238" s="130">
        <v>702</v>
      </c>
      <c r="B238" s="130"/>
      <c r="C238" s="39" t="s">
        <v>167</v>
      </c>
      <c r="D238" s="39">
        <f>(3.05*4.66+2.13*2.44+3.05*3.05+2.13*1.22+2.13*1.22+1*2.13+1.865*1.17)*10.764</f>
        <v>411.4210698</v>
      </c>
      <c r="E238" s="39">
        <v>0</v>
      </c>
      <c r="F238" s="39">
        <f t="shared" ref="F238:F241" si="12">D238*1.6+E238</f>
        <v>658.27371168000002</v>
      </c>
      <c r="G238" s="130"/>
      <c r="H238" s="130"/>
    </row>
    <row r="239" spans="1:8" s="2" customFormat="1" x14ac:dyDescent="0.3">
      <c r="A239" s="130">
        <v>703</v>
      </c>
      <c r="B239" s="130"/>
      <c r="C239" s="39" t="s">
        <v>166</v>
      </c>
      <c r="D239" s="39">
        <f>(3.05*5.49+2.13*2.44+3.05*3.05+3.05*3.35+1.3*2.13+1.3*2.13+2.53*1.07+1*3.05+2.65*0.9+1.78*1.17)*10.764</f>
        <v>615.96344159999978</v>
      </c>
      <c r="E239" s="39">
        <v>0</v>
      </c>
      <c r="F239" s="39">
        <f t="shared" si="12"/>
        <v>985.54150655999968</v>
      </c>
      <c r="G239" s="130"/>
      <c r="H239" s="130"/>
    </row>
    <row r="240" spans="1:8" s="2" customFormat="1" x14ac:dyDescent="0.3">
      <c r="A240" s="130">
        <v>704</v>
      </c>
      <c r="B240" s="130"/>
      <c r="C240" s="39" t="s">
        <v>166</v>
      </c>
      <c r="D240" s="39">
        <f>(3.05*5.49+2.13*2.44+3.05*3.05+3.05*3.35+1.3*2.13+1.3*2.13+2.53*1.07+1*3.05+2.65*0.9+1.78*1.17)*10.764</f>
        <v>615.96344159999978</v>
      </c>
      <c r="E240" s="39">
        <v>0</v>
      </c>
      <c r="F240" s="39">
        <f t="shared" si="12"/>
        <v>985.54150655999968</v>
      </c>
      <c r="G240" s="130"/>
      <c r="H240" s="130"/>
    </row>
    <row r="241" spans="1:8" s="2" customFormat="1" x14ac:dyDescent="0.3">
      <c r="A241" s="130">
        <v>705</v>
      </c>
      <c r="B241" s="130"/>
      <c r="C241" s="39" t="s">
        <v>167</v>
      </c>
      <c r="D241" s="39">
        <f t="shared" ref="D241:D242" si="13">(3.05*4.66+2.13*2.44+3.05*3.05+2.13*1.22+2.13*1.22+1*2.13+1.865*1.17)*10.764</f>
        <v>411.4210698</v>
      </c>
      <c r="E241" s="39">
        <v>0</v>
      </c>
      <c r="F241" s="39">
        <f t="shared" si="12"/>
        <v>658.27371168000002</v>
      </c>
      <c r="G241" s="130"/>
      <c r="H241" s="130"/>
    </row>
    <row r="242" spans="1:8" s="2" customFormat="1" x14ac:dyDescent="0.3">
      <c r="A242" s="130">
        <v>706</v>
      </c>
      <c r="B242" s="130"/>
      <c r="C242" s="39" t="s">
        <v>167</v>
      </c>
      <c r="D242" s="39">
        <f t="shared" si="13"/>
        <v>411.4210698</v>
      </c>
      <c r="E242" s="39">
        <v>0</v>
      </c>
      <c r="F242" s="39">
        <f>D242*1.6+E242</f>
        <v>658.27371168000002</v>
      </c>
      <c r="G242" s="130"/>
      <c r="H242" s="130"/>
    </row>
    <row r="243" spans="1:8" s="2" customFormat="1" x14ac:dyDescent="0.3">
      <c r="A243" s="130">
        <v>707</v>
      </c>
      <c r="B243" s="130"/>
      <c r="C243" s="39" t="s">
        <v>166</v>
      </c>
      <c r="D243" s="39">
        <f>(3.05*5.49+2.13*2.44+3.05*3.05+3.05*3.35+1.3*2.13+1.3*2.13+2.53*1.07+1*3.05+2.65*0.9+1.78*1.17)*10.764</f>
        <v>615.96344159999978</v>
      </c>
      <c r="E243" s="39">
        <v>0</v>
      </c>
      <c r="F243" s="39">
        <f t="shared" ref="F243" si="14">D243*1.6+E243</f>
        <v>985.54150655999968</v>
      </c>
      <c r="G243" s="130"/>
      <c r="H243" s="130"/>
    </row>
    <row r="244" spans="1:8" s="2" customFormat="1" x14ac:dyDescent="0.3">
      <c r="A244" s="130">
        <v>708</v>
      </c>
      <c r="B244" s="130"/>
      <c r="C244" s="130" t="s">
        <v>168</v>
      </c>
      <c r="D244" s="130"/>
      <c r="E244" s="130"/>
      <c r="F244" s="130"/>
      <c r="G244" s="130"/>
      <c r="H244" s="130"/>
    </row>
    <row r="245" spans="1:8" s="2" customFormat="1" ht="34.5" customHeight="1" x14ac:dyDescent="0.3">
      <c r="A245" s="131" t="s">
        <v>222</v>
      </c>
      <c r="B245" s="131"/>
      <c r="C245" s="131"/>
      <c r="D245" s="131"/>
      <c r="E245" s="131"/>
      <c r="F245" s="131"/>
      <c r="G245" s="131"/>
      <c r="H245" s="131"/>
    </row>
    <row r="246" spans="1:8" s="2" customFormat="1" x14ac:dyDescent="0.3">
      <c r="A246" s="130" t="s">
        <v>170</v>
      </c>
      <c r="B246" s="130"/>
      <c r="C246" s="39" t="s">
        <v>167</v>
      </c>
      <c r="D246" s="39">
        <f>(3.05*4.66+2.13*2.44+3.05*3.05+2.13*1.22+2.13*1.22+1*2.13+1.865*1.17)*10.764</f>
        <v>411.4210698</v>
      </c>
      <c r="E246" s="39">
        <v>0</v>
      </c>
      <c r="F246" s="39">
        <f>D246*1.6+E246</f>
        <v>658.27371168000002</v>
      </c>
      <c r="G246" s="130" t="str">
        <f>A245</f>
        <v xml:space="preserve">8th, 9th, 10th, 11th, 13th, 14th, 15th, 16th, 18th, 19th, 20th, 21st, 23rd, 24th, 25th, 26th, 28th, 29th, 30th, 31st, 33th, 34th, 35th, 36th, 38th &amp; 39th Floor
</v>
      </c>
      <c r="H246" s="130"/>
    </row>
    <row r="247" spans="1:8" s="2" customFormat="1" x14ac:dyDescent="0.3">
      <c r="A247" s="130" t="s">
        <v>171</v>
      </c>
      <c r="B247" s="130"/>
      <c r="C247" s="39" t="s">
        <v>167</v>
      </c>
      <c r="D247" s="39">
        <f>(3.05*4.66+2.13*2.44+3.05*3.05+2.13*1.22+2.13*1.22+1*2.13+1.865*1.17)*10.764</f>
        <v>411.4210698</v>
      </c>
      <c r="E247" s="39">
        <v>0</v>
      </c>
      <c r="F247" s="39">
        <f t="shared" ref="F247:F253" si="15">D247*1.6+E247</f>
        <v>658.27371168000002</v>
      </c>
      <c r="G247" s="130"/>
      <c r="H247" s="130"/>
    </row>
    <row r="248" spans="1:8" s="2" customFormat="1" x14ac:dyDescent="0.3">
      <c r="A248" s="130" t="s">
        <v>172</v>
      </c>
      <c r="B248" s="130"/>
      <c r="C248" s="39" t="s">
        <v>166</v>
      </c>
      <c r="D248" s="39">
        <f>(3.05*5.49+2.13*2.44+3.05*3.05+3.05*3.35+1.3*2.13+1.3*2.13+2.53*1.07+1*3.05+2.65*0.9+1.78*1.17)*10.764</f>
        <v>615.96344159999978</v>
      </c>
      <c r="E248" s="39">
        <v>0</v>
      </c>
      <c r="F248" s="39">
        <f t="shared" si="15"/>
        <v>985.54150655999968</v>
      </c>
      <c r="G248" s="130"/>
      <c r="H248" s="130"/>
    </row>
    <row r="249" spans="1:8" s="2" customFormat="1" x14ac:dyDescent="0.3">
      <c r="A249" s="130" t="s">
        <v>173</v>
      </c>
      <c r="B249" s="130"/>
      <c r="C249" s="39" t="s">
        <v>166</v>
      </c>
      <c r="D249" s="39">
        <f>(3.05*5.49+2.13*2.44+3.05*3.05+3.05*3.35+1.3*2.13+1.3*2.13+2.53*1.07+1*3.05+2.65*0.9+1.78*1.17)*10.764</f>
        <v>615.96344159999978</v>
      </c>
      <c r="E249" s="39">
        <v>0</v>
      </c>
      <c r="F249" s="39">
        <f t="shared" si="15"/>
        <v>985.54150655999968</v>
      </c>
      <c r="G249" s="130"/>
      <c r="H249" s="130"/>
    </row>
    <row r="250" spans="1:8" s="2" customFormat="1" x14ac:dyDescent="0.3">
      <c r="A250" s="130" t="s">
        <v>174</v>
      </c>
      <c r="B250" s="130"/>
      <c r="C250" s="39" t="s">
        <v>167</v>
      </c>
      <c r="D250" s="39">
        <f>(3.05*4.66+2.13*2.44+3.05*3.05+2.13*1.22+2.13*1.22+1*2.13+1.865*1.17)*10.764</f>
        <v>411.4210698</v>
      </c>
      <c r="E250" s="39">
        <v>0</v>
      </c>
      <c r="F250" s="39">
        <f t="shared" si="15"/>
        <v>658.27371168000002</v>
      </c>
      <c r="G250" s="130"/>
      <c r="H250" s="130"/>
    </row>
    <row r="251" spans="1:8" s="2" customFormat="1" x14ac:dyDescent="0.3">
      <c r="A251" s="130" t="s">
        <v>175</v>
      </c>
      <c r="B251" s="130"/>
      <c r="C251" s="39" t="s">
        <v>167</v>
      </c>
      <c r="D251" s="39">
        <f>(3.05*4.66+2.13*2.44+3.05*3.05+2.13*1.22+2.13*1.22+1*2.13+1.865*1.17)*10.764</f>
        <v>411.4210698</v>
      </c>
      <c r="E251" s="39">
        <v>0</v>
      </c>
      <c r="F251" s="39">
        <f t="shared" si="15"/>
        <v>658.27371168000002</v>
      </c>
      <c r="G251" s="130"/>
      <c r="H251" s="130"/>
    </row>
    <row r="252" spans="1:8" s="2" customFormat="1" x14ac:dyDescent="0.3">
      <c r="A252" s="130" t="s">
        <v>176</v>
      </c>
      <c r="B252" s="130"/>
      <c r="C252" s="39" t="s">
        <v>166</v>
      </c>
      <c r="D252" s="39">
        <f>(3.05*5.49+2.13*2.44+3.05*3.05+3.05*3.35+1.3*2.13+1.3*2.13+2.53*1.07+1*3.05+2.65*0.9+1.78*1.17)*10.764</f>
        <v>615.96344159999978</v>
      </c>
      <c r="E252" s="39">
        <v>0</v>
      </c>
      <c r="F252" s="39">
        <f t="shared" si="15"/>
        <v>985.54150655999968</v>
      </c>
      <c r="G252" s="130"/>
      <c r="H252" s="130"/>
    </row>
    <row r="253" spans="1:8" s="2" customFormat="1" x14ac:dyDescent="0.3">
      <c r="A253" s="130" t="s">
        <v>177</v>
      </c>
      <c r="B253" s="130"/>
      <c r="C253" s="39" t="s">
        <v>166</v>
      </c>
      <c r="D253" s="39">
        <f>(3.05*5.49+2.13*2.44+3.05*3.05+3.05*3.35+1.3*2.13+1.3*2.13+2.53*1.07+1*3.05+2.65*0.9+1.78*1.17)*10.764</f>
        <v>615.96344159999978</v>
      </c>
      <c r="E253" s="39">
        <v>0</v>
      </c>
      <c r="F253" s="39">
        <f t="shared" si="15"/>
        <v>985.54150655999968</v>
      </c>
      <c r="G253" s="130"/>
      <c r="H253" s="130"/>
    </row>
    <row r="254" spans="1:8" s="2" customFormat="1" x14ac:dyDescent="0.3">
      <c r="A254" s="132" t="s">
        <v>186</v>
      </c>
      <c r="B254" s="132"/>
      <c r="C254" s="132"/>
      <c r="D254" s="132"/>
      <c r="E254" s="132"/>
      <c r="F254" s="132"/>
      <c r="G254" s="132"/>
      <c r="H254" s="132"/>
    </row>
    <row r="255" spans="1:8" s="2" customFormat="1" x14ac:dyDescent="0.3">
      <c r="A255" s="130" t="s">
        <v>178</v>
      </c>
      <c r="B255" s="130"/>
      <c r="C255" s="39" t="s">
        <v>167</v>
      </c>
      <c r="D255" s="39">
        <f t="shared" ref="D255:D256" si="16">(3.05*4.66+2.13*2.44+3.05*3.05+2.13*1.22+2.13*1.22+1*2.13+1.865*1.17)*10.764</f>
        <v>411.4210698</v>
      </c>
      <c r="E255" s="39">
        <v>0</v>
      </c>
      <c r="F255" s="39">
        <f>D255*1.6+E255</f>
        <v>658.27371168000002</v>
      </c>
      <c r="G255" s="130" t="str">
        <f>A254</f>
        <v>12th, 17th, 22nd, 27th, 32nd &amp; 37th Floor ( Part Refuge Area)</v>
      </c>
      <c r="H255" s="130"/>
    </row>
    <row r="256" spans="1:8" s="2" customFormat="1" x14ac:dyDescent="0.3">
      <c r="A256" s="130" t="s">
        <v>179</v>
      </c>
      <c r="B256" s="130"/>
      <c r="C256" s="39" t="s">
        <v>167</v>
      </c>
      <c r="D256" s="39">
        <f t="shared" si="16"/>
        <v>411.4210698</v>
      </c>
      <c r="E256" s="39">
        <v>0</v>
      </c>
      <c r="F256" s="39">
        <f t="shared" ref="F256:F261" si="17">D256*1.6+E256</f>
        <v>658.27371168000002</v>
      </c>
      <c r="G256" s="130"/>
      <c r="H256" s="130"/>
    </row>
    <row r="257" spans="1:8" s="2" customFormat="1" x14ac:dyDescent="0.3">
      <c r="A257" s="130" t="s">
        <v>180</v>
      </c>
      <c r="B257" s="130"/>
      <c r="C257" s="39" t="s">
        <v>166</v>
      </c>
      <c r="D257" s="39">
        <f>(3.05*5.49+2.13*2.44+3.05*3.05+3.05*3.35+1.3*2.13+1.3*2.13+2.53*1.07+1*3.05+2.65*0.9+1.78*1.17)*10.764</f>
        <v>615.96344159999978</v>
      </c>
      <c r="E257" s="39">
        <v>0</v>
      </c>
      <c r="F257" s="39">
        <f t="shared" si="17"/>
        <v>985.54150655999968</v>
      </c>
      <c r="G257" s="130"/>
      <c r="H257" s="130"/>
    </row>
    <row r="258" spans="1:8" s="2" customFormat="1" x14ac:dyDescent="0.3">
      <c r="A258" s="130" t="s">
        <v>181</v>
      </c>
      <c r="B258" s="130"/>
      <c r="C258" s="39" t="s">
        <v>166</v>
      </c>
      <c r="D258" s="39">
        <f>(3.05*5.49+2.13*2.44+3.05*3.05+3.05*3.35+1.3*2.13+1.3*2.13+2.53*1.07+1*3.05+2.65*0.9+1.78*1.17)*10.764</f>
        <v>615.96344159999978</v>
      </c>
      <c r="E258" s="39">
        <v>0</v>
      </c>
      <c r="F258" s="39">
        <f t="shared" si="17"/>
        <v>985.54150655999968</v>
      </c>
      <c r="G258" s="130"/>
      <c r="H258" s="130"/>
    </row>
    <row r="259" spans="1:8" s="2" customFormat="1" x14ac:dyDescent="0.3">
      <c r="A259" s="130" t="s">
        <v>182</v>
      </c>
      <c r="B259" s="130"/>
      <c r="C259" s="39" t="s">
        <v>167</v>
      </c>
      <c r="D259" s="39">
        <f t="shared" ref="D259:D260" si="18">(3.05*4.66+2.13*2.44+3.05*3.05+2.13*1.22+2.13*1.22+1*2.13+1.865*1.17)*10.764</f>
        <v>411.4210698</v>
      </c>
      <c r="E259" s="39">
        <v>0</v>
      </c>
      <c r="F259" s="39">
        <f t="shared" si="17"/>
        <v>658.27371168000002</v>
      </c>
      <c r="G259" s="130"/>
      <c r="H259" s="130"/>
    </row>
    <row r="260" spans="1:8" s="2" customFormat="1" x14ac:dyDescent="0.3">
      <c r="A260" s="130" t="s">
        <v>183</v>
      </c>
      <c r="B260" s="130"/>
      <c r="C260" s="39" t="s">
        <v>167</v>
      </c>
      <c r="D260" s="39">
        <f t="shared" si="18"/>
        <v>411.4210698</v>
      </c>
      <c r="E260" s="39">
        <v>0</v>
      </c>
      <c r="F260" s="39">
        <f t="shared" si="17"/>
        <v>658.27371168000002</v>
      </c>
      <c r="G260" s="130"/>
      <c r="H260" s="130"/>
    </row>
    <row r="261" spans="1:8" s="2" customFormat="1" x14ac:dyDescent="0.3">
      <c r="A261" s="130" t="s">
        <v>184</v>
      </c>
      <c r="B261" s="130"/>
      <c r="C261" s="39" t="s">
        <v>166</v>
      </c>
      <c r="D261" s="39">
        <f>(3.05*5.49+2.13*2.44+3.05*3.05+3.05*3.35+1.3*2.13+1.3*2.13+2.53*1.07+1*3.05+2.65*0.9+1.78*1.17)*10.764</f>
        <v>615.96344159999978</v>
      </c>
      <c r="E261" s="39">
        <v>0</v>
      </c>
      <c r="F261" s="39">
        <f t="shared" si="17"/>
        <v>985.54150655999968</v>
      </c>
      <c r="G261" s="130"/>
      <c r="H261" s="130"/>
    </row>
    <row r="262" spans="1:8" s="2" customFormat="1" x14ac:dyDescent="0.3">
      <c r="A262" s="130" t="s">
        <v>185</v>
      </c>
      <c r="B262" s="130"/>
      <c r="C262" s="130" t="s">
        <v>168</v>
      </c>
      <c r="D262" s="130"/>
      <c r="E262" s="130"/>
      <c r="F262" s="130"/>
      <c r="G262" s="130"/>
      <c r="H262" s="130"/>
    </row>
    <row r="263" spans="1:8" s="2" customFormat="1" x14ac:dyDescent="0.3">
      <c r="A263" s="133" t="s">
        <v>187</v>
      </c>
      <c r="B263" s="133"/>
      <c r="C263" s="133"/>
      <c r="D263" s="133"/>
      <c r="E263" s="133"/>
      <c r="F263" s="133"/>
      <c r="G263" s="133"/>
      <c r="H263" s="133"/>
    </row>
    <row r="264" spans="1:8" s="2" customFormat="1" x14ac:dyDescent="0.3">
      <c r="A264" s="132" t="s">
        <v>223</v>
      </c>
      <c r="B264" s="132"/>
      <c r="C264" s="132"/>
      <c r="D264" s="132"/>
      <c r="E264" s="132"/>
      <c r="F264" s="132"/>
      <c r="G264" s="132"/>
      <c r="H264" s="132"/>
    </row>
    <row r="265" spans="1:8" s="2" customFormat="1" x14ac:dyDescent="0.3">
      <c r="A265" s="132" t="s">
        <v>224</v>
      </c>
      <c r="B265" s="132"/>
      <c r="C265" s="132"/>
      <c r="D265" s="132"/>
      <c r="E265" s="132"/>
      <c r="F265" s="132"/>
      <c r="G265" s="132"/>
      <c r="H265" s="132"/>
    </row>
    <row r="266" spans="1:8" s="2" customFormat="1" x14ac:dyDescent="0.3">
      <c r="A266" s="132" t="s">
        <v>225</v>
      </c>
      <c r="B266" s="132"/>
      <c r="C266" s="132"/>
      <c r="D266" s="132"/>
      <c r="E266" s="132"/>
      <c r="F266" s="132"/>
      <c r="G266" s="132"/>
      <c r="H266" s="132"/>
    </row>
    <row r="267" spans="1:8" s="2" customFormat="1" x14ac:dyDescent="0.3">
      <c r="A267" s="132" t="s">
        <v>226</v>
      </c>
      <c r="B267" s="132"/>
      <c r="C267" s="132"/>
      <c r="D267" s="132"/>
      <c r="E267" s="132"/>
      <c r="F267" s="132"/>
      <c r="G267" s="132"/>
      <c r="H267" s="132"/>
    </row>
    <row r="268" spans="1:8" s="2" customFormat="1" ht="30.75" customHeight="1" x14ac:dyDescent="0.3">
      <c r="A268" s="130">
        <v>101</v>
      </c>
      <c r="B268" s="130"/>
      <c r="C268" s="39" t="s">
        <v>167</v>
      </c>
      <c r="D268" s="39">
        <f>(3.025*4.61+2.03*2.44+3*3.05+2.08*1.17*2+1*2.03+1.865*1.17)*10.764</f>
        <v>399.64256279999995</v>
      </c>
      <c r="E268" s="39">
        <v>0</v>
      </c>
      <c r="F268" s="39">
        <f>D268*1.6+E268</f>
        <v>639.42810048000001</v>
      </c>
      <c r="G268" s="130" t="str">
        <f>A267</f>
        <v>1st Floor (+B3) +Parking Floor 3 (Level 10.5 M) for Parking &amp; Residential</v>
      </c>
      <c r="H268" s="130"/>
    </row>
    <row r="269" spans="1:8" s="2" customFormat="1" x14ac:dyDescent="0.3">
      <c r="A269" s="132" t="s">
        <v>227</v>
      </c>
      <c r="B269" s="132"/>
      <c r="C269" s="132"/>
      <c r="D269" s="132"/>
      <c r="E269" s="132"/>
      <c r="F269" s="132"/>
      <c r="G269" s="132"/>
      <c r="H269" s="132"/>
    </row>
    <row r="270" spans="1:8" s="2" customFormat="1" x14ac:dyDescent="0.3">
      <c r="A270" s="130">
        <v>201</v>
      </c>
      <c r="B270" s="130"/>
      <c r="C270" s="39" t="s">
        <v>167</v>
      </c>
      <c r="D270" s="39">
        <f>(3.025*4.61+2.03*2.44+3*3.05+2.08*1.17*2+1*2.03+1.865*1.17)*10.764</f>
        <v>399.64256279999995</v>
      </c>
      <c r="E270" s="39">
        <v>0</v>
      </c>
      <c r="F270" s="39">
        <f>D270*1.6+E270</f>
        <v>639.42810048000001</v>
      </c>
      <c r="G270" s="130" t="str">
        <f>A269</f>
        <v>2nd Floor Floor (Level 13.2 M) for Residential &amp; Meter Room, Double Height Lobby</v>
      </c>
      <c r="H270" s="130"/>
    </row>
    <row r="271" spans="1:8" s="2" customFormat="1" x14ac:dyDescent="0.3">
      <c r="A271" s="130">
        <v>202</v>
      </c>
      <c r="B271" s="130"/>
      <c r="C271" s="39" t="s">
        <v>166</v>
      </c>
      <c r="D271" s="39">
        <f>(3*5.49+2.08*2.44+2.95*3.05+3*3.3+1.2*2.18+1.2*2.18+2.58*1.07+1*2.95+1.19*2.65+1.17*1.78)*10.764</f>
        <v>609.47274959999993</v>
      </c>
      <c r="E271" s="39">
        <v>0</v>
      </c>
      <c r="F271" s="39">
        <f>D271*1.6+E271</f>
        <v>975.15639935999991</v>
      </c>
      <c r="G271" s="130"/>
      <c r="H271" s="130"/>
    </row>
    <row r="272" spans="1:8" s="2" customFormat="1" x14ac:dyDescent="0.3">
      <c r="A272" s="132" t="s">
        <v>228</v>
      </c>
      <c r="B272" s="132"/>
      <c r="C272" s="132"/>
      <c r="D272" s="132"/>
      <c r="E272" s="132"/>
      <c r="F272" s="132"/>
      <c r="G272" s="132"/>
      <c r="H272" s="132"/>
    </row>
    <row r="273" spans="1:8" s="2" customFormat="1" x14ac:dyDescent="0.3">
      <c r="A273" s="130">
        <v>301</v>
      </c>
      <c r="B273" s="130"/>
      <c r="C273" s="39" t="s">
        <v>167</v>
      </c>
      <c r="D273" s="39">
        <f>(3.025*4.61+2.03*2.44+3*3.05+2.08*1.17*2+1*2.03+1.865*1.17)*10.764</f>
        <v>399.64256279999995</v>
      </c>
      <c r="E273" s="39">
        <v>0</v>
      </c>
      <c r="F273" s="39">
        <f>D273*1.6+E273</f>
        <v>639.42810048000001</v>
      </c>
      <c r="G273" s="130" t="str">
        <f>A272</f>
        <v>3rd Floor + Parking Floor 5th (Level 16.35 M)</v>
      </c>
      <c r="H273" s="130"/>
    </row>
    <row r="274" spans="1:8" s="2" customFormat="1" x14ac:dyDescent="0.3">
      <c r="A274" s="130">
        <v>302</v>
      </c>
      <c r="B274" s="130"/>
      <c r="C274" s="39" t="s">
        <v>166</v>
      </c>
      <c r="D274" s="39">
        <f>(3*5.49+2.08*2.44+2.95*3.05+3*3.3+1.2*2.18+1.2*2.18+2.58*1.07+1*2.95+1.19*2.65+1.17*1.78)*10.764</f>
        <v>609.47274959999993</v>
      </c>
      <c r="E274" s="39">
        <v>0</v>
      </c>
      <c r="F274" s="39">
        <f t="shared" ref="F274:F276" si="19">D274*1.6+E274</f>
        <v>975.15639935999991</v>
      </c>
      <c r="G274" s="130"/>
      <c r="H274" s="130"/>
    </row>
    <row r="275" spans="1:8" s="2" customFormat="1" x14ac:dyDescent="0.3">
      <c r="A275" s="130">
        <v>303</v>
      </c>
      <c r="B275" s="130"/>
      <c r="C275" s="39" t="s">
        <v>166</v>
      </c>
      <c r="D275" s="39">
        <f>(3*5.49+2.08*2.44+2.95*3.05+3*3.3+1.2*2.18+1.2*2.18+2.58*1.07+1*2.95+1.19*2.65+1.17*1.78)*10.764</f>
        <v>609.47274959999993</v>
      </c>
      <c r="E275" s="39">
        <v>0</v>
      </c>
      <c r="F275" s="39">
        <f t="shared" si="19"/>
        <v>975.15639935999991</v>
      </c>
      <c r="G275" s="130"/>
      <c r="H275" s="130"/>
    </row>
    <row r="276" spans="1:8" s="2" customFormat="1" x14ac:dyDescent="0.3">
      <c r="A276" s="130">
        <v>304</v>
      </c>
      <c r="B276" s="130"/>
      <c r="C276" s="39" t="s">
        <v>166</v>
      </c>
      <c r="D276" s="39">
        <f>(3*5.49+2.08*2.44+2.95*3.05+3*3.3+1.2*2.18+1.2*2.18+2.58*1.07+1*2.95+1.19*2.65+1.17*1.78)*10.764</f>
        <v>609.47274959999993</v>
      </c>
      <c r="E276" s="39">
        <v>0</v>
      </c>
      <c r="F276" s="39">
        <f t="shared" si="19"/>
        <v>975.15639935999991</v>
      </c>
      <c r="G276" s="130"/>
      <c r="H276" s="130"/>
    </row>
    <row r="277" spans="1:8" s="2" customFormat="1" x14ac:dyDescent="0.3">
      <c r="A277" s="132" t="s">
        <v>218</v>
      </c>
      <c r="B277" s="132"/>
      <c r="C277" s="132"/>
      <c r="D277" s="132"/>
      <c r="E277" s="132"/>
      <c r="F277" s="132"/>
      <c r="G277" s="132"/>
      <c r="H277" s="132"/>
    </row>
    <row r="278" spans="1:8" s="2" customFormat="1" x14ac:dyDescent="0.3">
      <c r="A278" s="130">
        <v>401</v>
      </c>
      <c r="B278" s="130"/>
      <c r="C278" s="39" t="s">
        <v>167</v>
      </c>
      <c r="D278" s="39">
        <f>(3.05*4.66+2.13*2.44+3.05*3.05+2.13*1.22+2.13*1.22+1*2.13+1.865*1.17)*10.764</f>
        <v>411.4210698</v>
      </c>
      <c r="E278" s="39">
        <v>0</v>
      </c>
      <c r="F278" s="39">
        <f>D278*1.6+E278</f>
        <v>658.27371168000002</v>
      </c>
      <c r="G278" s="130" t="str">
        <f>A277</f>
        <v>4th Floor (Level 19.675 M)</v>
      </c>
      <c r="H278" s="130"/>
    </row>
    <row r="279" spans="1:8" s="2" customFormat="1" x14ac:dyDescent="0.3">
      <c r="A279" s="130">
        <v>402</v>
      </c>
      <c r="B279" s="130"/>
      <c r="C279" s="39" t="s">
        <v>166</v>
      </c>
      <c r="D279" s="39">
        <f>(3.05*5.49+2.13*2.44+3.05*3.05+3.05*3.35+1.3*2.13+1.3*2.13+2.53*1.07+1*3.05+2.65*0.9+1.78*1.17)*10.764</f>
        <v>615.96344159999978</v>
      </c>
      <c r="E279" s="39">
        <v>0</v>
      </c>
      <c r="F279" s="39">
        <f t="shared" ref="F279:F284" si="20">D279*1.6+E279</f>
        <v>985.54150655999968</v>
      </c>
      <c r="G279" s="130"/>
      <c r="H279" s="130"/>
    </row>
    <row r="280" spans="1:8" s="2" customFormat="1" x14ac:dyDescent="0.3">
      <c r="A280" s="130">
        <v>403</v>
      </c>
      <c r="B280" s="130"/>
      <c r="C280" s="39" t="s">
        <v>166</v>
      </c>
      <c r="D280" s="39">
        <f>(3.05*5.49+2.13*2.44+3.05*3.05+3.05*3.35+1.3*2.13+1.3*2.13+2.53*1.07+1*3.05+2.65*0.9+1.78*1.17)*10.764</f>
        <v>615.96344159999978</v>
      </c>
      <c r="E280" s="39">
        <v>0</v>
      </c>
      <c r="F280" s="39">
        <f t="shared" si="20"/>
        <v>985.54150655999968</v>
      </c>
      <c r="G280" s="130"/>
      <c r="H280" s="130"/>
    </row>
    <row r="281" spans="1:8" s="2" customFormat="1" x14ac:dyDescent="0.3">
      <c r="A281" s="130">
        <v>404</v>
      </c>
      <c r="B281" s="130"/>
      <c r="C281" s="39" t="s">
        <v>167</v>
      </c>
      <c r="D281" s="39">
        <f>(3.05*4.66+2.13*2.44+3.05*3.05+2.13*1.22+2.13*1.22+1*2.13+1.865*1.17)*10.764</f>
        <v>411.4210698</v>
      </c>
      <c r="E281" s="39">
        <v>0</v>
      </c>
      <c r="F281" s="39">
        <f t="shared" si="20"/>
        <v>658.27371168000002</v>
      </c>
      <c r="G281" s="130"/>
      <c r="H281" s="130"/>
    </row>
    <row r="282" spans="1:8" s="2" customFormat="1" x14ac:dyDescent="0.3">
      <c r="A282" s="130">
        <v>405</v>
      </c>
      <c r="B282" s="130"/>
      <c r="C282" s="39" t="s">
        <v>167</v>
      </c>
      <c r="D282" s="39">
        <f>(3.05*4.66+2.13*2.44+3.05*3.05+2.13*1.22+2.13*1.22+1*2.13+1.865*1.17)*10.764</f>
        <v>411.4210698</v>
      </c>
      <c r="E282" s="39">
        <v>0</v>
      </c>
      <c r="F282" s="39">
        <f t="shared" si="20"/>
        <v>658.27371168000002</v>
      </c>
      <c r="G282" s="130"/>
      <c r="H282" s="130"/>
    </row>
    <row r="283" spans="1:8" s="2" customFormat="1" x14ac:dyDescent="0.3">
      <c r="A283" s="130">
        <v>406</v>
      </c>
      <c r="B283" s="130"/>
      <c r="C283" s="39" t="s">
        <v>166</v>
      </c>
      <c r="D283" s="39">
        <f t="shared" ref="D283:D284" si="21">(3.05*5.49+2.13*2.44+3.05*3.05+3.05*3.35+1.3*2.13+1.3*2.13+2.53*1.07+1*3.05+2.65*0.9+1.78*1.17)*10.764</f>
        <v>615.96344159999978</v>
      </c>
      <c r="E283" s="39">
        <v>0</v>
      </c>
      <c r="F283" s="39">
        <f t="shared" si="20"/>
        <v>985.54150655999968</v>
      </c>
      <c r="G283" s="130"/>
      <c r="H283" s="130"/>
    </row>
    <row r="284" spans="1:8" s="2" customFormat="1" x14ac:dyDescent="0.3">
      <c r="A284" s="130">
        <v>407</v>
      </c>
      <c r="B284" s="130"/>
      <c r="C284" s="39" t="s">
        <v>166</v>
      </c>
      <c r="D284" s="39">
        <f t="shared" si="21"/>
        <v>615.96344159999978</v>
      </c>
      <c r="E284" s="39">
        <v>0</v>
      </c>
      <c r="F284" s="39">
        <f t="shared" si="20"/>
        <v>985.54150655999968</v>
      </c>
      <c r="G284" s="130"/>
      <c r="H284" s="130"/>
    </row>
    <row r="285" spans="1:8" s="2" customFormat="1" x14ac:dyDescent="0.3">
      <c r="A285" s="132" t="s">
        <v>219</v>
      </c>
      <c r="B285" s="132"/>
      <c r="C285" s="132"/>
      <c r="D285" s="132"/>
      <c r="E285" s="132"/>
      <c r="F285" s="132"/>
      <c r="G285" s="132"/>
      <c r="H285" s="132"/>
    </row>
    <row r="286" spans="1:8" s="2" customFormat="1" x14ac:dyDescent="0.3">
      <c r="A286" s="130">
        <v>501</v>
      </c>
      <c r="B286" s="130"/>
      <c r="C286" s="39" t="s">
        <v>167</v>
      </c>
      <c r="D286" s="39">
        <f>(3.05*4.66+2.13*2.44+3.05*3.05+2.13*1.22+2.13*1.22+1*2.13+1.865*1.17)*10.764</f>
        <v>411.4210698</v>
      </c>
      <c r="E286" s="39">
        <v>0</v>
      </c>
      <c r="F286" s="39">
        <f>D286*1.6+E286</f>
        <v>658.27371168000002</v>
      </c>
      <c r="G286" s="130" t="str">
        <f>A285</f>
        <v>5th Floor (Level 22.825 M)</v>
      </c>
      <c r="H286" s="130"/>
    </row>
    <row r="287" spans="1:8" s="2" customFormat="1" x14ac:dyDescent="0.3">
      <c r="A287" s="130">
        <v>502</v>
      </c>
      <c r="B287" s="130"/>
      <c r="C287" s="39" t="s">
        <v>166</v>
      </c>
      <c r="D287" s="39">
        <f>(3.05*5.49+2.13*2.44+3.05*3.05+3.05*3.35+1.3*2.13+1.3*2.13+2.53*1.07+1*3.05+2.65*0.9+1.78*1.17)*10.764</f>
        <v>615.96344159999978</v>
      </c>
      <c r="E287" s="39">
        <v>0</v>
      </c>
      <c r="F287" s="39">
        <f t="shared" ref="F287:F292" si="22">D287*1.6+E287</f>
        <v>985.54150655999968</v>
      </c>
      <c r="G287" s="130"/>
      <c r="H287" s="130"/>
    </row>
    <row r="288" spans="1:8" s="2" customFormat="1" x14ac:dyDescent="0.3">
      <c r="A288" s="130">
        <v>503</v>
      </c>
      <c r="B288" s="130"/>
      <c r="C288" s="39" t="s">
        <v>166</v>
      </c>
      <c r="D288" s="39">
        <f>(3.05*5.49+2.13*2.44+3.05*3.05+3.05*3.35+1.3*2.13+1.3*2.13+2.53*1.07+1*3.05+2.65*0.9+1.78*1.17)*10.764</f>
        <v>615.96344159999978</v>
      </c>
      <c r="E288" s="39">
        <v>0</v>
      </c>
      <c r="F288" s="39">
        <f t="shared" si="22"/>
        <v>985.54150655999968</v>
      </c>
      <c r="G288" s="130"/>
      <c r="H288" s="130"/>
    </row>
    <row r="289" spans="1:8" s="2" customFormat="1" x14ac:dyDescent="0.3">
      <c r="A289" s="130">
        <v>504</v>
      </c>
      <c r="B289" s="130"/>
      <c r="C289" s="39" t="s">
        <v>167</v>
      </c>
      <c r="D289" s="39">
        <f>(3.05*4.66+2.13*2.44+3.05*3.05+2.13*1.22+2.13*1.22+1*2.13+1.865*1.17)*10.764</f>
        <v>411.4210698</v>
      </c>
      <c r="E289" s="39">
        <v>0</v>
      </c>
      <c r="F289" s="39">
        <f t="shared" si="22"/>
        <v>658.27371168000002</v>
      </c>
      <c r="G289" s="130"/>
      <c r="H289" s="130"/>
    </row>
    <row r="290" spans="1:8" s="2" customFormat="1" x14ac:dyDescent="0.3">
      <c r="A290" s="130">
        <v>505</v>
      </c>
      <c r="B290" s="130"/>
      <c r="C290" s="39" t="s">
        <v>167</v>
      </c>
      <c r="D290" s="39">
        <f>(3.05*4.66+2.13*2.44+3.05*3.05+2.13*1.22+2.13*1.22+1*2.13+1.865*1.17)*10.764</f>
        <v>411.4210698</v>
      </c>
      <c r="E290" s="39">
        <v>0</v>
      </c>
      <c r="F290" s="39">
        <f t="shared" si="22"/>
        <v>658.27371168000002</v>
      </c>
      <c r="G290" s="130"/>
      <c r="H290" s="130"/>
    </row>
    <row r="291" spans="1:8" s="2" customFormat="1" x14ac:dyDescent="0.3">
      <c r="A291" s="130">
        <v>506</v>
      </c>
      <c r="B291" s="130"/>
      <c r="C291" s="39" t="s">
        <v>166</v>
      </c>
      <c r="D291" s="39">
        <f t="shared" ref="D291:D292" si="23">(3.05*5.49+2.13*2.44+3.05*3.05+3.05*3.35+1.3*2.13+1.3*2.13+2.53*1.07+1*3.05+2.65*0.9+1.78*1.17)*10.764</f>
        <v>615.96344159999978</v>
      </c>
      <c r="E291" s="39">
        <v>0</v>
      </c>
      <c r="F291" s="39">
        <f t="shared" si="22"/>
        <v>985.54150655999968</v>
      </c>
      <c r="G291" s="130"/>
      <c r="H291" s="130"/>
    </row>
    <row r="292" spans="1:8" s="2" customFormat="1" x14ac:dyDescent="0.3">
      <c r="A292" s="130">
        <v>507</v>
      </c>
      <c r="B292" s="130"/>
      <c r="C292" s="39" t="s">
        <v>166</v>
      </c>
      <c r="D292" s="39">
        <f t="shared" si="23"/>
        <v>615.96344159999978</v>
      </c>
      <c r="E292" s="39">
        <v>0</v>
      </c>
      <c r="F292" s="39">
        <f t="shared" si="22"/>
        <v>985.54150655999968</v>
      </c>
      <c r="G292" s="130"/>
      <c r="H292" s="130"/>
    </row>
    <row r="293" spans="1:8" s="2" customFormat="1" x14ac:dyDescent="0.3">
      <c r="A293" s="132" t="s">
        <v>220</v>
      </c>
      <c r="B293" s="132"/>
      <c r="C293" s="132"/>
      <c r="D293" s="132"/>
      <c r="E293" s="132"/>
      <c r="F293" s="132"/>
      <c r="G293" s="132"/>
      <c r="H293" s="132"/>
    </row>
    <row r="294" spans="1:8" s="2" customFormat="1" x14ac:dyDescent="0.3">
      <c r="A294" s="130">
        <v>601</v>
      </c>
      <c r="B294" s="130"/>
      <c r="C294" s="39" t="s">
        <v>167</v>
      </c>
      <c r="D294" s="39">
        <f>(3.05*4.66+2.13*2.44+3.05*3.05+2.13*1.22+2.13*1.22+1*2.13+1.865*1.17)*10.764</f>
        <v>411.4210698</v>
      </c>
      <c r="E294" s="39">
        <v>0</v>
      </c>
      <c r="F294" s="39">
        <f>D294*1.6+E294</f>
        <v>658.27371168000002</v>
      </c>
      <c r="G294" s="130" t="str">
        <f>A293</f>
        <v>6th Floor (Level 25.775 M)</v>
      </c>
      <c r="H294" s="130"/>
    </row>
    <row r="295" spans="1:8" s="2" customFormat="1" x14ac:dyDescent="0.3">
      <c r="A295" s="130">
        <v>602</v>
      </c>
      <c r="B295" s="130"/>
      <c r="C295" s="39" t="s">
        <v>167</v>
      </c>
      <c r="D295" s="39">
        <f>(3.05*4.66+2.13*2.44+3.05*3.05+2.13*1.22+2.13*1.22+1*2.13+1.865*1.17)*10.764</f>
        <v>411.4210698</v>
      </c>
      <c r="E295" s="39">
        <v>0</v>
      </c>
      <c r="F295" s="39">
        <f>D295*1.6+E295</f>
        <v>658.27371168000002</v>
      </c>
      <c r="G295" s="130"/>
      <c r="H295" s="130"/>
    </row>
    <row r="296" spans="1:8" s="2" customFormat="1" x14ac:dyDescent="0.3">
      <c r="A296" s="130">
        <v>603</v>
      </c>
      <c r="B296" s="130"/>
      <c r="C296" s="39" t="s">
        <v>166</v>
      </c>
      <c r="D296" s="39">
        <f>(3.05*5.49+2.13*2.44+3.05*3.05+3.05*3.35+1.3*2.13+1.3*2.13+2.53*1.07+1*3.05+2.65*0.9+1.78*1.17)*10.764</f>
        <v>615.96344159999978</v>
      </c>
      <c r="E296" s="39">
        <v>0</v>
      </c>
      <c r="F296" s="39">
        <f t="shared" ref="F296:F301" si="24">D296*1.6+E296</f>
        <v>985.54150655999968</v>
      </c>
      <c r="G296" s="130"/>
      <c r="H296" s="130"/>
    </row>
    <row r="297" spans="1:8" s="2" customFormat="1" x14ac:dyDescent="0.3">
      <c r="A297" s="130">
        <v>604</v>
      </c>
      <c r="B297" s="130"/>
      <c r="C297" s="39" t="s">
        <v>166</v>
      </c>
      <c r="D297" s="39">
        <f>(3.05*5.49+2.13*2.44+3.05*3.05+3.05*3.35+1.3*2.13+1.3*2.13+2.53*1.07+1*3.05+2.65*0.9+1.78*1.17)*10.764</f>
        <v>615.96344159999978</v>
      </c>
      <c r="E297" s="39">
        <v>0</v>
      </c>
      <c r="F297" s="39">
        <f t="shared" si="24"/>
        <v>985.54150655999968</v>
      </c>
      <c r="G297" s="130"/>
      <c r="H297" s="130"/>
    </row>
    <row r="298" spans="1:8" s="2" customFormat="1" x14ac:dyDescent="0.3">
      <c r="A298" s="130">
        <v>605</v>
      </c>
      <c r="B298" s="130"/>
      <c r="C298" s="39" t="s">
        <v>167</v>
      </c>
      <c r="D298" s="39">
        <f>(3.05*4.66+2.13*2.44+3.05*3.05+2.13*1.22+2.13*1.22+1*2.13+1.865*1.17)*10.764</f>
        <v>411.4210698</v>
      </c>
      <c r="E298" s="39">
        <v>0</v>
      </c>
      <c r="F298" s="39">
        <f t="shared" si="24"/>
        <v>658.27371168000002</v>
      </c>
      <c r="G298" s="130"/>
      <c r="H298" s="130"/>
    </row>
    <row r="299" spans="1:8" s="2" customFormat="1" x14ac:dyDescent="0.3">
      <c r="A299" s="130">
        <v>606</v>
      </c>
      <c r="B299" s="130"/>
      <c r="C299" s="39" t="s">
        <v>167</v>
      </c>
      <c r="D299" s="39">
        <f>(3.05*4.66+2.13*2.44+3.05*3.05+2.13*1.22+2.13*1.22+1*2.13+1.865*1.17)*10.764</f>
        <v>411.4210698</v>
      </c>
      <c r="E299" s="39">
        <v>0</v>
      </c>
      <c r="F299" s="39">
        <f t="shared" si="24"/>
        <v>658.27371168000002</v>
      </c>
      <c r="G299" s="130"/>
      <c r="H299" s="130"/>
    </row>
    <row r="300" spans="1:8" s="2" customFormat="1" x14ac:dyDescent="0.3">
      <c r="A300" s="130">
        <v>607</v>
      </c>
      <c r="B300" s="130"/>
      <c r="C300" s="39" t="s">
        <v>166</v>
      </c>
      <c r="D300" s="39">
        <f t="shared" ref="D300:D301" si="25">(3.05*5.49+2.13*2.44+3.05*3.05+3.05*3.35+1.3*2.13+1.3*2.13+2.53*1.07+1*3.05+2.65*0.9+1.78*1.17)*10.764</f>
        <v>615.96344159999978</v>
      </c>
      <c r="E300" s="39">
        <v>0</v>
      </c>
      <c r="F300" s="39">
        <f t="shared" si="24"/>
        <v>985.54150655999968</v>
      </c>
      <c r="G300" s="130"/>
      <c r="H300" s="130"/>
    </row>
    <row r="301" spans="1:8" s="2" customFormat="1" x14ac:dyDescent="0.3">
      <c r="A301" s="130">
        <v>608</v>
      </c>
      <c r="B301" s="130"/>
      <c r="C301" s="39" t="s">
        <v>166</v>
      </c>
      <c r="D301" s="39">
        <f t="shared" si="25"/>
        <v>615.96344159999978</v>
      </c>
      <c r="E301" s="39">
        <v>0</v>
      </c>
      <c r="F301" s="39">
        <f t="shared" si="24"/>
        <v>985.54150655999968</v>
      </c>
      <c r="G301" s="130"/>
      <c r="H301" s="130"/>
    </row>
    <row r="302" spans="1:8" s="2" customFormat="1" x14ac:dyDescent="0.3">
      <c r="A302" s="132" t="s">
        <v>221</v>
      </c>
      <c r="B302" s="132"/>
      <c r="C302" s="132"/>
      <c r="D302" s="132"/>
      <c r="E302" s="132"/>
      <c r="F302" s="132"/>
      <c r="G302" s="132"/>
      <c r="H302" s="132"/>
    </row>
    <row r="303" spans="1:8" s="2" customFormat="1" x14ac:dyDescent="0.3">
      <c r="A303" s="130">
        <v>701</v>
      </c>
      <c r="B303" s="130"/>
      <c r="C303" s="39" t="s">
        <v>167</v>
      </c>
      <c r="D303" s="39">
        <f>(3.05*4.66+2.13*2.44+3.05*3.05+2.13*1.22+2.13*1.22+1*2.13+1.865*1.17)*10.764</f>
        <v>411.4210698</v>
      </c>
      <c r="E303" s="39">
        <v>0</v>
      </c>
      <c r="F303" s="39">
        <f>D303*1.6+E303</f>
        <v>658.27371168000002</v>
      </c>
      <c r="G303" s="130" t="str">
        <f>A302</f>
        <v>7th Floor (Level 28.725 M)</v>
      </c>
      <c r="H303" s="130"/>
    </row>
    <row r="304" spans="1:8" s="2" customFormat="1" x14ac:dyDescent="0.3">
      <c r="A304" s="130">
        <v>702</v>
      </c>
      <c r="B304" s="130"/>
      <c r="C304" s="39" t="s">
        <v>167</v>
      </c>
      <c r="D304" s="39">
        <f>(3.05*4.66+2.13*2.44+3.05*3.05+2.13*1.22+2.13*1.22+1*2.13+1.865*1.17)*10.764</f>
        <v>411.4210698</v>
      </c>
      <c r="E304" s="39">
        <v>0</v>
      </c>
      <c r="F304" s="39">
        <f>D304*1.6+E304</f>
        <v>658.27371168000002</v>
      </c>
      <c r="G304" s="130"/>
      <c r="H304" s="130"/>
    </row>
    <row r="305" spans="1:8" s="2" customFormat="1" x14ac:dyDescent="0.3">
      <c r="A305" s="130">
        <v>703</v>
      </c>
      <c r="B305" s="130"/>
      <c r="C305" s="39" t="s">
        <v>166</v>
      </c>
      <c r="D305" s="39">
        <f>(3.05*5.49+2.13*2.44+3.05*3.05+3.05*3.35+1.3*2.13+1.3*2.13+2.53*1.07+1*3.05+2.65*0.9+1.78*1.17)*10.764</f>
        <v>615.96344159999978</v>
      </c>
      <c r="E305" s="39">
        <v>0</v>
      </c>
      <c r="F305" s="39">
        <f t="shared" ref="F305:F309" si="26">D305*1.6+E305</f>
        <v>985.54150655999968</v>
      </c>
      <c r="G305" s="130"/>
      <c r="H305" s="130"/>
    </row>
    <row r="306" spans="1:8" s="2" customFormat="1" x14ac:dyDescent="0.3">
      <c r="A306" s="130">
        <v>704</v>
      </c>
      <c r="B306" s="130"/>
      <c r="C306" s="39" t="s">
        <v>166</v>
      </c>
      <c r="D306" s="39">
        <f>(3.05*5.49+2.13*2.44+3.05*3.05+3.05*3.35+1.3*2.13+1.3*2.13+2.53*1.07+1*3.05+2.65*0.9+1.78*1.17)*10.764</f>
        <v>615.96344159999978</v>
      </c>
      <c r="E306" s="39">
        <v>0</v>
      </c>
      <c r="F306" s="39">
        <f t="shared" si="26"/>
        <v>985.54150655999968</v>
      </c>
      <c r="G306" s="130"/>
      <c r="H306" s="130"/>
    </row>
    <row r="307" spans="1:8" s="2" customFormat="1" x14ac:dyDescent="0.3">
      <c r="A307" s="130">
        <v>705</v>
      </c>
      <c r="B307" s="130"/>
      <c r="C307" s="39" t="s">
        <v>167</v>
      </c>
      <c r="D307" s="39">
        <f>(3.05*4.66+2.13*2.44+3.05*3.05+2.13*1.22+2.13*1.22+1*2.13+1.865*1.17)*10.764</f>
        <v>411.4210698</v>
      </c>
      <c r="E307" s="39">
        <v>0</v>
      </c>
      <c r="F307" s="39">
        <f t="shared" si="26"/>
        <v>658.27371168000002</v>
      </c>
      <c r="G307" s="130"/>
      <c r="H307" s="130"/>
    </row>
    <row r="308" spans="1:8" s="2" customFormat="1" x14ac:dyDescent="0.3">
      <c r="A308" s="130">
        <v>706</v>
      </c>
      <c r="B308" s="130"/>
      <c r="C308" s="39" t="s">
        <v>167</v>
      </c>
      <c r="D308" s="39">
        <f>(3.05*4.66+2.13*2.44+3.05*3.05+2.13*1.22+2.13*1.22+1*2.13+1.865*1.17)*10.764</f>
        <v>411.4210698</v>
      </c>
      <c r="E308" s="39">
        <v>0</v>
      </c>
      <c r="F308" s="39">
        <f t="shared" si="26"/>
        <v>658.27371168000002</v>
      </c>
      <c r="G308" s="130"/>
      <c r="H308" s="130"/>
    </row>
    <row r="309" spans="1:8" s="2" customFormat="1" x14ac:dyDescent="0.3">
      <c r="A309" s="130">
        <v>707</v>
      </c>
      <c r="B309" s="130"/>
      <c r="C309" s="39" t="s">
        <v>166</v>
      </c>
      <c r="D309" s="39">
        <f t="shared" ref="D309" si="27">(3.05*5.49+2.13*2.44+3.05*3.05+3.05*3.35+1.3*2.13+1.3*2.13+2.53*1.07+1*3.05+2.65*0.9+1.78*1.17)*10.764</f>
        <v>615.96344159999978</v>
      </c>
      <c r="E309" s="39">
        <v>0</v>
      </c>
      <c r="F309" s="39">
        <f t="shared" si="26"/>
        <v>985.54150655999968</v>
      </c>
      <c r="G309" s="130"/>
      <c r="H309" s="130"/>
    </row>
    <row r="310" spans="1:8" s="2" customFormat="1" x14ac:dyDescent="0.3">
      <c r="A310" s="130">
        <v>708</v>
      </c>
      <c r="B310" s="130"/>
      <c r="C310" s="130" t="s">
        <v>168</v>
      </c>
      <c r="D310" s="130"/>
      <c r="E310" s="130"/>
      <c r="F310" s="130"/>
      <c r="G310" s="130"/>
      <c r="H310" s="130"/>
    </row>
    <row r="311" spans="1:8" s="2" customFormat="1" ht="30" customHeight="1" x14ac:dyDescent="0.3">
      <c r="A311" s="132" t="s">
        <v>169</v>
      </c>
      <c r="B311" s="132"/>
      <c r="C311" s="132"/>
      <c r="D311" s="132"/>
      <c r="E311" s="132"/>
      <c r="F311" s="132"/>
      <c r="G311" s="132"/>
      <c r="H311" s="132"/>
    </row>
    <row r="312" spans="1:8" s="2" customFormat="1" x14ac:dyDescent="0.3">
      <c r="A312" s="130" t="s">
        <v>170</v>
      </c>
      <c r="B312" s="130"/>
      <c r="C312" s="39" t="s">
        <v>167</v>
      </c>
      <c r="D312" s="39">
        <f>(3.05*4.66+2.13*2.44+3.05*3.05+2.13*1.22+2.13*1.22+1*2.13+1.865*1.17)*10.764</f>
        <v>411.4210698</v>
      </c>
      <c r="E312" s="39">
        <v>0</v>
      </c>
      <c r="F312" s="39">
        <f>D312*1.6+E312</f>
        <v>658.27371168000002</v>
      </c>
      <c r="G312" s="130" t="str">
        <f>A311</f>
        <v>8th, 9th, 10th, 11th, 13th, 14th, 15th, 16th, 18th, 19th, 20th, 21st, 23rd, 24th, 25th, 26th, 28th, 29th, 30th, 31st, 33th, 34th, 35th, 36th, 38th &amp; 39th Floor</v>
      </c>
      <c r="H312" s="130"/>
    </row>
    <row r="313" spans="1:8" s="2" customFormat="1" x14ac:dyDescent="0.3">
      <c r="A313" s="130" t="s">
        <v>171</v>
      </c>
      <c r="B313" s="130"/>
      <c r="C313" s="39" t="s">
        <v>167</v>
      </c>
      <c r="D313" s="39">
        <f>(3.05*4.66+2.13*2.44+3.05*3.05+2.13*1.22+2.13*1.22+1*2.13+1.865*1.17)*10.764</f>
        <v>411.4210698</v>
      </c>
      <c r="E313" s="39">
        <v>0</v>
      </c>
      <c r="F313" s="39">
        <f t="shared" ref="F313:F319" si="28">D313*1.6+E313</f>
        <v>658.27371168000002</v>
      </c>
      <c r="G313" s="130"/>
      <c r="H313" s="130"/>
    </row>
    <row r="314" spans="1:8" s="2" customFormat="1" x14ac:dyDescent="0.3">
      <c r="A314" s="130" t="s">
        <v>172</v>
      </c>
      <c r="B314" s="130"/>
      <c r="C314" s="39" t="s">
        <v>166</v>
      </c>
      <c r="D314" s="39">
        <f t="shared" ref="D314:D315" si="29">(3.05*5.49+2.13*2.44+3.05*3.05+3.05*3.35+1.3*2.13+1.3*2.13+2.53*1.07+1*3.05+2.65*0.9+1.78*1.17)*10.764</f>
        <v>615.96344159999978</v>
      </c>
      <c r="E314" s="39">
        <v>0</v>
      </c>
      <c r="F314" s="39">
        <f t="shared" si="28"/>
        <v>985.54150655999968</v>
      </c>
      <c r="G314" s="130"/>
      <c r="H314" s="130"/>
    </row>
    <row r="315" spans="1:8" s="2" customFormat="1" x14ac:dyDescent="0.3">
      <c r="A315" s="130" t="s">
        <v>173</v>
      </c>
      <c r="B315" s="130"/>
      <c r="C315" s="39" t="s">
        <v>166</v>
      </c>
      <c r="D315" s="39">
        <f t="shared" si="29"/>
        <v>615.96344159999978</v>
      </c>
      <c r="E315" s="39">
        <v>0</v>
      </c>
      <c r="F315" s="39">
        <f t="shared" si="28"/>
        <v>985.54150655999968</v>
      </c>
      <c r="G315" s="130"/>
      <c r="H315" s="130"/>
    </row>
    <row r="316" spans="1:8" s="2" customFormat="1" x14ac:dyDescent="0.3">
      <c r="A316" s="130" t="s">
        <v>174</v>
      </c>
      <c r="B316" s="130"/>
      <c r="C316" s="39" t="s">
        <v>167</v>
      </c>
      <c r="D316" s="39">
        <f t="shared" ref="D316:D317" si="30">(3.05*4.66+2.13*2.44+3.05*3.05+2.13*1.22+2.13*1.22+1*2.13+1.865*1.17)*10.764</f>
        <v>411.4210698</v>
      </c>
      <c r="E316" s="39">
        <v>0</v>
      </c>
      <c r="F316" s="39">
        <f t="shared" si="28"/>
        <v>658.27371168000002</v>
      </c>
      <c r="G316" s="130"/>
      <c r="H316" s="130"/>
    </row>
    <row r="317" spans="1:8" s="2" customFormat="1" x14ac:dyDescent="0.3">
      <c r="A317" s="130" t="s">
        <v>175</v>
      </c>
      <c r="B317" s="130"/>
      <c r="C317" s="39" t="s">
        <v>167</v>
      </c>
      <c r="D317" s="39">
        <f t="shared" si="30"/>
        <v>411.4210698</v>
      </c>
      <c r="E317" s="39">
        <v>0</v>
      </c>
      <c r="F317" s="39">
        <f t="shared" si="28"/>
        <v>658.27371168000002</v>
      </c>
      <c r="G317" s="130"/>
      <c r="H317" s="130"/>
    </row>
    <row r="318" spans="1:8" s="2" customFormat="1" x14ac:dyDescent="0.3">
      <c r="A318" s="130" t="s">
        <v>176</v>
      </c>
      <c r="B318" s="130"/>
      <c r="C318" s="39" t="s">
        <v>166</v>
      </c>
      <c r="D318" s="39">
        <f t="shared" ref="D318:D319" si="31">(3.05*5.49+2.13*2.44+3.05*3.05+3.05*3.35+1.3*2.13+1.3*2.13+2.53*1.07+1*3.05+2.65*0.9+1.78*1.17)*10.764</f>
        <v>615.96344159999978</v>
      </c>
      <c r="E318" s="39">
        <v>0</v>
      </c>
      <c r="F318" s="39">
        <f t="shared" si="28"/>
        <v>985.54150655999968</v>
      </c>
      <c r="G318" s="130"/>
      <c r="H318" s="130"/>
    </row>
    <row r="319" spans="1:8" s="2" customFormat="1" x14ac:dyDescent="0.3">
      <c r="A319" s="130" t="s">
        <v>177</v>
      </c>
      <c r="B319" s="130"/>
      <c r="C319" s="39" t="s">
        <v>166</v>
      </c>
      <c r="D319" s="39">
        <f t="shared" si="31"/>
        <v>615.96344159999978</v>
      </c>
      <c r="E319" s="39">
        <v>0</v>
      </c>
      <c r="F319" s="39">
        <f t="shared" si="28"/>
        <v>985.54150655999968</v>
      </c>
      <c r="G319" s="130"/>
      <c r="H319" s="130"/>
    </row>
    <row r="320" spans="1:8" s="2" customFormat="1" x14ac:dyDescent="0.3">
      <c r="A320" s="132" t="s">
        <v>186</v>
      </c>
      <c r="B320" s="132"/>
      <c r="C320" s="132"/>
      <c r="D320" s="132"/>
      <c r="E320" s="132"/>
      <c r="F320" s="132"/>
      <c r="G320" s="132"/>
      <c r="H320" s="132"/>
    </row>
    <row r="321" spans="1:8" s="2" customFormat="1" x14ac:dyDescent="0.3">
      <c r="A321" s="130" t="s">
        <v>178</v>
      </c>
      <c r="B321" s="130"/>
      <c r="C321" s="39" t="s">
        <v>167</v>
      </c>
      <c r="D321" s="39">
        <f t="shared" ref="D321:D322" si="32">(3.05*4.66+2.13*2.44+3.05*3.05+2.13*1.22+2.13*1.22+1*2.13+1.865*1.17)*10.764</f>
        <v>411.4210698</v>
      </c>
      <c r="E321" s="39">
        <v>0</v>
      </c>
      <c r="F321" s="39">
        <f>D321*1.6+E321</f>
        <v>658.27371168000002</v>
      </c>
      <c r="G321" s="130" t="str">
        <f>A320</f>
        <v>12th, 17th, 22nd, 27th, 32nd &amp; 37th Floor ( Part Refuge Area)</v>
      </c>
      <c r="H321" s="130"/>
    </row>
    <row r="322" spans="1:8" s="2" customFormat="1" x14ac:dyDescent="0.3">
      <c r="A322" s="130" t="s">
        <v>179</v>
      </c>
      <c r="B322" s="130"/>
      <c r="C322" s="39" t="s">
        <v>167</v>
      </c>
      <c r="D322" s="39">
        <f t="shared" si="32"/>
        <v>411.4210698</v>
      </c>
      <c r="E322" s="39">
        <v>0</v>
      </c>
      <c r="F322" s="39">
        <f t="shared" ref="F322:F327" si="33">D322*1.6+E322</f>
        <v>658.27371168000002</v>
      </c>
      <c r="G322" s="130"/>
      <c r="H322" s="130"/>
    </row>
    <row r="323" spans="1:8" s="2" customFormat="1" x14ac:dyDescent="0.3">
      <c r="A323" s="130" t="s">
        <v>180</v>
      </c>
      <c r="B323" s="130"/>
      <c r="C323" s="39" t="s">
        <v>166</v>
      </c>
      <c r="D323" s="39">
        <f t="shared" ref="D323:D324" si="34">(3.05*5.49+2.13*2.44+3.05*3.05+3.05*3.35+1.3*2.13+1.3*2.13+2.53*1.07+1*3.05+2.65*0.9+1.78*1.17)*10.764</f>
        <v>615.96344159999978</v>
      </c>
      <c r="E323" s="39">
        <v>0</v>
      </c>
      <c r="F323" s="39">
        <f t="shared" si="33"/>
        <v>985.54150655999968</v>
      </c>
      <c r="G323" s="130"/>
      <c r="H323" s="130"/>
    </row>
    <row r="324" spans="1:8" s="2" customFormat="1" x14ac:dyDescent="0.3">
      <c r="A324" s="130" t="s">
        <v>181</v>
      </c>
      <c r="B324" s="130"/>
      <c r="C324" s="39" t="s">
        <v>166</v>
      </c>
      <c r="D324" s="39">
        <f t="shared" si="34"/>
        <v>615.96344159999978</v>
      </c>
      <c r="E324" s="39">
        <v>0</v>
      </c>
      <c r="F324" s="39">
        <f t="shared" si="33"/>
        <v>985.54150655999968</v>
      </c>
      <c r="G324" s="130"/>
      <c r="H324" s="130"/>
    </row>
    <row r="325" spans="1:8" s="2" customFormat="1" x14ac:dyDescent="0.3">
      <c r="A325" s="130" t="s">
        <v>182</v>
      </c>
      <c r="B325" s="130"/>
      <c r="C325" s="39" t="s">
        <v>167</v>
      </c>
      <c r="D325" s="39">
        <f t="shared" ref="D325:D326" si="35">(3.05*4.66+2.13*2.44+3.05*3.05+2.13*1.22+2.13*1.22+1*2.13+1.865*1.17)*10.764</f>
        <v>411.4210698</v>
      </c>
      <c r="E325" s="39">
        <v>0</v>
      </c>
      <c r="F325" s="39">
        <f t="shared" si="33"/>
        <v>658.27371168000002</v>
      </c>
      <c r="G325" s="130"/>
      <c r="H325" s="130"/>
    </row>
    <row r="326" spans="1:8" s="2" customFormat="1" x14ac:dyDescent="0.3">
      <c r="A326" s="130" t="s">
        <v>183</v>
      </c>
      <c r="B326" s="130"/>
      <c r="C326" s="39" t="s">
        <v>167</v>
      </c>
      <c r="D326" s="39">
        <f t="shared" si="35"/>
        <v>411.4210698</v>
      </c>
      <c r="E326" s="39">
        <v>0</v>
      </c>
      <c r="F326" s="39">
        <f t="shared" si="33"/>
        <v>658.27371168000002</v>
      </c>
      <c r="G326" s="130"/>
      <c r="H326" s="130"/>
    </row>
    <row r="327" spans="1:8" s="2" customFormat="1" x14ac:dyDescent="0.3">
      <c r="A327" s="130" t="s">
        <v>184</v>
      </c>
      <c r="B327" s="130"/>
      <c r="C327" s="39" t="s">
        <v>166</v>
      </c>
      <c r="D327" s="39">
        <f t="shared" ref="D327" si="36">(3.05*5.49+2.13*2.44+3.05*3.05+3.05*3.35+1.3*2.13+1.3*2.13+2.53*1.07+1*3.05+2.65*0.9+1.78*1.17)*10.764</f>
        <v>615.96344159999978</v>
      </c>
      <c r="E327" s="39">
        <v>0</v>
      </c>
      <c r="F327" s="39">
        <f t="shared" si="33"/>
        <v>985.54150655999968</v>
      </c>
      <c r="G327" s="130"/>
      <c r="H327" s="130"/>
    </row>
    <row r="328" spans="1:8" s="2" customFormat="1" x14ac:dyDescent="0.3">
      <c r="A328" s="130" t="s">
        <v>185</v>
      </c>
      <c r="B328" s="130"/>
      <c r="C328" s="130" t="s">
        <v>168</v>
      </c>
      <c r="D328" s="130"/>
      <c r="E328" s="130"/>
      <c r="F328" s="130"/>
      <c r="G328" s="130"/>
      <c r="H328" s="130"/>
    </row>
    <row r="329" spans="1:8" s="2" customFormat="1" x14ac:dyDescent="0.3">
      <c r="A329" s="133" t="s">
        <v>188</v>
      </c>
      <c r="B329" s="133"/>
      <c r="C329" s="133"/>
      <c r="D329" s="133"/>
      <c r="E329" s="133"/>
      <c r="F329" s="133"/>
      <c r="G329" s="133"/>
      <c r="H329" s="133"/>
    </row>
    <row r="330" spans="1:8" s="2" customFormat="1" x14ac:dyDescent="0.3">
      <c r="A330" s="132" t="s">
        <v>223</v>
      </c>
      <c r="B330" s="132"/>
      <c r="C330" s="132"/>
      <c r="D330" s="132"/>
      <c r="E330" s="132"/>
      <c r="F330" s="132"/>
      <c r="G330" s="132"/>
      <c r="H330" s="132"/>
    </row>
    <row r="331" spans="1:8" s="2" customFormat="1" x14ac:dyDescent="0.3">
      <c r="A331" s="132" t="s">
        <v>224</v>
      </c>
      <c r="B331" s="132"/>
      <c r="C331" s="132"/>
      <c r="D331" s="132"/>
      <c r="E331" s="132"/>
      <c r="F331" s="132"/>
      <c r="G331" s="132"/>
      <c r="H331" s="132"/>
    </row>
    <row r="332" spans="1:8" s="2" customFormat="1" x14ac:dyDescent="0.3">
      <c r="A332" s="132" t="s">
        <v>229</v>
      </c>
      <c r="B332" s="132"/>
      <c r="C332" s="132"/>
      <c r="D332" s="132"/>
      <c r="E332" s="132"/>
      <c r="F332" s="132"/>
      <c r="G332" s="132"/>
      <c r="H332" s="132"/>
    </row>
    <row r="333" spans="1:8" s="2" customFormat="1" x14ac:dyDescent="0.3">
      <c r="A333" s="132" t="s">
        <v>230</v>
      </c>
      <c r="B333" s="132"/>
      <c r="C333" s="132"/>
      <c r="D333" s="132"/>
      <c r="E333" s="132"/>
      <c r="F333" s="132"/>
      <c r="G333" s="132"/>
      <c r="H333" s="132"/>
    </row>
    <row r="334" spans="1:8" s="2" customFormat="1" x14ac:dyDescent="0.3">
      <c r="A334" s="132" t="s">
        <v>231</v>
      </c>
      <c r="B334" s="132"/>
      <c r="C334" s="132"/>
      <c r="D334" s="132"/>
      <c r="E334" s="132"/>
      <c r="F334" s="132"/>
      <c r="G334" s="132"/>
      <c r="H334" s="132"/>
    </row>
    <row r="335" spans="1:8" s="2" customFormat="1" x14ac:dyDescent="0.3">
      <c r="A335" s="132" t="s">
        <v>232</v>
      </c>
      <c r="B335" s="132"/>
      <c r="C335" s="132"/>
      <c r="D335" s="132"/>
      <c r="E335" s="132"/>
      <c r="F335" s="132"/>
      <c r="G335" s="132"/>
      <c r="H335" s="132"/>
    </row>
    <row r="336" spans="1:8" s="2" customFormat="1" x14ac:dyDescent="0.3">
      <c r="A336" s="132" t="s">
        <v>233</v>
      </c>
      <c r="B336" s="132"/>
      <c r="C336" s="132"/>
      <c r="D336" s="132"/>
      <c r="E336" s="132"/>
      <c r="F336" s="132"/>
      <c r="G336" s="132"/>
      <c r="H336" s="132"/>
    </row>
    <row r="337" spans="1:8" s="2" customFormat="1" x14ac:dyDescent="0.3">
      <c r="A337" s="130">
        <v>101</v>
      </c>
      <c r="B337" s="130"/>
      <c r="C337" s="39" t="s">
        <v>166</v>
      </c>
      <c r="D337" s="39">
        <f>(5.84*3.05+3.05*0.9+2.59*2.13+3.05*3.05+3.43*3.05+1.37*2.29+2.29*1.37+1*1.37+1.12*1.37+2.75*1.19+1.93*1.19+2.85*1.19)*10.764</f>
        <v>688.65273360000003</v>
      </c>
      <c r="E337" s="39">
        <v>0</v>
      </c>
      <c r="F337" s="39">
        <f>D337*1.6+E337</f>
        <v>1101.8443737600001</v>
      </c>
      <c r="G337" s="130" t="str">
        <f>A336</f>
        <v xml:space="preserve">1st Floor (Level 19.675M SFL &amp; 19.875 FFl) </v>
      </c>
      <c r="H337" s="130"/>
    </row>
    <row r="338" spans="1:8" s="2" customFormat="1" x14ac:dyDescent="0.3">
      <c r="A338" s="130">
        <v>102</v>
      </c>
      <c r="B338" s="130"/>
      <c r="C338" s="39" t="s">
        <v>166</v>
      </c>
      <c r="D338" s="39">
        <f>(5.84*3.05+3.05*0.9+2.59*2.13+3.05*3.05+3.43*3.05+1.37*2.29+2.29*1.37+1*1.37+1.12*1.37+2.75*1.19+1.93*1.19+2.85*1.19)*10.764</f>
        <v>688.65273360000003</v>
      </c>
      <c r="E338" s="39">
        <v>0</v>
      </c>
      <c r="F338" s="39">
        <f t="shared" ref="F338:F340" si="37">D338*1.6+E338</f>
        <v>1101.8443737600001</v>
      </c>
      <c r="G338" s="130"/>
      <c r="H338" s="130"/>
    </row>
    <row r="339" spans="1:8" s="2" customFormat="1" x14ac:dyDescent="0.3">
      <c r="A339" s="130">
        <v>103</v>
      </c>
      <c r="B339" s="130"/>
      <c r="C339" s="39" t="s">
        <v>166</v>
      </c>
      <c r="D339" s="39">
        <f>(3.05*5.49+2.13*2.44+3.05*3.05+3.05*3.35+1.3*2.13+1.3*2.13+2.53*1.07+1*3.05+2.65*0.9+1.78*1.17)*10.764</f>
        <v>615.96344159999978</v>
      </c>
      <c r="E339" s="39">
        <v>0</v>
      </c>
      <c r="F339" s="39">
        <f t="shared" si="37"/>
        <v>985.54150655999968</v>
      </c>
      <c r="G339" s="130"/>
      <c r="H339" s="130"/>
    </row>
    <row r="340" spans="1:8" s="2" customFormat="1" x14ac:dyDescent="0.3">
      <c r="A340" s="130">
        <v>104</v>
      </c>
      <c r="B340" s="130"/>
      <c r="C340" s="39" t="s">
        <v>166</v>
      </c>
      <c r="D340" s="39">
        <f>(3.05*5.49+2.13*2.44+3.05*3.05+3.05*3.35+1.3*2.13+1.3*2.13+2.53*1.07+1*3.05+2.65*0.9+1.78*1.17)*10.764</f>
        <v>615.96344159999978</v>
      </c>
      <c r="E340" s="39">
        <v>0</v>
      </c>
      <c r="F340" s="39">
        <f t="shared" si="37"/>
        <v>985.54150655999968</v>
      </c>
      <c r="G340" s="130"/>
      <c r="H340" s="130"/>
    </row>
    <row r="341" spans="1:8" s="2" customFormat="1" x14ac:dyDescent="0.3">
      <c r="A341" s="132" t="s">
        <v>234</v>
      </c>
      <c r="B341" s="132"/>
      <c r="C341" s="132"/>
      <c r="D341" s="132"/>
      <c r="E341" s="132"/>
      <c r="F341" s="132"/>
      <c r="G341" s="132"/>
      <c r="H341" s="132"/>
    </row>
    <row r="342" spans="1:8" s="2" customFormat="1" x14ac:dyDescent="0.3">
      <c r="A342" s="130">
        <v>201</v>
      </c>
      <c r="B342" s="130"/>
      <c r="C342" s="39" t="s">
        <v>166</v>
      </c>
      <c r="D342" s="39">
        <f>(5.84*3.05+3.05*0.9+2.59*2.13+3.05*3.05+3.43*3.05+1.37*2.29+2.29*1.37+1*1.37+1.12*1.37+2.75*1.19+1.93*1.19+2.85*1.19)*10.764</f>
        <v>688.65273360000003</v>
      </c>
      <c r="E342" s="39">
        <v>0</v>
      </c>
      <c r="F342" s="39">
        <f>D342*1.6+E342</f>
        <v>1101.8443737600001</v>
      </c>
      <c r="G342" s="130" t="str">
        <f>A341</f>
        <v>2nd Floor (Level 22.825M)</v>
      </c>
      <c r="H342" s="130"/>
    </row>
    <row r="343" spans="1:8" s="2" customFormat="1" x14ac:dyDescent="0.3">
      <c r="A343" s="130">
        <v>202</v>
      </c>
      <c r="B343" s="130"/>
      <c r="C343" s="39" t="s">
        <v>166</v>
      </c>
      <c r="D343" s="39">
        <f>(5.84*3.05+3.05*0.9+2.59*2.13+3.05*3.05+3.43*3.05+1.37*2.29+2.29*1.37+1*1.37+1.12*1.37+2.75*1.19+1.93*1.19+2.85*1.19)*10.764</f>
        <v>688.65273360000003</v>
      </c>
      <c r="E343" s="39">
        <v>0</v>
      </c>
      <c r="F343" s="39">
        <f t="shared" ref="F343:F347" si="38">D343*1.6+E343</f>
        <v>1101.8443737600001</v>
      </c>
      <c r="G343" s="130"/>
      <c r="H343" s="130"/>
    </row>
    <row r="344" spans="1:8" s="2" customFormat="1" x14ac:dyDescent="0.3">
      <c r="A344" s="130">
        <v>203</v>
      </c>
      <c r="B344" s="130"/>
      <c r="C344" s="39" t="s">
        <v>167</v>
      </c>
      <c r="D344" s="39">
        <f>(3.05*4.66+2.13*2.44+3.05*3.05+2.13*1.22+2.13*1.22+1*2.13+1.865*1.17)*10.764</f>
        <v>411.4210698</v>
      </c>
      <c r="E344" s="39">
        <v>0</v>
      </c>
      <c r="F344" s="39">
        <f t="shared" si="38"/>
        <v>658.27371168000002</v>
      </c>
      <c r="G344" s="130"/>
      <c r="H344" s="130"/>
    </row>
    <row r="345" spans="1:8" s="2" customFormat="1" x14ac:dyDescent="0.3">
      <c r="A345" s="130">
        <v>204</v>
      </c>
      <c r="B345" s="130"/>
      <c r="C345" s="39" t="s">
        <v>167</v>
      </c>
      <c r="D345" s="39">
        <f>(3.05*4.66+2.13*2.44+3.05*3.05+2.13*1.22+2.13*1.22+1*2.13+1.865*1.17)*10.764</f>
        <v>411.4210698</v>
      </c>
      <c r="E345" s="39">
        <v>0</v>
      </c>
      <c r="F345" s="39">
        <f t="shared" si="38"/>
        <v>658.27371168000002</v>
      </c>
      <c r="G345" s="130"/>
      <c r="H345" s="130"/>
    </row>
    <row r="346" spans="1:8" s="2" customFormat="1" x14ac:dyDescent="0.3">
      <c r="A346" s="130">
        <v>205</v>
      </c>
      <c r="B346" s="130"/>
      <c r="C346" s="39" t="s">
        <v>166</v>
      </c>
      <c r="D346" s="39">
        <f>(3.05*5.49+2.13*2.44+3.05*3.05+3.05*3.35+1.3*2.13+1.3*2.13+2.53*1.07+1*3.05+2.65*0.9+1.78*1.17)*10.764</f>
        <v>615.96344159999978</v>
      </c>
      <c r="E346" s="39">
        <v>0</v>
      </c>
      <c r="F346" s="39">
        <f t="shared" si="38"/>
        <v>985.54150655999968</v>
      </c>
      <c r="G346" s="130"/>
      <c r="H346" s="130"/>
    </row>
    <row r="347" spans="1:8" s="2" customFormat="1" x14ac:dyDescent="0.3">
      <c r="A347" s="130">
        <v>206</v>
      </c>
      <c r="B347" s="130"/>
      <c r="C347" s="39" t="s">
        <v>166</v>
      </c>
      <c r="D347" s="39">
        <f>(3.05*5.49+2.13*2.44+3.05*3.05+3.05*3.35+1.3*2.13+1.3*2.13+2.53*1.07+1*3.05+2.65*0.9+1.78*1.17)*10.764</f>
        <v>615.96344159999978</v>
      </c>
      <c r="E347" s="39">
        <v>0</v>
      </c>
      <c r="F347" s="39">
        <f t="shared" si="38"/>
        <v>985.54150655999968</v>
      </c>
      <c r="G347" s="130"/>
      <c r="H347" s="130"/>
    </row>
    <row r="348" spans="1:8" s="2" customFormat="1" x14ac:dyDescent="0.3">
      <c r="A348" s="132" t="s">
        <v>235</v>
      </c>
      <c r="B348" s="132"/>
      <c r="C348" s="132"/>
      <c r="D348" s="132"/>
      <c r="E348" s="132"/>
      <c r="F348" s="132"/>
      <c r="G348" s="132"/>
      <c r="H348" s="132"/>
    </row>
    <row r="349" spans="1:8" s="2" customFormat="1" x14ac:dyDescent="0.3">
      <c r="A349" s="130">
        <v>301</v>
      </c>
      <c r="B349" s="130"/>
      <c r="C349" s="39" t="s">
        <v>167</v>
      </c>
      <c r="D349" s="39">
        <f t="shared" ref="D349:D350" si="39">(3.05*4.66+2.13*2.44+3.05*3.05+2.13*1.22+2.13*1.22+1*2.13+1.865*1.17)*10.764</f>
        <v>411.4210698</v>
      </c>
      <c r="E349" s="39">
        <v>0</v>
      </c>
      <c r="F349" s="39">
        <f>D349*1.6+E349</f>
        <v>658.27371168000002</v>
      </c>
      <c r="G349" s="130" t="str">
        <f>A348</f>
        <v>3rd Floor (Level 25.775M)</v>
      </c>
      <c r="H349" s="130"/>
    </row>
    <row r="350" spans="1:8" s="2" customFormat="1" x14ac:dyDescent="0.3">
      <c r="A350" s="130">
        <v>302</v>
      </c>
      <c r="B350" s="130"/>
      <c r="C350" s="39" t="s">
        <v>167</v>
      </c>
      <c r="D350" s="39">
        <f t="shared" si="39"/>
        <v>411.4210698</v>
      </c>
      <c r="E350" s="39">
        <v>0</v>
      </c>
      <c r="F350" s="39">
        <f t="shared" ref="F350" si="40">D350*1.6+E350</f>
        <v>658.27371168000002</v>
      </c>
      <c r="G350" s="130"/>
      <c r="H350" s="130"/>
    </row>
    <row r="351" spans="1:8" s="2" customFormat="1" x14ac:dyDescent="0.3">
      <c r="A351" s="130">
        <v>303</v>
      </c>
      <c r="B351" s="130"/>
      <c r="C351" s="39" t="s">
        <v>166</v>
      </c>
      <c r="D351" s="39">
        <f>(5.84*3.05+3.05*0.9+2.59*2.13+3.05*3.05+3.43*3.05+1.37*2.29+2.29*1.37+1*1.37+1.12*1.37+2.75*1.19+1.93*1.19+2.85*1.19)*10.764</f>
        <v>688.65273360000003</v>
      </c>
      <c r="E351" s="39">
        <v>0</v>
      </c>
      <c r="F351" s="39">
        <f>D351*1.6+E351</f>
        <v>1101.8443737600001</v>
      </c>
      <c r="G351" s="130"/>
      <c r="H351" s="130"/>
    </row>
    <row r="352" spans="1:8" s="2" customFormat="1" x14ac:dyDescent="0.3">
      <c r="A352" s="130">
        <v>304</v>
      </c>
      <c r="B352" s="130"/>
      <c r="C352" s="39" t="s">
        <v>166</v>
      </c>
      <c r="D352" s="39">
        <f>(5.84*3.05+3.05*0.9+2.59*2.13+3.05*3.05+3.43*3.05+1.37*2.29+2.29*1.37+1*1.37+1.12*1.37+2.75*1.19+1.93*1.19+2.85*1.19)*10.764</f>
        <v>688.65273360000003</v>
      </c>
      <c r="E352" s="39">
        <v>0</v>
      </c>
      <c r="F352" s="39">
        <f t="shared" ref="F352:F356" si="41">D352*1.6+E352</f>
        <v>1101.8443737600001</v>
      </c>
      <c r="G352" s="130"/>
      <c r="H352" s="130"/>
    </row>
    <row r="353" spans="1:8" s="2" customFormat="1" x14ac:dyDescent="0.3">
      <c r="A353" s="130">
        <v>305</v>
      </c>
      <c r="B353" s="130"/>
      <c r="C353" s="39" t="s">
        <v>167</v>
      </c>
      <c r="D353" s="39">
        <f>(3.05*4.66+2.13*2.44+3.05*3.05+2.13*1.22+2.13*1.22+1*2.13+1.865*1.17)*10.764</f>
        <v>411.4210698</v>
      </c>
      <c r="E353" s="39">
        <v>0</v>
      </c>
      <c r="F353" s="39">
        <f t="shared" si="41"/>
        <v>658.27371168000002</v>
      </c>
      <c r="G353" s="130"/>
      <c r="H353" s="130"/>
    </row>
    <row r="354" spans="1:8" s="2" customFormat="1" x14ac:dyDescent="0.3">
      <c r="A354" s="130">
        <v>306</v>
      </c>
      <c r="B354" s="130"/>
      <c r="C354" s="39" t="s">
        <v>167</v>
      </c>
      <c r="D354" s="39">
        <f>(3.05*4.66+2.13*2.44+3.05*3.05+2.13*1.22+2.13*1.22+1*2.13+1.865*1.17)*10.764</f>
        <v>411.4210698</v>
      </c>
      <c r="E354" s="39">
        <v>0</v>
      </c>
      <c r="F354" s="39">
        <f t="shared" si="41"/>
        <v>658.27371168000002</v>
      </c>
      <c r="G354" s="130"/>
      <c r="H354" s="130"/>
    </row>
    <row r="355" spans="1:8" s="2" customFormat="1" x14ac:dyDescent="0.3">
      <c r="A355" s="130">
        <v>307</v>
      </c>
      <c r="B355" s="130"/>
      <c r="C355" s="39" t="s">
        <v>166</v>
      </c>
      <c r="D355" s="39">
        <f>(3.05*5.49+2.13*2.44+3.05*3.05+3.05*3.35+1.3*2.13+1.3*2.13+2.53*1.07+1*3.05+2.65*0.9+1.78*1.17)*10.764</f>
        <v>615.96344159999978</v>
      </c>
      <c r="E355" s="39">
        <v>0</v>
      </c>
      <c r="F355" s="39">
        <f t="shared" si="41"/>
        <v>985.54150655999968</v>
      </c>
      <c r="G355" s="130"/>
      <c r="H355" s="130"/>
    </row>
    <row r="356" spans="1:8" s="2" customFormat="1" x14ac:dyDescent="0.3">
      <c r="A356" s="130">
        <v>308</v>
      </c>
      <c r="B356" s="130"/>
      <c r="C356" s="39" t="s">
        <v>166</v>
      </c>
      <c r="D356" s="39">
        <f>(3.05*5.49+2.13*2.44+3.05*3.05+3.05*3.35+1.3*2.13+1.3*2.13+2.53*1.07+1*3.05+2.65*0.9+1.78*1.17)*10.764</f>
        <v>615.96344159999978</v>
      </c>
      <c r="E356" s="39">
        <v>0</v>
      </c>
      <c r="F356" s="39">
        <f t="shared" si="41"/>
        <v>985.54150655999968</v>
      </c>
      <c r="G356" s="130"/>
      <c r="H356" s="130"/>
    </row>
    <row r="357" spans="1:8" s="2" customFormat="1" x14ac:dyDescent="0.3">
      <c r="A357" s="132" t="s">
        <v>236</v>
      </c>
      <c r="B357" s="132"/>
      <c r="C357" s="132"/>
      <c r="D357" s="132"/>
      <c r="E357" s="132"/>
      <c r="F357" s="132"/>
      <c r="G357" s="132"/>
      <c r="H357" s="132"/>
    </row>
    <row r="358" spans="1:8" s="2" customFormat="1" x14ac:dyDescent="0.3">
      <c r="A358" s="130">
        <v>401</v>
      </c>
      <c r="B358" s="130"/>
      <c r="C358" s="39" t="s">
        <v>167</v>
      </c>
      <c r="D358" s="39">
        <f t="shared" ref="D358:D359" si="42">(3.05*4.66+2.13*2.44+3.05*3.05+2.13*1.22+2.13*1.22+1*2.13+1.865*1.17)*10.764</f>
        <v>411.4210698</v>
      </c>
      <c r="E358" s="39">
        <v>0</v>
      </c>
      <c r="F358" s="39">
        <f>D358*1.6+E358</f>
        <v>658.27371168000002</v>
      </c>
      <c r="G358" s="130" t="str">
        <f>A357</f>
        <v>4th Floor (Level 28.725M)</v>
      </c>
      <c r="H358" s="130"/>
    </row>
    <row r="359" spans="1:8" s="2" customFormat="1" x14ac:dyDescent="0.3">
      <c r="A359" s="130">
        <v>402</v>
      </c>
      <c r="B359" s="130"/>
      <c r="C359" s="39" t="s">
        <v>167</v>
      </c>
      <c r="D359" s="39">
        <f t="shared" si="42"/>
        <v>411.4210698</v>
      </c>
      <c r="E359" s="39">
        <v>0</v>
      </c>
      <c r="F359" s="39">
        <f t="shared" ref="F359" si="43">D359*1.6+E359</f>
        <v>658.27371168000002</v>
      </c>
      <c r="G359" s="130"/>
      <c r="H359" s="130"/>
    </row>
    <row r="360" spans="1:8" s="2" customFormat="1" x14ac:dyDescent="0.3">
      <c r="A360" s="130">
        <v>403</v>
      </c>
      <c r="B360" s="130"/>
      <c r="C360" s="39" t="s">
        <v>166</v>
      </c>
      <c r="D360" s="39">
        <f>(5.84*3.05+3.05*0.9+2.59*2.13+3.05*3.05+3.43*3.05+1.37*2.29+2.29*1.37+1*1.37+1.12*1.37+2.75*1.19+1.93*1.19+2.85*1.19)*10.764</f>
        <v>688.65273360000003</v>
      </c>
      <c r="E360" s="39">
        <v>0</v>
      </c>
      <c r="F360" s="39">
        <f>D360*1.6+E360</f>
        <v>1101.8443737600001</v>
      </c>
      <c r="G360" s="130"/>
      <c r="H360" s="130"/>
    </row>
    <row r="361" spans="1:8" s="2" customFormat="1" x14ac:dyDescent="0.3">
      <c r="A361" s="130">
        <v>404</v>
      </c>
      <c r="B361" s="130"/>
      <c r="C361" s="39" t="s">
        <v>166</v>
      </c>
      <c r="D361" s="39">
        <f>(5.84*3.05+3.05*0.9+2.59*2.13+3.05*3.05+3.43*3.05+1.37*2.29+2.29*1.37+1*1.37+1.12*1.37+2.75*1.19+1.93*1.19+2.85*1.19)*10.764</f>
        <v>688.65273360000003</v>
      </c>
      <c r="E361" s="39">
        <v>0</v>
      </c>
      <c r="F361" s="39">
        <f t="shared" ref="F361:F365" si="44">D361*1.6+E361</f>
        <v>1101.8443737600001</v>
      </c>
      <c r="G361" s="130"/>
      <c r="H361" s="130"/>
    </row>
    <row r="362" spans="1:8" s="2" customFormat="1" x14ac:dyDescent="0.3">
      <c r="A362" s="130">
        <v>405</v>
      </c>
      <c r="B362" s="130"/>
      <c r="C362" s="39" t="s">
        <v>167</v>
      </c>
      <c r="D362" s="39">
        <f>(3.05*4.66+2.13*2.44+3.05*3.05+2.13*1.22+2.13*1.22+1*2.13+1.865*1.17)*10.764</f>
        <v>411.4210698</v>
      </c>
      <c r="E362" s="39">
        <v>0</v>
      </c>
      <c r="F362" s="39">
        <f t="shared" si="44"/>
        <v>658.27371168000002</v>
      </c>
      <c r="G362" s="130"/>
      <c r="H362" s="130"/>
    </row>
    <row r="363" spans="1:8" s="2" customFormat="1" x14ac:dyDescent="0.3">
      <c r="A363" s="130">
        <v>406</v>
      </c>
      <c r="B363" s="130"/>
      <c r="C363" s="39" t="s">
        <v>167</v>
      </c>
      <c r="D363" s="39">
        <f>(3.05*4.66+2.13*2.44+3.05*3.05+2.13*1.22+2.13*1.22+1*2.13+1.865*1.17)*10.764</f>
        <v>411.4210698</v>
      </c>
      <c r="E363" s="39">
        <v>0</v>
      </c>
      <c r="F363" s="39">
        <f t="shared" si="44"/>
        <v>658.27371168000002</v>
      </c>
      <c r="G363" s="130"/>
      <c r="H363" s="130"/>
    </row>
    <row r="364" spans="1:8" s="2" customFormat="1" x14ac:dyDescent="0.3">
      <c r="A364" s="130">
        <v>407</v>
      </c>
      <c r="B364" s="130"/>
      <c r="C364" s="39" t="s">
        <v>166</v>
      </c>
      <c r="D364" s="39">
        <f>(3.05*5.49+2.13*2.44+3.05*3.05+3.05*3.35+1.3*2.13+1.3*2.13+2.53*1.07+1*3.05+2.65*0.9+1.78*1.17)*10.764</f>
        <v>615.96344159999978</v>
      </c>
      <c r="E364" s="39">
        <v>0</v>
      </c>
      <c r="F364" s="39">
        <f t="shared" si="44"/>
        <v>985.54150655999968</v>
      </c>
      <c r="G364" s="130"/>
      <c r="H364" s="130"/>
    </row>
    <row r="365" spans="1:8" s="2" customFormat="1" x14ac:dyDescent="0.3">
      <c r="A365" s="130">
        <v>408</v>
      </c>
      <c r="B365" s="130"/>
      <c r="C365" s="39" t="s">
        <v>166</v>
      </c>
      <c r="D365" s="39">
        <f>(3.05*5.49+2.13*2.44+3.05*3.05+3.05*3.35+1.3*2.13+1.3*2.13+2.53*1.07+1*3.05+2.65*0.9+1.78*1.17)*10.764</f>
        <v>615.96344159999978</v>
      </c>
      <c r="E365" s="39">
        <v>0</v>
      </c>
      <c r="F365" s="39">
        <f t="shared" si="44"/>
        <v>985.54150655999968</v>
      </c>
      <c r="G365" s="130"/>
      <c r="H365" s="130"/>
    </row>
    <row r="366" spans="1:8" s="2" customFormat="1" ht="30.75" customHeight="1" x14ac:dyDescent="0.3">
      <c r="A366" s="132" t="s">
        <v>189</v>
      </c>
      <c r="B366" s="132"/>
      <c r="C366" s="132"/>
      <c r="D366" s="132"/>
      <c r="E366" s="132"/>
      <c r="F366" s="132"/>
      <c r="G366" s="132"/>
      <c r="H366" s="132"/>
    </row>
    <row r="367" spans="1:8" s="2" customFormat="1" x14ac:dyDescent="0.3">
      <c r="A367" s="130" t="s">
        <v>190</v>
      </c>
      <c r="B367" s="130"/>
      <c r="C367" s="39" t="s">
        <v>167</v>
      </c>
      <c r="D367" s="39">
        <f t="shared" ref="D367:D368" si="45">(3.05*4.66+2.13*2.44+3.05*3.05+2.13*1.22+2.13*1.22+1*2.13+1.865*1.17)*10.764</f>
        <v>411.4210698</v>
      </c>
      <c r="E367" s="39">
        <v>0</v>
      </c>
      <c r="F367" s="39">
        <f>D367*1.6+E367</f>
        <v>658.27371168000002</v>
      </c>
      <c r="G367" s="130" t="str">
        <f>A366</f>
        <v>5th, 6th, 7th, 8th, 10th, 11th, 12th, 13th, 15th, 16th, 17th, 18th, 20th, 21st, 22nd, 23rd, 25th, 26th, 27th, 28th, 30th, 31st, 32nd, 33rd, 35th &amp; 36th Floor</v>
      </c>
      <c r="H367" s="130"/>
    </row>
    <row r="368" spans="1:8" s="2" customFormat="1" x14ac:dyDescent="0.3">
      <c r="A368" s="130" t="s">
        <v>191</v>
      </c>
      <c r="B368" s="130"/>
      <c r="C368" s="39" t="s">
        <v>167</v>
      </c>
      <c r="D368" s="39">
        <f t="shared" si="45"/>
        <v>411.4210698</v>
      </c>
      <c r="E368" s="39">
        <v>0</v>
      </c>
      <c r="F368" s="39">
        <f t="shared" ref="F368" si="46">D368*1.6+E368</f>
        <v>658.27371168000002</v>
      </c>
      <c r="G368" s="130"/>
      <c r="H368" s="130"/>
    </row>
    <row r="369" spans="1:8" s="2" customFormat="1" x14ac:dyDescent="0.3">
      <c r="A369" s="130" t="s">
        <v>192</v>
      </c>
      <c r="B369" s="130"/>
      <c r="C369" s="39" t="s">
        <v>166</v>
      </c>
      <c r="D369" s="39">
        <f>(5.84*3.05+3.05*0.9+2.59*2.13+3.05*3.05+3.43*3.05+1.37*2.29+2.29*1.37+1*1.37+1.12*1.37+2.75*1.19+1.93*1.19+2.85*1.19)*10.764</f>
        <v>688.65273360000003</v>
      </c>
      <c r="E369" s="39">
        <v>0</v>
      </c>
      <c r="F369" s="39">
        <f>D369*1.6+E369</f>
        <v>1101.8443737600001</v>
      </c>
      <c r="G369" s="130"/>
      <c r="H369" s="130"/>
    </row>
    <row r="370" spans="1:8" s="2" customFormat="1" x14ac:dyDescent="0.3">
      <c r="A370" s="130" t="s">
        <v>193</v>
      </c>
      <c r="B370" s="130"/>
      <c r="C370" s="39" t="s">
        <v>166</v>
      </c>
      <c r="D370" s="39">
        <f>(5.84*3.05+3.05*0.9+2.59*2.13+3.05*3.05+3.43*3.05+1.37*2.29+2.29*1.37+1*1.37+1.12*1.37+2.75*1.19+1.93*1.19+2.85*1.19)*10.764</f>
        <v>688.65273360000003</v>
      </c>
      <c r="E370" s="39">
        <v>0</v>
      </c>
      <c r="F370" s="39">
        <f t="shared" ref="F370:F374" si="47">D370*1.6+E370</f>
        <v>1101.8443737600001</v>
      </c>
      <c r="G370" s="130"/>
      <c r="H370" s="130"/>
    </row>
    <row r="371" spans="1:8" s="2" customFormat="1" x14ac:dyDescent="0.3">
      <c r="A371" s="130" t="s">
        <v>194</v>
      </c>
      <c r="B371" s="130"/>
      <c r="C371" s="39" t="s">
        <v>167</v>
      </c>
      <c r="D371" s="39">
        <f>(3.05*4.66+2.13*2.44+3.05*3.05+2.13*1.22+2.13*1.22+1*2.13+1.865*1.17)*10.764</f>
        <v>411.4210698</v>
      </c>
      <c r="E371" s="39">
        <v>0</v>
      </c>
      <c r="F371" s="39">
        <f t="shared" si="47"/>
        <v>658.27371168000002</v>
      </c>
      <c r="G371" s="130"/>
      <c r="H371" s="130"/>
    </row>
    <row r="372" spans="1:8" s="2" customFormat="1" x14ac:dyDescent="0.3">
      <c r="A372" s="130" t="s">
        <v>195</v>
      </c>
      <c r="B372" s="130"/>
      <c r="C372" s="39" t="s">
        <v>167</v>
      </c>
      <c r="D372" s="39">
        <f>(3.05*4.66+2.13*2.44+3.05*3.05+2.13*1.22+2.13*1.22+1*2.13+1.865*1.17)*10.764</f>
        <v>411.4210698</v>
      </c>
      <c r="E372" s="39">
        <v>0</v>
      </c>
      <c r="F372" s="39">
        <f t="shared" si="47"/>
        <v>658.27371168000002</v>
      </c>
      <c r="G372" s="130"/>
      <c r="H372" s="130"/>
    </row>
    <row r="373" spans="1:8" s="2" customFormat="1" x14ac:dyDescent="0.3">
      <c r="A373" s="130" t="s">
        <v>196</v>
      </c>
      <c r="B373" s="130"/>
      <c r="C373" s="39" t="s">
        <v>166</v>
      </c>
      <c r="D373" s="39">
        <f>(3.05*5.49+2.13*2.44+3.05*3.05+3.05*3.35+1.3*2.13+1.3*2.13+2.53*1.07+1*3.05+2.65*0.9+1.78*1.17)*10.764</f>
        <v>615.96344159999978</v>
      </c>
      <c r="E373" s="39">
        <v>0</v>
      </c>
      <c r="F373" s="39">
        <f t="shared" si="47"/>
        <v>985.54150655999968</v>
      </c>
      <c r="G373" s="130"/>
      <c r="H373" s="130"/>
    </row>
    <row r="374" spans="1:8" s="2" customFormat="1" x14ac:dyDescent="0.3">
      <c r="A374" s="130" t="s">
        <v>197</v>
      </c>
      <c r="B374" s="130"/>
      <c r="C374" s="39" t="s">
        <v>166</v>
      </c>
      <c r="D374" s="39">
        <f>(3.05*5.49+2.13*2.44+3.05*3.05+3.05*3.35+1.3*2.13+1.3*2.13+2.53*1.07+1*3.05+2.65*0.9+1.78*1.17)*10.764</f>
        <v>615.96344159999978</v>
      </c>
      <c r="E374" s="39">
        <v>0</v>
      </c>
      <c r="F374" s="39">
        <f t="shared" si="47"/>
        <v>985.54150655999968</v>
      </c>
      <c r="G374" s="130"/>
      <c r="H374" s="130"/>
    </row>
    <row r="375" spans="1:8" s="2" customFormat="1" x14ac:dyDescent="0.3">
      <c r="A375" s="132" t="s">
        <v>206</v>
      </c>
      <c r="B375" s="132"/>
      <c r="C375" s="132"/>
      <c r="D375" s="132"/>
      <c r="E375" s="132"/>
      <c r="F375" s="132"/>
      <c r="G375" s="132"/>
      <c r="H375" s="132"/>
    </row>
    <row r="376" spans="1:8" s="2" customFormat="1" ht="15.75" customHeight="1" x14ac:dyDescent="0.3">
      <c r="A376" s="130" t="s">
        <v>198</v>
      </c>
      <c r="B376" s="130"/>
      <c r="C376" s="39" t="s">
        <v>167</v>
      </c>
      <c r="D376" s="39">
        <f t="shared" ref="D376:D377" si="48">(3.05*4.66+2.13*2.44+3.05*3.05+2.13*1.22+2.13*1.22+1*2.13+1.865*1.17)*10.764</f>
        <v>411.4210698</v>
      </c>
      <c r="E376" s="39">
        <v>0</v>
      </c>
      <c r="F376" s="39">
        <f>D376*1.6+E376</f>
        <v>658.27371168000002</v>
      </c>
      <c r="G376" s="130" t="str">
        <f>A375</f>
        <v>9th, 14th, 19th, 24th, 29th &amp; 34th Floor (Part Refuge Area)</v>
      </c>
      <c r="H376" s="130"/>
    </row>
    <row r="377" spans="1:8" s="2" customFormat="1" ht="15.75" customHeight="1" x14ac:dyDescent="0.3">
      <c r="A377" s="130" t="s">
        <v>199</v>
      </c>
      <c r="B377" s="130"/>
      <c r="C377" s="39" t="s">
        <v>167</v>
      </c>
      <c r="D377" s="39">
        <f t="shared" si="48"/>
        <v>411.4210698</v>
      </c>
      <c r="E377" s="39">
        <v>0</v>
      </c>
      <c r="F377" s="39">
        <f t="shared" ref="F377" si="49">D377*1.6+E377</f>
        <v>658.27371168000002</v>
      </c>
      <c r="G377" s="130"/>
      <c r="H377" s="130"/>
    </row>
    <row r="378" spans="1:8" s="2" customFormat="1" ht="15.75" customHeight="1" x14ac:dyDescent="0.3">
      <c r="A378" s="130" t="s">
        <v>200</v>
      </c>
      <c r="B378" s="130"/>
      <c r="C378" s="39" t="s">
        <v>166</v>
      </c>
      <c r="D378" s="39">
        <f>(5.84*3.05+3.05*0.9+2.59*2.13+3.05*3.05+3.43*3.05+1.37*2.29+2.29*1.37+1*1.37+1.12*1.37+2.75*1.19+1.93*1.19+2.85*1.19)*10.764</f>
        <v>688.65273360000003</v>
      </c>
      <c r="E378" s="39">
        <v>0</v>
      </c>
      <c r="F378" s="39">
        <f>D378*1.6+E378</f>
        <v>1101.8443737600001</v>
      </c>
      <c r="G378" s="130"/>
      <c r="H378" s="130"/>
    </row>
    <row r="379" spans="1:8" s="2" customFormat="1" ht="15.75" customHeight="1" x14ac:dyDescent="0.3">
      <c r="A379" s="130" t="s">
        <v>201</v>
      </c>
      <c r="B379" s="130"/>
      <c r="C379" s="39" t="s">
        <v>166</v>
      </c>
      <c r="D379" s="39">
        <f>(5.84*3.05+3.05*0.9+2.59*2.13+3.05*3.05+3.43*3.05+1.37*2.29+2.29*1.37+1*1.37+1.12*1.37+2.75*1.19+1.93*1.19+2.85*1.19)*10.764</f>
        <v>688.65273360000003</v>
      </c>
      <c r="E379" s="39">
        <v>0</v>
      </c>
      <c r="F379" s="39">
        <f t="shared" ref="F379:F382" si="50">D379*1.6+E379</f>
        <v>1101.8443737600001</v>
      </c>
      <c r="G379" s="130"/>
      <c r="H379" s="130"/>
    </row>
    <row r="380" spans="1:8" s="2" customFormat="1" ht="15.75" customHeight="1" x14ac:dyDescent="0.3">
      <c r="A380" s="130" t="s">
        <v>202</v>
      </c>
      <c r="B380" s="130"/>
      <c r="C380" s="39" t="s">
        <v>167</v>
      </c>
      <c r="D380" s="39">
        <f>(3.05*4.66+2.13*2.44+3.05*3.05+2.13*1.22+2.13*1.22+1*2.13+1.865*1.17)*10.764</f>
        <v>411.4210698</v>
      </c>
      <c r="E380" s="39">
        <v>0</v>
      </c>
      <c r="F380" s="39">
        <f t="shared" si="50"/>
        <v>658.27371168000002</v>
      </c>
      <c r="G380" s="130"/>
      <c r="H380" s="130"/>
    </row>
    <row r="381" spans="1:8" s="2" customFormat="1" ht="15.75" customHeight="1" x14ac:dyDescent="0.3">
      <c r="A381" s="130" t="s">
        <v>203</v>
      </c>
      <c r="B381" s="130"/>
      <c r="C381" s="39" t="s">
        <v>167</v>
      </c>
      <c r="D381" s="39">
        <f>(3.05*4.66+2.13*2.44+3.05*3.05+2.13*1.22+2.13*1.22+1*2.13+1.865*1.17)*10.764</f>
        <v>411.4210698</v>
      </c>
      <c r="E381" s="39">
        <v>0</v>
      </c>
      <c r="F381" s="39">
        <f t="shared" si="50"/>
        <v>658.27371168000002</v>
      </c>
      <c r="G381" s="130"/>
      <c r="H381" s="130"/>
    </row>
    <row r="382" spans="1:8" s="2" customFormat="1" ht="15.75" customHeight="1" x14ac:dyDescent="0.3">
      <c r="A382" s="130" t="s">
        <v>204</v>
      </c>
      <c r="B382" s="130"/>
      <c r="C382" s="39" t="s">
        <v>166</v>
      </c>
      <c r="D382" s="39">
        <f>(3.05*5.49+2.13*2.44+3.05*3.05+3.05*3.35+1.3*2.13+1.3*2.13+2.53*1.07+1*3.05+2.65*0.9+1.78*1.17)*10.764</f>
        <v>615.96344159999978</v>
      </c>
      <c r="E382" s="39">
        <v>0</v>
      </c>
      <c r="F382" s="39">
        <f t="shared" si="50"/>
        <v>985.54150655999968</v>
      </c>
      <c r="G382" s="130"/>
      <c r="H382" s="130"/>
    </row>
    <row r="383" spans="1:8" s="2" customFormat="1" ht="15.75" customHeight="1" x14ac:dyDescent="0.3">
      <c r="A383" s="130" t="s">
        <v>205</v>
      </c>
      <c r="B383" s="130"/>
      <c r="C383" s="130" t="s">
        <v>168</v>
      </c>
      <c r="D383" s="130"/>
      <c r="E383" s="130"/>
      <c r="F383" s="130"/>
      <c r="G383" s="130"/>
      <c r="H383" s="130"/>
    </row>
    <row r="384" spans="1:8" s="60" customFormat="1" x14ac:dyDescent="0.3">
      <c r="A384" s="84" t="s">
        <v>259</v>
      </c>
      <c r="B384" s="84"/>
      <c r="C384" s="84"/>
      <c r="D384" s="84"/>
      <c r="E384" s="84"/>
      <c r="F384" s="84"/>
      <c r="G384" s="84"/>
      <c r="H384" s="84"/>
    </row>
    <row r="385" spans="1:8" s="60" customFormat="1" x14ac:dyDescent="0.3">
      <c r="A385" s="68" t="s">
        <v>223</v>
      </c>
      <c r="B385" s="68"/>
      <c r="C385" s="68"/>
      <c r="D385" s="68"/>
      <c r="E385" s="68"/>
      <c r="F385" s="68"/>
      <c r="G385" s="68"/>
      <c r="H385" s="68"/>
    </row>
    <row r="386" spans="1:8" s="60" customFormat="1" x14ac:dyDescent="0.3">
      <c r="A386" s="68" t="s">
        <v>224</v>
      </c>
      <c r="B386" s="68"/>
      <c r="C386" s="68"/>
      <c r="D386" s="68"/>
      <c r="E386" s="68"/>
      <c r="F386" s="68"/>
      <c r="G386" s="68"/>
      <c r="H386" s="68"/>
    </row>
    <row r="387" spans="1:8" s="60" customFormat="1" x14ac:dyDescent="0.3">
      <c r="A387" s="68" t="s">
        <v>229</v>
      </c>
      <c r="B387" s="68"/>
      <c r="C387" s="68"/>
      <c r="D387" s="68"/>
      <c r="E387" s="68"/>
      <c r="F387" s="68"/>
      <c r="G387" s="68"/>
      <c r="H387" s="68"/>
    </row>
    <row r="388" spans="1:8" s="60" customFormat="1" x14ac:dyDescent="0.3">
      <c r="A388" s="68" t="s">
        <v>260</v>
      </c>
      <c r="B388" s="68"/>
      <c r="C388" s="68"/>
      <c r="D388" s="68"/>
      <c r="E388" s="68"/>
      <c r="F388" s="68"/>
      <c r="G388" s="68"/>
      <c r="H388" s="68"/>
    </row>
    <row r="389" spans="1:8" s="60" customFormat="1" x14ac:dyDescent="0.3">
      <c r="A389" s="68" t="s">
        <v>261</v>
      </c>
      <c r="B389" s="68"/>
      <c r="C389" s="68"/>
      <c r="D389" s="68"/>
      <c r="E389" s="68"/>
      <c r="F389" s="68"/>
      <c r="G389" s="68"/>
      <c r="H389" s="68"/>
    </row>
    <row r="390" spans="1:8" s="60" customFormat="1" x14ac:dyDescent="0.3">
      <c r="A390" s="69">
        <v>101</v>
      </c>
      <c r="B390" s="69"/>
      <c r="C390" s="61" t="s">
        <v>262</v>
      </c>
      <c r="D390" s="61">
        <f>(3.15*7.12+0.645+3.47+1.07*2.61+3.05*2.01+2.9*3.45+3.2*3.35+3.215*3.47+1.52*2.44+2.34*1.52+1.52*2.32+(0.9*(1.52+2))+(1.2*(3.4+2.85))+(0.6*(2.9+3.47)+1.395*1.455+0.745*0.855))*10.764</f>
        <v>1025.7656057999998</v>
      </c>
      <c r="E390" s="61">
        <v>0</v>
      </c>
      <c r="F390" s="61">
        <f>D390*1.6+E390</f>
        <v>1641.2249692799996</v>
      </c>
      <c r="G390" s="69" t="str">
        <f>A389</f>
        <v>1st Floor + Parking Floor 4 + Amenities(Level 13.200 M)</v>
      </c>
      <c r="H390" s="69"/>
    </row>
    <row r="391" spans="1:8" s="60" customFormat="1" x14ac:dyDescent="0.3">
      <c r="A391" s="68" t="s">
        <v>263</v>
      </c>
      <c r="B391" s="68"/>
      <c r="C391" s="68"/>
      <c r="D391" s="68"/>
      <c r="E391" s="68"/>
      <c r="F391" s="68"/>
      <c r="G391" s="68"/>
      <c r="H391" s="68"/>
    </row>
    <row r="392" spans="1:8" s="60" customFormat="1" x14ac:dyDescent="0.3">
      <c r="A392" s="69">
        <v>201</v>
      </c>
      <c r="B392" s="69"/>
      <c r="C392" s="61" t="s">
        <v>262</v>
      </c>
      <c r="D392" s="61">
        <f>(3.15*7.12+0.645+3.47+1.07*2.61+3.05*2.01+2.9*3.45+3.2*3.35+3.215*3.47+1.52*2.44+2.34*1.52+1.52*2.32+(0.9*(1.52+2))+(1.2*(3.4+2.85))+(0.6*(2.9+3.47)+1.395*1.455+0.745*0.855))*10.764</f>
        <v>1025.7656057999998</v>
      </c>
      <c r="E392" s="61">
        <v>0</v>
      </c>
      <c r="F392" s="61">
        <f>D392*1.6+E392</f>
        <v>1641.2249692799996</v>
      </c>
      <c r="G392" s="69" t="str">
        <f>A391</f>
        <v>2nd Floor + Parking Floor 5 + Amenities(Level 16.35 M)</v>
      </c>
      <c r="H392" s="69"/>
    </row>
    <row r="393" spans="1:8" s="60" customFormat="1" x14ac:dyDescent="0.3">
      <c r="A393" s="69">
        <v>202</v>
      </c>
      <c r="B393" s="69"/>
      <c r="C393" s="61" t="s">
        <v>166</v>
      </c>
      <c r="D393" s="61">
        <f>(3.05*5.79+0.71*3.74+1.8*1.5+2.14*2.59+2.85*3.05+3.05*3.425+2.14*1.37+2.09*1.37+0.9*2.2+(1.2*(2.65+2.65+1.8))+(0.6*2.85))*10.764</f>
        <v>707.20933139999988</v>
      </c>
      <c r="E393" s="61">
        <v>0</v>
      </c>
      <c r="F393" s="61">
        <f t="shared" ref="F393:F394" si="51">D393*1.6+E393</f>
        <v>1131.5349302399998</v>
      </c>
      <c r="G393" s="69"/>
      <c r="H393" s="69"/>
    </row>
    <row r="394" spans="1:8" s="60" customFormat="1" x14ac:dyDescent="0.3">
      <c r="A394" s="69">
        <v>203</v>
      </c>
      <c r="B394" s="69"/>
      <c r="C394" s="61" t="s">
        <v>166</v>
      </c>
      <c r="D394" s="61">
        <f>(3.05*5.79+0.71*3.74+1.8*1.5+2.14*2.59+2.85*3.05+3.05*3.425+2.14*1.37+2.09*1.37+0.9*2.2+(1.2*(2.65+2.65+1.8))+(0.6*2.85))*10.764</f>
        <v>707.20933139999988</v>
      </c>
      <c r="E394" s="61">
        <v>0</v>
      </c>
      <c r="F394" s="61">
        <f t="shared" si="51"/>
        <v>1131.5349302399998</v>
      </c>
      <c r="G394" s="69"/>
      <c r="H394" s="69"/>
    </row>
    <row r="395" spans="1:8" s="60" customFormat="1" x14ac:dyDescent="0.3">
      <c r="A395" s="68" t="s">
        <v>264</v>
      </c>
      <c r="B395" s="68"/>
      <c r="C395" s="68"/>
      <c r="D395" s="68"/>
      <c r="E395" s="68"/>
      <c r="F395" s="68"/>
      <c r="G395" s="68"/>
      <c r="H395" s="68"/>
    </row>
    <row r="396" spans="1:8" s="60" customFormat="1" x14ac:dyDescent="0.3">
      <c r="A396" s="69">
        <v>301</v>
      </c>
      <c r="B396" s="69"/>
      <c r="C396" s="61" t="s">
        <v>262</v>
      </c>
      <c r="D396" s="61">
        <f>(3.2*7.12+0.695+3.47+1.07*2.61+3.05*2.21+3.05*3.45+3.2*3.35+3.215*3.47+1.52*2.32+2.34*1.52+1.52*2.44+(0.9*(1.52+2))+(1.2*(3.6+2.85))+(0.6*(3.05+3.47)+1.395*1.555+0.745*0.855))*10.764</f>
        <v>1047.3258977999999</v>
      </c>
      <c r="E396" s="61">
        <v>0</v>
      </c>
      <c r="F396" s="61">
        <f>D396*1.6+E396</f>
        <v>1675.72143648</v>
      </c>
      <c r="G396" s="69" t="str">
        <f>A395</f>
        <v>3rd Floor + Parking Floor 6 (Level 19.675 M)</v>
      </c>
      <c r="H396" s="69"/>
    </row>
    <row r="397" spans="1:8" s="60" customFormat="1" x14ac:dyDescent="0.3">
      <c r="A397" s="69">
        <v>302</v>
      </c>
      <c r="B397" s="69"/>
      <c r="C397" s="61" t="s">
        <v>166</v>
      </c>
      <c r="D397" s="61">
        <f>(3.05*5.79+0.71*3.74+1.8*1.5+2.14*2.59+2.85*3.05+3.05*3.425+2.14*1.37+2.09*1.37+0.9*2.2+(1.2*(2.65+2.65+1.8))+(0.6*2.85))*10.764</f>
        <v>707.20933139999988</v>
      </c>
      <c r="E397" s="61">
        <v>0</v>
      </c>
      <c r="F397" s="61">
        <f t="shared" ref="F397" si="52">D397*1.6+E397</f>
        <v>1131.5349302399998</v>
      </c>
      <c r="G397" s="69"/>
      <c r="H397" s="69"/>
    </row>
    <row r="398" spans="1:8" s="60" customFormat="1" x14ac:dyDescent="0.3">
      <c r="A398" s="69">
        <v>303</v>
      </c>
      <c r="B398" s="69"/>
      <c r="C398" s="61" t="s">
        <v>166</v>
      </c>
      <c r="D398" s="61">
        <f>(3.05*5.79+0.71*3.74+1.8*1.5+2.14*2.59+2.85*3.05+3.05*3.425+2.14*1.37+2.09*1.37+0.9*2.2+(1.2*(2.65+2.65+1.8))+(0.6*2.85))*10.764</f>
        <v>707.20933139999988</v>
      </c>
      <c r="E398" s="61">
        <v>0</v>
      </c>
      <c r="F398" s="61">
        <f>D398*1.6+E398</f>
        <v>1131.5349302399998</v>
      </c>
      <c r="G398" s="69"/>
      <c r="H398" s="69"/>
    </row>
    <row r="399" spans="1:8" s="60" customFormat="1" x14ac:dyDescent="0.3">
      <c r="A399" s="69">
        <v>304</v>
      </c>
      <c r="B399" s="69"/>
      <c r="C399" s="61" t="s">
        <v>262</v>
      </c>
      <c r="D399" s="61">
        <f>(3.2*7.12+0.695+3.47+1.07*2.61+3.05*2.21+3.05*3.45+3.2*3.35+3.215*3.47+1.52*2.32+2.34*1.52+1.52*2.44+(0.9*(1.52+2))+(1.2*(3.6+2.85))+(0.6*(3.05+3.47)+1.395*1.555+0.745*0.855))*10.764</f>
        <v>1047.3258977999999</v>
      </c>
      <c r="E399" s="61">
        <v>0</v>
      </c>
      <c r="F399" s="61">
        <f t="shared" ref="F399:F403" si="53">D399*1.6+E399</f>
        <v>1675.72143648</v>
      </c>
      <c r="G399" s="69"/>
      <c r="H399" s="69"/>
    </row>
    <row r="400" spans="1:8" s="60" customFormat="1" x14ac:dyDescent="0.3">
      <c r="A400" s="69">
        <v>305</v>
      </c>
      <c r="B400" s="69"/>
      <c r="C400" s="61" t="s">
        <v>262</v>
      </c>
      <c r="D400" s="61">
        <f>(3.2*7.12+0.695+3.47+1.07*2.61+3.05*2.21+3.05*3.45+3.2*3.35+3.215*3.47+1.52*2.32+2.34*1.52+1.52*2.44+(0.9*(1.52+2))+(1.2*(3.6+2.85))+(0.6*(3.05+3.47)+1.395*1.555+0.745*0.855))*10.764</f>
        <v>1047.3258977999999</v>
      </c>
      <c r="E400" s="61">
        <v>0</v>
      </c>
      <c r="F400" s="61">
        <f t="shared" si="53"/>
        <v>1675.72143648</v>
      </c>
      <c r="G400" s="69"/>
      <c r="H400" s="69"/>
    </row>
    <row r="401" spans="1:8" s="60" customFormat="1" x14ac:dyDescent="0.3">
      <c r="A401" s="69">
        <v>306</v>
      </c>
      <c r="B401" s="69"/>
      <c r="C401" s="61" t="s">
        <v>166</v>
      </c>
      <c r="D401" s="61">
        <f>(3.05*5.72+2.14*2.44+3.35*3.05+3.05*3.05+2.14*1.3+2.14*1.3+0.9*3.5+(1.15*3.05+1.52*1.15+0.65*0.62)+(0.6*(3.05+3.05+0.75)))*10.764</f>
        <v>653.05295639999997</v>
      </c>
      <c r="E401" s="61">
        <v>0</v>
      </c>
      <c r="F401" s="61">
        <f t="shared" si="53"/>
        <v>1044.88473024</v>
      </c>
      <c r="G401" s="69"/>
      <c r="H401" s="69"/>
    </row>
    <row r="402" spans="1:8" s="60" customFormat="1" x14ac:dyDescent="0.3">
      <c r="A402" s="69">
        <v>307</v>
      </c>
      <c r="B402" s="69"/>
      <c r="C402" s="61" t="s">
        <v>166</v>
      </c>
      <c r="D402" s="61">
        <f>(3.05*5.72+2.14*2.44+3.35*3.05+3.05*3.05+2.14*1.3+2.14*1.3+0.9*3.5+(1.15*3.05+1.52*1.15+0.65*0.62)+(0.6*(3.05+3.05+0.75)))*10.764</f>
        <v>653.05295639999997</v>
      </c>
      <c r="E402" s="61">
        <v>0</v>
      </c>
      <c r="F402" s="61">
        <f t="shared" si="53"/>
        <v>1044.88473024</v>
      </c>
      <c r="G402" s="69"/>
      <c r="H402" s="69"/>
    </row>
    <row r="403" spans="1:8" s="60" customFormat="1" x14ac:dyDescent="0.3">
      <c r="A403" s="69">
        <v>308</v>
      </c>
      <c r="B403" s="69"/>
      <c r="C403" s="61" t="s">
        <v>262</v>
      </c>
      <c r="D403" s="61">
        <f>(3.2*7.12+0.695+3.47+1.07*2.61+3.05*2.21+3.05*3.45+3.2*3.35+3.215*3.47+1.52*2.32+2.34*1.52+1.52*2.44+(0.9*(1.52+2))+(1.2*(3.6+2.85))+(0.6*(3.05+3.47)+1.395*1.555+0.745*0.855))*10.764</f>
        <v>1047.3258977999999</v>
      </c>
      <c r="E403" s="61">
        <v>0</v>
      </c>
      <c r="F403" s="61">
        <f t="shared" si="53"/>
        <v>1675.72143648</v>
      </c>
      <c r="G403" s="69"/>
      <c r="H403" s="69"/>
    </row>
    <row r="404" spans="1:8" s="60" customFormat="1" x14ac:dyDescent="0.3">
      <c r="A404" s="68" t="s">
        <v>265</v>
      </c>
      <c r="B404" s="68"/>
      <c r="C404" s="68"/>
      <c r="D404" s="68"/>
      <c r="E404" s="68"/>
      <c r="F404" s="68"/>
      <c r="G404" s="68"/>
      <c r="H404" s="68"/>
    </row>
    <row r="405" spans="1:8" s="60" customFormat="1" x14ac:dyDescent="0.3">
      <c r="A405" s="69">
        <v>401</v>
      </c>
      <c r="B405" s="69"/>
      <c r="C405" s="61" t="s">
        <v>262</v>
      </c>
      <c r="D405" s="61">
        <f t="shared" ref="D405:D409" si="54">(3.2*7.12+0.695+3.47+1.07*2.61+3.05*2.21+3.05*3.45+3.2*3.35+3.215*3.47+1.52*2.32+2.34*1.52+1.52*2.44+(0.9*(1.52+2))+(1.2*(3.6+2.85))+(0.6*(3.05+3.47)+1.395*1.555+0.745*0.855))*10.764</f>
        <v>1047.3258977999999</v>
      </c>
      <c r="E405" s="61">
        <v>0</v>
      </c>
      <c r="F405" s="61">
        <f>D405*1.6+E405</f>
        <v>1675.72143648</v>
      </c>
      <c r="G405" s="69" t="str">
        <f>A404</f>
        <v>4th Floor (Level 22.825 M)</v>
      </c>
      <c r="H405" s="69"/>
    </row>
    <row r="406" spans="1:8" s="60" customFormat="1" x14ac:dyDescent="0.3">
      <c r="A406" s="69">
        <v>402</v>
      </c>
      <c r="B406" s="69"/>
      <c r="C406" s="61" t="s">
        <v>166</v>
      </c>
      <c r="D406" s="61">
        <f t="shared" ref="D406:D407" si="55">(3.05*5.79+0.71*3.74+1.8*1.5+2.14*2.59+2.85*3.05+3.05*3.425+2.14*1.37+2.09*1.37+0.9*2.2+(1.2*(2.65+2.65+1.8))+(0.6*2.85))*10.764</f>
        <v>707.20933139999988</v>
      </c>
      <c r="E406" s="61">
        <v>0</v>
      </c>
      <c r="F406" s="61">
        <f t="shared" ref="F406" si="56">D406*1.6+E406</f>
        <v>1131.5349302399998</v>
      </c>
      <c r="G406" s="69"/>
      <c r="H406" s="69"/>
    </row>
    <row r="407" spans="1:8" s="60" customFormat="1" x14ac:dyDescent="0.3">
      <c r="A407" s="69">
        <v>403</v>
      </c>
      <c r="B407" s="69"/>
      <c r="C407" s="61" t="s">
        <v>166</v>
      </c>
      <c r="D407" s="61">
        <f t="shared" si="55"/>
        <v>707.20933139999988</v>
      </c>
      <c r="E407" s="61">
        <v>0</v>
      </c>
      <c r="F407" s="61">
        <f>D407*1.6+E407</f>
        <v>1131.5349302399998</v>
      </c>
      <c r="G407" s="69"/>
      <c r="H407" s="69"/>
    </row>
    <row r="408" spans="1:8" s="60" customFormat="1" x14ac:dyDescent="0.3">
      <c r="A408" s="69">
        <v>404</v>
      </c>
      <c r="B408" s="69"/>
      <c r="C408" s="61" t="s">
        <v>262</v>
      </c>
      <c r="D408" s="61">
        <f t="shared" si="54"/>
        <v>1047.3258977999999</v>
      </c>
      <c r="E408" s="61">
        <v>0</v>
      </c>
      <c r="F408" s="61">
        <f t="shared" ref="F408:F412" si="57">D408*1.6+E408</f>
        <v>1675.72143648</v>
      </c>
      <c r="G408" s="69"/>
      <c r="H408" s="69"/>
    </row>
    <row r="409" spans="1:8" s="60" customFormat="1" x14ac:dyDescent="0.3">
      <c r="A409" s="69">
        <v>405</v>
      </c>
      <c r="B409" s="69"/>
      <c r="C409" s="61" t="s">
        <v>262</v>
      </c>
      <c r="D409" s="61">
        <f t="shared" si="54"/>
        <v>1047.3258977999999</v>
      </c>
      <c r="E409" s="61">
        <v>0</v>
      </c>
      <c r="F409" s="61">
        <f t="shared" si="57"/>
        <v>1675.72143648</v>
      </c>
      <c r="G409" s="69"/>
      <c r="H409" s="69"/>
    </row>
    <row r="410" spans="1:8" s="60" customFormat="1" x14ac:dyDescent="0.3">
      <c r="A410" s="69">
        <v>406</v>
      </c>
      <c r="B410" s="69"/>
      <c r="C410" s="61" t="s">
        <v>166</v>
      </c>
      <c r="D410" s="61">
        <f>(3.05*5.72+2.14*2.44+3.35*3.05+3.05*3.05+2.14*1.3+2.14*1.3+0.9*3.5+(1.15*3.05+1.52*1.15+0.65*0.62)+(0.6*(3.05+3.05+0.75)))*10.764</f>
        <v>653.05295639999997</v>
      </c>
      <c r="E410" s="61">
        <v>0</v>
      </c>
      <c r="F410" s="61">
        <f t="shared" si="57"/>
        <v>1044.88473024</v>
      </c>
      <c r="G410" s="69"/>
      <c r="H410" s="69"/>
    </row>
    <row r="411" spans="1:8" s="60" customFormat="1" x14ac:dyDescent="0.3">
      <c r="A411" s="69">
        <v>407</v>
      </c>
      <c r="B411" s="69"/>
      <c r="C411" s="61" t="s">
        <v>166</v>
      </c>
      <c r="D411" s="61">
        <f>(3.05*5.72+2.14*2.44+3.35*3.05+3.05*3.05+2.14*1.3+2.14*1.3+0.9*3.5+(1.15*3.05+1.52*1.15+0.65*0.62)+(0.6*(3.05+3.05+0.75)))*10.764</f>
        <v>653.05295639999997</v>
      </c>
      <c r="E411" s="61">
        <v>0</v>
      </c>
      <c r="F411" s="61">
        <f t="shared" si="57"/>
        <v>1044.88473024</v>
      </c>
      <c r="G411" s="69"/>
      <c r="H411" s="69"/>
    </row>
    <row r="412" spans="1:8" s="60" customFormat="1" x14ac:dyDescent="0.3">
      <c r="A412" s="69">
        <v>408</v>
      </c>
      <c r="B412" s="69"/>
      <c r="C412" s="61" t="s">
        <v>262</v>
      </c>
      <c r="D412" s="61">
        <f>(3.2*7.12+0.695+3.47+1.07*2.61+3.05*2.21+3.05*3.45+3.2*3.35+3.215*3.47+1.52*2.32+2.34*1.52+1.52*2.44+(0.9*(1.52+2))+(1.2*(3.6+2.85))+(0.6*(3.05+3.47)+1.395*1.555+0.745*0.855))*10.764</f>
        <v>1047.3258977999999</v>
      </c>
      <c r="E412" s="61">
        <v>0</v>
      </c>
      <c r="F412" s="61">
        <f t="shared" si="57"/>
        <v>1675.72143648</v>
      </c>
      <c r="G412" s="69"/>
      <c r="H412" s="69"/>
    </row>
    <row r="413" spans="1:8" s="60" customFormat="1" x14ac:dyDescent="0.3">
      <c r="A413" s="68" t="s">
        <v>266</v>
      </c>
      <c r="B413" s="68"/>
      <c r="C413" s="68"/>
      <c r="D413" s="68"/>
      <c r="E413" s="68"/>
      <c r="F413" s="68"/>
      <c r="G413" s="68"/>
      <c r="H413" s="68"/>
    </row>
    <row r="414" spans="1:8" s="60" customFormat="1" x14ac:dyDescent="0.3">
      <c r="A414" s="69" t="s">
        <v>190</v>
      </c>
      <c r="B414" s="69"/>
      <c r="C414" s="61" t="s">
        <v>262</v>
      </c>
      <c r="D414" s="61">
        <f t="shared" ref="D414:D418" si="58">(3.2*7.12+0.695+3.47+1.07*2.61+3.05*2.21+3.05*3.45+3.2*3.35+3.215*3.47+1.52*2.32+2.34*1.52+1.52*2.44+(0.9*(1.52+2))+(1.2*(3.6+2.85))+(0.6*(3.05+3.47)+1.395*1.555+0.745*0.855))*10.764</f>
        <v>1047.3258977999999</v>
      </c>
      <c r="E414" s="61">
        <v>0</v>
      </c>
      <c r="F414" s="61">
        <f>D414*1.6+E414</f>
        <v>1675.72143648</v>
      </c>
      <c r="G414" s="69" t="str">
        <f>A413</f>
        <v>5th Floor (Level 25.775 M)</v>
      </c>
      <c r="H414" s="69"/>
    </row>
    <row r="415" spans="1:8" s="60" customFormat="1" x14ac:dyDescent="0.3">
      <c r="A415" s="69" t="s">
        <v>191</v>
      </c>
      <c r="B415" s="69"/>
      <c r="C415" s="61" t="s">
        <v>166</v>
      </c>
      <c r="D415" s="61">
        <f t="shared" ref="D415:D416" si="59">(3.05*5.79+0.71*3.74+1.8*1.5+2.14*2.59+2.85*3.05+3.05*3.425+2.14*1.37+2.09*1.37+0.9*2.2+(1.2*(2.65+2.65+1.8))+(0.6*2.85))*10.764</f>
        <v>707.20933139999988</v>
      </c>
      <c r="E415" s="61">
        <v>0</v>
      </c>
      <c r="F415" s="61">
        <f t="shared" ref="F415" si="60">D415*1.6+E415</f>
        <v>1131.5349302399998</v>
      </c>
      <c r="G415" s="69"/>
      <c r="H415" s="69"/>
    </row>
    <row r="416" spans="1:8" s="60" customFormat="1" x14ac:dyDescent="0.3">
      <c r="A416" s="69" t="s">
        <v>192</v>
      </c>
      <c r="B416" s="69"/>
      <c r="C416" s="61" t="s">
        <v>166</v>
      </c>
      <c r="D416" s="61">
        <f t="shared" si="59"/>
        <v>707.20933139999988</v>
      </c>
      <c r="E416" s="61">
        <v>0</v>
      </c>
      <c r="F416" s="61">
        <f>D416*1.6+E416</f>
        <v>1131.5349302399998</v>
      </c>
      <c r="G416" s="69"/>
      <c r="H416" s="69"/>
    </row>
    <row r="417" spans="1:8" s="60" customFormat="1" x14ac:dyDescent="0.3">
      <c r="A417" s="69" t="s">
        <v>193</v>
      </c>
      <c r="B417" s="69"/>
      <c r="C417" s="61" t="s">
        <v>262</v>
      </c>
      <c r="D417" s="61">
        <f t="shared" si="58"/>
        <v>1047.3258977999999</v>
      </c>
      <c r="E417" s="61">
        <v>0</v>
      </c>
      <c r="F417" s="61">
        <f t="shared" ref="F417:F421" si="61">D417*1.6+E417</f>
        <v>1675.72143648</v>
      </c>
      <c r="G417" s="69"/>
      <c r="H417" s="69"/>
    </row>
    <row r="418" spans="1:8" s="60" customFormat="1" x14ac:dyDescent="0.3">
      <c r="A418" s="69" t="s">
        <v>194</v>
      </c>
      <c r="B418" s="69"/>
      <c r="C418" s="61" t="s">
        <v>262</v>
      </c>
      <c r="D418" s="61">
        <f t="shared" si="58"/>
        <v>1047.3258977999999</v>
      </c>
      <c r="E418" s="61">
        <v>0</v>
      </c>
      <c r="F418" s="61">
        <f t="shared" si="61"/>
        <v>1675.72143648</v>
      </c>
      <c r="G418" s="69"/>
      <c r="H418" s="69"/>
    </row>
    <row r="419" spans="1:8" s="60" customFormat="1" x14ac:dyDescent="0.3">
      <c r="A419" s="69" t="s">
        <v>195</v>
      </c>
      <c r="B419" s="69"/>
      <c r="C419" s="61" t="s">
        <v>166</v>
      </c>
      <c r="D419" s="61">
        <f>(3.05*5.72+2.14*2.44+3.35*3.05+3.05*3.05+2.14*1.3+2.14*1.3+0.9*3.5+(1.15*3.05+1.52*1.15+0.65*0.62)+(0.6*(3.05+3.05+0.75)))*10.764</f>
        <v>653.05295639999997</v>
      </c>
      <c r="E419" s="61">
        <v>0</v>
      </c>
      <c r="F419" s="61">
        <f t="shared" si="61"/>
        <v>1044.88473024</v>
      </c>
      <c r="G419" s="69"/>
      <c r="H419" s="69"/>
    </row>
    <row r="420" spans="1:8" s="60" customFormat="1" x14ac:dyDescent="0.3">
      <c r="A420" s="69" t="s">
        <v>196</v>
      </c>
      <c r="B420" s="69"/>
      <c r="C420" s="61" t="s">
        <v>166</v>
      </c>
      <c r="D420" s="61">
        <f>(3.05*5.72+2.14*2.44+3.35*3.05+3.05*3.05+2.14*1.3+2.14*1.3+0.9*3.5+(1.15*3.05+1.52*1.15+0.65*0.62)+(0.6*(3.05+3.05+0.75)))*10.764</f>
        <v>653.05295639999997</v>
      </c>
      <c r="E420" s="61">
        <v>0</v>
      </c>
      <c r="F420" s="61">
        <f t="shared" si="61"/>
        <v>1044.88473024</v>
      </c>
      <c r="G420" s="69"/>
      <c r="H420" s="69"/>
    </row>
    <row r="421" spans="1:8" s="60" customFormat="1" x14ac:dyDescent="0.3">
      <c r="A421" s="69" t="s">
        <v>197</v>
      </c>
      <c r="B421" s="69"/>
      <c r="C421" s="61" t="s">
        <v>262</v>
      </c>
      <c r="D421" s="61">
        <f>(3.2*7.12+0.695+3.47+1.07*2.61+3.05*2.21+3.05*3.45+3.2*3.35+3.215*3.47+1.52*2.32+2.34*1.52+1.52*2.44+(0.9*(1.52+2))+(1.2*(3.6+2.85))+(0.6*(3.05+3.47)+1.395*1.555+0.745*0.855))*10.764</f>
        <v>1047.3258977999999</v>
      </c>
      <c r="E421" s="61">
        <v>0</v>
      </c>
      <c r="F421" s="61">
        <f t="shared" si="61"/>
        <v>1675.72143648</v>
      </c>
      <c r="G421" s="69"/>
      <c r="H421" s="69"/>
    </row>
    <row r="422" spans="1:8" s="60" customFormat="1" ht="32.25" customHeight="1" x14ac:dyDescent="0.3">
      <c r="A422" s="68" t="s">
        <v>267</v>
      </c>
      <c r="B422" s="68"/>
      <c r="C422" s="68"/>
      <c r="D422" s="68"/>
      <c r="E422" s="68"/>
      <c r="F422" s="68"/>
      <c r="G422" s="68"/>
      <c r="H422" s="68"/>
    </row>
    <row r="423" spans="1:8" s="60" customFormat="1" ht="15.75" customHeight="1" x14ac:dyDescent="0.3">
      <c r="A423" s="69" t="s">
        <v>198</v>
      </c>
      <c r="B423" s="69"/>
      <c r="C423" s="61" t="s">
        <v>262</v>
      </c>
      <c r="D423" s="61">
        <f t="shared" ref="D423:D427" si="62">(3.2*7.12+0.695+3.47+1.07*2.61+3.05*2.21+3.05*3.45+3.2*3.35+3.215*3.47+1.52*2.32+2.34*1.52+1.52*2.44+(0.9*(1.52+2))+(1.2*(3.6+2.85))+(0.6*(3.05+3.47)+1.395*1.555+0.745*0.855))*10.764</f>
        <v>1047.3258977999999</v>
      </c>
      <c r="E423" s="61">
        <v>0</v>
      </c>
      <c r="F423" s="61">
        <f>D423*1.6+E423</f>
        <v>1675.72143648</v>
      </c>
      <c r="G423" s="69" t="str">
        <f>A422</f>
        <v xml:space="preserve"> 6th to 10th, 12th, 14th, 16th, 18th, 20th, 22nd, 24th, 26th, 28th, 30th, 32nd, 34th, 36th &amp; 38th Floor</v>
      </c>
      <c r="H423" s="69"/>
    </row>
    <row r="424" spans="1:8" s="60" customFormat="1" ht="15.75" customHeight="1" x14ac:dyDescent="0.3">
      <c r="A424" s="69" t="s">
        <v>199</v>
      </c>
      <c r="B424" s="69"/>
      <c r="C424" s="61" t="s">
        <v>166</v>
      </c>
      <c r="D424" s="61">
        <f t="shared" ref="D424:D425" si="63">(3.05*5.79+0.71*3.74+1.8*1.5+2.14*2.59+2.85*3.05+3.05*3.425+2.14*1.37+2.09*1.37+0.9*2.2+(1.2*(2.65+2.65+1.8))+(0.6*2.85))*10.764</f>
        <v>707.20933139999988</v>
      </c>
      <c r="E424" s="61">
        <v>0</v>
      </c>
      <c r="F424" s="61">
        <f t="shared" ref="F424" si="64">D424*1.6+E424</f>
        <v>1131.5349302399998</v>
      </c>
      <c r="G424" s="69"/>
      <c r="H424" s="69"/>
    </row>
    <row r="425" spans="1:8" s="60" customFormat="1" ht="15.75" customHeight="1" x14ac:dyDescent="0.3">
      <c r="A425" s="69" t="s">
        <v>200</v>
      </c>
      <c r="B425" s="69"/>
      <c r="C425" s="61" t="s">
        <v>166</v>
      </c>
      <c r="D425" s="61">
        <f t="shared" si="63"/>
        <v>707.20933139999988</v>
      </c>
      <c r="E425" s="61">
        <v>0</v>
      </c>
      <c r="F425" s="61">
        <f>D425*1.6+E425</f>
        <v>1131.5349302399998</v>
      </c>
      <c r="G425" s="69"/>
      <c r="H425" s="69"/>
    </row>
    <row r="426" spans="1:8" s="60" customFormat="1" ht="15.75" customHeight="1" x14ac:dyDescent="0.3">
      <c r="A426" s="69" t="s">
        <v>201</v>
      </c>
      <c r="B426" s="69"/>
      <c r="C426" s="61" t="s">
        <v>262</v>
      </c>
      <c r="D426" s="61">
        <f t="shared" si="62"/>
        <v>1047.3258977999999</v>
      </c>
      <c r="E426" s="61">
        <v>0</v>
      </c>
      <c r="F426" s="61">
        <f t="shared" ref="F426:F429" si="65">D426*1.6+E426</f>
        <v>1675.72143648</v>
      </c>
      <c r="G426" s="69"/>
      <c r="H426" s="69"/>
    </row>
    <row r="427" spans="1:8" s="60" customFormat="1" ht="15.75" customHeight="1" x14ac:dyDescent="0.3">
      <c r="A427" s="69" t="s">
        <v>202</v>
      </c>
      <c r="B427" s="69"/>
      <c r="C427" s="61" t="s">
        <v>262</v>
      </c>
      <c r="D427" s="61">
        <f t="shared" si="62"/>
        <v>1047.3258977999999</v>
      </c>
      <c r="E427" s="61">
        <v>0</v>
      </c>
      <c r="F427" s="61">
        <f t="shared" si="65"/>
        <v>1675.72143648</v>
      </c>
      <c r="G427" s="69"/>
      <c r="H427" s="69"/>
    </row>
    <row r="428" spans="1:8" s="60" customFormat="1" ht="15.75" customHeight="1" x14ac:dyDescent="0.3">
      <c r="A428" s="69" t="s">
        <v>203</v>
      </c>
      <c r="B428" s="69"/>
      <c r="C428" s="61" t="s">
        <v>166</v>
      </c>
      <c r="D428" s="61">
        <f>(3.05*5.72+2.14*2.44+3.35*3.05+3.05*3.05+2.14*1.3+2.14*1.3+0.9*3.5+(1.15*3.05+1.52*1.15+0.65*0.62)+(0.6*(3.05+3.05+0.75)))*10.764</f>
        <v>653.05295639999997</v>
      </c>
      <c r="E428" s="61">
        <v>0</v>
      </c>
      <c r="F428" s="61">
        <f t="shared" si="65"/>
        <v>1044.88473024</v>
      </c>
      <c r="G428" s="69"/>
      <c r="H428" s="69"/>
    </row>
    <row r="429" spans="1:8" s="60" customFormat="1" ht="15.75" customHeight="1" x14ac:dyDescent="0.3">
      <c r="A429" s="69" t="s">
        <v>204</v>
      </c>
      <c r="B429" s="69"/>
      <c r="C429" s="61" t="s">
        <v>166</v>
      </c>
      <c r="D429" s="61">
        <f>(3.05*5.72+2.14*2.44+3.35*3.05+3.05*3.05+2.14*1.3+2.14*1.3+0.9*3.5+(1.15*3.05+1.52*1.15+0.65*0.62)+(0.6*(3.05+3.05+0.75)))*10.764</f>
        <v>653.05295639999997</v>
      </c>
      <c r="E429" s="61">
        <v>0</v>
      </c>
      <c r="F429" s="61">
        <f t="shared" si="65"/>
        <v>1044.88473024</v>
      </c>
      <c r="G429" s="69"/>
      <c r="H429" s="69"/>
    </row>
    <row r="430" spans="1:8" s="60" customFormat="1" ht="15.75" customHeight="1" x14ac:dyDescent="0.3">
      <c r="A430" s="69" t="s">
        <v>205</v>
      </c>
      <c r="B430" s="69"/>
      <c r="C430" s="61" t="s">
        <v>262</v>
      </c>
      <c r="D430" s="61">
        <f>(3.2*7.12+0.695+3.47+1.07*2.61+3.05*2.21+3.05*3.45+3.2*3.35+3.215*3.47+1.52*2.32+2.34*1.52+1.52*2.44+(0.9*(1.52+2))+(1.2*(3.6+2.85))+(0.6*(3.05+3.47)+1.395*1.555+0.745*0.855))*10.764</f>
        <v>1047.3258977999999</v>
      </c>
      <c r="E430" s="61">
        <v>0</v>
      </c>
      <c r="F430" s="61">
        <f t="shared" ref="F430" si="66">D430*1.6+E430</f>
        <v>1675.72143648</v>
      </c>
      <c r="G430" s="69"/>
      <c r="H430" s="69"/>
    </row>
    <row r="431" spans="1:8" s="60" customFormat="1" ht="32.25" customHeight="1" x14ac:dyDescent="0.3">
      <c r="A431" s="68" t="s">
        <v>268</v>
      </c>
      <c r="B431" s="68"/>
      <c r="C431" s="68"/>
      <c r="D431" s="68"/>
      <c r="E431" s="68"/>
      <c r="F431" s="68"/>
      <c r="G431" s="68"/>
      <c r="H431" s="68"/>
    </row>
    <row r="432" spans="1:8" s="60" customFormat="1" ht="15.75" customHeight="1" x14ac:dyDescent="0.3">
      <c r="A432" s="69" t="s">
        <v>198</v>
      </c>
      <c r="B432" s="69"/>
      <c r="C432" s="61" t="s">
        <v>262</v>
      </c>
      <c r="D432" s="61">
        <f t="shared" ref="D432:D436" si="67">(3.2*7.12+0.695+3.47+1.07*2.61+3.05*2.21+3.05*3.45+3.2*3.35+3.215*3.47+1.52*2.32+2.34*1.52+1.52*2.44+(0.9*(1.52+2))+(1.2*(3.6+2.85))+(0.6*(3.05+3.47)+1.395*1.555+0.745*0.855))*10.764</f>
        <v>1047.3258977999999</v>
      </c>
      <c r="E432" s="61">
        <v>0</v>
      </c>
      <c r="F432" s="61">
        <f>D432*1.6+E432</f>
        <v>1675.72143648</v>
      </c>
      <c r="G432" s="69" t="str">
        <f>A431</f>
        <v xml:space="preserve"> 11th, 13th, 15th, 17th, 19th, 21st, 23rd, 25th, 27th, 29th, 31st, 33rd, 35th &amp; 37th Floor ( Part Refuge Area)</v>
      </c>
      <c r="H432" s="69"/>
    </row>
    <row r="433" spans="1:11" s="60" customFormat="1" ht="15.75" customHeight="1" x14ac:dyDescent="0.3">
      <c r="A433" s="69" t="s">
        <v>199</v>
      </c>
      <c r="B433" s="69"/>
      <c r="C433" s="61" t="s">
        <v>166</v>
      </c>
      <c r="D433" s="61">
        <f t="shared" ref="D433:D434" si="68">(3.05*5.79+0.71*3.74+1.8*1.5+2.14*2.59+2.85*3.05+3.05*3.425+2.14*1.37+2.09*1.37+0.9*2.2+(1.2*(2.65+2.65+1.8))+(0.6*2.85))*10.764</f>
        <v>707.20933139999988</v>
      </c>
      <c r="E433" s="61">
        <v>0</v>
      </c>
      <c r="F433" s="61">
        <f t="shared" ref="F433" si="69">D433*1.6+E433</f>
        <v>1131.5349302399998</v>
      </c>
      <c r="G433" s="69"/>
      <c r="H433" s="69"/>
    </row>
    <row r="434" spans="1:11" s="60" customFormat="1" ht="15.75" customHeight="1" x14ac:dyDescent="0.3">
      <c r="A434" s="69" t="s">
        <v>200</v>
      </c>
      <c r="B434" s="69"/>
      <c r="C434" s="61" t="s">
        <v>166</v>
      </c>
      <c r="D434" s="61">
        <f t="shared" si="68"/>
        <v>707.20933139999988</v>
      </c>
      <c r="E434" s="61">
        <v>0</v>
      </c>
      <c r="F434" s="61">
        <f>D434*1.6+E434</f>
        <v>1131.5349302399998</v>
      </c>
      <c r="G434" s="69"/>
      <c r="H434" s="69"/>
    </row>
    <row r="435" spans="1:11" s="60" customFormat="1" ht="15.75" customHeight="1" x14ac:dyDescent="0.3">
      <c r="A435" s="69" t="s">
        <v>201</v>
      </c>
      <c r="B435" s="69"/>
      <c r="C435" s="61" t="s">
        <v>262</v>
      </c>
      <c r="D435" s="61">
        <f t="shared" si="67"/>
        <v>1047.3258977999999</v>
      </c>
      <c r="E435" s="61">
        <v>0</v>
      </c>
      <c r="F435" s="61">
        <f t="shared" ref="F435:F439" si="70">D435*1.6+E435</f>
        <v>1675.72143648</v>
      </c>
      <c r="G435" s="69"/>
      <c r="H435" s="69"/>
      <c r="I435" s="62">
        <f>12300000/F435</f>
        <v>7340.1221302254335</v>
      </c>
      <c r="J435" s="60">
        <f>15*35</f>
        <v>525</v>
      </c>
      <c r="K435" s="62">
        <f>I435-J435</f>
        <v>6815.1221302254335</v>
      </c>
    </row>
    <row r="436" spans="1:11" s="60" customFormat="1" ht="15.75" customHeight="1" x14ac:dyDescent="0.3">
      <c r="A436" s="69" t="s">
        <v>202</v>
      </c>
      <c r="B436" s="69"/>
      <c r="C436" s="61" t="s">
        <v>262</v>
      </c>
      <c r="D436" s="61">
        <f t="shared" si="67"/>
        <v>1047.3258977999999</v>
      </c>
      <c r="E436" s="61">
        <v>0</v>
      </c>
      <c r="F436" s="61">
        <f t="shared" si="70"/>
        <v>1675.72143648</v>
      </c>
      <c r="G436" s="69"/>
      <c r="H436" s="69"/>
    </row>
    <row r="437" spans="1:11" s="60" customFormat="1" ht="15.75" customHeight="1" x14ac:dyDescent="0.3">
      <c r="A437" s="69" t="s">
        <v>203</v>
      </c>
      <c r="B437" s="69"/>
      <c r="C437" s="61" t="s">
        <v>166</v>
      </c>
      <c r="D437" s="61">
        <f>(3.05*5.72+2.14*2.44+3.35*3.05+3.05*3.05+2.14*1.3+2.14*1.3+0.9*3.5+(1.15*3.05+1.52*1.15+0.65*0.62)+(0.6*(3.05+3.05+0.75)))*10.764</f>
        <v>653.05295639999997</v>
      </c>
      <c r="E437" s="61">
        <v>0</v>
      </c>
      <c r="F437" s="61">
        <f t="shared" si="70"/>
        <v>1044.88473024</v>
      </c>
      <c r="G437" s="69"/>
      <c r="H437" s="69"/>
    </row>
    <row r="438" spans="1:11" s="60" customFormat="1" ht="15.75" customHeight="1" x14ac:dyDescent="0.3">
      <c r="A438" s="69" t="s">
        <v>204</v>
      </c>
      <c r="B438" s="69"/>
      <c r="C438" s="61" t="s">
        <v>166</v>
      </c>
      <c r="D438" s="61">
        <f>(3.05*5.72+2.14*2.44+3.35*3.05+3.05*3.05+2.14*1.3+2.14*1.3+0.9*3.5+(1.15*3.05+1.52*1.15+0.65*0.62)+(0.6*(3.05+3.05+0.75)))*10.764</f>
        <v>653.05295639999997</v>
      </c>
      <c r="E438" s="61">
        <v>0</v>
      </c>
      <c r="F438" s="61">
        <f t="shared" si="70"/>
        <v>1044.88473024</v>
      </c>
      <c r="G438" s="69"/>
      <c r="H438" s="69"/>
    </row>
    <row r="439" spans="1:11" s="60" customFormat="1" ht="15.75" customHeight="1" x14ac:dyDescent="0.3">
      <c r="A439" s="69" t="s">
        <v>205</v>
      </c>
      <c r="B439" s="69"/>
      <c r="C439" s="61" t="s">
        <v>262</v>
      </c>
      <c r="D439" s="61">
        <f>(3.2*7.12+0.695+3.47+1.07*2.61+3.05*2.21+3.05*3.45+3.2*3.35+3.215*3.47+1.52*2.32+2.34*1.52+1.52*2.44+(0.9*(1.52+2))+(1.2*(3.6+2.85))+(0.6*(3.05+3.47)+1.395*1.555+0.745*0.855))*10.764</f>
        <v>1047.3258977999999</v>
      </c>
      <c r="E439" s="61">
        <v>0</v>
      </c>
      <c r="F439" s="61">
        <f t="shared" si="70"/>
        <v>1675.72143648</v>
      </c>
      <c r="G439" s="69"/>
      <c r="H439" s="69"/>
    </row>
    <row r="440" spans="1:11" s="60" customFormat="1" x14ac:dyDescent="0.3">
      <c r="A440" s="84" t="s">
        <v>278</v>
      </c>
      <c r="B440" s="84"/>
      <c r="C440" s="84"/>
      <c r="D440" s="84"/>
      <c r="E440" s="84"/>
      <c r="F440" s="84"/>
      <c r="G440" s="84"/>
      <c r="H440" s="84"/>
    </row>
    <row r="441" spans="1:11" s="60" customFormat="1" ht="31.5" customHeight="1" x14ac:dyDescent="0.3">
      <c r="A441" s="68" t="s">
        <v>279</v>
      </c>
      <c r="B441" s="68"/>
      <c r="C441" s="68"/>
      <c r="D441" s="68"/>
      <c r="E441" s="68"/>
      <c r="F441" s="68"/>
      <c r="G441" s="68"/>
      <c r="H441" s="68"/>
    </row>
    <row r="442" spans="1:11" s="60" customFormat="1" ht="30.75" customHeight="1" x14ac:dyDescent="0.3">
      <c r="A442" s="68" t="s">
        <v>280</v>
      </c>
      <c r="B442" s="68"/>
      <c r="C442" s="68"/>
      <c r="D442" s="68"/>
      <c r="E442" s="68"/>
      <c r="F442" s="68"/>
      <c r="G442" s="68"/>
      <c r="H442" s="68"/>
    </row>
    <row r="443" spans="1:11" s="60" customFormat="1" x14ac:dyDescent="0.3">
      <c r="A443" s="69">
        <v>101</v>
      </c>
      <c r="B443" s="69"/>
      <c r="C443" s="61" t="s">
        <v>166</v>
      </c>
      <c r="D443" s="61">
        <f>(2.58*1.07+2.08*2.44+3*5.49+2.95*3.05+3*3.3+2*(1.2*2.18)+3.4*0.9+2.65*1.19+1.78*1.17+0.6*(2.95+3))*(10.764)</f>
        <v>649.08426959999997</v>
      </c>
      <c r="E443" s="61">
        <v>0</v>
      </c>
      <c r="F443" s="61">
        <f>D443*1.6+E443</f>
        <v>1038.53483136</v>
      </c>
      <c r="G443" s="69" t="str">
        <f>A442</f>
        <v>1st Floor + Parking Floor 1 
For Parking, Doubled Heighted Lobby, Amenity Room, Letter Room &amp; Residential</v>
      </c>
      <c r="H443" s="69"/>
    </row>
    <row r="444" spans="1:11" s="60" customFormat="1" ht="31.5" customHeight="1" x14ac:dyDescent="0.3">
      <c r="A444" s="68" t="s">
        <v>281</v>
      </c>
      <c r="B444" s="68"/>
      <c r="C444" s="68"/>
      <c r="D444" s="68"/>
      <c r="E444" s="68"/>
      <c r="F444" s="68"/>
      <c r="G444" s="68"/>
      <c r="H444" s="68"/>
    </row>
    <row r="445" spans="1:11" s="60" customFormat="1" ht="15.75" customHeight="1" x14ac:dyDescent="0.3">
      <c r="A445" s="69">
        <v>201</v>
      </c>
      <c r="B445" s="69"/>
      <c r="C445" s="61" t="s">
        <v>166</v>
      </c>
      <c r="D445" s="61">
        <f>(2.58*1.07+2.08*2.44+3*5.49+2.95*3.05+3*3.3+2*(1.2*2.18)+3.4*0.9+2.65*1.19+1.78*1.17+0.6*(2.95+3))*(10.764)</f>
        <v>649.08426959999997</v>
      </c>
      <c r="E445" s="61">
        <v>0</v>
      </c>
      <c r="F445" s="61">
        <f>D445*1.6+E445</f>
        <v>1038.53483136</v>
      </c>
      <c r="G445" s="70" t="str">
        <f>A444</f>
        <v>2nd Floor + Parking Floor 2
For Parking, Drivers Room &amp; Residential</v>
      </c>
      <c r="H445" s="71"/>
    </row>
    <row r="446" spans="1:11" s="60" customFormat="1" x14ac:dyDescent="0.3">
      <c r="A446" s="69">
        <v>202</v>
      </c>
      <c r="B446" s="69"/>
      <c r="C446" s="61" t="s">
        <v>167</v>
      </c>
      <c r="D446" s="61">
        <f>(3.025*4.61+2.03*2.44+2.95*3.05+2.08*1.17+2.03*1.17+2.5*1+1.865*1.17+0.6*(3.025+2.95))*(10.764)</f>
        <v>441.01937879999997</v>
      </c>
      <c r="E446" s="61">
        <v>0</v>
      </c>
      <c r="F446" s="61">
        <f t="shared" ref="F446:F447" si="71">D446*1.6+E446</f>
        <v>705.63100608000002</v>
      </c>
      <c r="G446" s="72"/>
      <c r="H446" s="73"/>
    </row>
    <row r="447" spans="1:11" s="60" customFormat="1" x14ac:dyDescent="0.3">
      <c r="A447" s="69">
        <v>203</v>
      </c>
      <c r="B447" s="69"/>
      <c r="C447" s="61" t="s">
        <v>167</v>
      </c>
      <c r="D447" s="61">
        <f>(3.025*4.61+2.03*2.44+3*3.05+2.08*1.17+2.03*1.17+2.5*1+1.865*1.17+0.6*(3.025+3))*(10.764)</f>
        <v>442.98380879999991</v>
      </c>
      <c r="E447" s="61">
        <v>0</v>
      </c>
      <c r="F447" s="61">
        <f t="shared" si="71"/>
        <v>708.77409407999994</v>
      </c>
      <c r="G447" s="72"/>
      <c r="H447" s="73"/>
    </row>
    <row r="448" spans="1:11" s="60" customFormat="1" x14ac:dyDescent="0.3">
      <c r="A448" s="69">
        <v>204</v>
      </c>
      <c r="B448" s="69"/>
      <c r="C448" s="61" t="s">
        <v>166</v>
      </c>
      <c r="D448" s="61">
        <f>(1.3*1.3+5.84*3.025+0.99*3.05+2.54*2.055+3.38*3+2.24*1.295+3*3.05+1.37*2.29+2.29*1+1.19*(2.75+1.93+2.85)+0.57*3)*(10.764)</f>
        <v>709.17537599999991</v>
      </c>
      <c r="E448" s="61">
        <v>0</v>
      </c>
      <c r="F448" s="61">
        <f t="shared" ref="F448" si="72">D448*1.6+E448</f>
        <v>1134.6806015999998</v>
      </c>
      <c r="G448" s="72"/>
      <c r="H448" s="73"/>
    </row>
    <row r="449" spans="1:8" s="60" customFormat="1" x14ac:dyDescent="0.3">
      <c r="A449" s="69">
        <v>205</v>
      </c>
      <c r="B449" s="69"/>
      <c r="C449" s="76" t="s">
        <v>282</v>
      </c>
      <c r="D449" s="77"/>
      <c r="E449" s="77"/>
      <c r="F449" s="78"/>
      <c r="G449" s="74"/>
      <c r="H449" s="75"/>
    </row>
    <row r="450" spans="1:8" s="60" customFormat="1" ht="32.25" customHeight="1" x14ac:dyDescent="0.3">
      <c r="A450" s="68" t="s">
        <v>283</v>
      </c>
      <c r="B450" s="68"/>
      <c r="C450" s="68"/>
      <c r="D450" s="68"/>
      <c r="E450" s="68"/>
      <c r="F450" s="68"/>
      <c r="G450" s="68"/>
      <c r="H450" s="68"/>
    </row>
    <row r="451" spans="1:8" s="60" customFormat="1" ht="15.75" customHeight="1" x14ac:dyDescent="0.3">
      <c r="A451" s="69">
        <v>301</v>
      </c>
      <c r="B451" s="69"/>
      <c r="C451" s="61" t="s">
        <v>166</v>
      </c>
      <c r="D451" s="61">
        <f>(2.58*1.07+2.08*2.44+3*5.49+2.95*3.05+3*3.3+2*(1.2*2.18)+3.4*0.9+2.65*1.19+1.78*1.17+0.6*(2.95+3))*(10.764)</f>
        <v>649.08426959999997</v>
      </c>
      <c r="E451" s="61">
        <v>0</v>
      </c>
      <c r="F451" s="61">
        <f>D451*1.6+E451</f>
        <v>1038.53483136</v>
      </c>
      <c r="G451" s="70" t="str">
        <f>A450</f>
        <v>3rd Floor + Parking Floor 3
For Parking, Drivers Room &amp; Residential</v>
      </c>
      <c r="H451" s="71"/>
    </row>
    <row r="452" spans="1:8" s="60" customFormat="1" x14ac:dyDescent="0.3">
      <c r="A452" s="69">
        <v>302</v>
      </c>
      <c r="B452" s="69"/>
      <c r="C452" s="61" t="s">
        <v>167</v>
      </c>
      <c r="D452" s="61">
        <f>(3.025*4.61+2.03*2.44+2.95*3.05+2.08*1.17+2.03*1.17+2.5*1+1.865*1.17+0.6*(3.025+2.95))*(10.764)</f>
        <v>441.01937879999997</v>
      </c>
      <c r="E452" s="61">
        <v>0</v>
      </c>
      <c r="F452" s="61">
        <f t="shared" ref="F452:F454" si="73">D452*1.6+E452</f>
        <v>705.63100608000002</v>
      </c>
      <c r="G452" s="72"/>
      <c r="H452" s="73"/>
    </row>
    <row r="453" spans="1:8" s="60" customFormat="1" x14ac:dyDescent="0.3">
      <c r="A453" s="69">
        <v>303</v>
      </c>
      <c r="B453" s="69"/>
      <c r="C453" s="61" t="s">
        <v>167</v>
      </c>
      <c r="D453" s="61">
        <f>(3.025*4.61+2.03*2.44+3*3.05+2.08*1.17+2.03*1.17+2.5*1+1.865*1.17+0.6*(3.025+3))*(10.764)</f>
        <v>442.98380879999991</v>
      </c>
      <c r="E453" s="61">
        <v>0</v>
      </c>
      <c r="F453" s="61">
        <f t="shared" si="73"/>
        <v>708.77409407999994</v>
      </c>
      <c r="G453" s="72"/>
      <c r="H453" s="73"/>
    </row>
    <row r="454" spans="1:8" s="60" customFormat="1" x14ac:dyDescent="0.3">
      <c r="A454" s="69">
        <v>304</v>
      </c>
      <c r="B454" s="69"/>
      <c r="C454" s="61" t="s">
        <v>166</v>
      </c>
      <c r="D454" s="61">
        <f>(1.3*1.3+5.84*3.025+0.99*3.05+2.54*2.055+3.38*3+2.24*1.295+3*3.05+1.37*2.29+2.29*1+1.19*(2.75+1.93+2.85)+0.57*3)*(10.764)</f>
        <v>709.17537599999991</v>
      </c>
      <c r="E454" s="61">
        <v>0</v>
      </c>
      <c r="F454" s="61">
        <f t="shared" si="73"/>
        <v>1134.6806015999998</v>
      </c>
      <c r="G454" s="72"/>
      <c r="H454" s="73"/>
    </row>
    <row r="455" spans="1:8" s="60" customFormat="1" x14ac:dyDescent="0.3">
      <c r="A455" s="69">
        <v>305</v>
      </c>
      <c r="B455" s="69"/>
      <c r="C455" s="76" t="s">
        <v>282</v>
      </c>
      <c r="D455" s="77"/>
      <c r="E455" s="77"/>
      <c r="F455" s="78"/>
      <c r="G455" s="74"/>
      <c r="H455" s="75"/>
    </row>
    <row r="456" spans="1:8" s="60" customFormat="1" ht="31.5" customHeight="1" x14ac:dyDescent="0.3">
      <c r="A456" s="68" t="s">
        <v>284</v>
      </c>
      <c r="B456" s="68"/>
      <c r="C456" s="68"/>
      <c r="D456" s="68"/>
      <c r="E456" s="68"/>
      <c r="F456" s="68"/>
      <c r="G456" s="68"/>
      <c r="H456" s="68"/>
    </row>
    <row r="457" spans="1:8" s="60" customFormat="1" ht="15.75" customHeight="1" x14ac:dyDescent="0.3">
      <c r="A457" s="69">
        <v>401</v>
      </c>
      <c r="B457" s="69"/>
      <c r="C457" s="61" t="s">
        <v>166</v>
      </c>
      <c r="D457" s="61">
        <f>(2.58*1.07+2.08*2.44+3*5.49+2.95*3.05+3*3.3+2*(1.2*2.18)+3.4*0.9+2.65*1.19+1.78*1.17+0.6*(2.95+3))*(10.764)</f>
        <v>649.08426959999997</v>
      </c>
      <c r="E457" s="61">
        <v>0</v>
      </c>
      <c r="F457" s="61">
        <f>D457*1.6+E457</f>
        <v>1038.53483136</v>
      </c>
      <c r="G457" s="70" t="str">
        <f>A456</f>
        <v>4th Floor + Parking Floor 4
For Parking, Drivers Room &amp; Residential</v>
      </c>
      <c r="H457" s="71"/>
    </row>
    <row r="458" spans="1:8" s="60" customFormat="1" x14ac:dyDescent="0.3">
      <c r="A458" s="69">
        <v>402</v>
      </c>
      <c r="B458" s="69"/>
      <c r="C458" s="61" t="s">
        <v>167</v>
      </c>
      <c r="D458" s="61">
        <f>(3.025*4.61+2.03*2.44+2.95*3.05+2.08*1.17+2.03*1.17+2.5*1+1.865*1.17+0.6*(3.025+2.95))*(10.764)</f>
        <v>441.01937879999997</v>
      </c>
      <c r="E458" s="61">
        <v>0</v>
      </c>
      <c r="F458" s="61">
        <f t="shared" ref="F458:F460" si="74">D458*1.6+E458</f>
        <v>705.63100608000002</v>
      </c>
      <c r="G458" s="72"/>
      <c r="H458" s="73"/>
    </row>
    <row r="459" spans="1:8" s="60" customFormat="1" x14ac:dyDescent="0.3">
      <c r="A459" s="69">
        <v>403</v>
      </c>
      <c r="B459" s="69"/>
      <c r="C459" s="61" t="s">
        <v>167</v>
      </c>
      <c r="D459" s="61">
        <f>(3.025*4.61+2.03*2.44+3*3.05+2.08*1.17+2.03*1.17+2.5*1+1.865*1.17+0.6*(3.025+3))*(10.764)</f>
        <v>442.98380879999991</v>
      </c>
      <c r="E459" s="61">
        <v>0</v>
      </c>
      <c r="F459" s="61">
        <f t="shared" si="74"/>
        <v>708.77409407999994</v>
      </c>
      <c r="G459" s="72"/>
      <c r="H459" s="73"/>
    </row>
    <row r="460" spans="1:8" s="60" customFormat="1" x14ac:dyDescent="0.3">
      <c r="A460" s="69">
        <v>404</v>
      </c>
      <c r="B460" s="69"/>
      <c r="C460" s="61" t="s">
        <v>166</v>
      </c>
      <c r="D460" s="61">
        <f>(1.3*1.3+5.84*3.025+0.99*3.05+2.54*2.055+3.38*3+2.24*1.295+3*3.05+1.37*2.29+2.29*1+1.19*(2.75+1.93+2.85)+0.57*3)*(10.764)</f>
        <v>709.17537599999991</v>
      </c>
      <c r="E460" s="61">
        <v>0</v>
      </c>
      <c r="F460" s="61">
        <f t="shared" si="74"/>
        <v>1134.6806015999998</v>
      </c>
      <c r="G460" s="72"/>
      <c r="H460" s="73"/>
    </row>
    <row r="461" spans="1:8" s="60" customFormat="1" x14ac:dyDescent="0.3">
      <c r="A461" s="69">
        <v>405</v>
      </c>
      <c r="B461" s="69"/>
      <c r="C461" s="76" t="s">
        <v>282</v>
      </c>
      <c r="D461" s="77"/>
      <c r="E461" s="77"/>
      <c r="F461" s="78"/>
      <c r="G461" s="74"/>
      <c r="H461" s="75"/>
    </row>
    <row r="462" spans="1:8" s="60" customFormat="1" ht="32.25" customHeight="1" x14ac:dyDescent="0.3">
      <c r="A462" s="68" t="s">
        <v>285</v>
      </c>
      <c r="B462" s="68"/>
      <c r="C462" s="68"/>
      <c r="D462" s="68"/>
      <c r="E462" s="68"/>
      <c r="F462" s="68"/>
      <c r="G462" s="68"/>
      <c r="H462" s="68"/>
    </row>
    <row r="463" spans="1:8" s="60" customFormat="1" ht="15.75" customHeight="1" x14ac:dyDescent="0.3">
      <c r="A463" s="69">
        <v>501</v>
      </c>
      <c r="B463" s="69"/>
      <c r="C463" s="61" t="s">
        <v>166</v>
      </c>
      <c r="D463" s="61">
        <f>(2.58*1.07+2.08*2.44+3*5.49+2.95*3.05+3*3.3+2*(1.2*2.18)+3.4*0.9+2.65*1.19+1.78*1.17+0.6*(2.95+3))*(10.764)</f>
        <v>649.08426959999997</v>
      </c>
      <c r="E463" s="61">
        <v>0</v>
      </c>
      <c r="F463" s="61">
        <f>D463*1.6+E463</f>
        <v>1038.53483136</v>
      </c>
      <c r="G463" s="70" t="str">
        <f>A462</f>
        <v>5th Floor + Parking Floor 5
For Parking, Servant Toilet &amp; Residential</v>
      </c>
      <c r="H463" s="71"/>
    </row>
    <row r="464" spans="1:8" s="60" customFormat="1" x14ac:dyDescent="0.3">
      <c r="A464" s="69">
        <v>502</v>
      </c>
      <c r="B464" s="69"/>
      <c r="C464" s="61" t="s">
        <v>167</v>
      </c>
      <c r="D464" s="61">
        <f>(3.025*4.61+2.03*2.44+2.95*3.05+2.08*1.17+2.03*1.17+2.5*1+1.865*1.17+0.6*(3.025+2.95))*(10.764)</f>
        <v>441.01937879999997</v>
      </c>
      <c r="E464" s="61">
        <v>0</v>
      </c>
      <c r="F464" s="61">
        <f t="shared" ref="F464:F466" si="75">D464*1.6+E464</f>
        <v>705.63100608000002</v>
      </c>
      <c r="G464" s="72"/>
      <c r="H464" s="73"/>
    </row>
    <row r="465" spans="1:8" s="60" customFormat="1" x14ac:dyDescent="0.3">
      <c r="A465" s="69">
        <v>503</v>
      </c>
      <c r="B465" s="69"/>
      <c r="C465" s="61" t="s">
        <v>167</v>
      </c>
      <c r="D465" s="61">
        <f>(3.025*4.61+2.03*2.44+3*3.05+2.08*1.17+2.03*1.17+2.5*1+1.865*1.17+0.6*(3.025+3))*(10.764)</f>
        <v>442.98380879999991</v>
      </c>
      <c r="E465" s="61">
        <v>0</v>
      </c>
      <c r="F465" s="61">
        <f t="shared" si="75"/>
        <v>708.77409407999994</v>
      </c>
      <c r="G465" s="72"/>
      <c r="H465" s="73"/>
    </row>
    <row r="466" spans="1:8" s="60" customFormat="1" x14ac:dyDescent="0.3">
      <c r="A466" s="69">
        <v>504</v>
      </c>
      <c r="B466" s="69"/>
      <c r="C466" s="61" t="s">
        <v>166</v>
      </c>
      <c r="D466" s="61">
        <f>(1.3*1.3+5.84*3.025+0.99*3.05+2.54*2.055+3.38*3+2.24*1.295+3*3.05+1.37*2.29+2.29*1+1.19*(2.75+1.93+2.85)+0.57*3)*(10.764)</f>
        <v>709.17537599999991</v>
      </c>
      <c r="E466" s="61">
        <v>0</v>
      </c>
      <c r="F466" s="61">
        <f t="shared" si="75"/>
        <v>1134.6806015999998</v>
      </c>
      <c r="G466" s="72"/>
      <c r="H466" s="73"/>
    </row>
    <row r="467" spans="1:8" s="60" customFormat="1" x14ac:dyDescent="0.3">
      <c r="A467" s="69">
        <v>505</v>
      </c>
      <c r="B467" s="69"/>
      <c r="C467" s="76" t="s">
        <v>287</v>
      </c>
      <c r="D467" s="77"/>
      <c r="E467" s="77"/>
      <c r="F467" s="78"/>
      <c r="G467" s="74"/>
      <c r="H467" s="75"/>
    </row>
    <row r="468" spans="1:8" s="60" customFormat="1" ht="30.75" customHeight="1" x14ac:dyDescent="0.3">
      <c r="A468" s="68" t="s">
        <v>286</v>
      </c>
      <c r="B468" s="68"/>
      <c r="C468" s="68"/>
      <c r="D468" s="68"/>
      <c r="E468" s="68"/>
      <c r="F468" s="68"/>
      <c r="G468" s="68"/>
      <c r="H468" s="68"/>
    </row>
    <row r="469" spans="1:8" s="60" customFormat="1" x14ac:dyDescent="0.3">
      <c r="A469" s="69">
        <v>601</v>
      </c>
      <c r="B469" s="69"/>
      <c r="C469" s="61" t="s">
        <v>166</v>
      </c>
      <c r="D469" s="61">
        <f>(2.53*1.07+2.13*2.44+3.05*5.49+3.05*3.05+3.05*3.35+2*(1.3*2.13)+3.5*0.9+2.65*1.19+1.78*1.17+0.6*(3.05+3.05))*(10.764)</f>
        <v>664.7082155999999</v>
      </c>
      <c r="E469" s="61">
        <v>0</v>
      </c>
      <c r="F469" s="61">
        <f>D469*1.6+E469</f>
        <v>1063.5331449599998</v>
      </c>
      <c r="G469" s="69" t="str">
        <f>A468</f>
        <v>6th Floor + Parking Floor 6
For Parking &amp; Residential</v>
      </c>
      <c r="H469" s="69"/>
    </row>
    <row r="470" spans="1:8" s="60" customFormat="1" x14ac:dyDescent="0.3">
      <c r="A470" s="69">
        <v>602</v>
      </c>
      <c r="B470" s="69"/>
      <c r="C470" s="61" t="s">
        <v>166</v>
      </c>
      <c r="D470" s="61">
        <f>(2.53*1.07+2.13*2.44+3.05*5.49+3.05*3.05+3.05*3.35+2*(1.3*2.13)+3.5*0.9+2.65*1.19+1.78*1.17+0.6*(3.05+3.05))*(10.764)</f>
        <v>664.7082155999999</v>
      </c>
      <c r="E470" s="61">
        <v>0</v>
      </c>
      <c r="F470" s="61">
        <f t="shared" ref="F470" si="76">D470*1.6+E470</f>
        <v>1063.5331449599998</v>
      </c>
      <c r="G470" s="69"/>
      <c r="H470" s="69"/>
    </row>
    <row r="471" spans="1:8" s="60" customFormat="1" x14ac:dyDescent="0.3">
      <c r="A471" s="69">
        <v>603</v>
      </c>
      <c r="B471" s="69"/>
      <c r="C471" s="61" t="s">
        <v>167</v>
      </c>
      <c r="D471" s="61">
        <f>(3.05*4.66+2.13*2.44+3.05*3.05+2*(2.13*1.22)+2.5*1+1.865*1.17+0.6*(3.05+3.05))*(10.764)</f>
        <v>454.79998979999988</v>
      </c>
      <c r="E471" s="61">
        <v>0</v>
      </c>
      <c r="F471" s="61">
        <f>D471*1.6+E471</f>
        <v>727.67998367999985</v>
      </c>
      <c r="G471" s="69"/>
      <c r="H471" s="69"/>
    </row>
    <row r="472" spans="1:8" s="60" customFormat="1" x14ac:dyDescent="0.3">
      <c r="A472" s="69">
        <v>604</v>
      </c>
      <c r="B472" s="69"/>
      <c r="C472" s="61" t="s">
        <v>167</v>
      </c>
      <c r="D472" s="61">
        <f>(3.05*4.66+2.13*2.44+3.05*3.05+2*(2.13*1.22)+2.5*1+1.865*1.17+0.6*(3.05+3.05))*(10.764)</f>
        <v>454.79998979999988</v>
      </c>
      <c r="E472" s="61">
        <v>0</v>
      </c>
      <c r="F472" s="61">
        <f t="shared" ref="F472:F474" si="77">D472*1.6+E472</f>
        <v>727.67998367999985</v>
      </c>
      <c r="G472" s="69"/>
      <c r="H472" s="69"/>
    </row>
    <row r="473" spans="1:8" s="60" customFormat="1" x14ac:dyDescent="0.3">
      <c r="A473" s="69">
        <v>605</v>
      </c>
      <c r="B473" s="69"/>
      <c r="C473" s="61" t="s">
        <v>166</v>
      </c>
      <c r="D473" s="61">
        <f>(1.3*1.3+5.84*3.05+0.99*3.05+2.59*2.13+3.43*3.05+2.29*1.37+3.05*3.05+1.37*2.29+2.29*1+1.19*(2.75+1.93+2.85)+0.57*3)*(10.764)</f>
        <v>721.59164999999985</v>
      </c>
      <c r="E473" s="61">
        <v>0</v>
      </c>
      <c r="F473" s="61">
        <f t="shared" si="77"/>
        <v>1154.5466399999998</v>
      </c>
      <c r="G473" s="69"/>
      <c r="H473" s="69"/>
    </row>
    <row r="474" spans="1:8" s="60" customFormat="1" x14ac:dyDescent="0.3">
      <c r="A474" s="69">
        <v>606</v>
      </c>
      <c r="B474" s="69"/>
      <c r="C474" s="61" t="s">
        <v>166</v>
      </c>
      <c r="D474" s="61">
        <f>(1.3*1.3+5.84*3.05+0.99*3.05+2.59*2.13+3.43*3.05+2.29*1.37+3.05*3.05+1.37*2.29+2.29*1+1.19*(2.75+1.93+2.85)+0.57*3)*(10.764)</f>
        <v>721.59164999999985</v>
      </c>
      <c r="E474" s="61">
        <v>0</v>
      </c>
      <c r="F474" s="61">
        <f t="shared" si="77"/>
        <v>1154.5466399999998</v>
      </c>
      <c r="G474" s="69"/>
      <c r="H474" s="69"/>
    </row>
    <row r="475" spans="1:8" s="60" customFormat="1" x14ac:dyDescent="0.3">
      <c r="A475" s="68" t="s">
        <v>288</v>
      </c>
      <c r="B475" s="68"/>
      <c r="C475" s="68"/>
      <c r="D475" s="68"/>
      <c r="E475" s="68"/>
      <c r="F475" s="68"/>
      <c r="G475" s="68"/>
      <c r="H475" s="68"/>
    </row>
    <row r="476" spans="1:8" s="60" customFormat="1" x14ac:dyDescent="0.3">
      <c r="A476" s="69">
        <v>701</v>
      </c>
      <c r="B476" s="69"/>
      <c r="C476" s="61" t="s">
        <v>166</v>
      </c>
      <c r="D476" s="61">
        <f>(2.53*1.07+2.13*2.44+3.05*5.49+3.05*3.05+3.05*3.35+2*(1.3*2.13)+3.5*0.9+2.65*1.19+1.78*1.17+0.6*(3.05+3.05))*(10.764)</f>
        <v>664.7082155999999</v>
      </c>
      <c r="E476" s="61">
        <v>0</v>
      </c>
      <c r="F476" s="61">
        <f>D476*1.6+E476</f>
        <v>1063.5331449599998</v>
      </c>
      <c r="G476" s="69" t="str">
        <f>A475</f>
        <v>7th Floor For Residential</v>
      </c>
      <c r="H476" s="69"/>
    </row>
    <row r="477" spans="1:8" s="60" customFormat="1" ht="15.75" customHeight="1" x14ac:dyDescent="0.3">
      <c r="A477" s="69">
        <v>702</v>
      </c>
      <c r="B477" s="69"/>
      <c r="C477" s="61" t="s">
        <v>166</v>
      </c>
      <c r="D477" s="61">
        <f>(2.53*1.07+2.13*2.44+3.05*5.49+3.05*3.05+3.05*3.35+2*(1.3*2.13)+3.5*0.9+2.65*1.19+1.78*1.17+0.6*(3.05+3.05))*(10.764)</f>
        <v>664.7082155999999</v>
      </c>
      <c r="E477" s="61">
        <v>0</v>
      </c>
      <c r="F477" s="61">
        <f t="shared" ref="F477" si="78">D477*1.6+E477</f>
        <v>1063.5331449599998</v>
      </c>
      <c r="G477" s="69"/>
      <c r="H477" s="69"/>
    </row>
    <row r="478" spans="1:8" s="60" customFormat="1" ht="15.75" customHeight="1" x14ac:dyDescent="0.3">
      <c r="A478" s="69">
        <v>703</v>
      </c>
      <c r="B478" s="69"/>
      <c r="C478" s="61" t="s">
        <v>167</v>
      </c>
      <c r="D478" s="61">
        <f>(3.05*4.66+2.13*2.44+3.05*3.05+2*(2.13*1.22)+2.5*1+1.865*1.17+0.6*(3.05+3.05))*(10.764)</f>
        <v>454.79998979999988</v>
      </c>
      <c r="E478" s="61">
        <v>0</v>
      </c>
      <c r="F478" s="61">
        <f>D478*1.6+E478</f>
        <v>727.67998367999985</v>
      </c>
      <c r="G478" s="69"/>
      <c r="H478" s="69"/>
    </row>
    <row r="479" spans="1:8" s="60" customFormat="1" ht="15.75" customHeight="1" x14ac:dyDescent="0.3">
      <c r="A479" s="69">
        <v>704</v>
      </c>
      <c r="B479" s="69"/>
      <c r="C479" s="61" t="s">
        <v>167</v>
      </c>
      <c r="D479" s="61">
        <f>(3.05*4.66+2.13*2.44+3.05*3.05+2*(2.13*1.22)+2.5*1+1.865*1.17+0.6*(3.05+3.05))*(10.764)</f>
        <v>454.79998979999988</v>
      </c>
      <c r="E479" s="61">
        <v>0</v>
      </c>
      <c r="F479" s="61">
        <f t="shared" ref="F479:F481" si="79">D479*1.6+E479</f>
        <v>727.67998367999985</v>
      </c>
      <c r="G479" s="69"/>
      <c r="H479" s="69"/>
    </row>
    <row r="480" spans="1:8" s="60" customFormat="1" ht="15.75" customHeight="1" x14ac:dyDescent="0.3">
      <c r="A480" s="69">
        <v>705</v>
      </c>
      <c r="B480" s="69"/>
      <c r="C480" s="61" t="s">
        <v>166</v>
      </c>
      <c r="D480" s="61">
        <f>(1.3*1.3+5.84*3.05+0.99*3.05+2.59*2.13+3.43*3.05+2.29*1.37+3.05*3.05+1.37*2.29+2.29*1+1.19*(2.75+1.93+2.85)+0.57*3)*(10.764)</f>
        <v>721.59164999999985</v>
      </c>
      <c r="E480" s="61">
        <v>0</v>
      </c>
      <c r="F480" s="61">
        <f t="shared" si="79"/>
        <v>1154.5466399999998</v>
      </c>
      <c r="G480" s="69"/>
      <c r="H480" s="69"/>
    </row>
    <row r="481" spans="1:8" s="60" customFormat="1" ht="15.75" customHeight="1" x14ac:dyDescent="0.3">
      <c r="A481" s="69">
        <v>706</v>
      </c>
      <c r="B481" s="69"/>
      <c r="C481" s="61" t="s">
        <v>166</v>
      </c>
      <c r="D481" s="61">
        <f>(1.3*1.3+5.84*3.05+0.99*3.05+2.59*2.13+3.43*3.05+2.29*1.37+3.05*3.05+1.37*2.29+2.29*1+1.19*(2.75+1.93+2.85)+0.57*3)*(10.764)</f>
        <v>721.59164999999985</v>
      </c>
      <c r="E481" s="61">
        <v>0</v>
      </c>
      <c r="F481" s="61">
        <f t="shared" si="79"/>
        <v>1154.5466399999998</v>
      </c>
      <c r="G481" s="69"/>
      <c r="H481" s="69"/>
    </row>
    <row r="482" spans="1:8" s="60" customFormat="1" x14ac:dyDescent="0.3">
      <c r="A482" s="68" t="s">
        <v>289</v>
      </c>
      <c r="B482" s="68"/>
      <c r="C482" s="68"/>
      <c r="D482" s="68"/>
      <c r="E482" s="68"/>
      <c r="F482" s="68"/>
      <c r="G482" s="68"/>
      <c r="H482" s="68"/>
    </row>
    <row r="483" spans="1:8" s="60" customFormat="1" ht="15.75" customHeight="1" x14ac:dyDescent="0.3">
      <c r="A483" s="69">
        <v>801</v>
      </c>
      <c r="B483" s="69"/>
      <c r="C483" s="61" t="s">
        <v>167</v>
      </c>
      <c r="D483" s="61">
        <f>(3.05*4.66+2.13*2.44+3.05*3.05+2*(2.13*1.22)+2.5*1+1.865*1.17+0.6*(3.05+3.05))*(10.764)</f>
        <v>454.79998979999988</v>
      </c>
      <c r="E483" s="61">
        <v>0</v>
      </c>
      <c r="F483" s="61">
        <f>D483*1.6+E483</f>
        <v>727.67998367999985</v>
      </c>
      <c r="G483" s="70" t="str">
        <f>A482</f>
        <v>8th Floor For Residential</v>
      </c>
      <c r="H483" s="71"/>
    </row>
    <row r="484" spans="1:8" s="60" customFormat="1" ht="15.75" customHeight="1" x14ac:dyDescent="0.3">
      <c r="A484" s="69">
        <v>802</v>
      </c>
      <c r="B484" s="69"/>
      <c r="C484" s="61" t="s">
        <v>167</v>
      </c>
      <c r="D484" s="61">
        <f>(3.05*4.66+2.13*2.44+3.05*3.05+2*(2.13*1.22)+2.5*1+1.865*1.17+0.6*(3.05+3.05))*(10.764)</f>
        <v>454.79998979999988</v>
      </c>
      <c r="E484" s="61">
        <v>0</v>
      </c>
      <c r="F484" s="61">
        <f t="shared" ref="F484" si="80">D484*1.6+E484</f>
        <v>727.67998367999985</v>
      </c>
      <c r="G484" s="72"/>
      <c r="H484" s="73"/>
    </row>
    <row r="485" spans="1:8" s="60" customFormat="1" ht="15.75" customHeight="1" x14ac:dyDescent="0.3">
      <c r="A485" s="69">
        <v>803</v>
      </c>
      <c r="B485" s="69"/>
      <c r="C485" s="61" t="s">
        <v>166</v>
      </c>
      <c r="D485" s="61">
        <f>(2.53*1.07+2.13*2.44+3.05*5.49+3.05*3.05+3.05*3.35+2*(1.3*2.13)+3.5*0.9+2.65*1.19+1.78*1.17+0.6*(3.05+3.05))*(10.764)</f>
        <v>664.7082155999999</v>
      </c>
      <c r="E485" s="61">
        <v>0</v>
      </c>
      <c r="F485" s="61">
        <f>D485*1.6+E485</f>
        <v>1063.5331449599998</v>
      </c>
      <c r="G485" s="72"/>
      <c r="H485" s="73"/>
    </row>
    <row r="486" spans="1:8" s="60" customFormat="1" ht="15.75" customHeight="1" x14ac:dyDescent="0.3">
      <c r="A486" s="69">
        <v>804</v>
      </c>
      <c r="B486" s="69"/>
      <c r="C486" s="61" t="s">
        <v>166</v>
      </c>
      <c r="D486" s="61">
        <f>(2.53*1.07+2.13*2.44+3.05*5.49+3.05*3.05+3.05*3.35+2*(1.3*2.13)+3.5*0.9+2.65*1.19+1.78*1.17+0.6*(3.05+3.05))*(10.764)</f>
        <v>664.7082155999999</v>
      </c>
      <c r="E486" s="61">
        <v>0</v>
      </c>
      <c r="F486" s="61">
        <f t="shared" ref="F486" si="81">D486*1.6+E486</f>
        <v>1063.5331449599998</v>
      </c>
      <c r="G486" s="72"/>
      <c r="H486" s="73"/>
    </row>
    <row r="487" spans="1:8" s="60" customFormat="1" ht="15.75" customHeight="1" x14ac:dyDescent="0.3">
      <c r="A487" s="69">
        <v>805</v>
      </c>
      <c r="B487" s="69"/>
      <c r="C487" s="61" t="s">
        <v>167</v>
      </c>
      <c r="D487" s="61">
        <f>(3.05*4.66+2.13*2.44+3.05*3.05+2*(2.13*1.22)+2.5*1+1.865*1.17+0.6*(3.05+3.05))*(10.764)</f>
        <v>454.79998979999988</v>
      </c>
      <c r="E487" s="61">
        <v>0</v>
      </c>
      <c r="F487" s="61">
        <f>D487*1.6+E487</f>
        <v>727.67998367999985</v>
      </c>
      <c r="G487" s="72"/>
      <c r="H487" s="73"/>
    </row>
    <row r="488" spans="1:8" s="60" customFormat="1" ht="15.75" customHeight="1" x14ac:dyDescent="0.3">
      <c r="A488" s="69">
        <v>806</v>
      </c>
      <c r="B488" s="69"/>
      <c r="C488" s="61" t="s">
        <v>167</v>
      </c>
      <c r="D488" s="61">
        <f>(3.05*4.66+2.13*2.44+3.05*3.05+2*(2.13*1.22)+2.5*1+1.865*1.17+0.6*(3.05+3.05))*(10.764)</f>
        <v>454.79998979999988</v>
      </c>
      <c r="E488" s="61">
        <v>0</v>
      </c>
      <c r="F488" s="61">
        <f t="shared" ref="F488:F490" si="82">D488*1.6+E488</f>
        <v>727.67998367999985</v>
      </c>
      <c r="G488" s="72"/>
      <c r="H488" s="73"/>
    </row>
    <row r="489" spans="1:8" s="60" customFormat="1" ht="15.75" customHeight="1" x14ac:dyDescent="0.3">
      <c r="A489" s="69">
        <v>807</v>
      </c>
      <c r="B489" s="69"/>
      <c r="C489" s="61" t="s">
        <v>166</v>
      </c>
      <c r="D489" s="61">
        <f>(1.3*1.3+5.84*3.05+0.99*3.05+2.59*2.13+3.43*3.05+2.29*1.37+3.05*3.05+1.37*2.29+2.29*1+1.19*(2.75+1.93+2.85)+0.57*3)*(10.764)</f>
        <v>721.59164999999985</v>
      </c>
      <c r="E489" s="61">
        <v>0</v>
      </c>
      <c r="F489" s="61">
        <f t="shared" si="82"/>
        <v>1154.5466399999998</v>
      </c>
      <c r="G489" s="72"/>
      <c r="H489" s="73"/>
    </row>
    <row r="490" spans="1:8" s="60" customFormat="1" ht="15.75" customHeight="1" x14ac:dyDescent="0.3">
      <c r="A490" s="69">
        <v>808</v>
      </c>
      <c r="B490" s="69"/>
      <c r="C490" s="61" t="s">
        <v>166</v>
      </c>
      <c r="D490" s="61">
        <f>(1.3*1.3+5.84*3.05+0.99*3.05+2.59*2.13+3.43*3.05+2.29*1.37+3.05*3.05+1.37*2.29+2.29*1+1.19*(2.75+1.93+2.85)+0.57*3)*(10.764)</f>
        <v>721.59164999999985</v>
      </c>
      <c r="E490" s="61">
        <v>0</v>
      </c>
      <c r="F490" s="61">
        <f t="shared" si="82"/>
        <v>1154.5466399999998</v>
      </c>
      <c r="G490" s="74"/>
      <c r="H490" s="75"/>
    </row>
    <row r="491" spans="1:8" s="60" customFormat="1" x14ac:dyDescent="0.3">
      <c r="A491" s="68" t="s">
        <v>290</v>
      </c>
      <c r="B491" s="68"/>
      <c r="C491" s="68"/>
      <c r="D491" s="68"/>
      <c r="E491" s="68"/>
      <c r="F491" s="68"/>
      <c r="G491" s="68"/>
      <c r="H491" s="68"/>
    </row>
    <row r="492" spans="1:8" s="60" customFormat="1" ht="15.75" customHeight="1" x14ac:dyDescent="0.3">
      <c r="A492" s="69">
        <v>901</v>
      </c>
      <c r="B492" s="69"/>
      <c r="C492" s="61" t="s">
        <v>167</v>
      </c>
      <c r="D492" s="61">
        <f>(3.05*4.66+2.13*2.44+3.05*3.05+2*(2.13*1.22)+2.5*1+1.865*1.17+0.6*(3.05+3.05))*(10.764)</f>
        <v>454.79998979999988</v>
      </c>
      <c r="E492" s="61">
        <v>0</v>
      </c>
      <c r="F492" s="61">
        <f>D492*1.6+E492</f>
        <v>727.67998367999985</v>
      </c>
      <c r="G492" s="70" t="str">
        <f>A491</f>
        <v>9th Floor For Residential</v>
      </c>
      <c r="H492" s="71"/>
    </row>
    <row r="493" spans="1:8" s="60" customFormat="1" ht="15.75" customHeight="1" x14ac:dyDescent="0.3">
      <c r="A493" s="69">
        <v>902</v>
      </c>
      <c r="B493" s="69"/>
      <c r="C493" s="61" t="s">
        <v>167</v>
      </c>
      <c r="D493" s="61">
        <f>(3.05*4.66+2.13*2.44+3.05*3.05+2*(2.13*1.22)+2.5*1+1.865*1.17+0.6*(3.05+3.05))*(10.764)</f>
        <v>454.79998979999988</v>
      </c>
      <c r="E493" s="61">
        <v>0</v>
      </c>
      <c r="F493" s="61">
        <f t="shared" ref="F493" si="83">D493*1.6+E493</f>
        <v>727.67998367999985</v>
      </c>
      <c r="G493" s="72"/>
      <c r="H493" s="73"/>
    </row>
    <row r="494" spans="1:8" s="60" customFormat="1" ht="15.75" customHeight="1" x14ac:dyDescent="0.3">
      <c r="A494" s="69">
        <v>903</v>
      </c>
      <c r="B494" s="69"/>
      <c r="C494" s="61" t="s">
        <v>166</v>
      </c>
      <c r="D494" s="61">
        <f>(2.53*1.07+2.13*2.44+3.05*5.49+3.05*3.05+3.05*3.35+2*(1.3*2.13)+3.5*0.9+2.65*1.19+1.78*1.17+0.6*(3.05+3.05))*(10.764)</f>
        <v>664.7082155999999</v>
      </c>
      <c r="E494" s="61">
        <v>0</v>
      </c>
      <c r="F494" s="61">
        <f>D494*1.6+E494</f>
        <v>1063.5331449599998</v>
      </c>
      <c r="G494" s="72"/>
      <c r="H494" s="73"/>
    </row>
    <row r="495" spans="1:8" s="60" customFormat="1" ht="15.75" customHeight="1" x14ac:dyDescent="0.3">
      <c r="A495" s="69">
        <v>904</v>
      </c>
      <c r="B495" s="69"/>
      <c r="C495" s="61" t="s">
        <v>166</v>
      </c>
      <c r="D495" s="61">
        <f>(2.53*1.07+2.13*2.44+3.05*5.49+3.05*3.05+3.05*3.35+2*(1.3*2.13)+3.5*0.9+2.65*1.19+1.78*1.17+0.6*(3.05+3.05))*(10.764)</f>
        <v>664.7082155999999</v>
      </c>
      <c r="E495" s="61">
        <v>0</v>
      </c>
      <c r="F495" s="61">
        <f t="shared" ref="F495" si="84">D495*1.6+E495</f>
        <v>1063.5331449599998</v>
      </c>
      <c r="G495" s="72"/>
      <c r="H495" s="73"/>
    </row>
    <row r="496" spans="1:8" s="60" customFormat="1" ht="15.75" customHeight="1" x14ac:dyDescent="0.3">
      <c r="A496" s="69">
        <v>905</v>
      </c>
      <c r="B496" s="69"/>
      <c r="C496" s="61" t="s">
        <v>167</v>
      </c>
      <c r="D496" s="61">
        <f>(3.05*4.66+2.13*2.44+3.05*3.05+2*(2.13*1.22)+2.5*1+1.865*1.17+0.6*(3.05+3.05))*(10.764)</f>
        <v>454.79998979999988</v>
      </c>
      <c r="E496" s="61">
        <v>0</v>
      </c>
      <c r="F496" s="61">
        <f>D496*1.6+E496</f>
        <v>727.67998367999985</v>
      </c>
      <c r="G496" s="72"/>
      <c r="H496" s="73"/>
    </row>
    <row r="497" spans="1:8" s="60" customFormat="1" ht="15.75" customHeight="1" x14ac:dyDescent="0.3">
      <c r="A497" s="69">
        <v>906</v>
      </c>
      <c r="B497" s="69"/>
      <c r="C497" s="61" t="s">
        <v>167</v>
      </c>
      <c r="D497" s="61">
        <f>(3.05*4.66+2.13*2.44+3.05*3.05+2*(2.13*1.22)+2.5*1+1.865*1.17+0.6*(3.05+3.05))*(10.764)</f>
        <v>454.79998979999988</v>
      </c>
      <c r="E497" s="61">
        <v>0</v>
      </c>
      <c r="F497" s="61">
        <f t="shared" ref="F497:F499" si="85">D497*1.6+E497</f>
        <v>727.67998367999985</v>
      </c>
      <c r="G497" s="72"/>
      <c r="H497" s="73"/>
    </row>
    <row r="498" spans="1:8" s="60" customFormat="1" ht="15.75" customHeight="1" x14ac:dyDescent="0.3">
      <c r="A498" s="69">
        <v>907</v>
      </c>
      <c r="B498" s="69"/>
      <c r="C498" s="61" t="s">
        <v>166</v>
      </c>
      <c r="D498" s="61">
        <f>(1.3*1.3+5.84*3.05+0.99*3.05+2.59*2.13+3.43*3.05+2.29*1.37+3.05*3.05+1.37*2.29+2.29*1+1.19*(2.75+1.93+2.85)+0.57*3)*(10.764)</f>
        <v>721.59164999999985</v>
      </c>
      <c r="E498" s="61">
        <v>0</v>
      </c>
      <c r="F498" s="61">
        <f t="shared" si="85"/>
        <v>1154.5466399999998</v>
      </c>
      <c r="G498" s="72"/>
      <c r="H498" s="73"/>
    </row>
    <row r="499" spans="1:8" s="60" customFormat="1" ht="15.75" customHeight="1" x14ac:dyDescent="0.3">
      <c r="A499" s="69">
        <v>908</v>
      </c>
      <c r="B499" s="69"/>
      <c r="C499" s="61" t="s">
        <v>166</v>
      </c>
      <c r="D499" s="61">
        <f>(1.3*1.3+5.84*3.05+0.99*3.05+2.59*2.13+3.43*3.05+2.29*1.37+3.05*3.05+1.37*2.29+2.29*1+1.19*(2.75+1.93+2.85)+0.57*3)*(10.764)</f>
        <v>721.59164999999985</v>
      </c>
      <c r="E499" s="61">
        <v>0</v>
      </c>
      <c r="F499" s="61">
        <f t="shared" si="85"/>
        <v>1154.5466399999998</v>
      </c>
      <c r="G499" s="74"/>
      <c r="H499" s="75"/>
    </row>
    <row r="500" spans="1:8" s="60" customFormat="1" x14ac:dyDescent="0.3">
      <c r="A500" s="68" t="s">
        <v>291</v>
      </c>
      <c r="B500" s="68"/>
      <c r="C500" s="68"/>
      <c r="D500" s="68"/>
      <c r="E500" s="68"/>
      <c r="F500" s="68"/>
      <c r="G500" s="68"/>
      <c r="H500" s="68"/>
    </row>
    <row r="501" spans="1:8" s="60" customFormat="1" ht="15.75" customHeight="1" x14ac:dyDescent="0.3">
      <c r="A501" s="69">
        <v>1</v>
      </c>
      <c r="B501" s="69"/>
      <c r="C501" s="61" t="s">
        <v>167</v>
      </c>
      <c r="D501" s="61">
        <f>(3.05*4.66+2.13*2.44+3.05*3.05+2*(2.13*1.22)+2.5*1+1.865*1.17+0.6*(3.05+3.05))*(10.764)</f>
        <v>454.79998979999988</v>
      </c>
      <c r="E501" s="61">
        <v>0</v>
      </c>
      <c r="F501" s="61">
        <f>D501*1.6+E501</f>
        <v>727.67998367999985</v>
      </c>
      <c r="G501" s="69" t="str">
        <f>A500</f>
        <v>10th to 13th, 15th to 18th, 20th to 23rd, 25th to 28th, 30th to 33rd, 35th to 38th, 40th &amp; 41st Floor</v>
      </c>
      <c r="H501" s="69"/>
    </row>
    <row r="502" spans="1:8" s="60" customFormat="1" ht="15.75" customHeight="1" x14ac:dyDescent="0.3">
      <c r="A502" s="69">
        <v>2</v>
      </c>
      <c r="B502" s="69"/>
      <c r="C502" s="61" t="s">
        <v>167</v>
      </c>
      <c r="D502" s="61">
        <f>(3.05*4.66+2.13*2.44+3.05*3.05+2*(2.13*1.22)+2.5*1+1.865*1.17+0.6*(3.05+3.05))*(10.764)</f>
        <v>454.79998979999988</v>
      </c>
      <c r="E502" s="61">
        <v>0</v>
      </c>
      <c r="F502" s="61">
        <f t="shared" ref="F502" si="86">D502*1.6+E502</f>
        <v>727.67998367999985</v>
      </c>
      <c r="G502" s="69"/>
      <c r="H502" s="69"/>
    </row>
    <row r="503" spans="1:8" s="60" customFormat="1" ht="15.75" customHeight="1" x14ac:dyDescent="0.3">
      <c r="A503" s="69">
        <v>3</v>
      </c>
      <c r="B503" s="69"/>
      <c r="C503" s="61" t="s">
        <v>166</v>
      </c>
      <c r="D503" s="61">
        <f>(2.53*1.07+2.13*2.44+3.05*5.49+3.05*3.05+3.05*3.35+2*(1.3*2.13)+3.5*0.9+2.65*1.19+1.78*1.17+0.6*(3.05+3.05))*(10.764)</f>
        <v>664.7082155999999</v>
      </c>
      <c r="E503" s="61">
        <v>0</v>
      </c>
      <c r="F503" s="61">
        <f>D503*1.6+E503</f>
        <v>1063.5331449599998</v>
      </c>
      <c r="G503" s="69"/>
      <c r="H503" s="69"/>
    </row>
    <row r="504" spans="1:8" s="60" customFormat="1" ht="15.75" customHeight="1" x14ac:dyDescent="0.3">
      <c r="A504" s="69">
        <v>4</v>
      </c>
      <c r="B504" s="69"/>
      <c r="C504" s="61" t="s">
        <v>166</v>
      </c>
      <c r="D504" s="61">
        <f>(2.53*1.07+2.13*2.44+3.05*5.49+3.05*3.05+3.05*3.35+2*(1.3*2.13)+3.5*0.9+2.65*1.19+1.78*1.17+0.6*(3.05+3.05))*(10.764)</f>
        <v>664.7082155999999</v>
      </c>
      <c r="E504" s="61">
        <v>0</v>
      </c>
      <c r="F504" s="61">
        <f t="shared" ref="F504:F508" si="87">D504*1.6+E504</f>
        <v>1063.5331449599998</v>
      </c>
      <c r="G504" s="69"/>
      <c r="H504" s="69"/>
    </row>
    <row r="505" spans="1:8" s="60" customFormat="1" ht="15.75" customHeight="1" x14ac:dyDescent="0.3">
      <c r="A505" s="69">
        <v>5</v>
      </c>
      <c r="B505" s="69"/>
      <c r="C505" s="61" t="s">
        <v>167</v>
      </c>
      <c r="D505" s="61">
        <f>(3.05*4.66+2.13*2.44+3.05*3.05+2*(2.13*1.22)+2.5*1+1.865*1.17+0.6*(3.05+3.05))*(10.764)</f>
        <v>454.79998979999988</v>
      </c>
      <c r="E505" s="61">
        <v>0</v>
      </c>
      <c r="F505" s="61">
        <f t="shared" si="87"/>
        <v>727.67998367999985</v>
      </c>
      <c r="G505" s="69"/>
      <c r="H505" s="69"/>
    </row>
    <row r="506" spans="1:8" s="60" customFormat="1" ht="15.75" customHeight="1" x14ac:dyDescent="0.3">
      <c r="A506" s="69">
        <v>6</v>
      </c>
      <c r="B506" s="69"/>
      <c r="C506" s="61" t="s">
        <v>167</v>
      </c>
      <c r="D506" s="61">
        <f>(3.05*4.66+2.13*2.44+3.05*3.05+2*(2.13*1.22)+2.5*1+1.865*1.17+0.6*(3.05+3.05))*(10.764)</f>
        <v>454.79998979999988</v>
      </c>
      <c r="E506" s="61">
        <v>0</v>
      </c>
      <c r="F506" s="61">
        <f t="shared" si="87"/>
        <v>727.67998367999985</v>
      </c>
      <c r="G506" s="69"/>
      <c r="H506" s="69"/>
    </row>
    <row r="507" spans="1:8" s="60" customFormat="1" ht="15.75" customHeight="1" x14ac:dyDescent="0.3">
      <c r="A507" s="69">
        <v>7</v>
      </c>
      <c r="B507" s="69"/>
      <c r="C507" s="61" t="s">
        <v>166</v>
      </c>
      <c r="D507" s="61">
        <f>(1.3*1.3+5.84*3.05+0.99*3.05+2.59*2.13+3.43*3.05+2.29*1.37+3.05*3.05+1.37*2.29+2.29*1+1.19*(2.75+1.93+2.85)+0.57*3)*(10.764)</f>
        <v>721.59164999999985</v>
      </c>
      <c r="E507" s="61">
        <v>0</v>
      </c>
      <c r="F507" s="61">
        <f t="shared" si="87"/>
        <v>1154.5466399999998</v>
      </c>
      <c r="G507" s="69"/>
      <c r="H507" s="69"/>
    </row>
    <row r="508" spans="1:8" s="60" customFormat="1" ht="15.75" customHeight="1" x14ac:dyDescent="0.3">
      <c r="A508" s="69">
        <v>8</v>
      </c>
      <c r="B508" s="69"/>
      <c r="C508" s="61" t="s">
        <v>166</v>
      </c>
      <c r="D508" s="61">
        <f>(1.3*1.3+5.84*3.05+0.99*3.05+2.59*2.13+3.43*3.05+2.29*1.37+3.05*3.05+1.37*2.29+2.29*1+1.19*(2.75+1.93+2.85)+0.57*3)*(10.764)</f>
        <v>721.59164999999985</v>
      </c>
      <c r="E508" s="61">
        <v>0</v>
      </c>
      <c r="F508" s="61">
        <f t="shared" si="87"/>
        <v>1154.5466399999998</v>
      </c>
      <c r="G508" s="69"/>
      <c r="H508" s="69"/>
    </row>
    <row r="509" spans="1:8" s="60" customFormat="1" x14ac:dyDescent="0.3">
      <c r="A509" s="68" t="s">
        <v>292</v>
      </c>
      <c r="B509" s="68"/>
      <c r="C509" s="68"/>
      <c r="D509" s="68"/>
      <c r="E509" s="68"/>
      <c r="F509" s="68"/>
      <c r="G509" s="68"/>
      <c r="H509" s="68"/>
    </row>
    <row r="510" spans="1:8" s="60" customFormat="1" ht="15.75" customHeight="1" x14ac:dyDescent="0.3">
      <c r="A510" s="69">
        <v>1</v>
      </c>
      <c r="B510" s="69"/>
      <c r="C510" s="61" t="s">
        <v>167</v>
      </c>
      <c r="D510" s="61">
        <f>(3.05*4.66+2.13*2.44+3.05*3.05+2*(2.13*1.22)+2.5*1+1.865*1.17+0.6*(3.05+3.05))*(10.764)</f>
        <v>454.79998979999988</v>
      </c>
      <c r="E510" s="61">
        <v>0</v>
      </c>
      <c r="F510" s="61">
        <f>D510*1.6+E510</f>
        <v>727.67998367999985</v>
      </c>
      <c r="G510" s="69" t="str">
        <f>A509</f>
        <v xml:space="preserve"> 14th, 19th, 24th, 29th, 34th &amp; 39th Floor (Part Refuge Area)</v>
      </c>
      <c r="H510" s="69"/>
    </row>
    <row r="511" spans="1:8" s="60" customFormat="1" ht="15.75" customHeight="1" x14ac:dyDescent="0.3">
      <c r="A511" s="69">
        <v>2</v>
      </c>
      <c r="B511" s="69"/>
      <c r="C511" s="61" t="s">
        <v>167</v>
      </c>
      <c r="D511" s="61">
        <f>(3.05*4.66+2.13*2.44+3.05*3.05+2*(2.13*1.22)+2.5*1+1.865*1.17+0.6*(3.05+3.05))*(10.764)</f>
        <v>454.79998979999988</v>
      </c>
      <c r="E511" s="61">
        <v>0</v>
      </c>
      <c r="F511" s="61">
        <f t="shared" ref="F511" si="88">D511*1.6+E511</f>
        <v>727.67998367999985</v>
      </c>
      <c r="G511" s="69"/>
      <c r="H511" s="69"/>
    </row>
    <row r="512" spans="1:8" s="60" customFormat="1" ht="15.75" customHeight="1" x14ac:dyDescent="0.3">
      <c r="A512" s="69" t="s">
        <v>293</v>
      </c>
      <c r="B512" s="69"/>
      <c r="C512" s="76" t="s">
        <v>168</v>
      </c>
      <c r="D512" s="77"/>
      <c r="E512" s="77"/>
      <c r="F512" s="78"/>
      <c r="G512" s="69"/>
      <c r="H512" s="69"/>
    </row>
    <row r="513" spans="1:13" s="60" customFormat="1" ht="15.75" customHeight="1" x14ac:dyDescent="0.3">
      <c r="A513" s="69">
        <v>3</v>
      </c>
      <c r="B513" s="69"/>
      <c r="C513" s="61" t="s">
        <v>166</v>
      </c>
      <c r="D513" s="61">
        <f>(2.53*1.07+2.13*2.44+3.05*5.49+3.05*3.05+3.05*3.35+2*(1.3*2.13)+3.5*0.9+2.65*1.19+1.78*1.17+0.6*(3.05+3.05))*(10.764)</f>
        <v>664.7082155999999</v>
      </c>
      <c r="E513" s="61">
        <v>0</v>
      </c>
      <c r="F513" s="61">
        <f t="shared" ref="F513:F517" si="89">D513*1.6+E513</f>
        <v>1063.5331449599998</v>
      </c>
      <c r="G513" s="69"/>
      <c r="H513" s="69"/>
      <c r="I513" s="62">
        <f>12300000/F513</f>
        <v>11565.224890534662</v>
      </c>
      <c r="J513" s="60">
        <f>15*35</f>
        <v>525</v>
      </c>
      <c r="K513" s="62">
        <f>I513-J513</f>
        <v>11040.224890534662</v>
      </c>
    </row>
    <row r="514" spans="1:13" s="60" customFormat="1" ht="15.75" customHeight="1" x14ac:dyDescent="0.3">
      <c r="A514" s="69">
        <v>4</v>
      </c>
      <c r="B514" s="69"/>
      <c r="C514" s="61" t="s">
        <v>167</v>
      </c>
      <c r="D514" s="61">
        <f>(3.05*4.66+2.13*2.44+3.05*3.05+2*(2.13*1.22)+2.5*1+1.865*1.17+0.6*(3.05+3.05))*(10.764)</f>
        <v>454.79998979999988</v>
      </c>
      <c r="E514" s="61">
        <v>0</v>
      </c>
      <c r="F514" s="61">
        <f t="shared" si="89"/>
        <v>727.67998367999985</v>
      </c>
      <c r="G514" s="69"/>
      <c r="H514" s="69"/>
    </row>
    <row r="515" spans="1:13" s="60" customFormat="1" ht="15.75" customHeight="1" x14ac:dyDescent="0.3">
      <c r="A515" s="69">
        <v>5</v>
      </c>
      <c r="B515" s="69"/>
      <c r="C515" s="61" t="s">
        <v>167</v>
      </c>
      <c r="D515" s="61">
        <f>(3.05*4.66+2.13*2.44+3.05*3.05+2*(2.13*1.22)+2.5*1+1.865*1.17+0.6*(3.05+3.05))*(10.764)</f>
        <v>454.79998979999988</v>
      </c>
      <c r="E515" s="61">
        <v>0</v>
      </c>
      <c r="F515" s="61">
        <f t="shared" si="89"/>
        <v>727.67998367999985</v>
      </c>
      <c r="G515" s="69"/>
      <c r="H515" s="69"/>
    </row>
    <row r="516" spans="1:13" s="60" customFormat="1" ht="15.75" customHeight="1" x14ac:dyDescent="0.3">
      <c r="A516" s="69">
        <v>6</v>
      </c>
      <c r="B516" s="69"/>
      <c r="C516" s="61" t="s">
        <v>166</v>
      </c>
      <c r="D516" s="61">
        <f>(1.3*1.3+5.84*3.05+0.99*3.05+2.59*2.13+3.43*3.05+2.29*1.37+3.05*3.05+1.37*2.29+2.29*1+1.19*(2.75+1.93+2.85)+0.57*3)*(10.764)</f>
        <v>721.59164999999985</v>
      </c>
      <c r="E516" s="61">
        <v>0</v>
      </c>
      <c r="F516" s="61">
        <f t="shared" si="89"/>
        <v>1154.5466399999998</v>
      </c>
      <c r="G516" s="69"/>
      <c r="H516" s="69"/>
    </row>
    <row r="517" spans="1:13" s="60" customFormat="1" ht="15.75" customHeight="1" x14ac:dyDescent="0.3">
      <c r="A517" s="69">
        <v>7</v>
      </c>
      <c r="B517" s="69"/>
      <c r="C517" s="61" t="s">
        <v>166</v>
      </c>
      <c r="D517" s="61">
        <f>(1.3*1.3+5.84*3.05+0.99*3.05+2.59*2.13+3.43*3.05+2.29*1.37+3.05*3.05+1.37*2.29+2.29*1+1.19*(2.75+1.93+2.85)+0.57*3)*(10.764)</f>
        <v>721.59164999999985</v>
      </c>
      <c r="E517" s="61">
        <v>0</v>
      </c>
      <c r="F517" s="61">
        <f t="shared" si="89"/>
        <v>1154.5466399999998</v>
      </c>
      <c r="G517" s="69"/>
      <c r="H517" s="69"/>
    </row>
    <row r="518" spans="1:13" s="60" customFormat="1" x14ac:dyDescent="0.3">
      <c r="A518" s="84" t="s">
        <v>350</v>
      </c>
      <c r="B518" s="84"/>
      <c r="C518" s="84"/>
      <c r="D518" s="84"/>
      <c r="E518" s="84"/>
      <c r="F518" s="84"/>
      <c r="G518" s="84"/>
      <c r="H518" s="84"/>
    </row>
    <row r="519" spans="1:13" s="60" customFormat="1" ht="31.5" customHeight="1" x14ac:dyDescent="0.3">
      <c r="A519" s="68" t="s">
        <v>279</v>
      </c>
      <c r="B519" s="68"/>
      <c r="C519" s="68"/>
      <c r="D519" s="68"/>
      <c r="E519" s="68"/>
      <c r="F519" s="68"/>
      <c r="G519" s="68"/>
      <c r="H519" s="68"/>
    </row>
    <row r="520" spans="1:13" s="60" customFormat="1" ht="30.75" customHeight="1" x14ac:dyDescent="0.3">
      <c r="A520" s="68" t="s">
        <v>280</v>
      </c>
      <c r="B520" s="68"/>
      <c r="C520" s="68"/>
      <c r="D520" s="68"/>
      <c r="E520" s="68"/>
      <c r="F520" s="68"/>
      <c r="G520" s="68"/>
      <c r="H520" s="68"/>
      <c r="I520" s="60">
        <v>1</v>
      </c>
    </row>
    <row r="521" spans="1:13" s="60" customFormat="1" ht="15.75" customHeight="1" x14ac:dyDescent="0.3">
      <c r="A521" s="69">
        <v>1</v>
      </c>
      <c r="B521" s="69"/>
      <c r="C521" s="70" t="s">
        <v>331</v>
      </c>
      <c r="D521" s="79"/>
      <c r="E521" s="79"/>
      <c r="F521" s="71"/>
      <c r="G521" s="70" t="str">
        <f>A520</f>
        <v>1st Floor + Parking Floor 1 
For Parking, Doubled Heighted Lobby, Amenity Room, Letter Room &amp; Residential</v>
      </c>
      <c r="H521" s="71"/>
    </row>
    <row r="522" spans="1:13" s="60" customFormat="1" x14ac:dyDescent="0.3">
      <c r="A522" s="69">
        <f>A521+1</f>
        <v>2</v>
      </c>
      <c r="B522" s="69"/>
      <c r="C522" s="74"/>
      <c r="D522" s="80"/>
      <c r="E522" s="80"/>
      <c r="F522" s="75"/>
      <c r="G522" s="72"/>
      <c r="H522" s="73"/>
      <c r="M522" s="61">
        <v>10.763999999999999</v>
      </c>
    </row>
    <row r="523" spans="1:13" s="60" customFormat="1" x14ac:dyDescent="0.3">
      <c r="A523" s="69">
        <f t="shared" ref="A523:A527" si="90">A522+1</f>
        <v>3</v>
      </c>
      <c r="B523" s="69"/>
      <c r="C523" s="61" t="s">
        <v>166</v>
      </c>
      <c r="D523" s="61">
        <f>(61.152)*10.764</f>
        <v>658.24012800000003</v>
      </c>
      <c r="E523" s="61">
        <v>0</v>
      </c>
      <c r="F523" s="61">
        <f t="shared" ref="F523:F527" si="91">D523*1.6+E523</f>
        <v>1053.1842048000001</v>
      </c>
      <c r="G523" s="72"/>
      <c r="H523" s="73"/>
      <c r="J523" s="60">
        <f>3*5.79+2.08*2.9+2.95*3.35+3*3.8+1.2*2.18+1.2*2.18+2.58*1.07+2.36*0.95+2.08*0.6+1.42*3</f>
        <v>60.427099999999989</v>
      </c>
    </row>
    <row r="524" spans="1:13" s="60" customFormat="1" x14ac:dyDescent="0.3">
      <c r="A524" s="69">
        <f t="shared" si="90"/>
        <v>4</v>
      </c>
      <c r="B524" s="69"/>
      <c r="C524" s="61" t="s">
        <v>166</v>
      </c>
      <c r="D524" s="61">
        <f>(54.19)*10.764</f>
        <v>583.30115999999998</v>
      </c>
      <c r="E524" s="61">
        <v>0</v>
      </c>
      <c r="F524" s="61">
        <f t="shared" si="91"/>
        <v>933.28185600000006</v>
      </c>
      <c r="G524" s="72"/>
      <c r="H524" s="73"/>
    </row>
    <row r="525" spans="1:13" s="60" customFormat="1" x14ac:dyDescent="0.3">
      <c r="A525" s="69">
        <f t="shared" si="90"/>
        <v>5</v>
      </c>
      <c r="B525" s="69"/>
      <c r="C525" s="70" t="s">
        <v>348</v>
      </c>
      <c r="D525" s="79"/>
      <c r="E525" s="79"/>
      <c r="F525" s="71"/>
      <c r="G525" s="72"/>
      <c r="H525" s="73"/>
    </row>
    <row r="526" spans="1:13" s="60" customFormat="1" x14ac:dyDescent="0.3">
      <c r="A526" s="69">
        <f t="shared" si="90"/>
        <v>6</v>
      </c>
      <c r="B526" s="69"/>
      <c r="C526" s="74"/>
      <c r="D526" s="80"/>
      <c r="E526" s="80"/>
      <c r="F526" s="75"/>
      <c r="G526" s="72"/>
      <c r="H526" s="73"/>
    </row>
    <row r="527" spans="1:13" s="60" customFormat="1" x14ac:dyDescent="0.3">
      <c r="A527" s="69">
        <f t="shared" si="90"/>
        <v>7</v>
      </c>
      <c r="B527" s="69"/>
      <c r="C527" s="61" t="s">
        <v>166</v>
      </c>
      <c r="D527" s="61">
        <f>(54.19)*10.764</f>
        <v>583.30115999999998</v>
      </c>
      <c r="E527" s="61">
        <v>0</v>
      </c>
      <c r="F527" s="61">
        <f t="shared" si="91"/>
        <v>933.28185600000006</v>
      </c>
      <c r="G527" s="72"/>
      <c r="H527" s="73"/>
      <c r="J527" s="60">
        <f>3*5.18+2.08*2.44+2.95*3.05+3*3.3+1.2*2.18+1.2*2.18+2.58*1.07+2.36*0.95+1.11*2.08</f>
        <v>52.056099999999986</v>
      </c>
    </row>
    <row r="528" spans="1:13" s="60" customFormat="1" x14ac:dyDescent="0.3">
      <c r="A528" s="69">
        <f t="shared" ref="A528" si="92">A527+1</f>
        <v>8</v>
      </c>
      <c r="B528" s="69"/>
      <c r="C528" s="76" t="s">
        <v>331</v>
      </c>
      <c r="D528" s="77"/>
      <c r="E528" s="77"/>
      <c r="F528" s="78"/>
      <c r="G528" s="74"/>
      <c r="H528" s="75"/>
    </row>
    <row r="529" spans="1:9" s="60" customFormat="1" ht="31.5" customHeight="1" x14ac:dyDescent="0.3">
      <c r="A529" s="68" t="s">
        <v>281</v>
      </c>
      <c r="B529" s="68"/>
      <c r="C529" s="68"/>
      <c r="D529" s="68"/>
      <c r="E529" s="68"/>
      <c r="F529" s="68"/>
      <c r="G529" s="68"/>
      <c r="H529" s="68"/>
      <c r="I529" s="60">
        <v>1</v>
      </c>
    </row>
    <row r="530" spans="1:9" s="60" customFormat="1" ht="15.75" customHeight="1" x14ac:dyDescent="0.3">
      <c r="A530" s="69">
        <v>1</v>
      </c>
      <c r="B530" s="69"/>
      <c r="C530" s="70" t="s">
        <v>332</v>
      </c>
      <c r="D530" s="79"/>
      <c r="E530" s="79"/>
      <c r="F530" s="71"/>
      <c r="G530" s="70" t="str">
        <f>A529</f>
        <v>2nd Floor + Parking Floor 2
For Parking, Drivers Room &amp; Residential</v>
      </c>
      <c r="H530" s="71"/>
    </row>
    <row r="531" spans="1:9" s="60" customFormat="1" x14ac:dyDescent="0.3">
      <c r="A531" s="69">
        <f>A530+1</f>
        <v>2</v>
      </c>
      <c r="B531" s="69"/>
      <c r="C531" s="74"/>
      <c r="D531" s="80"/>
      <c r="E531" s="80"/>
      <c r="F531" s="75"/>
      <c r="G531" s="72"/>
      <c r="H531" s="73"/>
    </row>
    <row r="532" spans="1:9" s="60" customFormat="1" x14ac:dyDescent="0.3">
      <c r="A532" s="69">
        <f t="shared" ref="A532:A537" si="93">A531+1</f>
        <v>3</v>
      </c>
      <c r="B532" s="69"/>
      <c r="C532" s="61" t="s">
        <v>166</v>
      </c>
      <c r="D532" s="61">
        <f>(61.152)*10.764</f>
        <v>658.24012800000003</v>
      </c>
      <c r="E532" s="61">
        <v>0</v>
      </c>
      <c r="F532" s="61">
        <f t="shared" ref="F532:F533" si="94">D532*1.6+E532</f>
        <v>1053.1842048000001</v>
      </c>
      <c r="G532" s="72"/>
      <c r="H532" s="73"/>
    </row>
    <row r="533" spans="1:9" s="60" customFormat="1" x14ac:dyDescent="0.3">
      <c r="A533" s="69">
        <f t="shared" si="93"/>
        <v>4</v>
      </c>
      <c r="B533" s="69"/>
      <c r="C533" s="61" t="s">
        <v>166</v>
      </c>
      <c r="D533" s="61">
        <f>(54.19)*10.764</f>
        <v>583.30115999999998</v>
      </c>
      <c r="E533" s="61">
        <v>0</v>
      </c>
      <c r="F533" s="61">
        <f t="shared" si="94"/>
        <v>933.28185600000006</v>
      </c>
      <c r="G533" s="72"/>
      <c r="H533" s="73"/>
    </row>
    <row r="534" spans="1:9" s="60" customFormat="1" ht="15.75" customHeight="1" x14ac:dyDescent="0.3">
      <c r="A534" s="69">
        <f t="shared" si="93"/>
        <v>5</v>
      </c>
      <c r="B534" s="69"/>
      <c r="C534" s="61" t="s">
        <v>167</v>
      </c>
      <c r="D534" s="61">
        <f>(35.836)*10.764</f>
        <v>385.73870399999998</v>
      </c>
      <c r="E534" s="61">
        <v>0</v>
      </c>
      <c r="F534" s="61">
        <f t="shared" ref="F534:F536" si="95">D534*1.6+E534</f>
        <v>617.18192640000007</v>
      </c>
      <c r="G534" s="72"/>
      <c r="H534" s="73"/>
    </row>
    <row r="535" spans="1:9" s="60" customFormat="1" ht="15.75" customHeight="1" x14ac:dyDescent="0.3">
      <c r="A535" s="69">
        <f t="shared" si="93"/>
        <v>6</v>
      </c>
      <c r="B535" s="69"/>
      <c r="C535" s="61" t="s">
        <v>167</v>
      </c>
      <c r="D535" s="61">
        <f>(35.836)*10.764</f>
        <v>385.73870399999998</v>
      </c>
      <c r="E535" s="61">
        <v>0</v>
      </c>
      <c r="F535" s="61">
        <f t="shared" si="95"/>
        <v>617.18192640000007</v>
      </c>
      <c r="G535" s="72"/>
      <c r="H535" s="73"/>
    </row>
    <row r="536" spans="1:9" s="60" customFormat="1" ht="15.75" customHeight="1" x14ac:dyDescent="0.3">
      <c r="A536" s="69">
        <f t="shared" si="93"/>
        <v>7</v>
      </c>
      <c r="B536" s="69"/>
      <c r="C536" s="61" t="s">
        <v>166</v>
      </c>
      <c r="D536" s="61">
        <f>(54.19)*10.764</f>
        <v>583.30115999999998</v>
      </c>
      <c r="E536" s="61">
        <v>0</v>
      </c>
      <c r="F536" s="61">
        <f t="shared" si="95"/>
        <v>933.28185600000006</v>
      </c>
      <c r="G536" s="72"/>
      <c r="H536" s="73"/>
    </row>
    <row r="537" spans="1:9" s="60" customFormat="1" ht="15.75" customHeight="1" x14ac:dyDescent="0.3">
      <c r="A537" s="69">
        <f t="shared" si="93"/>
        <v>8</v>
      </c>
      <c r="B537" s="69"/>
      <c r="C537" s="76" t="s">
        <v>332</v>
      </c>
      <c r="D537" s="77"/>
      <c r="E537" s="77"/>
      <c r="F537" s="78"/>
      <c r="G537" s="74"/>
      <c r="H537" s="75"/>
    </row>
    <row r="538" spans="1:9" s="60" customFormat="1" ht="32.25" customHeight="1" x14ac:dyDescent="0.3">
      <c r="A538" s="68" t="s">
        <v>283</v>
      </c>
      <c r="B538" s="68"/>
      <c r="C538" s="68"/>
      <c r="D538" s="68"/>
      <c r="E538" s="68"/>
      <c r="F538" s="68"/>
      <c r="G538" s="68"/>
      <c r="H538" s="68"/>
      <c r="I538" s="60">
        <v>1</v>
      </c>
    </row>
    <row r="539" spans="1:9" s="60" customFormat="1" ht="15.75" customHeight="1" x14ac:dyDescent="0.3">
      <c r="A539" s="69">
        <v>1</v>
      </c>
      <c r="B539" s="69"/>
      <c r="C539" s="70" t="s">
        <v>333</v>
      </c>
      <c r="D539" s="79"/>
      <c r="E539" s="79"/>
      <c r="F539" s="71"/>
      <c r="G539" s="70" t="str">
        <f>A538</f>
        <v>3rd Floor + Parking Floor 3
For Parking, Drivers Room &amp; Residential</v>
      </c>
      <c r="H539" s="71"/>
    </row>
    <row r="540" spans="1:9" s="60" customFormat="1" x14ac:dyDescent="0.3">
      <c r="A540" s="69">
        <f>A539+1</f>
        <v>2</v>
      </c>
      <c r="B540" s="69"/>
      <c r="C540" s="74"/>
      <c r="D540" s="80"/>
      <c r="E540" s="80"/>
      <c r="F540" s="75"/>
      <c r="G540" s="72"/>
      <c r="H540" s="73"/>
    </row>
    <row r="541" spans="1:9" s="60" customFormat="1" x14ac:dyDescent="0.3">
      <c r="A541" s="69">
        <f t="shared" ref="A541:A546" si="96">A540+1</f>
        <v>3</v>
      </c>
      <c r="B541" s="69"/>
      <c r="C541" s="61" t="s">
        <v>166</v>
      </c>
      <c r="D541" s="61">
        <f>(61.152)*10.764</f>
        <v>658.24012800000003</v>
      </c>
      <c r="E541" s="61">
        <v>0</v>
      </c>
      <c r="F541" s="61">
        <f t="shared" ref="F541:F545" si="97">D541*1.6+E541</f>
        <v>1053.1842048000001</v>
      </c>
      <c r="G541" s="72"/>
      <c r="H541" s="73"/>
    </row>
    <row r="542" spans="1:9" s="60" customFormat="1" x14ac:dyDescent="0.3">
      <c r="A542" s="69">
        <f t="shared" si="96"/>
        <v>4</v>
      </c>
      <c r="B542" s="69"/>
      <c r="C542" s="61" t="s">
        <v>166</v>
      </c>
      <c r="D542" s="61">
        <f>(54.19)*10.764</f>
        <v>583.30115999999998</v>
      </c>
      <c r="E542" s="61">
        <v>0</v>
      </c>
      <c r="F542" s="61">
        <f t="shared" si="97"/>
        <v>933.28185600000006</v>
      </c>
      <c r="G542" s="72"/>
      <c r="H542" s="73"/>
    </row>
    <row r="543" spans="1:9" s="60" customFormat="1" ht="15.75" customHeight="1" x14ac:dyDescent="0.3">
      <c r="A543" s="69">
        <f t="shared" si="96"/>
        <v>5</v>
      </c>
      <c r="B543" s="69"/>
      <c r="C543" s="61" t="s">
        <v>167</v>
      </c>
      <c r="D543" s="61">
        <f>(35.836)*10.764</f>
        <v>385.73870399999998</v>
      </c>
      <c r="E543" s="61">
        <v>0</v>
      </c>
      <c r="F543" s="61">
        <f t="shared" si="97"/>
        <v>617.18192640000007</v>
      </c>
      <c r="G543" s="72"/>
      <c r="H543" s="73"/>
    </row>
    <row r="544" spans="1:9" s="60" customFormat="1" ht="15.75" customHeight="1" x14ac:dyDescent="0.3">
      <c r="A544" s="69">
        <f t="shared" si="96"/>
        <v>6</v>
      </c>
      <c r="B544" s="69"/>
      <c r="C544" s="61" t="s">
        <v>167</v>
      </c>
      <c r="D544" s="61">
        <f>(35.836)*10.764</f>
        <v>385.73870399999998</v>
      </c>
      <c r="E544" s="61">
        <v>0</v>
      </c>
      <c r="F544" s="61">
        <f t="shared" si="97"/>
        <v>617.18192640000007</v>
      </c>
      <c r="G544" s="72"/>
      <c r="H544" s="73"/>
    </row>
    <row r="545" spans="1:9" s="60" customFormat="1" ht="15.75" customHeight="1" x14ac:dyDescent="0.3">
      <c r="A545" s="69">
        <f t="shared" si="96"/>
        <v>7</v>
      </c>
      <c r="B545" s="69"/>
      <c r="C545" s="61" t="s">
        <v>166</v>
      </c>
      <c r="D545" s="61">
        <f>(54.19)*10.764</f>
        <v>583.30115999999998</v>
      </c>
      <c r="E545" s="61">
        <v>0</v>
      </c>
      <c r="F545" s="61">
        <f t="shared" si="97"/>
        <v>933.28185600000006</v>
      </c>
      <c r="G545" s="72"/>
      <c r="H545" s="73"/>
    </row>
    <row r="546" spans="1:9" s="60" customFormat="1" ht="15.75" customHeight="1" x14ac:dyDescent="0.3">
      <c r="A546" s="69">
        <f t="shared" si="96"/>
        <v>8</v>
      </c>
      <c r="B546" s="69"/>
      <c r="C546" s="76" t="s">
        <v>333</v>
      </c>
      <c r="D546" s="77"/>
      <c r="E546" s="77"/>
      <c r="F546" s="78"/>
      <c r="G546" s="74"/>
      <c r="H546" s="75"/>
    </row>
    <row r="547" spans="1:9" s="60" customFormat="1" ht="31.5" customHeight="1" x14ac:dyDescent="0.3">
      <c r="A547" s="68" t="s">
        <v>284</v>
      </c>
      <c r="B547" s="68"/>
      <c r="C547" s="68"/>
      <c r="D547" s="68"/>
      <c r="E547" s="68"/>
      <c r="F547" s="68"/>
      <c r="G547" s="68"/>
      <c r="H547" s="68"/>
      <c r="I547" s="60">
        <v>1</v>
      </c>
    </row>
    <row r="548" spans="1:9" s="60" customFormat="1" ht="15.75" customHeight="1" x14ac:dyDescent="0.3">
      <c r="A548" s="69">
        <v>1</v>
      </c>
      <c r="B548" s="69"/>
      <c r="C548" s="70" t="s">
        <v>334</v>
      </c>
      <c r="D548" s="79"/>
      <c r="E548" s="79"/>
      <c r="F548" s="71"/>
      <c r="G548" s="70" t="str">
        <f>A547</f>
        <v>4th Floor + Parking Floor 4
For Parking, Drivers Room &amp; Residential</v>
      </c>
      <c r="H548" s="71"/>
    </row>
    <row r="549" spans="1:9" s="60" customFormat="1" x14ac:dyDescent="0.3">
      <c r="A549" s="69">
        <f>A548+1</f>
        <v>2</v>
      </c>
      <c r="B549" s="69"/>
      <c r="C549" s="74"/>
      <c r="D549" s="80"/>
      <c r="E549" s="80"/>
      <c r="F549" s="75"/>
      <c r="G549" s="72"/>
      <c r="H549" s="73"/>
    </row>
    <row r="550" spans="1:9" s="60" customFormat="1" x14ac:dyDescent="0.3">
      <c r="A550" s="69">
        <f t="shared" ref="A550:A555" si="98">A549+1</f>
        <v>3</v>
      </c>
      <c r="B550" s="69"/>
      <c r="C550" s="61" t="s">
        <v>166</v>
      </c>
      <c r="D550" s="61">
        <f>(61.152)*10.764</f>
        <v>658.24012800000003</v>
      </c>
      <c r="E550" s="61">
        <v>0</v>
      </c>
      <c r="F550" s="61">
        <f t="shared" ref="F550:F554" si="99">D550*1.6+E550</f>
        <v>1053.1842048000001</v>
      </c>
      <c r="G550" s="72"/>
      <c r="H550" s="73"/>
    </row>
    <row r="551" spans="1:9" s="60" customFormat="1" x14ac:dyDescent="0.3">
      <c r="A551" s="69">
        <f t="shared" si="98"/>
        <v>4</v>
      </c>
      <c r="B551" s="69"/>
      <c r="C551" s="61" t="s">
        <v>166</v>
      </c>
      <c r="D551" s="61">
        <f>(54.19)*10.764</f>
        <v>583.30115999999998</v>
      </c>
      <c r="E551" s="61">
        <v>0</v>
      </c>
      <c r="F551" s="61">
        <f t="shared" si="99"/>
        <v>933.28185600000006</v>
      </c>
      <c r="G551" s="72"/>
      <c r="H551" s="73"/>
    </row>
    <row r="552" spans="1:9" s="60" customFormat="1" ht="15.75" customHeight="1" x14ac:dyDescent="0.3">
      <c r="A552" s="69">
        <f t="shared" si="98"/>
        <v>5</v>
      </c>
      <c r="B552" s="69"/>
      <c r="C552" s="61" t="s">
        <v>167</v>
      </c>
      <c r="D552" s="61">
        <f>(35.836)*10.764</f>
        <v>385.73870399999998</v>
      </c>
      <c r="E552" s="61">
        <v>0</v>
      </c>
      <c r="F552" s="61">
        <f t="shared" si="99"/>
        <v>617.18192640000007</v>
      </c>
      <c r="G552" s="72"/>
      <c r="H552" s="73"/>
    </row>
    <row r="553" spans="1:9" s="60" customFormat="1" ht="15.75" customHeight="1" x14ac:dyDescent="0.3">
      <c r="A553" s="69">
        <f t="shared" si="98"/>
        <v>6</v>
      </c>
      <c r="B553" s="69"/>
      <c r="C553" s="61" t="s">
        <v>167</v>
      </c>
      <c r="D553" s="61">
        <f>(35.836)*10.764</f>
        <v>385.73870399999998</v>
      </c>
      <c r="E553" s="61">
        <v>0</v>
      </c>
      <c r="F553" s="61">
        <f t="shared" si="99"/>
        <v>617.18192640000007</v>
      </c>
      <c r="G553" s="72"/>
      <c r="H553" s="73"/>
    </row>
    <row r="554" spans="1:9" s="60" customFormat="1" ht="15.75" customHeight="1" x14ac:dyDescent="0.3">
      <c r="A554" s="69">
        <f t="shared" si="98"/>
        <v>7</v>
      </c>
      <c r="B554" s="69"/>
      <c r="C554" s="61" t="s">
        <v>166</v>
      </c>
      <c r="D554" s="61">
        <f>(54.19)*10.764</f>
        <v>583.30115999999998</v>
      </c>
      <c r="E554" s="61">
        <v>0</v>
      </c>
      <c r="F554" s="61">
        <f t="shared" si="99"/>
        <v>933.28185600000006</v>
      </c>
      <c r="G554" s="72"/>
      <c r="H554" s="73"/>
    </row>
    <row r="555" spans="1:9" s="60" customFormat="1" ht="15.75" customHeight="1" x14ac:dyDescent="0.3">
      <c r="A555" s="69">
        <f t="shared" si="98"/>
        <v>8</v>
      </c>
      <c r="B555" s="69"/>
      <c r="C555" s="76" t="s">
        <v>334</v>
      </c>
      <c r="D555" s="77"/>
      <c r="E555" s="77"/>
      <c r="F555" s="78"/>
      <c r="G555" s="74"/>
      <c r="H555" s="75"/>
    </row>
    <row r="556" spans="1:9" s="60" customFormat="1" ht="32.25" customHeight="1" x14ac:dyDescent="0.3">
      <c r="A556" s="68" t="s">
        <v>285</v>
      </c>
      <c r="B556" s="68"/>
      <c r="C556" s="68"/>
      <c r="D556" s="68"/>
      <c r="E556" s="68"/>
      <c r="F556" s="68"/>
      <c r="G556" s="68"/>
      <c r="H556" s="68"/>
      <c r="I556" s="60">
        <v>1</v>
      </c>
    </row>
    <row r="557" spans="1:9" s="60" customFormat="1" ht="15.75" customHeight="1" x14ac:dyDescent="0.3">
      <c r="A557" s="69">
        <v>1</v>
      </c>
      <c r="B557" s="69"/>
      <c r="C557" s="70" t="s">
        <v>335</v>
      </c>
      <c r="D557" s="79"/>
      <c r="E557" s="79"/>
      <c r="F557" s="71"/>
      <c r="G557" s="70" t="str">
        <f>A556</f>
        <v>5th Floor + Parking Floor 5
For Parking, Servant Toilet &amp; Residential</v>
      </c>
      <c r="H557" s="71"/>
    </row>
    <row r="558" spans="1:9" s="60" customFormat="1" x14ac:dyDescent="0.3">
      <c r="A558" s="69">
        <f>A557+1</f>
        <v>2</v>
      </c>
      <c r="B558" s="69"/>
      <c r="C558" s="74"/>
      <c r="D558" s="80"/>
      <c r="E558" s="80"/>
      <c r="F558" s="75"/>
      <c r="G558" s="72"/>
      <c r="H558" s="73"/>
    </row>
    <row r="559" spans="1:9" s="60" customFormat="1" x14ac:dyDescent="0.3">
      <c r="A559" s="69">
        <f t="shared" ref="A559:A564" si="100">A558+1</f>
        <v>3</v>
      </c>
      <c r="B559" s="69"/>
      <c r="C559" s="61" t="s">
        <v>166</v>
      </c>
      <c r="D559" s="61">
        <f>(62.195)*10.764</f>
        <v>669.46697999999992</v>
      </c>
      <c r="E559" s="61">
        <v>0</v>
      </c>
      <c r="F559" s="61">
        <f t="shared" ref="F559:F563" si="101">D559*1.6+E559</f>
        <v>1071.147168</v>
      </c>
      <c r="G559" s="72"/>
      <c r="H559" s="73"/>
    </row>
    <row r="560" spans="1:9" s="60" customFormat="1" x14ac:dyDescent="0.3">
      <c r="A560" s="69">
        <f t="shared" si="100"/>
        <v>4</v>
      </c>
      <c r="B560" s="69"/>
      <c r="C560" s="61" t="s">
        <v>166</v>
      </c>
      <c r="D560" s="61">
        <f>(55.202)*10.764</f>
        <v>594.19432799999993</v>
      </c>
      <c r="E560" s="61">
        <v>0</v>
      </c>
      <c r="F560" s="61">
        <f t="shared" si="101"/>
        <v>950.71092479999993</v>
      </c>
      <c r="G560" s="72"/>
      <c r="H560" s="73"/>
    </row>
    <row r="561" spans="1:9" s="60" customFormat="1" ht="15.75" customHeight="1" x14ac:dyDescent="0.3">
      <c r="A561" s="69">
        <f t="shared" si="100"/>
        <v>5</v>
      </c>
      <c r="B561" s="69"/>
      <c r="C561" s="61" t="s">
        <v>167</v>
      </c>
      <c r="D561" s="61">
        <f>(36.438)*10.764</f>
        <v>392.21863200000001</v>
      </c>
      <c r="E561" s="61">
        <v>0</v>
      </c>
      <c r="F561" s="61">
        <f t="shared" si="101"/>
        <v>627.54981120000002</v>
      </c>
      <c r="G561" s="72"/>
      <c r="H561" s="73"/>
    </row>
    <row r="562" spans="1:9" s="60" customFormat="1" ht="15.75" customHeight="1" x14ac:dyDescent="0.3">
      <c r="A562" s="69">
        <f t="shared" si="100"/>
        <v>6</v>
      </c>
      <c r="B562" s="69"/>
      <c r="C562" s="61" t="s">
        <v>167</v>
      </c>
      <c r="D562" s="61">
        <f>(36.438)*10.764</f>
        <v>392.21863200000001</v>
      </c>
      <c r="E562" s="61">
        <v>0</v>
      </c>
      <c r="F562" s="61">
        <f t="shared" si="101"/>
        <v>627.54981120000002</v>
      </c>
      <c r="G562" s="72"/>
      <c r="H562" s="73"/>
    </row>
    <row r="563" spans="1:9" s="60" customFormat="1" ht="15.75" customHeight="1" x14ac:dyDescent="0.3">
      <c r="A563" s="69">
        <f t="shared" si="100"/>
        <v>7</v>
      </c>
      <c r="B563" s="69"/>
      <c r="C563" s="61" t="s">
        <v>166</v>
      </c>
      <c r="D563" s="61">
        <f>(55.202)*10.764</f>
        <v>594.19432799999993</v>
      </c>
      <c r="E563" s="61">
        <v>0</v>
      </c>
      <c r="F563" s="61">
        <f t="shared" si="101"/>
        <v>950.71092479999993</v>
      </c>
      <c r="G563" s="72"/>
      <c r="H563" s="73"/>
    </row>
    <row r="564" spans="1:9" s="60" customFormat="1" ht="15.75" customHeight="1" x14ac:dyDescent="0.3">
      <c r="A564" s="69">
        <f t="shared" si="100"/>
        <v>8</v>
      </c>
      <c r="B564" s="69"/>
      <c r="C564" s="61" t="s">
        <v>166</v>
      </c>
      <c r="D564" s="61">
        <f>(55.202)*10.764</f>
        <v>594.19432799999993</v>
      </c>
      <c r="E564" s="61">
        <v>0</v>
      </c>
      <c r="F564" s="61">
        <f t="shared" ref="F564" si="102">D564*1.6+E564</f>
        <v>950.71092479999993</v>
      </c>
      <c r="G564" s="74"/>
      <c r="H564" s="75"/>
    </row>
    <row r="565" spans="1:9" s="60" customFormat="1" ht="30.75" customHeight="1" x14ac:dyDescent="0.3">
      <c r="A565" s="68" t="s">
        <v>286</v>
      </c>
      <c r="B565" s="68"/>
      <c r="C565" s="68"/>
      <c r="D565" s="68"/>
      <c r="E565" s="68"/>
      <c r="F565" s="68"/>
      <c r="G565" s="68"/>
      <c r="H565" s="68"/>
      <c r="I565" s="60">
        <v>1</v>
      </c>
    </row>
    <row r="566" spans="1:9" s="60" customFormat="1" ht="15.75" customHeight="1" x14ac:dyDescent="0.3">
      <c r="A566" s="69">
        <v>1</v>
      </c>
      <c r="B566" s="69"/>
      <c r="C566" s="70" t="s">
        <v>336</v>
      </c>
      <c r="D566" s="79"/>
      <c r="E566" s="79"/>
      <c r="F566" s="71"/>
      <c r="G566" s="70" t="str">
        <f>A565</f>
        <v>6th Floor + Parking Floor 6
For Parking &amp; Residential</v>
      </c>
      <c r="H566" s="71"/>
    </row>
    <row r="567" spans="1:9" s="60" customFormat="1" x14ac:dyDescent="0.3">
      <c r="A567" s="69">
        <f>A566+1</f>
        <v>2</v>
      </c>
      <c r="B567" s="69"/>
      <c r="C567" s="74"/>
      <c r="D567" s="80"/>
      <c r="E567" s="80"/>
      <c r="F567" s="75"/>
      <c r="G567" s="72"/>
      <c r="H567" s="73"/>
    </row>
    <row r="568" spans="1:9" s="60" customFormat="1" x14ac:dyDescent="0.3">
      <c r="A568" s="69">
        <f t="shared" ref="A568:A573" si="103">A567+1</f>
        <v>3</v>
      </c>
      <c r="B568" s="69"/>
      <c r="C568" s="61" t="s">
        <v>166</v>
      </c>
      <c r="D568" s="61">
        <f>(62.195)*10.764</f>
        <v>669.46697999999992</v>
      </c>
      <c r="E568" s="61">
        <v>0</v>
      </c>
      <c r="F568" s="61">
        <f t="shared" ref="F568:F573" si="104">D568*1.6+E568</f>
        <v>1071.147168</v>
      </c>
      <c r="G568" s="72"/>
      <c r="H568" s="73"/>
    </row>
    <row r="569" spans="1:9" s="60" customFormat="1" x14ac:dyDescent="0.3">
      <c r="A569" s="69">
        <f t="shared" si="103"/>
        <v>4</v>
      </c>
      <c r="B569" s="69"/>
      <c r="C569" s="61" t="s">
        <v>166</v>
      </c>
      <c r="D569" s="61">
        <f>(55.202)*10.764</f>
        <v>594.19432799999993</v>
      </c>
      <c r="E569" s="61">
        <v>0</v>
      </c>
      <c r="F569" s="61">
        <f t="shared" si="104"/>
        <v>950.71092479999993</v>
      </c>
      <c r="G569" s="72"/>
      <c r="H569" s="73"/>
    </row>
    <row r="570" spans="1:9" s="60" customFormat="1" x14ac:dyDescent="0.3">
      <c r="A570" s="69">
        <f t="shared" si="103"/>
        <v>5</v>
      </c>
      <c r="B570" s="69"/>
      <c r="C570" s="61" t="s">
        <v>167</v>
      </c>
      <c r="D570" s="61">
        <f>(36.438)*10.764</f>
        <v>392.21863200000001</v>
      </c>
      <c r="E570" s="61">
        <v>0</v>
      </c>
      <c r="F570" s="61">
        <f t="shared" si="104"/>
        <v>627.54981120000002</v>
      </c>
      <c r="G570" s="72"/>
      <c r="H570" s="73"/>
    </row>
    <row r="571" spans="1:9" s="60" customFormat="1" x14ac:dyDescent="0.3">
      <c r="A571" s="69">
        <f t="shared" si="103"/>
        <v>6</v>
      </c>
      <c r="B571" s="69"/>
      <c r="C571" s="61" t="s">
        <v>167</v>
      </c>
      <c r="D571" s="61">
        <f>(36.438)*10.764</f>
        <v>392.21863200000001</v>
      </c>
      <c r="E571" s="61">
        <v>0</v>
      </c>
      <c r="F571" s="61">
        <f t="shared" si="104"/>
        <v>627.54981120000002</v>
      </c>
      <c r="G571" s="72"/>
      <c r="H571" s="73"/>
    </row>
    <row r="572" spans="1:9" s="60" customFormat="1" x14ac:dyDescent="0.3">
      <c r="A572" s="69">
        <f t="shared" si="103"/>
        <v>7</v>
      </c>
      <c r="B572" s="69"/>
      <c r="C572" s="61" t="s">
        <v>166</v>
      </c>
      <c r="D572" s="61">
        <f>(55.202)*10.764</f>
        <v>594.19432799999993</v>
      </c>
      <c r="E572" s="61">
        <v>0</v>
      </c>
      <c r="F572" s="61">
        <f t="shared" si="104"/>
        <v>950.71092479999993</v>
      </c>
      <c r="G572" s="72"/>
      <c r="H572" s="73"/>
    </row>
    <row r="573" spans="1:9" s="60" customFormat="1" x14ac:dyDescent="0.3">
      <c r="A573" s="69">
        <f t="shared" si="103"/>
        <v>8</v>
      </c>
      <c r="B573" s="69"/>
      <c r="C573" s="61" t="s">
        <v>166</v>
      </c>
      <c r="D573" s="61">
        <f>(55.202)*10.764</f>
        <v>594.19432799999993</v>
      </c>
      <c r="E573" s="61">
        <v>0</v>
      </c>
      <c r="F573" s="61">
        <f t="shared" si="104"/>
        <v>950.71092479999993</v>
      </c>
      <c r="G573" s="72"/>
      <c r="H573" s="73"/>
    </row>
    <row r="574" spans="1:9" s="60" customFormat="1" x14ac:dyDescent="0.3">
      <c r="A574" s="68" t="s">
        <v>288</v>
      </c>
      <c r="B574" s="68"/>
      <c r="C574" s="68"/>
      <c r="D574" s="68"/>
      <c r="E574" s="68"/>
      <c r="F574" s="68"/>
      <c r="G574" s="68"/>
      <c r="H574" s="68"/>
      <c r="I574" s="60">
        <v>1</v>
      </c>
    </row>
    <row r="575" spans="1:9" s="60" customFormat="1" ht="15.75" customHeight="1" x14ac:dyDescent="0.3">
      <c r="A575" s="69">
        <v>1</v>
      </c>
      <c r="B575" s="69"/>
      <c r="C575" s="61" t="s">
        <v>167</v>
      </c>
      <c r="D575" s="61">
        <f>(36.438)*10.764</f>
        <v>392.21863200000001</v>
      </c>
      <c r="E575" s="61">
        <v>0</v>
      </c>
      <c r="F575" s="61">
        <f>D575*1.6+E575</f>
        <v>627.54981120000002</v>
      </c>
      <c r="G575" s="70" t="str">
        <f>A574</f>
        <v>7th Floor For Residential</v>
      </c>
      <c r="H575" s="71"/>
    </row>
    <row r="576" spans="1:9" s="60" customFormat="1" ht="15.75" customHeight="1" x14ac:dyDescent="0.3">
      <c r="A576" s="69">
        <f>A575+1</f>
        <v>2</v>
      </c>
      <c r="B576" s="69"/>
      <c r="C576" s="61" t="s">
        <v>167</v>
      </c>
      <c r="D576" s="61">
        <f>(36.438)*10.764</f>
        <v>392.21863200000001</v>
      </c>
      <c r="E576" s="61">
        <v>0</v>
      </c>
      <c r="F576" s="61">
        <f t="shared" ref="F576" si="105">D576*1.6+E576</f>
        <v>627.54981120000002</v>
      </c>
      <c r="G576" s="72"/>
      <c r="H576" s="73"/>
    </row>
    <row r="577" spans="1:9" s="60" customFormat="1" ht="15.75" customHeight="1" x14ac:dyDescent="0.3">
      <c r="A577" s="69">
        <f t="shared" ref="A577:A582" si="106">A576+1</f>
        <v>3</v>
      </c>
      <c r="B577" s="69"/>
      <c r="C577" s="61" t="s">
        <v>166</v>
      </c>
      <c r="D577" s="61">
        <f>(62.195)*10.764</f>
        <v>669.46697999999992</v>
      </c>
      <c r="E577" s="61">
        <v>0</v>
      </c>
      <c r="F577" s="61">
        <f>D577*1.6+E577</f>
        <v>1071.147168</v>
      </c>
      <c r="G577" s="72"/>
      <c r="H577" s="73"/>
    </row>
    <row r="578" spans="1:9" s="60" customFormat="1" ht="15.75" customHeight="1" x14ac:dyDescent="0.3">
      <c r="A578" s="69">
        <f t="shared" si="106"/>
        <v>4</v>
      </c>
      <c r="B578" s="69"/>
      <c r="C578" s="61" t="s">
        <v>166</v>
      </c>
      <c r="D578" s="61">
        <f>(55.202)*10.764</f>
        <v>594.19432799999993</v>
      </c>
      <c r="E578" s="61">
        <v>0</v>
      </c>
      <c r="F578" s="61">
        <f t="shared" ref="F578:F580" si="107">D578*1.6+E578</f>
        <v>950.71092479999993</v>
      </c>
      <c r="G578" s="72"/>
      <c r="H578" s="73"/>
    </row>
    <row r="579" spans="1:9" s="60" customFormat="1" ht="15.75" customHeight="1" x14ac:dyDescent="0.3">
      <c r="A579" s="69">
        <f t="shared" si="106"/>
        <v>5</v>
      </c>
      <c r="B579" s="69"/>
      <c r="C579" s="61" t="s">
        <v>167</v>
      </c>
      <c r="D579" s="61">
        <f>(36.438)*10.764</f>
        <v>392.21863200000001</v>
      </c>
      <c r="E579" s="61">
        <v>0</v>
      </c>
      <c r="F579" s="61">
        <f t="shared" si="107"/>
        <v>627.54981120000002</v>
      </c>
      <c r="G579" s="72"/>
      <c r="H579" s="73"/>
    </row>
    <row r="580" spans="1:9" s="60" customFormat="1" ht="15.75" customHeight="1" x14ac:dyDescent="0.3">
      <c r="A580" s="69">
        <f t="shared" si="106"/>
        <v>6</v>
      </c>
      <c r="B580" s="69"/>
      <c r="C580" s="61" t="s">
        <v>167</v>
      </c>
      <c r="D580" s="61">
        <f>(36.438)*10.764</f>
        <v>392.21863200000001</v>
      </c>
      <c r="E580" s="61">
        <v>0</v>
      </c>
      <c r="F580" s="61">
        <f t="shared" si="107"/>
        <v>627.54981120000002</v>
      </c>
      <c r="G580" s="72"/>
      <c r="H580" s="73"/>
    </row>
    <row r="581" spans="1:9" s="60" customFormat="1" ht="15.75" customHeight="1" x14ac:dyDescent="0.3">
      <c r="A581" s="69">
        <f t="shared" si="106"/>
        <v>7</v>
      </c>
      <c r="B581" s="69"/>
      <c r="C581" s="61" t="s">
        <v>166</v>
      </c>
      <c r="D581" s="61">
        <f>(55.202)*10.764</f>
        <v>594.19432799999993</v>
      </c>
      <c r="E581" s="61">
        <v>0</v>
      </c>
      <c r="F581" s="61">
        <f t="shared" ref="F581:F582" si="108">D581*1.6+E581</f>
        <v>950.71092479999993</v>
      </c>
      <c r="G581" s="72"/>
      <c r="H581" s="73"/>
    </row>
    <row r="582" spans="1:9" s="60" customFormat="1" ht="15.75" customHeight="1" x14ac:dyDescent="0.3">
      <c r="A582" s="69">
        <f t="shared" si="106"/>
        <v>8</v>
      </c>
      <c r="B582" s="69"/>
      <c r="C582" s="61" t="s">
        <v>166</v>
      </c>
      <c r="D582" s="61">
        <f>(55.202)*10.764</f>
        <v>594.19432799999993</v>
      </c>
      <c r="E582" s="61">
        <v>0</v>
      </c>
      <c r="F582" s="61">
        <f t="shared" si="108"/>
        <v>950.71092479999993</v>
      </c>
      <c r="G582" s="74"/>
      <c r="H582" s="75"/>
    </row>
    <row r="583" spans="1:9" s="60" customFormat="1" x14ac:dyDescent="0.3">
      <c r="A583" s="68" t="s">
        <v>349</v>
      </c>
      <c r="B583" s="68"/>
      <c r="C583" s="68"/>
      <c r="D583" s="68"/>
      <c r="E583" s="68"/>
      <c r="F583" s="68"/>
      <c r="G583" s="68"/>
      <c r="H583" s="68"/>
      <c r="I583" s="60">
        <f>1+4+2</f>
        <v>7</v>
      </c>
    </row>
    <row r="584" spans="1:9" s="60" customFormat="1" ht="15.75" customHeight="1" x14ac:dyDescent="0.3">
      <c r="A584" s="69">
        <v>1</v>
      </c>
      <c r="B584" s="69"/>
      <c r="C584" s="61" t="s">
        <v>167</v>
      </c>
      <c r="D584" s="61">
        <f>(36.438)*10.764</f>
        <v>392.21863200000001</v>
      </c>
      <c r="E584" s="61">
        <v>0</v>
      </c>
      <c r="F584" s="61">
        <f>D584*1.6+E584</f>
        <v>627.54981120000002</v>
      </c>
      <c r="G584" s="70" t="str">
        <f>A583</f>
        <v>8th, 10th to 13th, 15th &amp; 16th Floor</v>
      </c>
      <c r="H584" s="71"/>
    </row>
    <row r="585" spans="1:9" s="60" customFormat="1" ht="15.75" customHeight="1" x14ac:dyDescent="0.3">
      <c r="A585" s="69">
        <f>A584+1</f>
        <v>2</v>
      </c>
      <c r="B585" s="69"/>
      <c r="C585" s="61" t="s">
        <v>167</v>
      </c>
      <c r="D585" s="61">
        <f>(36.438)*10.764</f>
        <v>392.21863200000001</v>
      </c>
      <c r="E585" s="61">
        <v>0</v>
      </c>
      <c r="F585" s="61">
        <f t="shared" ref="F585" si="109">D585*1.6+E585</f>
        <v>627.54981120000002</v>
      </c>
      <c r="G585" s="72"/>
      <c r="H585" s="73"/>
    </row>
    <row r="586" spans="1:9" s="60" customFormat="1" ht="15.75" customHeight="1" x14ac:dyDescent="0.3">
      <c r="A586" s="69">
        <f t="shared" ref="A586:A591" si="110">A585+1</f>
        <v>3</v>
      </c>
      <c r="B586" s="69"/>
      <c r="C586" s="61" t="s">
        <v>166</v>
      </c>
      <c r="D586" s="61">
        <f>(62.195)*10.764</f>
        <v>669.46697999999992</v>
      </c>
      <c r="E586" s="61">
        <v>0</v>
      </c>
      <c r="F586" s="61">
        <f>D586*1.6+E586</f>
        <v>1071.147168</v>
      </c>
      <c r="G586" s="72"/>
      <c r="H586" s="73"/>
    </row>
    <row r="587" spans="1:9" s="60" customFormat="1" ht="15.75" customHeight="1" x14ac:dyDescent="0.3">
      <c r="A587" s="69">
        <f t="shared" si="110"/>
        <v>4</v>
      </c>
      <c r="B587" s="69"/>
      <c r="C587" s="61" t="s">
        <v>166</v>
      </c>
      <c r="D587" s="61">
        <f>(55.202)*10.764</f>
        <v>594.19432799999993</v>
      </c>
      <c r="E587" s="61">
        <v>0</v>
      </c>
      <c r="F587" s="61">
        <f t="shared" ref="F587:F591" si="111">D587*1.6+E587</f>
        <v>950.71092479999993</v>
      </c>
      <c r="G587" s="72"/>
      <c r="H587" s="73"/>
    </row>
    <row r="588" spans="1:9" s="60" customFormat="1" ht="15.75" customHeight="1" x14ac:dyDescent="0.3">
      <c r="A588" s="69">
        <f t="shared" si="110"/>
        <v>5</v>
      </c>
      <c r="B588" s="69"/>
      <c r="C588" s="61" t="s">
        <v>167</v>
      </c>
      <c r="D588" s="61">
        <f>(36.438)*10.764</f>
        <v>392.21863200000001</v>
      </c>
      <c r="E588" s="61">
        <v>0</v>
      </c>
      <c r="F588" s="61">
        <f t="shared" si="111"/>
        <v>627.54981120000002</v>
      </c>
      <c r="G588" s="72"/>
      <c r="H588" s="73"/>
    </row>
    <row r="589" spans="1:9" s="60" customFormat="1" ht="15.75" customHeight="1" x14ac:dyDescent="0.3">
      <c r="A589" s="69">
        <f t="shared" si="110"/>
        <v>6</v>
      </c>
      <c r="B589" s="69"/>
      <c r="C589" s="61" t="s">
        <v>167</v>
      </c>
      <c r="D589" s="61">
        <f>(36.438)*10.764</f>
        <v>392.21863200000001</v>
      </c>
      <c r="E589" s="61">
        <v>0</v>
      </c>
      <c r="F589" s="61">
        <f t="shared" si="111"/>
        <v>627.54981120000002</v>
      </c>
      <c r="G589" s="72"/>
      <c r="H589" s="73"/>
    </row>
    <row r="590" spans="1:9" s="60" customFormat="1" ht="15.75" customHeight="1" x14ac:dyDescent="0.3">
      <c r="A590" s="69">
        <f t="shared" si="110"/>
        <v>7</v>
      </c>
      <c r="B590" s="69"/>
      <c r="C590" s="61" t="s">
        <v>166</v>
      </c>
      <c r="D590" s="61">
        <f>(55.202)*10.764</f>
        <v>594.19432799999993</v>
      </c>
      <c r="E590" s="61">
        <v>0</v>
      </c>
      <c r="F590" s="61">
        <f t="shared" si="111"/>
        <v>950.71092479999993</v>
      </c>
      <c r="G590" s="72"/>
      <c r="H590" s="73"/>
    </row>
    <row r="591" spans="1:9" s="60" customFormat="1" ht="15.75" customHeight="1" x14ac:dyDescent="0.3">
      <c r="A591" s="69">
        <f t="shared" si="110"/>
        <v>8</v>
      </c>
      <c r="B591" s="69"/>
      <c r="C591" s="61" t="s">
        <v>166</v>
      </c>
      <c r="D591" s="61">
        <f>(55.202)*10.764</f>
        <v>594.19432799999993</v>
      </c>
      <c r="E591" s="61">
        <v>0</v>
      </c>
      <c r="F591" s="61">
        <f t="shared" si="111"/>
        <v>950.71092479999993</v>
      </c>
      <c r="G591" s="74"/>
      <c r="H591" s="75"/>
    </row>
    <row r="592" spans="1:9" s="60" customFormat="1" x14ac:dyDescent="0.3">
      <c r="A592" s="68" t="s">
        <v>306</v>
      </c>
      <c r="B592" s="68"/>
      <c r="C592" s="68"/>
      <c r="D592" s="68"/>
      <c r="E592" s="68"/>
      <c r="F592" s="68"/>
      <c r="G592" s="68"/>
      <c r="H592" s="68"/>
      <c r="I592" s="60">
        <f>2+4+4+4+4+2</f>
        <v>20</v>
      </c>
    </row>
    <row r="593" spans="1:10" s="60" customFormat="1" ht="15.75" customHeight="1" x14ac:dyDescent="0.3">
      <c r="A593" s="69">
        <v>1</v>
      </c>
      <c r="B593" s="69"/>
      <c r="C593" s="61" t="s">
        <v>167</v>
      </c>
      <c r="D593" s="61">
        <f>(36.438)*10.764</f>
        <v>392.21863200000001</v>
      </c>
      <c r="E593" s="61">
        <v>0</v>
      </c>
      <c r="F593" s="61">
        <f>D593*1.6+E593</f>
        <v>627.54981120000002</v>
      </c>
      <c r="G593" s="70" t="str">
        <f>A592</f>
        <v>17th, 18th, 20th to 23rd, 25th to 28th, 30th to 33rd, 35th to 38th, 40th &amp; 41st Floor</v>
      </c>
      <c r="H593" s="71"/>
      <c r="J593" s="60">
        <f>2.9*4.42+2.13*2.44+3.05*3.05+2.13*1.22+1.42*1.22+1.815*0.95+1.11*2.13</f>
        <v>35.737249999999996</v>
      </c>
    </row>
    <row r="594" spans="1:10" s="60" customFormat="1" ht="15.75" customHeight="1" x14ac:dyDescent="0.3">
      <c r="A594" s="69">
        <f>A593+1</f>
        <v>2</v>
      </c>
      <c r="B594" s="69"/>
      <c r="C594" s="61" t="s">
        <v>167</v>
      </c>
      <c r="D594" s="61">
        <f>(36.438)*10.764</f>
        <v>392.21863200000001</v>
      </c>
      <c r="E594" s="61">
        <v>0</v>
      </c>
      <c r="F594" s="61">
        <f t="shared" ref="F594" si="112">D594*1.6+E594</f>
        <v>627.54981120000002</v>
      </c>
      <c r="G594" s="72"/>
      <c r="H594" s="73"/>
    </row>
    <row r="595" spans="1:10" s="60" customFormat="1" ht="15.75" customHeight="1" x14ac:dyDescent="0.3">
      <c r="A595" s="69">
        <f t="shared" ref="A595:A600" si="113">A594+1</f>
        <v>3</v>
      </c>
      <c r="B595" s="69"/>
      <c r="C595" s="61" t="s">
        <v>166</v>
      </c>
      <c r="D595" s="61">
        <f>(62.195)*10.764</f>
        <v>669.46697999999992</v>
      </c>
      <c r="E595" s="61">
        <v>0</v>
      </c>
      <c r="F595" s="61">
        <f>D595*1.6+E595</f>
        <v>1071.147168</v>
      </c>
      <c r="G595" s="72"/>
      <c r="H595" s="73"/>
    </row>
    <row r="596" spans="1:10" s="60" customFormat="1" ht="15.75" customHeight="1" x14ac:dyDescent="0.3">
      <c r="A596" s="69">
        <f t="shared" si="113"/>
        <v>4</v>
      </c>
      <c r="B596" s="69"/>
      <c r="C596" s="61" t="s">
        <v>166</v>
      </c>
      <c r="D596" s="61">
        <f>(55.202)*10.764</f>
        <v>594.19432799999993</v>
      </c>
      <c r="E596" s="61">
        <v>0</v>
      </c>
      <c r="F596" s="61">
        <f t="shared" ref="F596:F600" si="114">D596*1.6+E596</f>
        <v>950.71092479999993</v>
      </c>
      <c r="G596" s="72"/>
      <c r="H596" s="73"/>
    </row>
    <row r="597" spans="1:10" s="60" customFormat="1" ht="15.75" customHeight="1" x14ac:dyDescent="0.3">
      <c r="A597" s="69">
        <f t="shared" si="113"/>
        <v>5</v>
      </c>
      <c r="B597" s="69"/>
      <c r="C597" s="61" t="s">
        <v>167</v>
      </c>
      <c r="D597" s="61">
        <f>(36.438)*10.764</f>
        <v>392.21863200000001</v>
      </c>
      <c r="E597" s="61">
        <v>0</v>
      </c>
      <c r="F597" s="61">
        <f t="shared" si="114"/>
        <v>627.54981120000002</v>
      </c>
      <c r="G597" s="72"/>
      <c r="H597" s="73"/>
    </row>
    <row r="598" spans="1:10" s="60" customFormat="1" ht="15.75" customHeight="1" x14ac:dyDescent="0.3">
      <c r="A598" s="69">
        <f t="shared" si="113"/>
        <v>6</v>
      </c>
      <c r="B598" s="69"/>
      <c r="C598" s="61" t="s">
        <v>167</v>
      </c>
      <c r="D598" s="61">
        <f>(36.438)*10.764</f>
        <v>392.21863200000001</v>
      </c>
      <c r="E598" s="61">
        <v>0</v>
      </c>
      <c r="F598" s="61">
        <f t="shared" si="114"/>
        <v>627.54981120000002</v>
      </c>
      <c r="G598" s="72"/>
      <c r="H598" s="73"/>
    </row>
    <row r="599" spans="1:10" s="60" customFormat="1" ht="15.75" customHeight="1" x14ac:dyDescent="0.3">
      <c r="A599" s="69">
        <f t="shared" si="113"/>
        <v>7</v>
      </c>
      <c r="B599" s="69"/>
      <c r="C599" s="61" t="s">
        <v>166</v>
      </c>
      <c r="D599" s="61">
        <f>(55.202)*10.764</f>
        <v>594.19432799999993</v>
      </c>
      <c r="E599" s="61">
        <v>0</v>
      </c>
      <c r="F599" s="61">
        <f t="shared" si="114"/>
        <v>950.71092479999993</v>
      </c>
      <c r="G599" s="72"/>
      <c r="H599" s="73"/>
    </row>
    <row r="600" spans="1:10" s="60" customFormat="1" ht="15.75" customHeight="1" x14ac:dyDescent="0.3">
      <c r="A600" s="69">
        <f t="shared" si="113"/>
        <v>8</v>
      </c>
      <c r="B600" s="69"/>
      <c r="C600" s="61" t="s">
        <v>166</v>
      </c>
      <c r="D600" s="61">
        <f>(55.202)*10.764</f>
        <v>594.19432799999993</v>
      </c>
      <c r="E600" s="61">
        <v>0</v>
      </c>
      <c r="F600" s="61">
        <f t="shared" si="114"/>
        <v>950.71092479999993</v>
      </c>
      <c r="G600" s="74"/>
      <c r="H600" s="75"/>
    </row>
    <row r="601" spans="1:10" s="60" customFormat="1" x14ac:dyDescent="0.3">
      <c r="A601" s="68" t="s">
        <v>307</v>
      </c>
      <c r="B601" s="68"/>
      <c r="C601" s="68"/>
      <c r="D601" s="68"/>
      <c r="E601" s="68"/>
      <c r="F601" s="68"/>
      <c r="G601" s="68"/>
      <c r="H601" s="68"/>
      <c r="I601" s="60">
        <f>2</f>
        <v>2</v>
      </c>
    </row>
    <row r="602" spans="1:10" s="60" customFormat="1" ht="15.75" customHeight="1" x14ac:dyDescent="0.3">
      <c r="A602" s="69">
        <v>1</v>
      </c>
      <c r="B602" s="69"/>
      <c r="C602" s="61" t="s">
        <v>167</v>
      </c>
      <c r="D602" s="61">
        <f>(36.438)*10.764</f>
        <v>392.21863200000001</v>
      </c>
      <c r="E602" s="61">
        <v>0</v>
      </c>
      <c r="F602" s="61">
        <f>D602*1.6+E602</f>
        <v>627.54981120000002</v>
      </c>
      <c r="G602" s="70" t="str">
        <f>A601</f>
        <v>9th &amp; 14th Floor (Part Refuge Area)</v>
      </c>
      <c r="H602" s="71"/>
    </row>
    <row r="603" spans="1:10" s="60" customFormat="1" ht="15.75" customHeight="1" x14ac:dyDescent="0.3">
      <c r="A603" s="69">
        <f>A602+1</f>
        <v>2</v>
      </c>
      <c r="B603" s="69"/>
      <c r="C603" s="61" t="s">
        <v>167</v>
      </c>
      <c r="D603" s="61">
        <f>(36.438)*10.764</f>
        <v>392.21863200000001</v>
      </c>
      <c r="E603" s="61">
        <v>0</v>
      </c>
      <c r="F603" s="61">
        <f t="shared" ref="F603" si="115">D603*1.6+E603</f>
        <v>627.54981120000002</v>
      </c>
      <c r="G603" s="72"/>
      <c r="H603" s="73"/>
    </row>
    <row r="604" spans="1:10" s="60" customFormat="1" ht="15.75" customHeight="1" x14ac:dyDescent="0.3">
      <c r="A604" s="69">
        <f t="shared" ref="A604:A609" si="116">A603+1</f>
        <v>3</v>
      </c>
      <c r="B604" s="69"/>
      <c r="C604" s="76" t="s">
        <v>168</v>
      </c>
      <c r="D604" s="77"/>
      <c r="E604" s="77"/>
      <c r="F604" s="78"/>
      <c r="G604" s="72"/>
      <c r="H604" s="73"/>
    </row>
    <row r="605" spans="1:10" s="60" customFormat="1" ht="15.75" customHeight="1" x14ac:dyDescent="0.3">
      <c r="A605" s="69">
        <f t="shared" si="116"/>
        <v>4</v>
      </c>
      <c r="B605" s="69"/>
      <c r="C605" s="61" t="s">
        <v>166</v>
      </c>
      <c r="D605" s="61">
        <f>(55.202)*10.764</f>
        <v>594.19432799999993</v>
      </c>
      <c r="E605" s="61">
        <v>0</v>
      </c>
      <c r="F605" s="61">
        <f t="shared" ref="F605:F609" si="117">D605*1.6+E605</f>
        <v>950.71092479999993</v>
      </c>
      <c r="G605" s="72"/>
      <c r="H605" s="73"/>
    </row>
    <row r="606" spans="1:10" s="60" customFormat="1" ht="15.75" customHeight="1" x14ac:dyDescent="0.3">
      <c r="A606" s="69">
        <f t="shared" si="116"/>
        <v>5</v>
      </c>
      <c r="B606" s="69"/>
      <c r="C606" s="61" t="s">
        <v>167</v>
      </c>
      <c r="D606" s="61">
        <f>(36.438)*10.764</f>
        <v>392.21863200000001</v>
      </c>
      <c r="E606" s="61">
        <v>0</v>
      </c>
      <c r="F606" s="61">
        <f t="shared" si="117"/>
        <v>627.54981120000002</v>
      </c>
      <c r="G606" s="72"/>
      <c r="H606" s="73"/>
    </row>
    <row r="607" spans="1:10" s="60" customFormat="1" ht="15.75" customHeight="1" x14ac:dyDescent="0.3">
      <c r="A607" s="69">
        <f t="shared" si="116"/>
        <v>6</v>
      </c>
      <c r="B607" s="69"/>
      <c r="C607" s="61" t="s">
        <v>167</v>
      </c>
      <c r="D607" s="61">
        <f>(36.438)*10.764</f>
        <v>392.21863200000001</v>
      </c>
      <c r="E607" s="61">
        <v>0</v>
      </c>
      <c r="F607" s="61">
        <f t="shared" si="117"/>
        <v>627.54981120000002</v>
      </c>
      <c r="G607" s="72"/>
      <c r="H607" s="73"/>
    </row>
    <row r="608" spans="1:10" s="60" customFormat="1" ht="15.75" customHeight="1" x14ac:dyDescent="0.3">
      <c r="A608" s="69">
        <f t="shared" si="116"/>
        <v>7</v>
      </c>
      <c r="B608" s="69"/>
      <c r="C608" s="61" t="s">
        <v>166</v>
      </c>
      <c r="D608" s="61">
        <f>(55.202)*10.764</f>
        <v>594.19432799999993</v>
      </c>
      <c r="E608" s="61">
        <v>0</v>
      </c>
      <c r="F608" s="61">
        <f t="shared" si="117"/>
        <v>950.71092479999993</v>
      </c>
      <c r="G608" s="72"/>
      <c r="H608" s="73"/>
    </row>
    <row r="609" spans="1:10" s="60" customFormat="1" ht="15.75" customHeight="1" x14ac:dyDescent="0.3">
      <c r="A609" s="69">
        <f t="shared" si="116"/>
        <v>8</v>
      </c>
      <c r="B609" s="69"/>
      <c r="C609" s="61" t="s">
        <v>166</v>
      </c>
      <c r="D609" s="61">
        <f>(55.202)*10.764</f>
        <v>594.19432799999993</v>
      </c>
      <c r="E609" s="61">
        <v>0</v>
      </c>
      <c r="F609" s="61">
        <f t="shared" si="117"/>
        <v>950.71092479999993</v>
      </c>
      <c r="G609" s="74"/>
      <c r="H609" s="75"/>
    </row>
    <row r="610" spans="1:10" s="60" customFormat="1" x14ac:dyDescent="0.3">
      <c r="A610" s="68" t="s">
        <v>337</v>
      </c>
      <c r="B610" s="68"/>
      <c r="C610" s="68"/>
      <c r="D610" s="68"/>
      <c r="E610" s="68"/>
      <c r="F610" s="68"/>
      <c r="G610" s="68"/>
      <c r="H610" s="68"/>
      <c r="I610" s="60">
        <f>5</f>
        <v>5</v>
      </c>
    </row>
    <row r="611" spans="1:10" s="60" customFormat="1" ht="15.75" customHeight="1" x14ac:dyDescent="0.3">
      <c r="A611" s="69">
        <v>1</v>
      </c>
      <c r="B611" s="69"/>
      <c r="C611" s="61" t="s">
        <v>167</v>
      </c>
      <c r="D611" s="61">
        <f>(36.438)*10.764</f>
        <v>392.21863200000001</v>
      </c>
      <c r="E611" s="61">
        <v>0</v>
      </c>
      <c r="F611" s="61">
        <f>D611*1.6+E611</f>
        <v>627.54981120000002</v>
      </c>
      <c r="G611" s="70" t="str">
        <f>A610</f>
        <v>19th, 24th, 29th, 34th &amp; 39th Floor (Part Refuge Area)</v>
      </c>
      <c r="H611" s="71"/>
    </row>
    <row r="612" spans="1:10" s="60" customFormat="1" ht="15.75" customHeight="1" x14ac:dyDescent="0.3">
      <c r="A612" s="69">
        <f>A611+1</f>
        <v>2</v>
      </c>
      <c r="B612" s="69"/>
      <c r="C612" s="61" t="s">
        <v>167</v>
      </c>
      <c r="D612" s="61">
        <f>(36.438)*10.764</f>
        <v>392.21863200000001</v>
      </c>
      <c r="E612" s="61">
        <v>0</v>
      </c>
      <c r="F612" s="61">
        <f t="shared" ref="F612" si="118">D612*1.6+E612</f>
        <v>627.54981120000002</v>
      </c>
      <c r="G612" s="72"/>
      <c r="H612" s="73"/>
    </row>
    <row r="613" spans="1:10" s="60" customFormat="1" ht="15.75" customHeight="1" x14ac:dyDescent="0.3">
      <c r="A613" s="69">
        <f t="shared" ref="A613:A618" si="119">A612+1</f>
        <v>3</v>
      </c>
      <c r="B613" s="69"/>
      <c r="C613" s="76" t="s">
        <v>168</v>
      </c>
      <c r="D613" s="77"/>
      <c r="E613" s="77"/>
      <c r="F613" s="78"/>
      <c r="G613" s="72"/>
      <c r="H613" s="73"/>
    </row>
    <row r="614" spans="1:10" s="60" customFormat="1" ht="15.75" customHeight="1" x14ac:dyDescent="0.3">
      <c r="A614" s="69">
        <f t="shared" si="119"/>
        <v>4</v>
      </c>
      <c r="B614" s="69"/>
      <c r="C614" s="61" t="s">
        <v>166</v>
      </c>
      <c r="D614" s="61">
        <f>(55.202)*10.764</f>
        <v>594.19432799999993</v>
      </c>
      <c r="E614" s="61">
        <v>0</v>
      </c>
      <c r="F614" s="61">
        <f t="shared" ref="F614:F618" si="120">D614*1.6+E614</f>
        <v>950.71092479999993</v>
      </c>
      <c r="G614" s="72"/>
      <c r="H614" s="73"/>
    </row>
    <row r="615" spans="1:10" s="60" customFormat="1" ht="15.75" customHeight="1" x14ac:dyDescent="0.3">
      <c r="A615" s="69">
        <f t="shared" si="119"/>
        <v>5</v>
      </c>
      <c r="B615" s="69"/>
      <c r="C615" s="61" t="s">
        <v>167</v>
      </c>
      <c r="D615" s="61">
        <f>(36.438)*10.764</f>
        <v>392.21863200000001</v>
      </c>
      <c r="E615" s="61">
        <v>0</v>
      </c>
      <c r="F615" s="61">
        <f t="shared" si="120"/>
        <v>627.54981120000002</v>
      </c>
      <c r="G615" s="72"/>
      <c r="H615" s="73"/>
    </row>
    <row r="616" spans="1:10" s="60" customFormat="1" ht="15.75" customHeight="1" x14ac:dyDescent="0.3">
      <c r="A616" s="69">
        <f t="shared" si="119"/>
        <v>6</v>
      </c>
      <c r="B616" s="69"/>
      <c r="C616" s="61" t="s">
        <v>167</v>
      </c>
      <c r="D616" s="61">
        <f>(36.438)*10.764</f>
        <v>392.21863200000001</v>
      </c>
      <c r="E616" s="61">
        <v>0</v>
      </c>
      <c r="F616" s="61">
        <f t="shared" si="120"/>
        <v>627.54981120000002</v>
      </c>
      <c r="G616" s="72"/>
      <c r="H616" s="73"/>
    </row>
    <row r="617" spans="1:10" s="60" customFormat="1" ht="15.75" customHeight="1" x14ac:dyDescent="0.3">
      <c r="A617" s="69">
        <f t="shared" si="119"/>
        <v>7</v>
      </c>
      <c r="B617" s="69"/>
      <c r="C617" s="61" t="s">
        <v>166</v>
      </c>
      <c r="D617" s="61">
        <f>(55.202)*10.764</f>
        <v>594.19432799999993</v>
      </c>
      <c r="E617" s="61">
        <v>0</v>
      </c>
      <c r="F617" s="61">
        <f t="shared" si="120"/>
        <v>950.71092479999993</v>
      </c>
      <c r="G617" s="72"/>
      <c r="H617" s="73"/>
    </row>
    <row r="618" spans="1:10" s="60" customFormat="1" ht="15.75" customHeight="1" x14ac:dyDescent="0.3">
      <c r="A618" s="69">
        <f t="shared" si="119"/>
        <v>8</v>
      </c>
      <c r="B618" s="69"/>
      <c r="C618" s="61" t="s">
        <v>166</v>
      </c>
      <c r="D618" s="61">
        <f>(55.202)*10.764</f>
        <v>594.19432799999993</v>
      </c>
      <c r="E618" s="61">
        <v>0</v>
      </c>
      <c r="F618" s="61">
        <f t="shared" si="120"/>
        <v>950.71092479999993</v>
      </c>
      <c r="G618" s="74"/>
      <c r="H618" s="75"/>
    </row>
    <row r="619" spans="1:10" s="60" customFormat="1" x14ac:dyDescent="0.3">
      <c r="A619" s="84" t="s">
        <v>296</v>
      </c>
      <c r="B619" s="84"/>
      <c r="C619" s="84"/>
      <c r="D619" s="84"/>
      <c r="E619" s="84"/>
      <c r="F619" s="84"/>
      <c r="G619" s="84"/>
      <c r="H619" s="84"/>
    </row>
    <row r="620" spans="1:10" s="60" customFormat="1" ht="21" customHeight="1" x14ac:dyDescent="0.3">
      <c r="A620" s="103" t="s">
        <v>313</v>
      </c>
      <c r="B620" s="104"/>
      <c r="C620" s="104"/>
      <c r="D620" s="104"/>
      <c r="E620" s="104"/>
      <c r="F620" s="104"/>
      <c r="G620" s="104"/>
      <c r="H620" s="105"/>
    </row>
    <row r="621" spans="1:10" s="60" customFormat="1" ht="15.75" customHeight="1" x14ac:dyDescent="0.3">
      <c r="A621" s="69">
        <v>1</v>
      </c>
      <c r="B621" s="69"/>
      <c r="C621" s="70" t="s">
        <v>297</v>
      </c>
      <c r="D621" s="79"/>
      <c r="E621" s="79"/>
      <c r="F621" s="71"/>
      <c r="G621" s="70" t="str">
        <f>A620</f>
        <v>Ground Floor For Doubled Heighted Lobby, Residential, Meter Room &amp; Garbage Room</v>
      </c>
      <c r="H621" s="71"/>
    </row>
    <row r="622" spans="1:10" s="60" customFormat="1" x14ac:dyDescent="0.3">
      <c r="A622" s="69">
        <v>2</v>
      </c>
      <c r="B622" s="69"/>
      <c r="C622" s="74"/>
      <c r="D622" s="80"/>
      <c r="E622" s="80"/>
      <c r="F622" s="75"/>
      <c r="G622" s="72"/>
      <c r="H622" s="73"/>
      <c r="J622" s="63">
        <f>10.764</f>
        <v>10.763999999999999</v>
      </c>
    </row>
    <row r="623" spans="1:10" s="60" customFormat="1" x14ac:dyDescent="0.3">
      <c r="A623" s="69">
        <v>3</v>
      </c>
      <c r="B623" s="69"/>
      <c r="C623" s="61" t="s">
        <v>262</v>
      </c>
      <c r="D623" s="63">
        <f>(82.172)*(10.764)</f>
        <v>884.4994079999999</v>
      </c>
      <c r="E623" s="61">
        <v>0</v>
      </c>
      <c r="F623" s="61">
        <f>D623*1.6+E623</f>
        <v>1415.1990527999999</v>
      </c>
      <c r="G623" s="72"/>
      <c r="H623" s="73"/>
    </row>
    <row r="624" spans="1:10" s="60" customFormat="1" x14ac:dyDescent="0.3">
      <c r="A624" s="69">
        <v>4</v>
      </c>
      <c r="B624" s="69"/>
      <c r="C624" s="61" t="s">
        <v>262</v>
      </c>
      <c r="D624" s="63">
        <f>(82.172)*(10.764)</f>
        <v>884.4994079999999</v>
      </c>
      <c r="E624" s="61">
        <v>0</v>
      </c>
      <c r="F624" s="61">
        <f>D624*1.6+E624</f>
        <v>1415.1990527999999</v>
      </c>
      <c r="G624" s="72"/>
      <c r="H624" s="73"/>
    </row>
    <row r="625" spans="1:8" s="60" customFormat="1" x14ac:dyDescent="0.3">
      <c r="A625" s="69">
        <v>5</v>
      </c>
      <c r="B625" s="69"/>
      <c r="C625" s="70" t="s">
        <v>297</v>
      </c>
      <c r="D625" s="79"/>
      <c r="E625" s="79"/>
      <c r="F625" s="71"/>
      <c r="G625" s="72"/>
      <c r="H625" s="73"/>
    </row>
    <row r="626" spans="1:8" s="60" customFormat="1" x14ac:dyDescent="0.3">
      <c r="A626" s="69">
        <v>6</v>
      </c>
      <c r="B626" s="69"/>
      <c r="C626" s="74"/>
      <c r="D626" s="80"/>
      <c r="E626" s="80"/>
      <c r="F626" s="75"/>
      <c r="G626" s="72"/>
      <c r="H626" s="73"/>
    </row>
    <row r="627" spans="1:8" s="60" customFormat="1" x14ac:dyDescent="0.3">
      <c r="A627" s="69">
        <v>7</v>
      </c>
      <c r="B627" s="69"/>
      <c r="C627" s="70" t="s">
        <v>298</v>
      </c>
      <c r="D627" s="79"/>
      <c r="E627" s="79"/>
      <c r="F627" s="71"/>
      <c r="G627" s="72"/>
      <c r="H627" s="73"/>
    </row>
    <row r="628" spans="1:8" s="60" customFormat="1" x14ac:dyDescent="0.3">
      <c r="A628" s="69">
        <v>8</v>
      </c>
      <c r="B628" s="69"/>
      <c r="C628" s="74"/>
      <c r="D628" s="80"/>
      <c r="E628" s="80"/>
      <c r="F628" s="75"/>
      <c r="G628" s="74"/>
      <c r="H628" s="75"/>
    </row>
    <row r="629" spans="1:8" s="60" customFormat="1" x14ac:dyDescent="0.3">
      <c r="A629" s="68" t="s">
        <v>300</v>
      </c>
      <c r="B629" s="68"/>
      <c r="C629" s="68"/>
      <c r="D629" s="68"/>
      <c r="E629" s="68"/>
      <c r="F629" s="68"/>
      <c r="G629" s="68"/>
      <c r="H629" s="68"/>
    </row>
    <row r="630" spans="1:8" s="60" customFormat="1" ht="15.75" customHeight="1" x14ac:dyDescent="0.3">
      <c r="A630" s="69">
        <v>1</v>
      </c>
      <c r="B630" s="69"/>
      <c r="C630" s="70" t="s">
        <v>299</v>
      </c>
      <c r="D630" s="79"/>
      <c r="E630" s="79"/>
      <c r="F630" s="71"/>
      <c r="G630" s="70" t="str">
        <f>A629</f>
        <v>1st Floor for Residential</v>
      </c>
      <c r="H630" s="71"/>
    </row>
    <row r="631" spans="1:8" s="60" customFormat="1" x14ac:dyDescent="0.3">
      <c r="A631" s="69">
        <v>2</v>
      </c>
      <c r="B631" s="69"/>
      <c r="C631" s="74"/>
      <c r="D631" s="80"/>
      <c r="E631" s="80"/>
      <c r="F631" s="75"/>
      <c r="G631" s="72"/>
      <c r="H631" s="73"/>
    </row>
    <row r="632" spans="1:8" s="60" customFormat="1" x14ac:dyDescent="0.3">
      <c r="A632" s="69">
        <v>3</v>
      </c>
      <c r="B632" s="69"/>
      <c r="C632" s="61" t="s">
        <v>262</v>
      </c>
      <c r="D632" s="63">
        <f>(82.203)*(10.764)</f>
        <v>884.83309199999997</v>
      </c>
      <c r="E632" s="61">
        <v>0</v>
      </c>
      <c r="F632" s="61">
        <f>D632*1.6+E632</f>
        <v>1415.7329472000001</v>
      </c>
      <c r="G632" s="72"/>
      <c r="H632" s="73"/>
    </row>
    <row r="633" spans="1:8" s="60" customFormat="1" x14ac:dyDescent="0.3">
      <c r="A633" s="69">
        <v>4</v>
      </c>
      <c r="B633" s="69"/>
      <c r="C633" s="61" t="s">
        <v>262</v>
      </c>
      <c r="D633" s="63">
        <f>(82.203)*(10.764)</f>
        <v>884.83309199999997</v>
      </c>
      <c r="E633" s="61">
        <v>0</v>
      </c>
      <c r="F633" s="61">
        <f>D633*1.6+E633</f>
        <v>1415.7329472000001</v>
      </c>
      <c r="G633" s="72"/>
      <c r="H633" s="73"/>
    </row>
    <row r="634" spans="1:8" s="60" customFormat="1" x14ac:dyDescent="0.3">
      <c r="A634" s="69">
        <v>5</v>
      </c>
      <c r="B634" s="69"/>
      <c r="C634" s="70" t="s">
        <v>299</v>
      </c>
      <c r="D634" s="79"/>
      <c r="E634" s="79"/>
      <c r="F634" s="71"/>
      <c r="G634" s="72"/>
      <c r="H634" s="73"/>
    </row>
    <row r="635" spans="1:8" s="60" customFormat="1" x14ac:dyDescent="0.3">
      <c r="A635" s="69">
        <v>6</v>
      </c>
      <c r="B635" s="69"/>
      <c r="C635" s="74"/>
      <c r="D635" s="80"/>
      <c r="E635" s="80"/>
      <c r="F635" s="75"/>
      <c r="G635" s="72"/>
      <c r="H635" s="73"/>
    </row>
    <row r="636" spans="1:8" s="60" customFormat="1" x14ac:dyDescent="0.3">
      <c r="A636" s="69">
        <v>7</v>
      </c>
      <c r="B636" s="69"/>
      <c r="C636" s="61" t="s">
        <v>166</v>
      </c>
      <c r="D636" s="63">
        <f>(54.19)*(10.764)</f>
        <v>583.30115999999998</v>
      </c>
      <c r="E636" s="61">
        <v>0</v>
      </c>
      <c r="F636" s="61">
        <f>D636*1.6+E636</f>
        <v>933.28185600000006</v>
      </c>
      <c r="G636" s="72"/>
      <c r="H636" s="73"/>
    </row>
    <row r="637" spans="1:8" s="60" customFormat="1" x14ac:dyDescent="0.3">
      <c r="A637" s="69">
        <v>8</v>
      </c>
      <c r="B637" s="69"/>
      <c r="C637" s="61" t="s">
        <v>166</v>
      </c>
      <c r="D637" s="63">
        <f>(61.152)*(10.764)</f>
        <v>658.24012800000003</v>
      </c>
      <c r="E637" s="61">
        <v>0</v>
      </c>
      <c r="F637" s="61">
        <f>D637*1.6+E637</f>
        <v>1053.1842048000001</v>
      </c>
      <c r="G637" s="74"/>
      <c r="H637" s="75"/>
    </row>
    <row r="638" spans="1:8" s="60" customFormat="1" x14ac:dyDescent="0.3">
      <c r="A638" s="68" t="s">
        <v>301</v>
      </c>
      <c r="B638" s="68"/>
      <c r="C638" s="68"/>
      <c r="D638" s="68"/>
      <c r="E638" s="68"/>
      <c r="F638" s="68"/>
      <c r="G638" s="68"/>
      <c r="H638" s="68"/>
    </row>
    <row r="639" spans="1:8" s="60" customFormat="1" ht="15.75" customHeight="1" x14ac:dyDescent="0.3">
      <c r="A639" s="69">
        <v>1</v>
      </c>
      <c r="B639" s="69"/>
      <c r="C639" s="61" t="s">
        <v>167</v>
      </c>
      <c r="D639" s="63">
        <f>(35.768)*(10.764)</f>
        <v>385.00675200000001</v>
      </c>
      <c r="E639" s="61">
        <v>0</v>
      </c>
      <c r="F639" s="61">
        <f t="shared" ref="F639:F646" si="121">D639*1.6+E639</f>
        <v>616.01080320000005</v>
      </c>
      <c r="G639" s="70" t="str">
        <f>A638</f>
        <v>2nd Floor</v>
      </c>
      <c r="H639" s="71"/>
    </row>
    <row r="640" spans="1:8" s="60" customFormat="1" x14ac:dyDescent="0.3">
      <c r="A640" s="69">
        <v>2</v>
      </c>
      <c r="B640" s="69"/>
      <c r="C640" s="61" t="s">
        <v>167</v>
      </c>
      <c r="D640" s="63">
        <f>(35.768)*(10.764)</f>
        <v>385.00675200000001</v>
      </c>
      <c r="E640" s="61">
        <v>0</v>
      </c>
      <c r="F640" s="61">
        <f t="shared" si="121"/>
        <v>616.01080320000005</v>
      </c>
      <c r="G640" s="72"/>
      <c r="H640" s="73"/>
    </row>
    <row r="641" spans="1:8" s="60" customFormat="1" x14ac:dyDescent="0.3">
      <c r="A641" s="69">
        <v>3</v>
      </c>
      <c r="B641" s="69"/>
      <c r="C641" s="61" t="s">
        <v>262</v>
      </c>
      <c r="D641" s="63">
        <f>(82.203)*(10.764)</f>
        <v>884.83309199999997</v>
      </c>
      <c r="E641" s="61">
        <v>0</v>
      </c>
      <c r="F641" s="61">
        <f t="shared" si="121"/>
        <v>1415.7329472000001</v>
      </c>
      <c r="G641" s="72"/>
      <c r="H641" s="73"/>
    </row>
    <row r="642" spans="1:8" s="60" customFormat="1" x14ac:dyDescent="0.3">
      <c r="A642" s="69">
        <v>4</v>
      </c>
      <c r="B642" s="69"/>
      <c r="C642" s="61" t="s">
        <v>262</v>
      </c>
      <c r="D642" s="63">
        <f>(82.203)*(10.764)</f>
        <v>884.83309199999997</v>
      </c>
      <c r="E642" s="61">
        <v>0</v>
      </c>
      <c r="F642" s="61">
        <f t="shared" si="121"/>
        <v>1415.7329472000001</v>
      </c>
      <c r="G642" s="72"/>
      <c r="H642" s="73"/>
    </row>
    <row r="643" spans="1:8" s="60" customFormat="1" ht="15.75" customHeight="1" x14ac:dyDescent="0.3">
      <c r="A643" s="69">
        <v>5</v>
      </c>
      <c r="B643" s="69"/>
      <c r="C643" s="61" t="s">
        <v>167</v>
      </c>
      <c r="D643" s="63">
        <f>(35.768)*(10.764)</f>
        <v>385.00675200000001</v>
      </c>
      <c r="E643" s="61">
        <v>0</v>
      </c>
      <c r="F643" s="61">
        <f t="shared" si="121"/>
        <v>616.01080320000005</v>
      </c>
      <c r="G643" s="72"/>
      <c r="H643" s="73"/>
    </row>
    <row r="644" spans="1:8" s="60" customFormat="1" x14ac:dyDescent="0.3">
      <c r="A644" s="69">
        <v>6</v>
      </c>
      <c r="B644" s="69"/>
      <c r="C644" s="61" t="s">
        <v>167</v>
      </c>
      <c r="D644" s="63">
        <f>(35.768)*(10.764)</f>
        <v>385.00675200000001</v>
      </c>
      <c r="E644" s="61">
        <v>0</v>
      </c>
      <c r="F644" s="61">
        <f t="shared" si="121"/>
        <v>616.01080320000005</v>
      </c>
      <c r="G644" s="72"/>
      <c r="H644" s="73"/>
    </row>
    <row r="645" spans="1:8" s="60" customFormat="1" x14ac:dyDescent="0.3">
      <c r="A645" s="69">
        <v>7</v>
      </c>
      <c r="B645" s="69"/>
      <c r="C645" s="61" t="s">
        <v>166</v>
      </c>
      <c r="D645" s="63">
        <f>(54.19)*(10.764)</f>
        <v>583.30115999999998</v>
      </c>
      <c r="E645" s="61">
        <v>0</v>
      </c>
      <c r="F645" s="61">
        <f t="shared" si="121"/>
        <v>933.28185600000006</v>
      </c>
      <c r="G645" s="72"/>
      <c r="H645" s="73"/>
    </row>
    <row r="646" spans="1:8" s="60" customFormat="1" x14ac:dyDescent="0.3">
      <c r="A646" s="69">
        <v>8</v>
      </c>
      <c r="B646" s="69"/>
      <c r="C646" s="61" t="s">
        <v>166</v>
      </c>
      <c r="D646" s="63">
        <f>(61.152)*(10.764)</f>
        <v>658.24012800000003</v>
      </c>
      <c r="E646" s="61">
        <v>0</v>
      </c>
      <c r="F646" s="61">
        <f t="shared" si="121"/>
        <v>1053.1842048000001</v>
      </c>
      <c r="G646" s="74"/>
      <c r="H646" s="75"/>
    </row>
    <row r="647" spans="1:8" s="60" customFormat="1" x14ac:dyDescent="0.3">
      <c r="A647" s="68" t="s">
        <v>302</v>
      </c>
      <c r="B647" s="68"/>
      <c r="C647" s="68"/>
      <c r="D647" s="68"/>
      <c r="E647" s="68"/>
      <c r="F647" s="68"/>
      <c r="G647" s="68"/>
      <c r="H647" s="68"/>
    </row>
    <row r="648" spans="1:8" s="60" customFormat="1" ht="15.75" customHeight="1" x14ac:dyDescent="0.3">
      <c r="A648" s="69">
        <v>1</v>
      </c>
      <c r="B648" s="69"/>
      <c r="C648" s="61" t="s">
        <v>167</v>
      </c>
      <c r="D648" s="63">
        <f>(35.768)*(10.764)</f>
        <v>385.00675200000001</v>
      </c>
      <c r="E648" s="61">
        <v>0</v>
      </c>
      <c r="F648" s="61">
        <f t="shared" ref="F648:F655" si="122">D648*1.6+E648</f>
        <v>616.01080320000005</v>
      </c>
      <c r="G648" s="70" t="str">
        <f>A647</f>
        <v>3rd Floor</v>
      </c>
      <c r="H648" s="71"/>
    </row>
    <row r="649" spans="1:8" s="60" customFormat="1" x14ac:dyDescent="0.3">
      <c r="A649" s="69">
        <v>2</v>
      </c>
      <c r="B649" s="69"/>
      <c r="C649" s="61" t="s">
        <v>167</v>
      </c>
      <c r="D649" s="63">
        <f>(35.768)*(10.764)</f>
        <v>385.00675200000001</v>
      </c>
      <c r="E649" s="61">
        <v>0</v>
      </c>
      <c r="F649" s="61">
        <f t="shared" si="122"/>
        <v>616.01080320000005</v>
      </c>
      <c r="G649" s="72"/>
      <c r="H649" s="73"/>
    </row>
    <row r="650" spans="1:8" s="60" customFormat="1" x14ac:dyDescent="0.3">
      <c r="A650" s="69">
        <v>3</v>
      </c>
      <c r="B650" s="69"/>
      <c r="C650" s="61" t="s">
        <v>262</v>
      </c>
      <c r="D650" s="63">
        <f>(82.203)*(10.764)</f>
        <v>884.83309199999997</v>
      </c>
      <c r="E650" s="61">
        <v>0</v>
      </c>
      <c r="F650" s="61">
        <f t="shared" si="122"/>
        <v>1415.7329472000001</v>
      </c>
      <c r="G650" s="72"/>
      <c r="H650" s="73"/>
    </row>
    <row r="651" spans="1:8" s="60" customFormat="1" x14ac:dyDescent="0.3">
      <c r="A651" s="69">
        <v>4</v>
      </c>
      <c r="B651" s="69"/>
      <c r="C651" s="61" t="s">
        <v>262</v>
      </c>
      <c r="D651" s="63">
        <f>(82.203)*(10.764)</f>
        <v>884.83309199999997</v>
      </c>
      <c r="E651" s="61">
        <v>0</v>
      </c>
      <c r="F651" s="61">
        <f t="shared" si="122"/>
        <v>1415.7329472000001</v>
      </c>
      <c r="G651" s="72"/>
      <c r="H651" s="73"/>
    </row>
    <row r="652" spans="1:8" s="60" customFormat="1" ht="15.75" customHeight="1" x14ac:dyDescent="0.3">
      <c r="A652" s="69">
        <v>5</v>
      </c>
      <c r="B652" s="69"/>
      <c r="C652" s="61" t="s">
        <v>167</v>
      </c>
      <c r="D652" s="63">
        <f>(35.768)*(10.764)</f>
        <v>385.00675200000001</v>
      </c>
      <c r="E652" s="61">
        <v>0</v>
      </c>
      <c r="F652" s="61">
        <f t="shared" si="122"/>
        <v>616.01080320000005</v>
      </c>
      <c r="G652" s="72"/>
      <c r="H652" s="73"/>
    </row>
    <row r="653" spans="1:8" s="60" customFormat="1" x14ac:dyDescent="0.3">
      <c r="A653" s="69">
        <v>6</v>
      </c>
      <c r="B653" s="69"/>
      <c r="C653" s="61" t="s">
        <v>167</v>
      </c>
      <c r="D653" s="63">
        <f>(35.768)*(10.764)</f>
        <v>385.00675200000001</v>
      </c>
      <c r="E653" s="61">
        <v>0</v>
      </c>
      <c r="F653" s="61">
        <f t="shared" si="122"/>
        <v>616.01080320000005</v>
      </c>
      <c r="G653" s="72"/>
      <c r="H653" s="73"/>
    </row>
    <row r="654" spans="1:8" s="60" customFormat="1" x14ac:dyDescent="0.3">
      <c r="A654" s="69">
        <v>7</v>
      </c>
      <c r="B654" s="69"/>
      <c r="C654" s="61" t="s">
        <v>166</v>
      </c>
      <c r="D654" s="63">
        <f>(54.19)*(10.764)</f>
        <v>583.30115999999998</v>
      </c>
      <c r="E654" s="61">
        <v>0</v>
      </c>
      <c r="F654" s="61">
        <f t="shared" si="122"/>
        <v>933.28185600000006</v>
      </c>
      <c r="G654" s="72"/>
      <c r="H654" s="73"/>
    </row>
    <row r="655" spans="1:8" s="60" customFormat="1" x14ac:dyDescent="0.3">
      <c r="A655" s="69">
        <v>8</v>
      </c>
      <c r="B655" s="69"/>
      <c r="C655" s="61" t="s">
        <v>166</v>
      </c>
      <c r="D655" s="63">
        <f>(61.152)*(10.764)</f>
        <v>658.24012800000003</v>
      </c>
      <c r="E655" s="61">
        <v>0</v>
      </c>
      <c r="F655" s="61">
        <f t="shared" si="122"/>
        <v>1053.1842048000001</v>
      </c>
      <c r="G655" s="74"/>
      <c r="H655" s="75"/>
    </row>
    <row r="656" spans="1:8" s="60" customFormat="1" x14ac:dyDescent="0.3">
      <c r="A656" s="68" t="s">
        <v>303</v>
      </c>
      <c r="B656" s="68"/>
      <c r="C656" s="68"/>
      <c r="D656" s="68"/>
      <c r="E656" s="68"/>
      <c r="F656" s="68"/>
      <c r="G656" s="68"/>
      <c r="H656" s="68"/>
    </row>
    <row r="657" spans="1:8" s="60" customFormat="1" ht="15.75" customHeight="1" x14ac:dyDescent="0.3">
      <c r="A657" s="69">
        <v>1</v>
      </c>
      <c r="B657" s="69"/>
      <c r="C657" s="61" t="s">
        <v>167</v>
      </c>
      <c r="D657" s="63">
        <f>(35.438)*(10.764)</f>
        <v>381.454632</v>
      </c>
      <c r="E657" s="61">
        <v>0</v>
      </c>
      <c r="F657" s="61">
        <f t="shared" ref="F657:F663" si="123">D657*1.6+E657</f>
        <v>610.32741120000003</v>
      </c>
      <c r="G657" s="70" t="str">
        <f>A656</f>
        <v>4th Floor (Part Refuge Area)</v>
      </c>
      <c r="H657" s="71"/>
    </row>
    <row r="658" spans="1:8" s="60" customFormat="1" x14ac:dyDescent="0.3">
      <c r="A658" s="69">
        <v>2</v>
      </c>
      <c r="B658" s="69"/>
      <c r="C658" s="61" t="s">
        <v>167</v>
      </c>
      <c r="D658" s="63">
        <f>(35.438)*(10.764)</f>
        <v>381.454632</v>
      </c>
      <c r="E658" s="61">
        <v>0</v>
      </c>
      <c r="F658" s="61">
        <f t="shared" si="123"/>
        <v>610.32741120000003</v>
      </c>
      <c r="G658" s="72"/>
      <c r="H658" s="73"/>
    </row>
    <row r="659" spans="1:8" s="60" customFormat="1" x14ac:dyDescent="0.3">
      <c r="A659" s="69">
        <v>3</v>
      </c>
      <c r="B659" s="69"/>
      <c r="C659" s="61" t="s">
        <v>262</v>
      </c>
      <c r="D659" s="63">
        <f>(82.695)*(10.764)</f>
        <v>890.12897999999984</v>
      </c>
      <c r="E659" s="61">
        <v>0</v>
      </c>
      <c r="F659" s="61">
        <f t="shared" si="123"/>
        <v>1424.2063679999999</v>
      </c>
      <c r="G659" s="72"/>
      <c r="H659" s="73"/>
    </row>
    <row r="660" spans="1:8" s="60" customFormat="1" x14ac:dyDescent="0.3">
      <c r="A660" s="69">
        <v>4</v>
      </c>
      <c r="B660" s="69"/>
      <c r="C660" s="61" t="s">
        <v>262</v>
      </c>
      <c r="D660" s="63">
        <f>(82.695)*(10.764)</f>
        <v>890.12897999999984</v>
      </c>
      <c r="E660" s="61">
        <v>0</v>
      </c>
      <c r="F660" s="61">
        <f t="shared" si="123"/>
        <v>1424.2063679999999</v>
      </c>
      <c r="G660" s="72"/>
      <c r="H660" s="73"/>
    </row>
    <row r="661" spans="1:8" s="60" customFormat="1" ht="15.75" customHeight="1" x14ac:dyDescent="0.3">
      <c r="A661" s="69">
        <v>5</v>
      </c>
      <c r="B661" s="69"/>
      <c r="C661" s="61" t="s">
        <v>167</v>
      </c>
      <c r="D661" s="63">
        <f>(36.438)*(10.764)</f>
        <v>392.21863200000001</v>
      </c>
      <c r="E661" s="61">
        <v>0</v>
      </c>
      <c r="F661" s="61">
        <f t="shared" si="123"/>
        <v>627.54981120000002</v>
      </c>
      <c r="G661" s="72"/>
      <c r="H661" s="73"/>
    </row>
    <row r="662" spans="1:8" s="60" customFormat="1" x14ac:dyDescent="0.3">
      <c r="A662" s="69">
        <v>6</v>
      </c>
      <c r="B662" s="69"/>
      <c r="C662" s="61" t="s">
        <v>167</v>
      </c>
      <c r="D662" s="63">
        <f>(36.438)*(10.764)</f>
        <v>392.21863200000001</v>
      </c>
      <c r="E662" s="61">
        <v>0</v>
      </c>
      <c r="F662" s="61">
        <f t="shared" si="123"/>
        <v>627.54981120000002</v>
      </c>
      <c r="G662" s="72"/>
      <c r="H662" s="73"/>
    </row>
    <row r="663" spans="1:8" s="60" customFormat="1" x14ac:dyDescent="0.3">
      <c r="A663" s="69">
        <v>7</v>
      </c>
      <c r="B663" s="69"/>
      <c r="C663" s="61" t="s">
        <v>166</v>
      </c>
      <c r="D663" s="63">
        <f>(55.202)*(10.764)</f>
        <v>594.19432799999993</v>
      </c>
      <c r="E663" s="61">
        <v>0</v>
      </c>
      <c r="F663" s="61">
        <f t="shared" si="123"/>
        <v>950.71092479999993</v>
      </c>
      <c r="G663" s="72"/>
      <c r="H663" s="73"/>
    </row>
    <row r="664" spans="1:8" s="60" customFormat="1" x14ac:dyDescent="0.3">
      <c r="A664" s="69">
        <v>8</v>
      </c>
      <c r="B664" s="69"/>
      <c r="C664" s="76" t="s">
        <v>168</v>
      </c>
      <c r="D664" s="77"/>
      <c r="E664" s="77"/>
      <c r="F664" s="78"/>
      <c r="G664" s="74"/>
      <c r="H664" s="75"/>
    </row>
    <row r="665" spans="1:8" s="60" customFormat="1" x14ac:dyDescent="0.3">
      <c r="A665" s="68" t="s">
        <v>304</v>
      </c>
      <c r="B665" s="68"/>
      <c r="C665" s="68"/>
      <c r="D665" s="68"/>
      <c r="E665" s="68"/>
      <c r="F665" s="68"/>
      <c r="G665" s="68"/>
      <c r="H665" s="68"/>
    </row>
    <row r="666" spans="1:8" s="60" customFormat="1" ht="15.75" customHeight="1" x14ac:dyDescent="0.3">
      <c r="A666" s="69">
        <v>1</v>
      </c>
      <c r="B666" s="69"/>
      <c r="C666" s="61" t="s">
        <v>167</v>
      </c>
      <c r="D666" s="63">
        <f>(35.438)*(10.764)</f>
        <v>381.454632</v>
      </c>
      <c r="E666" s="61">
        <v>0</v>
      </c>
      <c r="F666" s="61">
        <f t="shared" ref="F666:F673" si="124">D666*1.6+E666</f>
        <v>610.32741120000003</v>
      </c>
      <c r="G666" s="70" t="str">
        <f>A665</f>
        <v>5th Floor</v>
      </c>
      <c r="H666" s="71"/>
    </row>
    <row r="667" spans="1:8" s="60" customFormat="1" x14ac:dyDescent="0.3">
      <c r="A667" s="69">
        <v>2</v>
      </c>
      <c r="B667" s="69"/>
      <c r="C667" s="61" t="s">
        <v>167</v>
      </c>
      <c r="D667" s="63">
        <f>(35.438)*(10.764)</f>
        <v>381.454632</v>
      </c>
      <c r="E667" s="61">
        <v>0</v>
      </c>
      <c r="F667" s="61">
        <f t="shared" si="124"/>
        <v>610.32741120000003</v>
      </c>
      <c r="G667" s="72"/>
      <c r="H667" s="73"/>
    </row>
    <row r="668" spans="1:8" s="60" customFormat="1" x14ac:dyDescent="0.3">
      <c r="A668" s="69">
        <v>3</v>
      </c>
      <c r="B668" s="69"/>
      <c r="C668" s="61" t="s">
        <v>262</v>
      </c>
      <c r="D668" s="63">
        <f>(82.695)*(10.764)</f>
        <v>890.12897999999984</v>
      </c>
      <c r="E668" s="61">
        <v>0</v>
      </c>
      <c r="F668" s="61">
        <f t="shared" si="124"/>
        <v>1424.2063679999999</v>
      </c>
      <c r="G668" s="72"/>
      <c r="H668" s="73"/>
    </row>
    <row r="669" spans="1:8" s="60" customFormat="1" x14ac:dyDescent="0.3">
      <c r="A669" s="69">
        <v>4</v>
      </c>
      <c r="B669" s="69"/>
      <c r="C669" s="61" t="s">
        <v>262</v>
      </c>
      <c r="D669" s="63">
        <f>(82.695)*(10.764)</f>
        <v>890.12897999999984</v>
      </c>
      <c r="E669" s="61">
        <v>0</v>
      </c>
      <c r="F669" s="61">
        <f t="shared" si="124"/>
        <v>1424.2063679999999</v>
      </c>
      <c r="G669" s="72"/>
      <c r="H669" s="73"/>
    </row>
    <row r="670" spans="1:8" s="60" customFormat="1" ht="15.75" customHeight="1" x14ac:dyDescent="0.3">
      <c r="A670" s="69">
        <v>5</v>
      </c>
      <c r="B670" s="69"/>
      <c r="C670" s="61" t="s">
        <v>167</v>
      </c>
      <c r="D670" s="63">
        <f>(36.438)*(10.764)</f>
        <v>392.21863200000001</v>
      </c>
      <c r="E670" s="61">
        <v>0</v>
      </c>
      <c r="F670" s="61">
        <f t="shared" si="124"/>
        <v>627.54981120000002</v>
      </c>
      <c r="G670" s="72"/>
      <c r="H670" s="73"/>
    </row>
    <row r="671" spans="1:8" s="60" customFormat="1" x14ac:dyDescent="0.3">
      <c r="A671" s="69">
        <v>6</v>
      </c>
      <c r="B671" s="69"/>
      <c r="C671" s="61" t="s">
        <v>167</v>
      </c>
      <c r="D671" s="63">
        <f>(36.438)*(10.764)</f>
        <v>392.21863200000001</v>
      </c>
      <c r="E671" s="61">
        <v>0</v>
      </c>
      <c r="F671" s="61">
        <f t="shared" si="124"/>
        <v>627.54981120000002</v>
      </c>
      <c r="G671" s="72"/>
      <c r="H671" s="73"/>
    </row>
    <row r="672" spans="1:8" s="60" customFormat="1" x14ac:dyDescent="0.3">
      <c r="A672" s="69">
        <v>7</v>
      </c>
      <c r="B672" s="69"/>
      <c r="C672" s="61" t="s">
        <v>166</v>
      </c>
      <c r="D672" s="63">
        <f>(55.202)*(10.764)</f>
        <v>594.19432799999993</v>
      </c>
      <c r="E672" s="61">
        <v>0</v>
      </c>
      <c r="F672" s="61">
        <f t="shared" si="124"/>
        <v>950.71092479999993</v>
      </c>
      <c r="G672" s="72"/>
      <c r="H672" s="73"/>
    </row>
    <row r="673" spans="1:8" s="60" customFormat="1" x14ac:dyDescent="0.3">
      <c r="A673" s="69">
        <v>8</v>
      </c>
      <c r="B673" s="69"/>
      <c r="C673" s="61" t="s">
        <v>166</v>
      </c>
      <c r="D673" s="63">
        <f>(62.195)*(10.764)</f>
        <v>669.46697999999992</v>
      </c>
      <c r="E673" s="61">
        <v>0</v>
      </c>
      <c r="F673" s="61">
        <f t="shared" si="124"/>
        <v>1071.147168</v>
      </c>
      <c r="G673" s="74"/>
      <c r="H673" s="75"/>
    </row>
    <row r="674" spans="1:8" s="60" customFormat="1" x14ac:dyDescent="0.3">
      <c r="A674" s="68" t="s">
        <v>305</v>
      </c>
      <c r="B674" s="68"/>
      <c r="C674" s="68"/>
      <c r="D674" s="68"/>
      <c r="E674" s="68"/>
      <c r="F674" s="68"/>
      <c r="G674" s="68"/>
      <c r="H674" s="68"/>
    </row>
    <row r="675" spans="1:8" s="60" customFormat="1" ht="15.75" customHeight="1" x14ac:dyDescent="0.3">
      <c r="A675" s="69">
        <v>1</v>
      </c>
      <c r="B675" s="69"/>
      <c r="C675" s="61" t="s">
        <v>167</v>
      </c>
      <c r="D675" s="63">
        <f>(35.438)*(10.764)</f>
        <v>381.454632</v>
      </c>
      <c r="E675" s="61">
        <v>0</v>
      </c>
      <c r="F675" s="61">
        <f t="shared" ref="F675:F682" si="125">D675*1.6+E675</f>
        <v>610.32741120000003</v>
      </c>
      <c r="G675" s="70" t="str">
        <f>A674</f>
        <v>6th to 8th, 10th to 13th, 15th &amp; 16th Floor</v>
      </c>
      <c r="H675" s="71"/>
    </row>
    <row r="676" spans="1:8" s="60" customFormat="1" x14ac:dyDescent="0.3">
      <c r="A676" s="69">
        <v>2</v>
      </c>
      <c r="B676" s="69"/>
      <c r="C676" s="61" t="s">
        <v>167</v>
      </c>
      <c r="D676" s="63">
        <f>(35.438)*(10.764)</f>
        <v>381.454632</v>
      </c>
      <c r="E676" s="61">
        <v>0</v>
      </c>
      <c r="F676" s="61">
        <f t="shared" si="125"/>
        <v>610.32741120000003</v>
      </c>
      <c r="G676" s="72"/>
      <c r="H676" s="73"/>
    </row>
    <row r="677" spans="1:8" s="60" customFormat="1" x14ac:dyDescent="0.3">
      <c r="A677" s="69">
        <v>3</v>
      </c>
      <c r="B677" s="69"/>
      <c r="C677" s="61" t="s">
        <v>262</v>
      </c>
      <c r="D677" s="63">
        <f>(82.695)*(10.764)</f>
        <v>890.12897999999984</v>
      </c>
      <c r="E677" s="61">
        <v>0</v>
      </c>
      <c r="F677" s="61">
        <f t="shared" si="125"/>
        <v>1424.2063679999999</v>
      </c>
      <c r="G677" s="72"/>
      <c r="H677" s="73"/>
    </row>
    <row r="678" spans="1:8" s="60" customFormat="1" x14ac:dyDescent="0.3">
      <c r="A678" s="69">
        <v>4</v>
      </c>
      <c r="B678" s="69"/>
      <c r="C678" s="61" t="s">
        <v>262</v>
      </c>
      <c r="D678" s="63">
        <f>(82.695)*(10.764)</f>
        <v>890.12897999999984</v>
      </c>
      <c r="E678" s="61">
        <v>0</v>
      </c>
      <c r="F678" s="61">
        <f t="shared" si="125"/>
        <v>1424.2063679999999</v>
      </c>
      <c r="G678" s="72"/>
      <c r="H678" s="73"/>
    </row>
    <row r="679" spans="1:8" s="60" customFormat="1" ht="15.75" customHeight="1" x14ac:dyDescent="0.3">
      <c r="A679" s="69">
        <v>5</v>
      </c>
      <c r="B679" s="69"/>
      <c r="C679" s="61" t="s">
        <v>167</v>
      </c>
      <c r="D679" s="63">
        <f>(36.438)*(10.764)</f>
        <v>392.21863200000001</v>
      </c>
      <c r="E679" s="61">
        <v>0</v>
      </c>
      <c r="F679" s="61">
        <f t="shared" si="125"/>
        <v>627.54981120000002</v>
      </c>
      <c r="G679" s="72"/>
      <c r="H679" s="73"/>
    </row>
    <row r="680" spans="1:8" s="60" customFormat="1" x14ac:dyDescent="0.3">
      <c r="A680" s="69">
        <v>6</v>
      </c>
      <c r="B680" s="69"/>
      <c r="C680" s="61" t="s">
        <v>167</v>
      </c>
      <c r="D680" s="63">
        <f>(36.438)*(10.764)</f>
        <v>392.21863200000001</v>
      </c>
      <c r="E680" s="61">
        <v>0</v>
      </c>
      <c r="F680" s="61">
        <f t="shared" si="125"/>
        <v>627.54981120000002</v>
      </c>
      <c r="G680" s="72"/>
      <c r="H680" s="73"/>
    </row>
    <row r="681" spans="1:8" s="60" customFormat="1" x14ac:dyDescent="0.3">
      <c r="A681" s="69">
        <v>7</v>
      </c>
      <c r="B681" s="69"/>
      <c r="C681" s="61" t="s">
        <v>166</v>
      </c>
      <c r="D681" s="63">
        <f>(55.202)*(10.764)</f>
        <v>594.19432799999993</v>
      </c>
      <c r="E681" s="61">
        <v>0</v>
      </c>
      <c r="F681" s="61">
        <f t="shared" si="125"/>
        <v>950.71092479999993</v>
      </c>
      <c r="G681" s="72"/>
      <c r="H681" s="73"/>
    </row>
    <row r="682" spans="1:8" s="60" customFormat="1" x14ac:dyDescent="0.3">
      <c r="A682" s="69">
        <v>8</v>
      </c>
      <c r="B682" s="69"/>
      <c r="C682" s="61" t="s">
        <v>166</v>
      </c>
      <c r="D682" s="63">
        <f>(62.195)*(10.764)</f>
        <v>669.46697999999992</v>
      </c>
      <c r="E682" s="61">
        <v>0</v>
      </c>
      <c r="F682" s="61">
        <f t="shared" si="125"/>
        <v>1071.147168</v>
      </c>
      <c r="G682" s="74"/>
      <c r="H682" s="75"/>
    </row>
    <row r="683" spans="1:8" s="60" customFormat="1" x14ac:dyDescent="0.3">
      <c r="A683" s="68" t="s">
        <v>306</v>
      </c>
      <c r="B683" s="68"/>
      <c r="C683" s="68"/>
      <c r="D683" s="68"/>
      <c r="E683" s="68"/>
      <c r="F683" s="68"/>
      <c r="G683" s="68"/>
      <c r="H683" s="68"/>
    </row>
    <row r="684" spans="1:8" s="60" customFormat="1" ht="15.75" customHeight="1" x14ac:dyDescent="0.3">
      <c r="A684" s="69">
        <v>1</v>
      </c>
      <c r="B684" s="69"/>
      <c r="C684" s="61" t="s">
        <v>167</v>
      </c>
      <c r="D684" s="63">
        <f>(35.438)*(10.764)</f>
        <v>381.454632</v>
      </c>
      <c r="E684" s="61">
        <v>0</v>
      </c>
      <c r="F684" s="61">
        <f t="shared" ref="F684:F691" si="126">D684*1.6+E684</f>
        <v>610.32741120000003</v>
      </c>
      <c r="G684" s="70" t="str">
        <f>A683</f>
        <v>17th, 18th, 20th to 23rd, 25th to 28th, 30th to 33rd, 35th to 38th, 40th &amp; 41st Floor</v>
      </c>
      <c r="H684" s="71"/>
    </row>
    <row r="685" spans="1:8" s="60" customFormat="1" x14ac:dyDescent="0.3">
      <c r="A685" s="69">
        <v>2</v>
      </c>
      <c r="B685" s="69"/>
      <c r="C685" s="61" t="s">
        <v>167</v>
      </c>
      <c r="D685" s="63">
        <f>(35.438)*(10.764)</f>
        <v>381.454632</v>
      </c>
      <c r="E685" s="61">
        <v>0</v>
      </c>
      <c r="F685" s="61">
        <f t="shared" si="126"/>
        <v>610.32741120000003</v>
      </c>
      <c r="G685" s="72"/>
      <c r="H685" s="73"/>
    </row>
    <row r="686" spans="1:8" s="60" customFormat="1" x14ac:dyDescent="0.3">
      <c r="A686" s="69">
        <v>3</v>
      </c>
      <c r="B686" s="69"/>
      <c r="C686" s="61" t="s">
        <v>262</v>
      </c>
      <c r="D686" s="63">
        <f>(82.695)*(10.764)</f>
        <v>890.12897999999984</v>
      </c>
      <c r="E686" s="61">
        <v>0</v>
      </c>
      <c r="F686" s="61">
        <f t="shared" si="126"/>
        <v>1424.2063679999999</v>
      </c>
      <c r="G686" s="72"/>
      <c r="H686" s="73"/>
    </row>
    <row r="687" spans="1:8" s="60" customFormat="1" x14ac:dyDescent="0.3">
      <c r="A687" s="69">
        <v>4</v>
      </c>
      <c r="B687" s="69"/>
      <c r="C687" s="61" t="s">
        <v>262</v>
      </c>
      <c r="D687" s="63">
        <f>(82.695)*(10.764)</f>
        <v>890.12897999999984</v>
      </c>
      <c r="E687" s="61">
        <v>0</v>
      </c>
      <c r="F687" s="61">
        <f t="shared" si="126"/>
        <v>1424.2063679999999</v>
      </c>
      <c r="G687" s="72"/>
      <c r="H687" s="73"/>
    </row>
    <row r="688" spans="1:8" s="60" customFormat="1" ht="15.75" customHeight="1" x14ac:dyDescent="0.3">
      <c r="A688" s="69">
        <v>5</v>
      </c>
      <c r="B688" s="69"/>
      <c r="C688" s="61" t="s">
        <v>167</v>
      </c>
      <c r="D688" s="63">
        <f>(36.438)*(10.764)</f>
        <v>392.21863200000001</v>
      </c>
      <c r="E688" s="61">
        <v>0</v>
      </c>
      <c r="F688" s="61">
        <f t="shared" si="126"/>
        <v>627.54981120000002</v>
      </c>
      <c r="G688" s="72"/>
      <c r="H688" s="73"/>
    </row>
    <row r="689" spans="1:8" s="60" customFormat="1" x14ac:dyDescent="0.3">
      <c r="A689" s="69">
        <v>6</v>
      </c>
      <c r="B689" s="69"/>
      <c r="C689" s="61" t="s">
        <v>167</v>
      </c>
      <c r="D689" s="63">
        <f>(36.438)*(10.764)</f>
        <v>392.21863200000001</v>
      </c>
      <c r="E689" s="61">
        <v>0</v>
      </c>
      <c r="F689" s="61">
        <f t="shared" si="126"/>
        <v>627.54981120000002</v>
      </c>
      <c r="G689" s="72"/>
      <c r="H689" s="73"/>
    </row>
    <row r="690" spans="1:8" s="60" customFormat="1" x14ac:dyDescent="0.3">
      <c r="A690" s="69">
        <v>7</v>
      </c>
      <c r="B690" s="69"/>
      <c r="C690" s="61" t="s">
        <v>166</v>
      </c>
      <c r="D690" s="63">
        <f>(55.202)*(10.764)</f>
        <v>594.19432799999993</v>
      </c>
      <c r="E690" s="61">
        <v>0</v>
      </c>
      <c r="F690" s="61">
        <f t="shared" si="126"/>
        <v>950.71092479999993</v>
      </c>
      <c r="G690" s="72"/>
      <c r="H690" s="73"/>
    </row>
    <row r="691" spans="1:8" s="60" customFormat="1" x14ac:dyDescent="0.3">
      <c r="A691" s="69">
        <v>8</v>
      </c>
      <c r="B691" s="69"/>
      <c r="C691" s="61" t="s">
        <v>166</v>
      </c>
      <c r="D691" s="63">
        <f>(62.195)*(10.764)</f>
        <v>669.46697999999992</v>
      </c>
      <c r="E691" s="61">
        <v>0</v>
      </c>
      <c r="F691" s="61">
        <f t="shared" si="126"/>
        <v>1071.147168</v>
      </c>
      <c r="G691" s="74"/>
      <c r="H691" s="75"/>
    </row>
    <row r="692" spans="1:8" s="60" customFormat="1" x14ac:dyDescent="0.3">
      <c r="A692" s="68" t="s">
        <v>307</v>
      </c>
      <c r="B692" s="68"/>
      <c r="C692" s="68"/>
      <c r="D692" s="68"/>
      <c r="E692" s="68"/>
      <c r="F692" s="68"/>
      <c r="G692" s="68"/>
      <c r="H692" s="68"/>
    </row>
    <row r="693" spans="1:8" s="60" customFormat="1" ht="15.75" customHeight="1" x14ac:dyDescent="0.3">
      <c r="A693" s="69">
        <v>1</v>
      </c>
      <c r="B693" s="69"/>
      <c r="C693" s="61" t="s">
        <v>167</v>
      </c>
      <c r="D693" s="63">
        <f>(35.438)*(10.764)</f>
        <v>381.454632</v>
      </c>
      <c r="E693" s="61">
        <v>0</v>
      </c>
      <c r="F693" s="61">
        <f t="shared" ref="F693:F699" si="127">D693*1.6+E693</f>
        <v>610.32741120000003</v>
      </c>
      <c r="G693" s="70" t="str">
        <f>A692</f>
        <v>9th &amp; 14th Floor (Part Refuge Area)</v>
      </c>
      <c r="H693" s="71"/>
    </row>
    <row r="694" spans="1:8" s="60" customFormat="1" x14ac:dyDescent="0.3">
      <c r="A694" s="69">
        <v>2</v>
      </c>
      <c r="B694" s="69"/>
      <c r="C694" s="61" t="s">
        <v>167</v>
      </c>
      <c r="D694" s="63">
        <f>(35.438)*(10.764)</f>
        <v>381.454632</v>
      </c>
      <c r="E694" s="61">
        <v>0</v>
      </c>
      <c r="F694" s="61">
        <f t="shared" si="127"/>
        <v>610.32741120000003</v>
      </c>
      <c r="G694" s="72"/>
      <c r="H694" s="73"/>
    </row>
    <row r="695" spans="1:8" s="60" customFormat="1" x14ac:dyDescent="0.3">
      <c r="A695" s="69">
        <v>3</v>
      </c>
      <c r="B695" s="69"/>
      <c r="C695" s="61" t="s">
        <v>262</v>
      </c>
      <c r="D695" s="63">
        <f>(82.695)*(10.764)</f>
        <v>890.12897999999984</v>
      </c>
      <c r="E695" s="61">
        <v>0</v>
      </c>
      <c r="F695" s="61">
        <f t="shared" si="127"/>
        <v>1424.2063679999999</v>
      </c>
      <c r="G695" s="72"/>
      <c r="H695" s="73"/>
    </row>
    <row r="696" spans="1:8" s="60" customFormat="1" x14ac:dyDescent="0.3">
      <c r="A696" s="69">
        <v>4</v>
      </c>
      <c r="B696" s="69"/>
      <c r="C696" s="61" t="s">
        <v>262</v>
      </c>
      <c r="D696" s="63">
        <f>(82.695)*(10.764)</f>
        <v>890.12897999999984</v>
      </c>
      <c r="E696" s="61">
        <v>0</v>
      </c>
      <c r="F696" s="61">
        <f t="shared" si="127"/>
        <v>1424.2063679999999</v>
      </c>
      <c r="G696" s="72"/>
      <c r="H696" s="73"/>
    </row>
    <row r="697" spans="1:8" s="60" customFormat="1" ht="15.75" customHeight="1" x14ac:dyDescent="0.3">
      <c r="A697" s="69">
        <v>5</v>
      </c>
      <c r="B697" s="69"/>
      <c r="C697" s="61" t="s">
        <v>167</v>
      </c>
      <c r="D697" s="63">
        <f>(36.438)*(10.764)</f>
        <v>392.21863200000001</v>
      </c>
      <c r="E697" s="61">
        <v>0</v>
      </c>
      <c r="F697" s="61">
        <f t="shared" si="127"/>
        <v>627.54981120000002</v>
      </c>
      <c r="G697" s="72"/>
      <c r="H697" s="73"/>
    </row>
    <row r="698" spans="1:8" s="60" customFormat="1" x14ac:dyDescent="0.3">
      <c r="A698" s="69">
        <v>6</v>
      </c>
      <c r="B698" s="69"/>
      <c r="C698" s="61" t="s">
        <v>167</v>
      </c>
      <c r="D698" s="63">
        <f>(36.438)*(10.764)</f>
        <v>392.21863200000001</v>
      </c>
      <c r="E698" s="61">
        <v>0</v>
      </c>
      <c r="F698" s="61">
        <f t="shared" si="127"/>
        <v>627.54981120000002</v>
      </c>
      <c r="G698" s="72"/>
      <c r="H698" s="73"/>
    </row>
    <row r="699" spans="1:8" s="60" customFormat="1" x14ac:dyDescent="0.3">
      <c r="A699" s="69">
        <v>7</v>
      </c>
      <c r="B699" s="69"/>
      <c r="C699" s="61" t="s">
        <v>166</v>
      </c>
      <c r="D699" s="63">
        <f>(55.202)*(10.764)</f>
        <v>594.19432799999993</v>
      </c>
      <c r="E699" s="61">
        <v>0</v>
      </c>
      <c r="F699" s="61">
        <f t="shared" si="127"/>
        <v>950.71092479999993</v>
      </c>
      <c r="G699" s="72"/>
      <c r="H699" s="73"/>
    </row>
    <row r="700" spans="1:8" s="60" customFormat="1" x14ac:dyDescent="0.3">
      <c r="A700" s="69">
        <v>8</v>
      </c>
      <c r="B700" s="69"/>
      <c r="C700" s="76" t="s">
        <v>168</v>
      </c>
      <c r="D700" s="77"/>
      <c r="E700" s="77"/>
      <c r="F700" s="78"/>
      <c r="G700" s="74"/>
      <c r="H700" s="75"/>
    </row>
    <row r="701" spans="1:8" s="60" customFormat="1" x14ac:dyDescent="0.3">
      <c r="A701" s="68" t="s">
        <v>308</v>
      </c>
      <c r="B701" s="68"/>
      <c r="C701" s="68"/>
      <c r="D701" s="68"/>
      <c r="E701" s="68"/>
      <c r="F701" s="68"/>
      <c r="G701" s="68"/>
      <c r="H701" s="68"/>
    </row>
    <row r="702" spans="1:8" s="60" customFormat="1" ht="15.75" customHeight="1" x14ac:dyDescent="0.3">
      <c r="A702" s="69">
        <v>1</v>
      </c>
      <c r="B702" s="69"/>
      <c r="C702" s="61" t="s">
        <v>167</v>
      </c>
      <c r="D702" s="63">
        <f>(35.438)*(10.764)</f>
        <v>381.454632</v>
      </c>
      <c r="E702" s="61">
        <v>0</v>
      </c>
      <c r="F702" s="61">
        <f t="shared" ref="F702:F708" si="128">D702*1.6+E702</f>
        <v>610.32741120000003</v>
      </c>
      <c r="G702" s="70" t="str">
        <f>A701</f>
        <v>19th, 24th, 29th, 34th, 39th Floor (Part Refuge Area)</v>
      </c>
      <c r="H702" s="71"/>
    </row>
    <row r="703" spans="1:8" s="60" customFormat="1" x14ac:dyDescent="0.3">
      <c r="A703" s="69">
        <v>2</v>
      </c>
      <c r="B703" s="69"/>
      <c r="C703" s="61" t="s">
        <v>167</v>
      </c>
      <c r="D703" s="63">
        <f>(35.438)*(10.764)</f>
        <v>381.454632</v>
      </c>
      <c r="E703" s="61">
        <v>0</v>
      </c>
      <c r="F703" s="61">
        <f t="shared" si="128"/>
        <v>610.32741120000003</v>
      </c>
      <c r="G703" s="72"/>
      <c r="H703" s="73"/>
    </row>
    <row r="704" spans="1:8" s="60" customFormat="1" x14ac:dyDescent="0.3">
      <c r="A704" s="69">
        <v>3</v>
      </c>
      <c r="B704" s="69"/>
      <c r="C704" s="61" t="s">
        <v>262</v>
      </c>
      <c r="D704" s="63">
        <f>(82.695)*(10.764)</f>
        <v>890.12897999999984</v>
      </c>
      <c r="E704" s="61">
        <v>0</v>
      </c>
      <c r="F704" s="61">
        <f t="shared" si="128"/>
        <v>1424.2063679999999</v>
      </c>
      <c r="G704" s="72"/>
      <c r="H704" s="73"/>
    </row>
    <row r="705" spans="1:8" s="60" customFormat="1" x14ac:dyDescent="0.3">
      <c r="A705" s="69">
        <v>4</v>
      </c>
      <c r="B705" s="69"/>
      <c r="C705" s="61" t="s">
        <v>262</v>
      </c>
      <c r="D705" s="63">
        <f>(82.695)*(10.764)</f>
        <v>890.12897999999984</v>
      </c>
      <c r="E705" s="61">
        <v>0</v>
      </c>
      <c r="F705" s="61">
        <f t="shared" si="128"/>
        <v>1424.2063679999999</v>
      </c>
      <c r="G705" s="72"/>
      <c r="H705" s="73"/>
    </row>
    <row r="706" spans="1:8" s="60" customFormat="1" ht="15.75" customHeight="1" x14ac:dyDescent="0.3">
      <c r="A706" s="69">
        <v>5</v>
      </c>
      <c r="B706" s="69"/>
      <c r="C706" s="61" t="s">
        <v>167</v>
      </c>
      <c r="D706" s="63">
        <f>(36.438)*(10.764)</f>
        <v>392.21863200000001</v>
      </c>
      <c r="E706" s="61">
        <v>0</v>
      </c>
      <c r="F706" s="61">
        <f t="shared" si="128"/>
        <v>627.54981120000002</v>
      </c>
      <c r="G706" s="72"/>
      <c r="H706" s="73"/>
    </row>
    <row r="707" spans="1:8" s="60" customFormat="1" x14ac:dyDescent="0.3">
      <c r="A707" s="69">
        <v>6</v>
      </c>
      <c r="B707" s="69"/>
      <c r="C707" s="61" t="s">
        <v>167</v>
      </c>
      <c r="D707" s="63">
        <f>(36.438)*(10.764)</f>
        <v>392.21863200000001</v>
      </c>
      <c r="E707" s="61">
        <v>0</v>
      </c>
      <c r="F707" s="61">
        <f t="shared" si="128"/>
        <v>627.54981120000002</v>
      </c>
      <c r="G707" s="72"/>
      <c r="H707" s="73"/>
    </row>
    <row r="708" spans="1:8" s="60" customFormat="1" x14ac:dyDescent="0.3">
      <c r="A708" s="69">
        <v>7</v>
      </c>
      <c r="B708" s="69"/>
      <c r="C708" s="61" t="s">
        <v>166</v>
      </c>
      <c r="D708" s="63">
        <f>(55.202)*(10.764)</f>
        <v>594.19432799999993</v>
      </c>
      <c r="E708" s="61">
        <v>0</v>
      </c>
      <c r="F708" s="61">
        <f t="shared" si="128"/>
        <v>950.71092479999993</v>
      </c>
      <c r="G708" s="72"/>
      <c r="H708" s="73"/>
    </row>
    <row r="709" spans="1:8" s="60" customFormat="1" x14ac:dyDescent="0.3">
      <c r="A709" s="69">
        <v>8</v>
      </c>
      <c r="B709" s="69"/>
      <c r="C709" s="76" t="s">
        <v>168</v>
      </c>
      <c r="D709" s="77"/>
      <c r="E709" s="77"/>
      <c r="F709" s="78"/>
      <c r="G709" s="74"/>
      <c r="H709" s="75"/>
    </row>
    <row r="710" spans="1:8" s="1" customFormat="1" x14ac:dyDescent="0.3">
      <c r="A710" s="152" t="s">
        <v>78</v>
      </c>
      <c r="B710" s="152"/>
      <c r="C710" s="152"/>
      <c r="D710" s="152"/>
      <c r="E710" s="152"/>
      <c r="F710" s="152"/>
      <c r="G710" s="152"/>
      <c r="H710" s="152"/>
    </row>
    <row r="711" spans="1:8" s="10" customFormat="1" ht="225.75" customHeight="1" x14ac:dyDescent="0.3">
      <c r="A711" s="138" t="s">
        <v>352</v>
      </c>
      <c r="B711" s="138"/>
      <c r="C711" s="138"/>
      <c r="D711" s="138"/>
      <c r="E711" s="138"/>
      <c r="F711" s="138"/>
      <c r="G711" s="138"/>
      <c r="H711" s="138"/>
    </row>
    <row r="712" spans="1:8" x14ac:dyDescent="0.3">
      <c r="A712" s="139" t="s">
        <v>69</v>
      </c>
      <c r="B712" s="139"/>
      <c r="C712" s="139"/>
      <c r="D712" s="139"/>
      <c r="E712" s="139"/>
      <c r="F712" s="139"/>
      <c r="G712" s="139"/>
      <c r="H712" s="139"/>
    </row>
    <row r="713" spans="1:8" x14ac:dyDescent="0.3">
      <c r="A713" s="140" t="s">
        <v>70</v>
      </c>
      <c r="B713" s="140"/>
      <c r="C713" s="140"/>
      <c r="D713" s="140"/>
      <c r="E713" s="140"/>
      <c r="F713" s="140"/>
      <c r="G713" s="140"/>
      <c r="H713" s="140"/>
    </row>
    <row r="714" spans="1:8" ht="15.75" customHeight="1" x14ac:dyDescent="0.3">
      <c r="A714" s="139" t="s">
        <v>71</v>
      </c>
      <c r="B714" s="139"/>
      <c r="C714" s="139"/>
      <c r="D714" s="139"/>
      <c r="E714" s="139"/>
      <c r="F714" s="139"/>
      <c r="G714" s="139"/>
      <c r="H714" s="139"/>
    </row>
    <row r="715" spans="1:8" x14ac:dyDescent="0.3">
      <c r="A715" s="140" t="s">
        <v>72</v>
      </c>
      <c r="B715" s="140"/>
      <c r="C715" s="140"/>
      <c r="D715" s="140"/>
      <c r="E715" s="140"/>
      <c r="F715" s="140"/>
      <c r="G715" s="140"/>
      <c r="H715" s="140"/>
    </row>
    <row r="716" spans="1:8" x14ac:dyDescent="0.3">
      <c r="A716" s="140" t="s">
        <v>73</v>
      </c>
      <c r="B716" s="140"/>
      <c r="C716" s="140"/>
      <c r="D716" s="140"/>
      <c r="E716" s="140"/>
      <c r="F716" s="140"/>
      <c r="G716" s="140"/>
      <c r="H716" s="140"/>
    </row>
    <row r="717" spans="1:8" x14ac:dyDescent="0.3">
      <c r="A717" s="140" t="s">
        <v>74</v>
      </c>
      <c r="B717" s="140"/>
      <c r="C717" s="140"/>
      <c r="D717" s="140"/>
      <c r="E717" s="140"/>
      <c r="F717" s="140"/>
      <c r="G717" s="140"/>
      <c r="H717" s="140"/>
    </row>
    <row r="718" spans="1:8" ht="35.25" customHeight="1" x14ac:dyDescent="0.3">
      <c r="A718" s="106" t="s">
        <v>75</v>
      </c>
      <c r="B718" s="106"/>
      <c r="C718" s="106"/>
      <c r="D718" s="106"/>
      <c r="E718" s="106"/>
      <c r="F718" s="106"/>
      <c r="G718" s="106"/>
      <c r="H718" s="106"/>
    </row>
    <row r="719" spans="1:8" x14ac:dyDescent="0.3">
      <c r="A719" s="163" t="s">
        <v>111</v>
      </c>
      <c r="B719" s="163"/>
      <c r="C719" s="163" t="s">
        <v>338</v>
      </c>
      <c r="D719" s="163"/>
      <c r="E719" s="163" t="s">
        <v>139</v>
      </c>
      <c r="F719" s="163"/>
      <c r="G719" s="163" t="s">
        <v>354</v>
      </c>
      <c r="H719" s="163"/>
    </row>
    <row r="720" spans="1:8" x14ac:dyDescent="0.3">
      <c r="A720" s="162" t="s">
        <v>113</v>
      </c>
      <c r="B720" s="162"/>
      <c r="C720" s="162"/>
      <c r="D720" s="162"/>
      <c r="E720" s="162"/>
      <c r="F720" s="162"/>
      <c r="G720" s="162"/>
      <c r="H720" s="162"/>
    </row>
    <row r="721" spans="1:8" x14ac:dyDescent="0.3">
      <c r="A721" s="162"/>
      <c r="B721" s="162"/>
      <c r="C721" s="162"/>
      <c r="D721" s="162"/>
      <c r="E721" s="162"/>
      <c r="F721" s="162"/>
      <c r="G721" s="162"/>
      <c r="H721" s="162"/>
    </row>
    <row r="722" spans="1:8" x14ac:dyDescent="0.3">
      <c r="A722" s="162"/>
      <c r="B722" s="162"/>
      <c r="C722" s="162"/>
      <c r="D722" s="162"/>
      <c r="E722" s="162"/>
      <c r="F722" s="162"/>
      <c r="G722" s="162"/>
      <c r="H722" s="162"/>
    </row>
    <row r="723" spans="1:8" x14ac:dyDescent="0.3">
      <c r="A723" s="18" t="s">
        <v>76</v>
      </c>
      <c r="B723" s="19"/>
      <c r="C723" s="19"/>
      <c r="D723" s="18" t="str">
        <f>E8</f>
        <v>The Highlands, Godrej City, Panvel</v>
      </c>
      <c r="F723" s="19"/>
      <c r="G723" s="19"/>
      <c r="H723" s="19"/>
    </row>
    <row r="724" spans="1:8" x14ac:dyDescent="0.3">
      <c r="A724" s="19"/>
      <c r="B724" s="19"/>
      <c r="C724" s="19"/>
      <c r="D724" s="19"/>
      <c r="E724" s="19"/>
      <c r="F724" s="19"/>
      <c r="G724" s="19"/>
      <c r="H724" s="19"/>
    </row>
    <row r="725" spans="1:8" x14ac:dyDescent="0.3">
      <c r="A725" s="19"/>
      <c r="B725" s="19"/>
      <c r="C725" s="19"/>
      <c r="D725" s="19"/>
      <c r="E725" s="19"/>
      <c r="F725" s="19"/>
      <c r="G725" s="19"/>
      <c r="H725" s="19"/>
    </row>
    <row r="726" spans="1:8" ht="15" customHeight="1" x14ac:dyDescent="0.3"/>
    <row r="767" spans="1:1" x14ac:dyDescent="0.3">
      <c r="A767" s="21" t="s">
        <v>294</v>
      </c>
    </row>
    <row r="811" spans="1:1" x14ac:dyDescent="0.3">
      <c r="A811" s="21" t="s">
        <v>77</v>
      </c>
    </row>
  </sheetData>
  <mergeCells count="956">
    <mergeCell ref="C36:H36"/>
    <mergeCell ref="J48:K49"/>
    <mergeCell ref="L48:N48"/>
    <mergeCell ref="P48:Q48"/>
    <mergeCell ref="L49:Q49"/>
    <mergeCell ref="A10:D10"/>
    <mergeCell ref="E10:H10"/>
    <mergeCell ref="A37:B37"/>
    <mergeCell ref="C37:H37"/>
    <mergeCell ref="A30:B30"/>
    <mergeCell ref="F33:H33"/>
    <mergeCell ref="F34:H34"/>
    <mergeCell ref="E43:H43"/>
    <mergeCell ref="E44:H44"/>
    <mergeCell ref="A42:D42"/>
    <mergeCell ref="A43:D43"/>
    <mergeCell ref="A44:D44"/>
    <mergeCell ref="A45:H45"/>
    <mergeCell ref="G46:H46"/>
    <mergeCell ref="G47:H47"/>
    <mergeCell ref="A47:B47"/>
    <mergeCell ref="C33:E33"/>
    <mergeCell ref="C34:E34"/>
    <mergeCell ref="A31:B31"/>
    <mergeCell ref="A179:B179"/>
    <mergeCell ref="D179:E179"/>
    <mergeCell ref="F179:H179"/>
    <mergeCell ref="A105:B105"/>
    <mergeCell ref="C105:H105"/>
    <mergeCell ref="A107:B107"/>
    <mergeCell ref="C107:H107"/>
    <mergeCell ref="A108:B108"/>
    <mergeCell ref="E108:F108"/>
    <mergeCell ref="G108:H108"/>
    <mergeCell ref="A109:B109"/>
    <mergeCell ref="E109:F118"/>
    <mergeCell ref="G109:H118"/>
    <mergeCell ref="A110:B110"/>
    <mergeCell ref="A111:B111"/>
    <mergeCell ref="A112:B112"/>
    <mergeCell ref="A113:B113"/>
    <mergeCell ref="A114:B114"/>
    <mergeCell ref="A115:B115"/>
    <mergeCell ref="A116:B116"/>
    <mergeCell ref="A117:B117"/>
    <mergeCell ref="A118:B118"/>
    <mergeCell ref="F172:H172"/>
    <mergeCell ref="A168:E168"/>
    <mergeCell ref="A431:H431"/>
    <mergeCell ref="A432:B432"/>
    <mergeCell ref="G432:H439"/>
    <mergeCell ref="A433:B433"/>
    <mergeCell ref="A434:B434"/>
    <mergeCell ref="A435:B435"/>
    <mergeCell ref="A436:B436"/>
    <mergeCell ref="A437:B437"/>
    <mergeCell ref="A438:B438"/>
    <mergeCell ref="A439:B439"/>
    <mergeCell ref="A422:H422"/>
    <mergeCell ref="A423:B423"/>
    <mergeCell ref="G423:H430"/>
    <mergeCell ref="A424:B424"/>
    <mergeCell ref="A425:B425"/>
    <mergeCell ref="A426:B426"/>
    <mergeCell ref="A427:B427"/>
    <mergeCell ref="A428:B428"/>
    <mergeCell ref="A429:B429"/>
    <mergeCell ref="A430:B430"/>
    <mergeCell ref="A413:H413"/>
    <mergeCell ref="A414:B414"/>
    <mergeCell ref="G414:H421"/>
    <mergeCell ref="A415:B415"/>
    <mergeCell ref="A416:B416"/>
    <mergeCell ref="A417:B417"/>
    <mergeCell ref="A418:B418"/>
    <mergeCell ref="A419:B419"/>
    <mergeCell ref="A420:B420"/>
    <mergeCell ref="A421:B421"/>
    <mergeCell ref="A404:H404"/>
    <mergeCell ref="A405:B405"/>
    <mergeCell ref="G405:H412"/>
    <mergeCell ref="A406:B406"/>
    <mergeCell ref="A407:B407"/>
    <mergeCell ref="A408:B408"/>
    <mergeCell ref="A409:B409"/>
    <mergeCell ref="A410:B410"/>
    <mergeCell ref="A411:B411"/>
    <mergeCell ref="A412:B412"/>
    <mergeCell ref="A396:B396"/>
    <mergeCell ref="G396:H403"/>
    <mergeCell ref="A397:B397"/>
    <mergeCell ref="A398:B398"/>
    <mergeCell ref="A399:B399"/>
    <mergeCell ref="A400:B400"/>
    <mergeCell ref="A401:B401"/>
    <mergeCell ref="A402:B402"/>
    <mergeCell ref="A403:B403"/>
    <mergeCell ref="A391:H391"/>
    <mergeCell ref="A392:B392"/>
    <mergeCell ref="G392:H394"/>
    <mergeCell ref="A393:B393"/>
    <mergeCell ref="A394:B394"/>
    <mergeCell ref="A395:H395"/>
    <mergeCell ref="A384:H384"/>
    <mergeCell ref="A385:H385"/>
    <mergeCell ref="A386:H386"/>
    <mergeCell ref="A387:H387"/>
    <mergeCell ref="A388:H388"/>
    <mergeCell ref="A389:H389"/>
    <mergeCell ref="A390:B390"/>
    <mergeCell ref="G390:H390"/>
    <mergeCell ref="A91:B91"/>
    <mergeCell ref="C91:H91"/>
    <mergeCell ref="A93:B93"/>
    <mergeCell ref="C93:H93"/>
    <mergeCell ref="A94:B94"/>
    <mergeCell ref="E94:F94"/>
    <mergeCell ref="G94:H94"/>
    <mergeCell ref="A95:B95"/>
    <mergeCell ref="E95:F104"/>
    <mergeCell ref="G95:H104"/>
    <mergeCell ref="A96:B96"/>
    <mergeCell ref="A97:B97"/>
    <mergeCell ref="A98:B98"/>
    <mergeCell ref="A99:B99"/>
    <mergeCell ref="A100:B100"/>
    <mergeCell ref="A101:B101"/>
    <mergeCell ref="A102:B102"/>
    <mergeCell ref="A103:B103"/>
    <mergeCell ref="A104:B104"/>
    <mergeCell ref="A77:B77"/>
    <mergeCell ref="C77:H77"/>
    <mergeCell ref="A79:B79"/>
    <mergeCell ref="C79:H79"/>
    <mergeCell ref="A73:B73"/>
    <mergeCell ref="A80:B80"/>
    <mergeCell ref="E80:F80"/>
    <mergeCell ref="G80:H80"/>
    <mergeCell ref="A81:B81"/>
    <mergeCell ref="E81:F90"/>
    <mergeCell ref="G81:H90"/>
    <mergeCell ref="A82:B82"/>
    <mergeCell ref="A83:B83"/>
    <mergeCell ref="A84:B84"/>
    <mergeCell ref="A85:B85"/>
    <mergeCell ref="A86:B86"/>
    <mergeCell ref="A87:B87"/>
    <mergeCell ref="A88:B88"/>
    <mergeCell ref="A89:B89"/>
    <mergeCell ref="A90:B90"/>
    <mergeCell ref="F168:H168"/>
    <mergeCell ref="A170:E170"/>
    <mergeCell ref="F170:H170"/>
    <mergeCell ref="A171:E171"/>
    <mergeCell ref="A166:E166"/>
    <mergeCell ref="F166:H166"/>
    <mergeCell ref="A167:E167"/>
    <mergeCell ref="F167:H167"/>
    <mergeCell ref="F171:H171"/>
    <mergeCell ref="A169:E169"/>
    <mergeCell ref="F169:H169"/>
    <mergeCell ref="C65:H65"/>
    <mergeCell ref="A66:B66"/>
    <mergeCell ref="E66:F66"/>
    <mergeCell ref="A36:B36"/>
    <mergeCell ref="A48:B49"/>
    <mergeCell ref="G48:H48"/>
    <mergeCell ref="D57:H57"/>
    <mergeCell ref="A57:C57"/>
    <mergeCell ref="A58:C58"/>
    <mergeCell ref="D58:H58"/>
    <mergeCell ref="A56:C56"/>
    <mergeCell ref="D56:H56"/>
    <mergeCell ref="D55:H55"/>
    <mergeCell ref="A62:C62"/>
    <mergeCell ref="A55:C55"/>
    <mergeCell ref="C47:E47"/>
    <mergeCell ref="A63:B63"/>
    <mergeCell ref="C63:H63"/>
    <mergeCell ref="C48:E48"/>
    <mergeCell ref="A46:B46"/>
    <mergeCell ref="C46:E46"/>
    <mergeCell ref="A41:D41"/>
    <mergeCell ref="E41:H41"/>
    <mergeCell ref="E42:H42"/>
    <mergeCell ref="G53:H53"/>
    <mergeCell ref="A53:B53"/>
    <mergeCell ref="C53:E53"/>
    <mergeCell ref="A54:H54"/>
    <mergeCell ref="A720:H722"/>
    <mergeCell ref="A719:B719"/>
    <mergeCell ref="E719:F719"/>
    <mergeCell ref="C719:D719"/>
    <mergeCell ref="G719:H719"/>
    <mergeCell ref="A174:H174"/>
    <mergeCell ref="A172:E172"/>
    <mergeCell ref="A173:E173"/>
    <mergeCell ref="F173:H173"/>
    <mergeCell ref="A186:B186"/>
    <mergeCell ref="A187:H187"/>
    <mergeCell ref="A202:B202"/>
    <mergeCell ref="A203:B203"/>
    <mergeCell ref="A207:B207"/>
    <mergeCell ref="A204:B204"/>
    <mergeCell ref="A205:B205"/>
    <mergeCell ref="A206:B206"/>
    <mergeCell ref="A714:H714"/>
    <mergeCell ref="A715:H715"/>
    <mergeCell ref="A716:H716"/>
    <mergeCell ref="A717:H717"/>
    <mergeCell ref="A718:H718"/>
    <mergeCell ref="A710:H710"/>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C31:E31"/>
    <mergeCell ref="A32:B32"/>
    <mergeCell ref="C32:E32"/>
    <mergeCell ref="F30:H30"/>
    <mergeCell ref="A33:B33"/>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16:B16"/>
    <mergeCell ref="C16:D16"/>
    <mergeCell ref="E16:F16"/>
    <mergeCell ref="G16:H16"/>
    <mergeCell ref="A24:D24"/>
    <mergeCell ref="A25:D25"/>
    <mergeCell ref="E25:H25"/>
    <mergeCell ref="E24:H24"/>
    <mergeCell ref="A17:B17"/>
    <mergeCell ref="C17:D17"/>
    <mergeCell ref="E17:F17"/>
    <mergeCell ref="G17:H17"/>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59:C59"/>
    <mergeCell ref="A60:C60"/>
    <mergeCell ref="A161:H161"/>
    <mergeCell ref="A164:H164"/>
    <mergeCell ref="A165:E165"/>
    <mergeCell ref="F165:H165"/>
    <mergeCell ref="A162:H162"/>
    <mergeCell ref="A163:B163"/>
    <mergeCell ref="C163:H163"/>
    <mergeCell ref="A61:C61"/>
    <mergeCell ref="D61:H61"/>
    <mergeCell ref="A72:B72"/>
    <mergeCell ref="A67:B67"/>
    <mergeCell ref="A68:B68"/>
    <mergeCell ref="A69:B69"/>
    <mergeCell ref="A74:B74"/>
    <mergeCell ref="D62:H62"/>
    <mergeCell ref="A65:B65"/>
    <mergeCell ref="A75:B75"/>
    <mergeCell ref="A76:B76"/>
    <mergeCell ref="D59:H59"/>
    <mergeCell ref="D60:H60"/>
    <mergeCell ref="E67:F76"/>
    <mergeCell ref="G67:H76"/>
    <mergeCell ref="A711:H711"/>
    <mergeCell ref="A712:H712"/>
    <mergeCell ref="A713:H713"/>
    <mergeCell ref="A274:B274"/>
    <mergeCell ref="A275:B275"/>
    <mergeCell ref="A185:H185"/>
    <mergeCell ref="A321:B321"/>
    <mergeCell ref="A322:B322"/>
    <mergeCell ref="A324:B324"/>
    <mergeCell ref="A325:B325"/>
    <mergeCell ref="A315:B315"/>
    <mergeCell ref="A316:B316"/>
    <mergeCell ref="A317:B317"/>
    <mergeCell ref="A293:H293"/>
    <mergeCell ref="A294:B294"/>
    <mergeCell ref="A296:B296"/>
    <mergeCell ref="G186:H186"/>
    <mergeCell ref="G268:H268"/>
    <mergeCell ref="A284:B284"/>
    <mergeCell ref="A314:B314"/>
    <mergeCell ref="A323:B323"/>
    <mergeCell ref="A327:B327"/>
    <mergeCell ref="A328:B328"/>
    <mergeCell ref="A249:B249"/>
    <mergeCell ref="A184:H184"/>
    <mergeCell ref="A246:B246"/>
    <mergeCell ref="A251:B251"/>
    <mergeCell ref="A337:B337"/>
    <mergeCell ref="A326:B326"/>
    <mergeCell ref="A281:B281"/>
    <mergeCell ref="A282:B282"/>
    <mergeCell ref="A283:B283"/>
    <mergeCell ref="A276:B276"/>
    <mergeCell ref="A278:B278"/>
    <mergeCell ref="A279:B279"/>
    <mergeCell ref="A247:B247"/>
    <mergeCell ref="A248:B248"/>
    <mergeCell ref="A319:B319"/>
    <mergeCell ref="A332:H332"/>
    <mergeCell ref="A333:H333"/>
    <mergeCell ref="A334:H334"/>
    <mergeCell ref="A312:B312"/>
    <mergeCell ref="A313:B313"/>
    <mergeCell ref="A272:H272"/>
    <mergeCell ref="A277:H277"/>
    <mergeCell ref="A285:H285"/>
    <mergeCell ref="A286:B286"/>
    <mergeCell ref="A292:B292"/>
    <mergeCell ref="A250:B250"/>
    <mergeCell ref="A262:B262"/>
    <mergeCell ref="A268:B268"/>
    <mergeCell ref="A271:B271"/>
    <mergeCell ref="A273:B273"/>
    <mergeCell ref="A257:B257"/>
    <mergeCell ref="A258:B258"/>
    <mergeCell ref="A259:B259"/>
    <mergeCell ref="A260:B260"/>
    <mergeCell ref="A261:B261"/>
    <mergeCell ref="A256:B256"/>
    <mergeCell ref="A252:B252"/>
    <mergeCell ref="A253:B253"/>
    <mergeCell ref="A255:B255"/>
    <mergeCell ref="A280:B280"/>
    <mergeCell ref="A270:B270"/>
    <mergeCell ref="C49:H49"/>
    <mergeCell ref="G66:H66"/>
    <mergeCell ref="A70:B70"/>
    <mergeCell ref="A71:B71"/>
    <mergeCell ref="A188:H188"/>
    <mergeCell ref="A189:H189"/>
    <mergeCell ref="A190:H190"/>
    <mergeCell ref="A193:H193"/>
    <mergeCell ref="A200:H200"/>
    <mergeCell ref="A209:H209"/>
    <mergeCell ref="A210:B210"/>
    <mergeCell ref="G201:H208"/>
    <mergeCell ref="G194:H199"/>
    <mergeCell ref="G191:H192"/>
    <mergeCell ref="A191:B191"/>
    <mergeCell ref="A192:B192"/>
    <mergeCell ref="A194:B194"/>
    <mergeCell ref="A195:B195"/>
    <mergeCell ref="A196:B196"/>
    <mergeCell ref="A197:B197"/>
    <mergeCell ref="A198:B198"/>
    <mergeCell ref="A199:B199"/>
    <mergeCell ref="A201:B201"/>
    <mergeCell ref="A208:B208"/>
    <mergeCell ref="A216:B216"/>
    <mergeCell ref="A217:B217"/>
    <mergeCell ref="A218:H218"/>
    <mergeCell ref="A219:B219"/>
    <mergeCell ref="A220:B220"/>
    <mergeCell ref="A211:B211"/>
    <mergeCell ref="A212:B212"/>
    <mergeCell ref="A213:B213"/>
    <mergeCell ref="A214:B214"/>
    <mergeCell ref="A215:B215"/>
    <mergeCell ref="A226:B226"/>
    <mergeCell ref="A227:H227"/>
    <mergeCell ref="A228:B228"/>
    <mergeCell ref="A229:B229"/>
    <mergeCell ref="A230:B230"/>
    <mergeCell ref="A221:B221"/>
    <mergeCell ref="A222:B222"/>
    <mergeCell ref="A223:B223"/>
    <mergeCell ref="A224:B224"/>
    <mergeCell ref="A225:B225"/>
    <mergeCell ref="A237:B237"/>
    <mergeCell ref="A238:B238"/>
    <mergeCell ref="A239:B239"/>
    <mergeCell ref="A240:B240"/>
    <mergeCell ref="A231:B231"/>
    <mergeCell ref="A232:B232"/>
    <mergeCell ref="A233:B233"/>
    <mergeCell ref="A234:B234"/>
    <mergeCell ref="A235:B235"/>
    <mergeCell ref="A297:B297"/>
    <mergeCell ref="G286:H292"/>
    <mergeCell ref="A287:B287"/>
    <mergeCell ref="A288:B288"/>
    <mergeCell ref="A289:B289"/>
    <mergeCell ref="A290:B290"/>
    <mergeCell ref="A291:B291"/>
    <mergeCell ref="A309:B309"/>
    <mergeCell ref="A310:B310"/>
    <mergeCell ref="A295:B295"/>
    <mergeCell ref="A304:B304"/>
    <mergeCell ref="C310:F310"/>
    <mergeCell ref="G303:H310"/>
    <mergeCell ref="G294:H301"/>
    <mergeCell ref="A303:B303"/>
    <mergeCell ref="A305:B305"/>
    <mergeCell ref="A306:B306"/>
    <mergeCell ref="A307:B307"/>
    <mergeCell ref="A308:B308"/>
    <mergeCell ref="A298:B298"/>
    <mergeCell ref="A299:B299"/>
    <mergeCell ref="A300:B300"/>
    <mergeCell ref="A301:B301"/>
    <mergeCell ref="A302:H302"/>
    <mergeCell ref="A344:B344"/>
    <mergeCell ref="A345:B345"/>
    <mergeCell ref="A346:B346"/>
    <mergeCell ref="A347:B347"/>
    <mergeCell ref="A348:H348"/>
    <mergeCell ref="G342:H347"/>
    <mergeCell ref="A311:H311"/>
    <mergeCell ref="A320:H320"/>
    <mergeCell ref="C328:F328"/>
    <mergeCell ref="A329:H329"/>
    <mergeCell ref="A330:H330"/>
    <mergeCell ref="A335:H335"/>
    <mergeCell ref="A336:H336"/>
    <mergeCell ref="A341:H341"/>
    <mergeCell ref="G337:H340"/>
    <mergeCell ref="G321:H328"/>
    <mergeCell ref="G312:H319"/>
    <mergeCell ref="A318:B318"/>
    <mergeCell ref="A338:B338"/>
    <mergeCell ref="A343:B343"/>
    <mergeCell ref="A340:B340"/>
    <mergeCell ref="A342:B342"/>
    <mergeCell ref="A331:H331"/>
    <mergeCell ref="A339:B339"/>
    <mergeCell ref="A349:B349"/>
    <mergeCell ref="A350:B350"/>
    <mergeCell ref="A357:H357"/>
    <mergeCell ref="A358:B358"/>
    <mergeCell ref="G349:H356"/>
    <mergeCell ref="A351:B351"/>
    <mergeCell ref="A352:B352"/>
    <mergeCell ref="A353:B353"/>
    <mergeCell ref="A354:B354"/>
    <mergeCell ref="A355:B355"/>
    <mergeCell ref="A367:B367"/>
    <mergeCell ref="A368:B368"/>
    <mergeCell ref="G358:H365"/>
    <mergeCell ref="A359:B359"/>
    <mergeCell ref="A360:B360"/>
    <mergeCell ref="A361:B361"/>
    <mergeCell ref="A362:B362"/>
    <mergeCell ref="A363:B363"/>
    <mergeCell ref="A356:B356"/>
    <mergeCell ref="A244:B244"/>
    <mergeCell ref="C244:F244"/>
    <mergeCell ref="A236:H236"/>
    <mergeCell ref="A379:B379"/>
    <mergeCell ref="A380:B380"/>
    <mergeCell ref="A381:B381"/>
    <mergeCell ref="A382:B382"/>
    <mergeCell ref="A383:B383"/>
    <mergeCell ref="C383:F383"/>
    <mergeCell ref="G376:H383"/>
    <mergeCell ref="A374:B374"/>
    <mergeCell ref="A375:H375"/>
    <mergeCell ref="A376:B376"/>
    <mergeCell ref="A377:B377"/>
    <mergeCell ref="A378:B378"/>
    <mergeCell ref="G367:H374"/>
    <mergeCell ref="A369:B369"/>
    <mergeCell ref="A370:B370"/>
    <mergeCell ref="A371:B371"/>
    <mergeCell ref="A372:B372"/>
    <mergeCell ref="A373:B373"/>
    <mergeCell ref="A364:B364"/>
    <mergeCell ref="A365:B365"/>
    <mergeCell ref="A366:H366"/>
    <mergeCell ref="A183:B183"/>
    <mergeCell ref="D183:E183"/>
    <mergeCell ref="F183:H183"/>
    <mergeCell ref="G278:H284"/>
    <mergeCell ref="G273:H276"/>
    <mergeCell ref="G270:H271"/>
    <mergeCell ref="G255:H262"/>
    <mergeCell ref="G246:H253"/>
    <mergeCell ref="G237:H244"/>
    <mergeCell ref="G228:H235"/>
    <mergeCell ref="G219:H226"/>
    <mergeCell ref="G210:H217"/>
    <mergeCell ref="A245:H245"/>
    <mergeCell ref="A254:H254"/>
    <mergeCell ref="C262:F262"/>
    <mergeCell ref="A263:H263"/>
    <mergeCell ref="A264:H264"/>
    <mergeCell ref="A265:H265"/>
    <mergeCell ref="A266:H266"/>
    <mergeCell ref="A267:H267"/>
    <mergeCell ref="A269:H269"/>
    <mergeCell ref="A241:B241"/>
    <mergeCell ref="A242:B242"/>
    <mergeCell ref="A243:B243"/>
    <mergeCell ref="A175:B175"/>
    <mergeCell ref="A177:B177"/>
    <mergeCell ref="D177:E177"/>
    <mergeCell ref="F177:H177"/>
    <mergeCell ref="A178:B178"/>
    <mergeCell ref="D178:E178"/>
    <mergeCell ref="F178:H178"/>
    <mergeCell ref="F175:H175"/>
    <mergeCell ref="A176:B176"/>
    <mergeCell ref="D176:E176"/>
    <mergeCell ref="F176:H176"/>
    <mergeCell ref="D175:E175"/>
    <mergeCell ref="A119:B119"/>
    <mergeCell ref="C119:H119"/>
    <mergeCell ref="A121:B121"/>
    <mergeCell ref="C121:H121"/>
    <mergeCell ref="A122:B122"/>
    <mergeCell ref="E122:F122"/>
    <mergeCell ref="G122:H122"/>
    <mergeCell ref="A123:B123"/>
    <mergeCell ref="E123:F132"/>
    <mergeCell ref="G123:H132"/>
    <mergeCell ref="A124:B124"/>
    <mergeCell ref="A125:B125"/>
    <mergeCell ref="A126:B126"/>
    <mergeCell ref="A127:B127"/>
    <mergeCell ref="A128:B128"/>
    <mergeCell ref="A129:B129"/>
    <mergeCell ref="A130:B130"/>
    <mergeCell ref="A131:B131"/>
    <mergeCell ref="A132:B132"/>
    <mergeCell ref="A453:B453"/>
    <mergeCell ref="A454:B454"/>
    <mergeCell ref="A455:B455"/>
    <mergeCell ref="A440:H440"/>
    <mergeCell ref="A441:H441"/>
    <mergeCell ref="A442:H442"/>
    <mergeCell ref="A443:B443"/>
    <mergeCell ref="G443:H443"/>
    <mergeCell ref="A444:H444"/>
    <mergeCell ref="A445:B445"/>
    <mergeCell ref="A446:B446"/>
    <mergeCell ref="A447:B447"/>
    <mergeCell ref="A450:H450"/>
    <mergeCell ref="A448:B448"/>
    <mergeCell ref="A449:B449"/>
    <mergeCell ref="C449:F449"/>
    <mergeCell ref="A451:B451"/>
    <mergeCell ref="A452:B452"/>
    <mergeCell ref="C455:F455"/>
    <mergeCell ref="G445:H449"/>
    <mergeCell ref="G451:H455"/>
    <mergeCell ref="A483:B483"/>
    <mergeCell ref="A510:B510"/>
    <mergeCell ref="G510:H517"/>
    <mergeCell ref="A511:B511"/>
    <mergeCell ref="A512:B512"/>
    <mergeCell ref="A513:B513"/>
    <mergeCell ref="A514:B514"/>
    <mergeCell ref="A515:B515"/>
    <mergeCell ref="A516:B516"/>
    <mergeCell ref="A517:B517"/>
    <mergeCell ref="C512:F512"/>
    <mergeCell ref="G463:H467"/>
    <mergeCell ref="A456:H456"/>
    <mergeCell ref="A457:B457"/>
    <mergeCell ref="A458:B458"/>
    <mergeCell ref="A459:B459"/>
    <mergeCell ref="A460:B460"/>
    <mergeCell ref="A461:B461"/>
    <mergeCell ref="C461:F461"/>
    <mergeCell ref="A509:H509"/>
    <mergeCell ref="A500:H500"/>
    <mergeCell ref="A501:B501"/>
    <mergeCell ref="G501:H508"/>
    <mergeCell ref="A502:B502"/>
    <mergeCell ref="A503:B503"/>
    <mergeCell ref="A504:B504"/>
    <mergeCell ref="A505:B505"/>
    <mergeCell ref="A506:B506"/>
    <mergeCell ref="A507:B507"/>
    <mergeCell ref="A508:B508"/>
    <mergeCell ref="A475:H475"/>
    <mergeCell ref="A476:B476"/>
    <mergeCell ref="G476:H481"/>
    <mergeCell ref="A477:B477"/>
    <mergeCell ref="A478:B478"/>
    <mergeCell ref="A481:B481"/>
    <mergeCell ref="A468:H468"/>
    <mergeCell ref="A469:B469"/>
    <mergeCell ref="G469:H474"/>
    <mergeCell ref="A470:B470"/>
    <mergeCell ref="A471:B471"/>
    <mergeCell ref="A472:B472"/>
    <mergeCell ref="A473:B473"/>
    <mergeCell ref="A474:B474"/>
    <mergeCell ref="A180:B180"/>
    <mergeCell ref="D180:E180"/>
    <mergeCell ref="F180:H180"/>
    <mergeCell ref="A491:H491"/>
    <mergeCell ref="A492:B492"/>
    <mergeCell ref="G492:H499"/>
    <mergeCell ref="A493:B493"/>
    <mergeCell ref="A494:B494"/>
    <mergeCell ref="A495:B495"/>
    <mergeCell ref="A496:B496"/>
    <mergeCell ref="A497:B497"/>
    <mergeCell ref="A498:B498"/>
    <mergeCell ref="A499:B499"/>
    <mergeCell ref="A482:H482"/>
    <mergeCell ref="A485:B485"/>
    <mergeCell ref="A486:B486"/>
    <mergeCell ref="A487:B487"/>
    <mergeCell ref="A488:B488"/>
    <mergeCell ref="A489:B489"/>
    <mergeCell ref="A490:B490"/>
    <mergeCell ref="A484:B484"/>
    <mergeCell ref="G483:H490"/>
    <mergeCell ref="A462:H462"/>
    <mergeCell ref="A463:B463"/>
    <mergeCell ref="A50:B50"/>
    <mergeCell ref="C50:E50"/>
    <mergeCell ref="G50:H50"/>
    <mergeCell ref="A51:B52"/>
    <mergeCell ref="C51:E51"/>
    <mergeCell ref="G51:H51"/>
    <mergeCell ref="C52:H52"/>
    <mergeCell ref="A619:H619"/>
    <mergeCell ref="A182:B182"/>
    <mergeCell ref="D182:E182"/>
    <mergeCell ref="F182:H182"/>
    <mergeCell ref="A147:B147"/>
    <mergeCell ref="C147:H147"/>
    <mergeCell ref="A149:B149"/>
    <mergeCell ref="C149:H149"/>
    <mergeCell ref="A150:B150"/>
    <mergeCell ref="E150:F150"/>
    <mergeCell ref="G150:H150"/>
    <mergeCell ref="A151:B151"/>
    <mergeCell ref="E151:F160"/>
    <mergeCell ref="G151:H160"/>
    <mergeCell ref="A152:B152"/>
    <mergeCell ref="A153:B153"/>
    <mergeCell ref="G457:H461"/>
    <mergeCell ref="A620:H620"/>
    <mergeCell ref="A621:B621"/>
    <mergeCell ref="A629:H629"/>
    <mergeCell ref="A630:B630"/>
    <mergeCell ref="A631:B631"/>
    <mergeCell ref="A632:B632"/>
    <mergeCell ref="A633:B633"/>
    <mergeCell ref="A622:B622"/>
    <mergeCell ref="A623:B623"/>
    <mergeCell ref="A624:B624"/>
    <mergeCell ref="A625:B625"/>
    <mergeCell ref="A626:B626"/>
    <mergeCell ref="A627:B627"/>
    <mergeCell ref="A628:B628"/>
    <mergeCell ref="G621:H628"/>
    <mergeCell ref="C625:F626"/>
    <mergeCell ref="C627:F628"/>
    <mergeCell ref="C621:F622"/>
    <mergeCell ref="A634:B634"/>
    <mergeCell ref="A635:B635"/>
    <mergeCell ref="A636:B636"/>
    <mergeCell ref="A637:B637"/>
    <mergeCell ref="G630:H637"/>
    <mergeCell ref="C630:F631"/>
    <mergeCell ref="C634:F635"/>
    <mergeCell ref="A638:H638"/>
    <mergeCell ref="A639:B639"/>
    <mergeCell ref="G639:H646"/>
    <mergeCell ref="A640:B640"/>
    <mergeCell ref="A641:B641"/>
    <mergeCell ref="A642:B642"/>
    <mergeCell ref="A643:B643"/>
    <mergeCell ref="A644:B644"/>
    <mergeCell ref="A645:B645"/>
    <mergeCell ref="A646:B646"/>
    <mergeCell ref="A647:H647"/>
    <mergeCell ref="A648:B648"/>
    <mergeCell ref="G648:H655"/>
    <mergeCell ref="A649:B649"/>
    <mergeCell ref="A650:B650"/>
    <mergeCell ref="A651:B651"/>
    <mergeCell ref="A652:B652"/>
    <mergeCell ref="A653:B653"/>
    <mergeCell ref="A654:B654"/>
    <mergeCell ref="A655:B655"/>
    <mergeCell ref="A656:H656"/>
    <mergeCell ref="A657:B657"/>
    <mergeCell ref="G657:H664"/>
    <mergeCell ref="A658:B658"/>
    <mergeCell ref="A659:B659"/>
    <mergeCell ref="A660:B660"/>
    <mergeCell ref="A661:B661"/>
    <mergeCell ref="A662:B662"/>
    <mergeCell ref="A663:B663"/>
    <mergeCell ref="A664:B664"/>
    <mergeCell ref="C664:F664"/>
    <mergeCell ref="A665:H665"/>
    <mergeCell ref="A666:B666"/>
    <mergeCell ref="G666:H673"/>
    <mergeCell ref="A667:B667"/>
    <mergeCell ref="A668:B668"/>
    <mergeCell ref="A669:B669"/>
    <mergeCell ref="A670:B670"/>
    <mergeCell ref="A671:B671"/>
    <mergeCell ref="A672:B672"/>
    <mergeCell ref="A673:B673"/>
    <mergeCell ref="A674:H674"/>
    <mergeCell ref="A675:B675"/>
    <mergeCell ref="G675:H682"/>
    <mergeCell ref="A676:B676"/>
    <mergeCell ref="A677:B677"/>
    <mergeCell ref="A678:B678"/>
    <mergeCell ref="A679:B679"/>
    <mergeCell ref="A680:B680"/>
    <mergeCell ref="A681:B681"/>
    <mergeCell ref="A682:B682"/>
    <mergeCell ref="A697:B697"/>
    <mergeCell ref="A698:B698"/>
    <mergeCell ref="A699:B699"/>
    <mergeCell ref="A700:B700"/>
    <mergeCell ref="C700:F700"/>
    <mergeCell ref="A683:H683"/>
    <mergeCell ref="A684:B684"/>
    <mergeCell ref="G684:H691"/>
    <mergeCell ref="A685:B685"/>
    <mergeCell ref="A686:B686"/>
    <mergeCell ref="A687:B687"/>
    <mergeCell ref="A688:B688"/>
    <mergeCell ref="A689:B689"/>
    <mergeCell ref="A690:B690"/>
    <mergeCell ref="A691:B691"/>
    <mergeCell ref="A154:B154"/>
    <mergeCell ref="A155:B155"/>
    <mergeCell ref="A156:B156"/>
    <mergeCell ref="A157:B157"/>
    <mergeCell ref="A158:B158"/>
    <mergeCell ref="A159:B159"/>
    <mergeCell ref="A160:B160"/>
    <mergeCell ref="A701:H701"/>
    <mergeCell ref="A702:B702"/>
    <mergeCell ref="G702:H709"/>
    <mergeCell ref="A703:B703"/>
    <mergeCell ref="A704:B704"/>
    <mergeCell ref="A705:B705"/>
    <mergeCell ref="A706:B706"/>
    <mergeCell ref="A707:B707"/>
    <mergeCell ref="A708:B708"/>
    <mergeCell ref="A709:B709"/>
    <mergeCell ref="C709:F709"/>
    <mergeCell ref="A692:H692"/>
    <mergeCell ref="A693:B693"/>
    <mergeCell ref="G693:H700"/>
    <mergeCell ref="A694:B694"/>
    <mergeCell ref="A695:B695"/>
    <mergeCell ref="A696:B696"/>
    <mergeCell ref="A466:B466"/>
    <mergeCell ref="A467:B467"/>
    <mergeCell ref="C467:F467"/>
    <mergeCell ref="A479:B479"/>
    <mergeCell ref="A480:B480"/>
    <mergeCell ref="A133:B133"/>
    <mergeCell ref="C133:H133"/>
    <mergeCell ref="A135:B135"/>
    <mergeCell ref="C135:H135"/>
    <mergeCell ref="A136:B136"/>
    <mergeCell ref="E136:F136"/>
    <mergeCell ref="G136:H136"/>
    <mergeCell ref="A137:B137"/>
    <mergeCell ref="E137:F146"/>
    <mergeCell ref="G137:H146"/>
    <mergeCell ref="A138:B138"/>
    <mergeCell ref="A139:B139"/>
    <mergeCell ref="A140:B140"/>
    <mergeCell ref="A141:B141"/>
    <mergeCell ref="A142:B142"/>
    <mergeCell ref="A143:B143"/>
    <mergeCell ref="A144:B144"/>
    <mergeCell ref="A145:B145"/>
    <mergeCell ref="A146:B146"/>
    <mergeCell ref="A538:H538"/>
    <mergeCell ref="A539:B539"/>
    <mergeCell ref="A540:B540"/>
    <mergeCell ref="A541:B541"/>
    <mergeCell ref="A542:B542"/>
    <mergeCell ref="A543:B543"/>
    <mergeCell ref="A181:B181"/>
    <mergeCell ref="D181:E181"/>
    <mergeCell ref="F181:H181"/>
    <mergeCell ref="A518:H518"/>
    <mergeCell ref="A519:H519"/>
    <mergeCell ref="A520:H520"/>
    <mergeCell ref="A521:B521"/>
    <mergeCell ref="A529:H529"/>
    <mergeCell ref="A522:B522"/>
    <mergeCell ref="A523:B523"/>
    <mergeCell ref="A524:B524"/>
    <mergeCell ref="A525:B525"/>
    <mergeCell ref="A526:B526"/>
    <mergeCell ref="A527:B527"/>
    <mergeCell ref="C521:F522"/>
    <mergeCell ref="C525:F526"/>
    <mergeCell ref="A464:B464"/>
    <mergeCell ref="A465:B465"/>
    <mergeCell ref="A592:H592"/>
    <mergeCell ref="A593:B593"/>
    <mergeCell ref="G593:H600"/>
    <mergeCell ref="A594:B594"/>
    <mergeCell ref="A595:B595"/>
    <mergeCell ref="A596:B596"/>
    <mergeCell ref="A557:B557"/>
    <mergeCell ref="A558:B558"/>
    <mergeCell ref="A559:B559"/>
    <mergeCell ref="A560:B560"/>
    <mergeCell ref="A561:B561"/>
    <mergeCell ref="A565:H565"/>
    <mergeCell ref="A566:B566"/>
    <mergeCell ref="A567:B567"/>
    <mergeCell ref="A568:B568"/>
    <mergeCell ref="A569:B569"/>
    <mergeCell ref="A570:B570"/>
    <mergeCell ref="A571:B571"/>
    <mergeCell ref="A562:B562"/>
    <mergeCell ref="A563:B563"/>
    <mergeCell ref="A564:B564"/>
    <mergeCell ref="C557:F558"/>
    <mergeCell ref="G557:H564"/>
    <mergeCell ref="A584:B584"/>
    <mergeCell ref="G584:H591"/>
    <mergeCell ref="A585:B585"/>
    <mergeCell ref="A586:B586"/>
    <mergeCell ref="A587:B587"/>
    <mergeCell ref="A588:B588"/>
    <mergeCell ref="A589:B589"/>
    <mergeCell ref="A590:B590"/>
    <mergeCell ref="A591:B591"/>
    <mergeCell ref="C539:F540"/>
    <mergeCell ref="G539:H546"/>
    <mergeCell ref="A553:B553"/>
    <mergeCell ref="C548:F549"/>
    <mergeCell ref="G548:H555"/>
    <mergeCell ref="A547:H547"/>
    <mergeCell ref="A548:B548"/>
    <mergeCell ref="A549:B549"/>
    <mergeCell ref="A550:B550"/>
    <mergeCell ref="A551:B551"/>
    <mergeCell ref="A552:B552"/>
    <mergeCell ref="A554:B554"/>
    <mergeCell ref="A555:B555"/>
    <mergeCell ref="C555:F555"/>
    <mergeCell ref="A572:B572"/>
    <mergeCell ref="A573:B573"/>
    <mergeCell ref="A528:B528"/>
    <mergeCell ref="G521:H528"/>
    <mergeCell ref="C528:F528"/>
    <mergeCell ref="A535:B535"/>
    <mergeCell ref="A536:B536"/>
    <mergeCell ref="A537:B537"/>
    <mergeCell ref="C537:F537"/>
    <mergeCell ref="G530:H537"/>
    <mergeCell ref="C530:F531"/>
    <mergeCell ref="A530:B530"/>
    <mergeCell ref="A531:B531"/>
    <mergeCell ref="A532:B532"/>
    <mergeCell ref="A533:B533"/>
    <mergeCell ref="A534:B534"/>
    <mergeCell ref="C566:F567"/>
    <mergeCell ref="G566:H573"/>
    <mergeCell ref="A581:B581"/>
    <mergeCell ref="A582:B582"/>
    <mergeCell ref="G575:H582"/>
    <mergeCell ref="A583:H583"/>
    <mergeCell ref="A544:B544"/>
    <mergeCell ref="A545:B545"/>
    <mergeCell ref="A546:B546"/>
    <mergeCell ref="C546:F546"/>
    <mergeCell ref="A574:H574"/>
    <mergeCell ref="A575:B575"/>
    <mergeCell ref="A576:B576"/>
    <mergeCell ref="A577:B577"/>
    <mergeCell ref="A578:B578"/>
    <mergeCell ref="A579:B579"/>
    <mergeCell ref="A580:B580"/>
    <mergeCell ref="A556:H556"/>
    <mergeCell ref="A597:B597"/>
    <mergeCell ref="A598:B598"/>
    <mergeCell ref="A599:B599"/>
    <mergeCell ref="A600:B600"/>
    <mergeCell ref="A601:H601"/>
    <mergeCell ref="A602:B602"/>
    <mergeCell ref="G602:H609"/>
    <mergeCell ref="A603:B603"/>
    <mergeCell ref="A604:B604"/>
    <mergeCell ref="A605:B605"/>
    <mergeCell ref="A606:B606"/>
    <mergeCell ref="A607:B607"/>
    <mergeCell ref="A608:B608"/>
    <mergeCell ref="A609:B609"/>
    <mergeCell ref="C604:F604"/>
    <mergeCell ref="A610:H610"/>
    <mergeCell ref="A611:B611"/>
    <mergeCell ref="G611:H618"/>
    <mergeCell ref="A612:B612"/>
    <mergeCell ref="A613:B613"/>
    <mergeCell ref="C613:F613"/>
    <mergeCell ref="A614:B614"/>
    <mergeCell ref="A615:B615"/>
    <mergeCell ref="A616:B616"/>
    <mergeCell ref="A617:B617"/>
    <mergeCell ref="A618:B618"/>
  </mergeCells>
  <hyperlinks>
    <hyperlink ref="C37" r:id="rId1" xr:uid="{00000000-0004-0000-0000-000000000000}"/>
  </hyperlinks>
  <printOptions horizontalCentered="1"/>
  <pageMargins left="0.39370078740157483" right="0.39370078740157483" top="0.78740157480314965" bottom="0.78740157480314965" header="0.19685039370078741" footer="0.19685039370078741"/>
  <pageSetup scale="96" fitToHeight="0" orientation="portrait" r:id="rId2"/>
  <headerFooter>
    <oddHeader>&amp;C&amp;G</oddHeader>
    <oddFooter>&amp;L&amp;"Times New Roman,Bold"&amp;12Ref No: &amp;F&amp;C&amp;G&amp;R&amp;"Times New Roman,Bold"&amp;12                                                           &amp;P</oddFooter>
  </headerFooter>
  <rowBreaks count="7" manualBreakCount="7">
    <brk id="76" max="7" man="1"/>
    <brk id="104" max="7" man="1"/>
    <brk id="132" max="7" man="1"/>
    <brk id="709" max="7" man="1"/>
    <brk id="722" max="16383" man="1"/>
    <brk id="766" max="16383" man="1"/>
    <brk id="810"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36"/>
  <sheetViews>
    <sheetView workbookViewId="0">
      <selection activeCell="M197" sqref="M197"/>
    </sheetView>
  </sheetViews>
  <sheetFormatPr defaultRowHeight="14.4" x14ac:dyDescent="0.3"/>
  <cols>
    <col min="2" max="2" width="12.33203125" customWidth="1"/>
  </cols>
  <sheetData>
    <row r="2" spans="1:12" x14ac:dyDescent="0.3">
      <c r="B2" s="3" t="s">
        <v>79</v>
      </c>
      <c r="C2" s="179"/>
      <c r="D2" s="179"/>
    </row>
    <row r="3" spans="1:12" x14ac:dyDescent="0.3">
      <c r="D3" s="4"/>
      <c r="E3" s="4"/>
      <c r="F3" s="4"/>
      <c r="G3" s="4"/>
      <c r="H3" s="4"/>
      <c r="I3" s="4"/>
    </row>
    <row r="4" spans="1:12" x14ac:dyDescent="0.3">
      <c r="A4" s="3" t="s">
        <v>80</v>
      </c>
      <c r="B4" s="5" t="s">
        <v>81</v>
      </c>
      <c r="C4" s="180" t="s">
        <v>82</v>
      </c>
      <c r="D4" s="180"/>
      <c r="E4" s="180"/>
      <c r="F4" s="6"/>
      <c r="G4" s="180" t="s">
        <v>83</v>
      </c>
      <c r="H4" s="180"/>
      <c r="I4" s="180"/>
      <c r="J4" s="180" t="s">
        <v>84</v>
      </c>
      <c r="K4" s="180"/>
      <c r="L4" s="180"/>
    </row>
    <row r="5" spans="1:12" x14ac:dyDescent="0.3">
      <c r="A5" s="3">
        <v>202</v>
      </c>
      <c r="B5" s="5"/>
      <c r="C5" s="5" t="s">
        <v>85</v>
      </c>
      <c r="D5" s="5" t="s">
        <v>86</v>
      </c>
      <c r="E5" s="5" t="s">
        <v>60</v>
      </c>
      <c r="F5" s="5"/>
      <c r="G5" s="5" t="s">
        <v>85</v>
      </c>
      <c r="H5" s="5" t="s">
        <v>86</v>
      </c>
      <c r="I5" s="5" t="s">
        <v>60</v>
      </c>
      <c r="J5" s="5" t="s">
        <v>85</v>
      </c>
      <c r="K5" s="5" t="s">
        <v>86</v>
      </c>
      <c r="L5" s="5" t="s">
        <v>60</v>
      </c>
    </row>
    <row r="6" spans="1:12" x14ac:dyDescent="0.3">
      <c r="B6" s="7" t="s">
        <v>87</v>
      </c>
      <c r="C6" s="7">
        <v>4.5</v>
      </c>
      <c r="D6" s="7">
        <v>2.9</v>
      </c>
      <c r="E6" s="7">
        <f>C6*D6</f>
        <v>13.049999999999999</v>
      </c>
      <c r="F6" s="7" t="s">
        <v>88</v>
      </c>
      <c r="G6" s="7"/>
      <c r="H6" s="7"/>
      <c r="I6" s="7">
        <f>G6*H6</f>
        <v>0</v>
      </c>
      <c r="J6" s="7"/>
      <c r="K6" s="7"/>
      <c r="L6" s="7">
        <f>J6*K6</f>
        <v>0</v>
      </c>
    </row>
    <row r="7" spans="1:12" x14ac:dyDescent="0.3">
      <c r="B7" s="7"/>
      <c r="C7" s="7"/>
      <c r="D7" s="7"/>
      <c r="E7" s="7">
        <f t="shared" ref="E7:E33" si="0">C7*D7</f>
        <v>0</v>
      </c>
      <c r="F7" s="7" t="s">
        <v>89</v>
      </c>
      <c r="G7" s="7"/>
      <c r="H7" s="7"/>
      <c r="I7" s="7">
        <f t="shared" ref="I7:I29" si="1">G7*H7</f>
        <v>0</v>
      </c>
      <c r="J7" s="7"/>
      <c r="K7" s="7"/>
      <c r="L7" s="7">
        <f t="shared" ref="L7:L29" si="2">J7*K7</f>
        <v>0</v>
      </c>
    </row>
    <row r="8" spans="1:12" x14ac:dyDescent="0.3">
      <c r="B8" s="7"/>
      <c r="C8" s="7"/>
      <c r="D8" s="7"/>
      <c r="E8" s="7">
        <f t="shared" si="0"/>
        <v>0</v>
      </c>
      <c r="F8" s="7"/>
      <c r="G8" s="7"/>
      <c r="H8" s="7"/>
      <c r="I8" s="7">
        <f t="shared" si="1"/>
        <v>0</v>
      </c>
      <c r="J8" s="7"/>
      <c r="K8" s="7"/>
      <c r="L8" s="7">
        <f t="shared" si="2"/>
        <v>0</v>
      </c>
    </row>
    <row r="9" spans="1:12" x14ac:dyDescent="0.3">
      <c r="B9" s="7" t="s">
        <v>90</v>
      </c>
      <c r="C9" s="7">
        <v>1.88</v>
      </c>
      <c r="D9" s="7">
        <v>2.13</v>
      </c>
      <c r="E9" s="7">
        <f t="shared" si="0"/>
        <v>4.0043999999999995</v>
      </c>
      <c r="F9" s="7" t="s">
        <v>88</v>
      </c>
      <c r="G9" s="7"/>
      <c r="H9" s="7"/>
      <c r="I9" s="7">
        <f t="shared" si="1"/>
        <v>0</v>
      </c>
      <c r="J9" s="7"/>
      <c r="K9" s="7"/>
      <c r="L9" s="7">
        <f t="shared" si="2"/>
        <v>0</v>
      </c>
    </row>
    <row r="10" spans="1:12" x14ac:dyDescent="0.3">
      <c r="B10" s="7"/>
      <c r="C10" s="7"/>
      <c r="D10" s="7"/>
      <c r="E10" s="7">
        <f t="shared" si="0"/>
        <v>0</v>
      </c>
      <c r="F10" s="7" t="s">
        <v>89</v>
      </c>
      <c r="G10" s="7"/>
      <c r="H10" s="7"/>
      <c r="I10" s="7">
        <f t="shared" si="1"/>
        <v>0</v>
      </c>
      <c r="J10" s="7"/>
      <c r="K10" s="7"/>
      <c r="L10" s="7">
        <f t="shared" si="2"/>
        <v>0</v>
      </c>
    </row>
    <row r="11" spans="1:12" x14ac:dyDescent="0.3">
      <c r="B11" s="7"/>
      <c r="C11" s="7"/>
      <c r="D11" s="7"/>
      <c r="E11" s="7">
        <f t="shared" si="0"/>
        <v>0</v>
      </c>
      <c r="F11" s="7"/>
      <c r="G11" s="7"/>
      <c r="H11" s="7"/>
      <c r="I11" s="7">
        <f t="shared" si="1"/>
        <v>0</v>
      </c>
      <c r="J11" s="7"/>
      <c r="K11" s="7"/>
      <c r="L11" s="7">
        <f t="shared" si="2"/>
        <v>0</v>
      </c>
    </row>
    <row r="12" spans="1:12" x14ac:dyDescent="0.3">
      <c r="B12" s="7"/>
      <c r="C12" s="7"/>
      <c r="D12" s="7"/>
      <c r="E12" s="7">
        <f t="shared" si="0"/>
        <v>0</v>
      </c>
      <c r="F12" s="7"/>
      <c r="G12" s="7"/>
      <c r="H12" s="7"/>
      <c r="I12" s="7">
        <f t="shared" si="1"/>
        <v>0</v>
      </c>
      <c r="J12" s="7"/>
      <c r="K12" s="7"/>
      <c r="L12" s="7">
        <f t="shared" si="2"/>
        <v>0</v>
      </c>
    </row>
    <row r="13" spans="1:12" x14ac:dyDescent="0.3">
      <c r="B13" s="7" t="s">
        <v>91</v>
      </c>
      <c r="C13" s="7"/>
      <c r="D13" s="7"/>
      <c r="E13" s="7">
        <f t="shared" si="0"/>
        <v>0</v>
      </c>
      <c r="F13" s="7" t="s">
        <v>88</v>
      </c>
      <c r="G13" s="7"/>
      <c r="H13" s="7"/>
      <c r="I13" s="7">
        <f t="shared" si="1"/>
        <v>0</v>
      </c>
      <c r="J13" s="7"/>
      <c r="K13" s="7"/>
      <c r="L13" s="7">
        <f t="shared" si="2"/>
        <v>0</v>
      </c>
    </row>
    <row r="14" spans="1:12" x14ac:dyDescent="0.3">
      <c r="B14" s="7"/>
      <c r="C14" s="7"/>
      <c r="D14" s="7"/>
      <c r="E14" s="7">
        <f t="shared" si="0"/>
        <v>0</v>
      </c>
      <c r="F14" s="7" t="s">
        <v>89</v>
      </c>
      <c r="G14" s="7"/>
      <c r="H14" s="7"/>
      <c r="I14" s="7">
        <f t="shared" si="1"/>
        <v>0</v>
      </c>
      <c r="J14" s="7"/>
      <c r="K14" s="7"/>
      <c r="L14" s="7">
        <f t="shared" si="2"/>
        <v>0</v>
      </c>
    </row>
    <row r="15" spans="1:12" x14ac:dyDescent="0.3">
      <c r="B15" s="7"/>
      <c r="C15" s="7"/>
      <c r="D15" s="7"/>
      <c r="E15" s="7">
        <f t="shared" si="0"/>
        <v>0</v>
      </c>
      <c r="F15" s="7"/>
      <c r="G15" s="7"/>
      <c r="H15" s="7"/>
      <c r="I15" s="7">
        <f t="shared" si="1"/>
        <v>0</v>
      </c>
      <c r="J15" s="7"/>
      <c r="K15" s="7"/>
      <c r="L15" s="7">
        <f t="shared" si="2"/>
        <v>0</v>
      </c>
    </row>
    <row r="16" spans="1:12" x14ac:dyDescent="0.3">
      <c r="B16" s="7"/>
      <c r="C16" s="7"/>
      <c r="D16" s="7"/>
      <c r="E16" s="7">
        <f t="shared" si="0"/>
        <v>0</v>
      </c>
      <c r="F16" s="7"/>
      <c r="G16" s="7"/>
      <c r="H16" s="7"/>
      <c r="I16" s="7">
        <f t="shared" si="1"/>
        <v>0</v>
      </c>
      <c r="J16" s="7"/>
      <c r="K16" s="7"/>
      <c r="L16" s="7">
        <f t="shared" si="2"/>
        <v>0</v>
      </c>
    </row>
    <row r="17" spans="2:12" x14ac:dyDescent="0.3">
      <c r="B17" s="7" t="s">
        <v>92</v>
      </c>
      <c r="C17" s="7"/>
      <c r="D17" s="7"/>
      <c r="E17" s="7">
        <f t="shared" si="0"/>
        <v>0</v>
      </c>
      <c r="F17" s="7" t="s">
        <v>88</v>
      </c>
      <c r="G17" s="7"/>
      <c r="H17" s="7"/>
      <c r="I17" s="7">
        <f t="shared" si="1"/>
        <v>0</v>
      </c>
      <c r="J17" s="7"/>
      <c r="K17" s="7"/>
      <c r="L17" s="7">
        <f t="shared" si="2"/>
        <v>0</v>
      </c>
    </row>
    <row r="18" spans="2:12" x14ac:dyDescent="0.3">
      <c r="B18" s="7"/>
      <c r="C18" s="7"/>
      <c r="D18" s="7"/>
      <c r="E18" s="7">
        <f t="shared" si="0"/>
        <v>0</v>
      </c>
      <c r="F18" s="7" t="s">
        <v>89</v>
      </c>
      <c r="G18" s="7"/>
      <c r="H18" s="7"/>
      <c r="I18" s="7">
        <f t="shared" si="1"/>
        <v>0</v>
      </c>
      <c r="J18" s="7"/>
      <c r="K18" s="7"/>
      <c r="L18" s="7">
        <f t="shared" si="2"/>
        <v>0</v>
      </c>
    </row>
    <row r="19" spans="2:12" x14ac:dyDescent="0.3">
      <c r="B19" s="7"/>
      <c r="C19" s="7"/>
      <c r="D19" s="7"/>
      <c r="E19" s="7">
        <f t="shared" si="0"/>
        <v>0</v>
      </c>
      <c r="F19" s="7"/>
      <c r="G19" s="7"/>
      <c r="H19" s="7"/>
      <c r="I19" s="7">
        <f t="shared" si="1"/>
        <v>0</v>
      </c>
      <c r="J19" s="7"/>
      <c r="K19" s="7"/>
      <c r="L19" s="7">
        <f t="shared" si="2"/>
        <v>0</v>
      </c>
    </row>
    <row r="20" spans="2:12" x14ac:dyDescent="0.3">
      <c r="B20" s="7" t="s">
        <v>92</v>
      </c>
      <c r="C20" s="7"/>
      <c r="D20" s="7"/>
      <c r="E20" s="7">
        <f t="shared" si="0"/>
        <v>0</v>
      </c>
      <c r="F20" s="7" t="s">
        <v>88</v>
      </c>
      <c r="G20" s="7"/>
      <c r="H20" s="7"/>
      <c r="I20" s="7">
        <f t="shared" si="1"/>
        <v>0</v>
      </c>
      <c r="J20" s="7"/>
      <c r="K20" s="7"/>
      <c r="L20" s="7">
        <f t="shared" si="2"/>
        <v>0</v>
      </c>
    </row>
    <row r="21" spans="2:12" x14ac:dyDescent="0.3">
      <c r="B21" s="7"/>
      <c r="C21" s="7"/>
      <c r="D21" s="7"/>
      <c r="E21" s="7">
        <f t="shared" si="0"/>
        <v>0</v>
      </c>
      <c r="F21" s="7" t="s">
        <v>89</v>
      </c>
      <c r="G21" s="7"/>
      <c r="H21" s="7"/>
      <c r="I21" s="7">
        <f t="shared" si="1"/>
        <v>0</v>
      </c>
      <c r="J21" s="7"/>
      <c r="K21" s="7"/>
      <c r="L21" s="7">
        <f t="shared" si="2"/>
        <v>0</v>
      </c>
    </row>
    <row r="22" spans="2:12" x14ac:dyDescent="0.3">
      <c r="B22" s="7"/>
      <c r="C22" s="7"/>
      <c r="D22" s="7"/>
      <c r="E22" s="7">
        <f t="shared" si="0"/>
        <v>0</v>
      </c>
      <c r="F22" s="7"/>
      <c r="G22" s="7"/>
      <c r="H22" s="7"/>
      <c r="I22" s="7">
        <f t="shared" si="1"/>
        <v>0</v>
      </c>
      <c r="J22" s="7"/>
      <c r="K22" s="7"/>
      <c r="L22" s="7">
        <f t="shared" si="2"/>
        <v>0</v>
      </c>
    </row>
    <row r="23" spans="2:12" x14ac:dyDescent="0.3">
      <c r="B23" s="7" t="s">
        <v>93</v>
      </c>
      <c r="C23" s="7">
        <v>1.9</v>
      </c>
      <c r="D23" s="7">
        <v>1.07</v>
      </c>
      <c r="E23" s="7">
        <f t="shared" si="0"/>
        <v>2.0329999999999999</v>
      </c>
      <c r="F23" s="7" t="s">
        <v>94</v>
      </c>
      <c r="G23" s="7"/>
      <c r="H23" s="7"/>
      <c r="I23" s="7">
        <f t="shared" si="1"/>
        <v>0</v>
      </c>
      <c r="J23" s="7"/>
      <c r="K23" s="7"/>
      <c r="L23" s="7">
        <f t="shared" si="2"/>
        <v>0</v>
      </c>
    </row>
    <row r="24" spans="2:12" x14ac:dyDescent="0.3">
      <c r="B24" s="7" t="s">
        <v>95</v>
      </c>
      <c r="C24" s="7"/>
      <c r="D24" s="7"/>
      <c r="E24" s="7">
        <f t="shared" si="0"/>
        <v>0</v>
      </c>
      <c r="F24" s="7" t="s">
        <v>94</v>
      </c>
      <c r="G24" s="7"/>
      <c r="H24" s="7"/>
      <c r="I24" s="7">
        <f t="shared" si="1"/>
        <v>0</v>
      </c>
      <c r="J24" s="7"/>
      <c r="K24" s="7"/>
      <c r="L24" s="7">
        <f t="shared" si="2"/>
        <v>0</v>
      </c>
    </row>
    <row r="25" spans="2:12" x14ac:dyDescent="0.3">
      <c r="B25" s="7" t="s">
        <v>96</v>
      </c>
      <c r="C25" s="7"/>
      <c r="D25" s="7"/>
      <c r="E25" s="7">
        <f t="shared" si="0"/>
        <v>0</v>
      </c>
      <c r="F25" s="7" t="s">
        <v>94</v>
      </c>
      <c r="G25" s="7"/>
      <c r="H25" s="7"/>
      <c r="I25" s="7">
        <f t="shared" si="1"/>
        <v>0</v>
      </c>
      <c r="J25" s="7"/>
      <c r="K25" s="7"/>
      <c r="L25" s="7">
        <f t="shared" si="2"/>
        <v>0</v>
      </c>
    </row>
    <row r="26" spans="2:12" x14ac:dyDescent="0.3">
      <c r="B26" s="7"/>
      <c r="C26" s="7"/>
      <c r="D26" s="7"/>
      <c r="E26" s="7">
        <f t="shared" si="0"/>
        <v>0</v>
      </c>
      <c r="F26" s="7"/>
      <c r="G26" s="7"/>
      <c r="H26" s="7"/>
      <c r="I26" s="7">
        <f t="shared" si="1"/>
        <v>0</v>
      </c>
      <c r="J26" s="7"/>
      <c r="K26" s="7"/>
      <c r="L26" s="7">
        <f t="shared" si="2"/>
        <v>0</v>
      </c>
    </row>
    <row r="27" spans="2:12" x14ac:dyDescent="0.3">
      <c r="B27" s="7" t="s">
        <v>97</v>
      </c>
      <c r="C27" s="7"/>
      <c r="D27" s="7"/>
      <c r="E27" s="7">
        <f t="shared" si="0"/>
        <v>0</v>
      </c>
      <c r="F27" s="7"/>
      <c r="G27" s="7"/>
      <c r="H27" s="7"/>
      <c r="I27" s="7">
        <f t="shared" si="1"/>
        <v>0</v>
      </c>
      <c r="J27" s="7"/>
      <c r="K27" s="7"/>
      <c r="L27" s="7">
        <f t="shared" si="2"/>
        <v>0</v>
      </c>
    </row>
    <row r="28" spans="2:12" x14ac:dyDescent="0.3">
      <c r="B28" s="7" t="s">
        <v>98</v>
      </c>
      <c r="C28" s="7"/>
      <c r="D28" s="7"/>
      <c r="E28" s="7">
        <f t="shared" si="0"/>
        <v>0</v>
      </c>
      <c r="F28" s="7"/>
      <c r="G28" s="7"/>
      <c r="H28" s="7"/>
      <c r="I28" s="7">
        <f t="shared" si="1"/>
        <v>0</v>
      </c>
      <c r="J28" s="7"/>
      <c r="K28" s="7"/>
      <c r="L28" s="7">
        <f t="shared" si="2"/>
        <v>0</v>
      </c>
    </row>
    <row r="29" spans="2:12" x14ac:dyDescent="0.3">
      <c r="B29" s="7" t="s">
        <v>99</v>
      </c>
      <c r="C29" s="7"/>
      <c r="D29" s="7"/>
      <c r="E29" s="7">
        <f t="shared" si="0"/>
        <v>0</v>
      </c>
      <c r="F29" s="7"/>
      <c r="G29" s="7"/>
      <c r="H29" s="7"/>
      <c r="I29" s="7">
        <f t="shared" si="1"/>
        <v>0</v>
      </c>
      <c r="J29" s="7"/>
      <c r="K29" s="7"/>
      <c r="L29" s="7">
        <f t="shared" si="2"/>
        <v>0</v>
      </c>
    </row>
    <row r="30" spans="2:12" x14ac:dyDescent="0.3">
      <c r="B30" s="7" t="s">
        <v>100</v>
      </c>
      <c r="C30" s="7"/>
      <c r="D30" s="7"/>
      <c r="E30" s="7">
        <f t="shared" si="0"/>
        <v>0</v>
      </c>
      <c r="F30" s="7"/>
      <c r="G30" s="7"/>
      <c r="H30" s="7"/>
      <c r="I30" s="7">
        <f>G30*H30</f>
        <v>0</v>
      </c>
      <c r="J30" s="7"/>
      <c r="K30" s="7"/>
      <c r="L30" s="7">
        <f>J30*K30</f>
        <v>0</v>
      </c>
    </row>
    <row r="31" spans="2:12" x14ac:dyDescent="0.3">
      <c r="B31" s="7"/>
      <c r="C31" s="7"/>
      <c r="D31" s="7"/>
      <c r="E31" s="7">
        <f t="shared" si="0"/>
        <v>0</v>
      </c>
      <c r="F31" s="7"/>
      <c r="G31" s="7"/>
      <c r="H31" s="7"/>
      <c r="I31" s="7">
        <f>G31*H31</f>
        <v>0</v>
      </c>
      <c r="J31" s="7"/>
      <c r="K31" s="7"/>
      <c r="L31" s="7">
        <f>J31*K31</f>
        <v>0</v>
      </c>
    </row>
    <row r="32" spans="2:12" x14ac:dyDescent="0.3">
      <c r="B32" s="7"/>
      <c r="C32" s="7"/>
      <c r="D32" s="7"/>
      <c r="E32" s="7">
        <f t="shared" si="0"/>
        <v>0</v>
      </c>
      <c r="F32" s="7"/>
      <c r="G32" s="7"/>
      <c r="H32" s="7"/>
      <c r="I32" s="7">
        <f>G32*H32</f>
        <v>0</v>
      </c>
      <c r="J32" s="7"/>
      <c r="K32" s="7"/>
      <c r="L32" s="7">
        <f>J32*K32</f>
        <v>0</v>
      </c>
    </row>
    <row r="33" spans="2:12" x14ac:dyDescent="0.3">
      <c r="B33" s="7"/>
      <c r="C33" s="7"/>
      <c r="D33" s="7"/>
      <c r="E33" s="7">
        <f t="shared" si="0"/>
        <v>0</v>
      </c>
      <c r="F33" s="7"/>
      <c r="G33" s="7"/>
      <c r="H33" s="7"/>
      <c r="I33" s="7">
        <f>G33*H33</f>
        <v>0</v>
      </c>
      <c r="J33" s="7"/>
      <c r="K33" s="7"/>
      <c r="L33" s="7">
        <f>J33*K33</f>
        <v>0</v>
      </c>
    </row>
    <row r="34" spans="2:12" x14ac:dyDescent="0.3">
      <c r="B34" s="7" t="s">
        <v>61</v>
      </c>
      <c r="C34" s="7"/>
      <c r="D34" s="7">
        <f>E34*10.764</f>
        <v>205.45677359999996</v>
      </c>
      <c r="E34" s="7">
        <f>SUM(E6:E33)</f>
        <v>19.087399999999999</v>
      </c>
      <c r="F34" s="7"/>
      <c r="G34" s="7"/>
      <c r="H34" s="7">
        <f>I34*10.764</f>
        <v>0</v>
      </c>
      <c r="I34" s="7">
        <f>SUM(I6:I33)</f>
        <v>0</v>
      </c>
      <c r="J34" s="7"/>
      <c r="K34" s="7">
        <f>L34*10.764</f>
        <v>0</v>
      </c>
      <c r="L34" s="7">
        <f>SUM(L6:L33)</f>
        <v>0</v>
      </c>
    </row>
    <row r="36" spans="2:12" x14ac:dyDescent="0.3">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
  <sheetViews>
    <sheetView workbookViewId="0">
      <selection activeCell="F1" sqref="F1:G8"/>
    </sheetView>
  </sheetViews>
  <sheetFormatPr defaultRowHeight="14.4" x14ac:dyDescent="0.3"/>
  <sheetData>
    <row r="1" spans="1:7" x14ac:dyDescent="0.3">
      <c r="A1">
        <v>1</v>
      </c>
      <c r="C1" s="181" t="str">
        <f>(900+A1)&amp;",…,"&amp;(3400+A1)</f>
        <v>901,…,3401</v>
      </c>
      <c r="D1" s="181"/>
      <c r="F1" s="181" t="s">
        <v>198</v>
      </c>
      <c r="G1" s="181"/>
    </row>
    <row r="2" spans="1:7" x14ac:dyDescent="0.3">
      <c r="A2">
        <v>2</v>
      </c>
      <c r="C2" s="181" t="str">
        <f t="shared" ref="C2:C8" si="0">(900+A2)&amp;",…,"&amp;(3400+A2)</f>
        <v>902,…,3402</v>
      </c>
      <c r="D2" s="181"/>
      <c r="F2" s="181" t="s">
        <v>199</v>
      </c>
      <c r="G2" s="181"/>
    </row>
    <row r="3" spans="1:7" x14ac:dyDescent="0.3">
      <c r="A3">
        <v>3</v>
      </c>
      <c r="C3" s="181" t="str">
        <f t="shared" si="0"/>
        <v>903,…,3403</v>
      </c>
      <c r="D3" s="181"/>
      <c r="F3" s="181" t="s">
        <v>200</v>
      </c>
      <c r="G3" s="181"/>
    </row>
    <row r="4" spans="1:7" x14ac:dyDescent="0.3">
      <c r="A4">
        <v>4</v>
      </c>
      <c r="C4" s="181" t="str">
        <f t="shared" si="0"/>
        <v>904,…,3404</v>
      </c>
      <c r="D4" s="181"/>
      <c r="F4" s="181" t="s">
        <v>201</v>
      </c>
      <c r="G4" s="181"/>
    </row>
    <row r="5" spans="1:7" x14ac:dyDescent="0.3">
      <c r="A5">
        <v>5</v>
      </c>
      <c r="C5" s="181" t="str">
        <f t="shared" si="0"/>
        <v>905,…,3405</v>
      </c>
      <c r="D5" s="181"/>
      <c r="F5" s="181" t="s">
        <v>202</v>
      </c>
      <c r="G5" s="181"/>
    </row>
    <row r="6" spans="1:7" x14ac:dyDescent="0.3">
      <c r="A6">
        <v>6</v>
      </c>
      <c r="C6" s="181" t="str">
        <f t="shared" si="0"/>
        <v>906,…,3406</v>
      </c>
      <c r="D6" s="181"/>
      <c r="F6" s="181" t="s">
        <v>203</v>
      </c>
      <c r="G6" s="181"/>
    </row>
    <row r="7" spans="1:7" x14ac:dyDescent="0.3">
      <c r="A7">
        <v>7</v>
      </c>
      <c r="C7" s="181" t="str">
        <f t="shared" si="0"/>
        <v>907,…,3407</v>
      </c>
      <c r="D7" s="181"/>
      <c r="F7" s="181" t="s">
        <v>204</v>
      </c>
      <c r="G7" s="181"/>
    </row>
    <row r="8" spans="1:7" x14ac:dyDescent="0.3">
      <c r="A8">
        <v>8</v>
      </c>
      <c r="C8" s="181" t="str">
        <f t="shared" si="0"/>
        <v>908,…,3408</v>
      </c>
      <c r="D8" s="181"/>
      <c r="F8" s="181" t="s">
        <v>205</v>
      </c>
      <c r="G8" s="181"/>
    </row>
    <row r="9" spans="1:7" x14ac:dyDescent="0.3">
      <c r="C9" s="181"/>
      <c r="D9" s="181"/>
    </row>
  </sheetData>
  <mergeCells count="17">
    <mergeCell ref="C5:D5"/>
    <mergeCell ref="C1:D1"/>
    <mergeCell ref="F1:G1"/>
    <mergeCell ref="C2:D2"/>
    <mergeCell ref="C3:D3"/>
    <mergeCell ref="C4:D4"/>
    <mergeCell ref="F2:G2"/>
    <mergeCell ref="F3:G3"/>
    <mergeCell ref="F4:G4"/>
    <mergeCell ref="F5:G5"/>
    <mergeCell ref="C9:D9"/>
    <mergeCell ref="F7:G7"/>
    <mergeCell ref="F6:G6"/>
    <mergeCell ref="F8:G8"/>
    <mergeCell ref="C6:D6"/>
    <mergeCell ref="C7:D7"/>
    <mergeCell ref="C8:D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
  <sheetViews>
    <sheetView zoomScale="115" zoomScaleNormal="115" workbookViewId="0">
      <selection activeCell="C9" sqref="C9"/>
    </sheetView>
  </sheetViews>
  <sheetFormatPr defaultColWidth="8.6640625" defaultRowHeight="14.4" x14ac:dyDescent="0.3"/>
  <cols>
    <col min="1" max="1" width="8.6640625" style="28"/>
    <col min="2" max="2" width="22.109375" style="28" customWidth="1"/>
    <col min="3" max="3" width="37" style="28" customWidth="1"/>
    <col min="4" max="5" width="11.44140625" style="28" customWidth="1"/>
    <col min="6" max="6" width="14" style="28" customWidth="1"/>
    <col min="7" max="7" width="20" style="28" customWidth="1"/>
    <col min="8" max="8" width="16.44140625" style="28" customWidth="1"/>
    <col min="9" max="16384" width="8.6640625" style="28"/>
  </cols>
  <sheetData>
    <row r="1" spans="1:9" ht="15" customHeight="1" x14ac:dyDescent="0.3"/>
    <row r="2" spans="1:9" ht="15" customHeight="1" x14ac:dyDescent="0.3">
      <c r="A2" s="29"/>
      <c r="B2" s="29"/>
      <c r="C2" s="29"/>
      <c r="D2" s="29"/>
      <c r="E2" s="29"/>
      <c r="F2" s="29"/>
      <c r="G2" s="29"/>
      <c r="H2" s="29"/>
    </row>
    <row r="3" spans="1:9" ht="15.75" customHeight="1" x14ac:dyDescent="0.3">
      <c r="A3" s="29"/>
      <c r="B3" s="182" t="s">
        <v>140</v>
      </c>
      <c r="C3" s="182"/>
      <c r="D3" s="182"/>
      <c r="E3" s="182"/>
      <c r="F3" s="182"/>
      <c r="G3" s="182"/>
      <c r="H3" s="182"/>
    </row>
    <row r="4" spans="1:9" x14ac:dyDescent="0.3">
      <c r="A4" s="29"/>
      <c r="B4" s="30" t="s">
        <v>141</v>
      </c>
      <c r="C4" s="30" t="s">
        <v>142</v>
      </c>
      <c r="D4" s="30" t="s">
        <v>80</v>
      </c>
      <c r="E4" s="30" t="s">
        <v>143</v>
      </c>
      <c r="F4" s="30" t="s">
        <v>148</v>
      </c>
      <c r="G4" s="30" t="s">
        <v>149</v>
      </c>
      <c r="H4" s="30" t="s">
        <v>144</v>
      </c>
    </row>
    <row r="5" spans="1:9" ht="15" customHeight="1" x14ac:dyDescent="0.3">
      <c r="A5" s="29"/>
      <c r="B5" s="32" t="s">
        <v>145</v>
      </c>
      <c r="C5" s="44" t="s">
        <v>210</v>
      </c>
      <c r="D5" s="45" t="s">
        <v>167</v>
      </c>
      <c r="E5" s="32">
        <v>438</v>
      </c>
      <c r="F5" s="33">
        <f>E5*1.6</f>
        <v>700.80000000000007</v>
      </c>
      <c r="G5" s="33">
        <f>H5/F5</f>
        <v>6809.3607305936066</v>
      </c>
      <c r="H5" s="34">
        <v>4772000</v>
      </c>
    </row>
    <row r="6" spans="1:9" x14ac:dyDescent="0.3">
      <c r="A6" s="29"/>
      <c r="B6" s="32" t="s">
        <v>145</v>
      </c>
      <c r="C6" s="44" t="s">
        <v>210</v>
      </c>
      <c r="D6" s="45" t="s">
        <v>166</v>
      </c>
      <c r="E6" s="32">
        <v>605.15</v>
      </c>
      <c r="F6" s="33">
        <f t="shared" ref="F6:F8" si="0">E6*1.6</f>
        <v>968.24</v>
      </c>
      <c r="G6" s="33">
        <f t="shared" ref="G6:G8" si="1">H6/F6</f>
        <v>7952.5737420474261</v>
      </c>
      <c r="H6" s="34">
        <v>7700000</v>
      </c>
    </row>
    <row r="7" spans="1:9" ht="15" customHeight="1" x14ac:dyDescent="0.3">
      <c r="A7" s="29"/>
      <c r="B7" s="32" t="s">
        <v>145</v>
      </c>
      <c r="C7" s="44" t="s">
        <v>210</v>
      </c>
      <c r="D7" s="45" t="s">
        <v>166</v>
      </c>
      <c r="E7" s="32">
        <v>657</v>
      </c>
      <c r="F7" s="33">
        <f t="shared" si="0"/>
        <v>1051.2</v>
      </c>
      <c r="G7" s="33">
        <f t="shared" si="1"/>
        <v>7966.1339421613393</v>
      </c>
      <c r="H7" s="34">
        <v>8374000</v>
      </c>
    </row>
    <row r="8" spans="1:9" x14ac:dyDescent="0.3">
      <c r="A8" s="29"/>
      <c r="B8" s="32" t="s">
        <v>145</v>
      </c>
      <c r="C8" s="44" t="s">
        <v>210</v>
      </c>
      <c r="D8" s="45" t="s">
        <v>166</v>
      </c>
      <c r="E8" s="32">
        <v>732</v>
      </c>
      <c r="F8" s="33">
        <f t="shared" si="0"/>
        <v>1171.2</v>
      </c>
      <c r="G8" s="33">
        <f t="shared" si="1"/>
        <v>7954.2349726775956</v>
      </c>
      <c r="H8" s="34">
        <v>9316000</v>
      </c>
    </row>
    <row r="9" spans="1:9" ht="15" customHeight="1" x14ac:dyDescent="0.3">
      <c r="A9" s="29"/>
      <c r="B9" s="35" t="s">
        <v>146</v>
      </c>
      <c r="C9" s="32"/>
      <c r="D9" s="32"/>
      <c r="E9" s="32"/>
      <c r="F9" s="32"/>
      <c r="G9" s="36">
        <f>AVERAGE(G5:G8)</f>
        <v>7670.5758468699914</v>
      </c>
      <c r="H9" s="32"/>
    </row>
    <row r="10" spans="1:9" ht="15" customHeight="1" x14ac:dyDescent="0.3">
      <c r="B10" s="35" t="s">
        <v>147</v>
      </c>
      <c r="C10" s="32"/>
      <c r="D10" s="32"/>
      <c r="E10" s="32"/>
      <c r="F10" s="37"/>
      <c r="G10" s="35">
        <v>7700</v>
      </c>
      <c r="H10" s="35"/>
      <c r="I10" s="31"/>
    </row>
    <row r="11" spans="1:9" ht="15" customHeight="1" x14ac:dyDescent="0.3"/>
    <row r="12" spans="1:9" ht="15" customHeight="1" x14ac:dyDescent="0.3"/>
    <row r="13" spans="1:9" ht="15" customHeight="1" x14ac:dyDescent="0.3"/>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Sheet1</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pranitam503@gmail.com</cp:lastModifiedBy>
  <cp:lastPrinted>2025-08-15T08:36:35Z</cp:lastPrinted>
  <dcterms:created xsi:type="dcterms:W3CDTF">2019-07-16T09:29:46Z</dcterms:created>
  <dcterms:modified xsi:type="dcterms:W3CDTF">2025-08-15T08:54:14Z</dcterms:modified>
</cp:coreProperties>
</file>