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rani\Downloads\dump August Miraroad\"/>
    </mc:Choice>
  </mc:AlternateContent>
  <xr:revisionPtr revIDLastSave="0" documentId="13_ncr:1_{2D9E7BC5-D74A-46D5-AE13-B90354B7886F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Tower A" sheetId="6" r:id="rId2"/>
    <sheet name="valuation" sheetId="5" r:id="rId3"/>
    <sheet name="Research" sheetId="4" r:id="rId4"/>
  </sheets>
  <definedNames>
    <definedName name="_xlnm.Print_Area" localSheetId="0">Report!$A$1:$H$646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49" i="1" l="1"/>
  <c r="D448" i="1"/>
  <c r="D446" i="1"/>
  <c r="D444" i="1"/>
  <c r="D443" i="1"/>
  <c r="D441" i="1"/>
  <c r="D439" i="1"/>
  <c r="D438" i="1"/>
  <c r="D436" i="1"/>
  <c r="D434" i="1"/>
  <c r="D429" i="1"/>
  <c r="D431" i="1"/>
  <c r="D428" i="1"/>
  <c r="D423" i="1"/>
  <c r="D418" i="1"/>
  <c r="D416" i="1"/>
  <c r="D421" i="1"/>
  <c r="D426" i="1"/>
  <c r="D424" i="1"/>
  <c r="D419" i="1"/>
  <c r="D414" i="1"/>
  <c r="D413" i="1"/>
  <c r="D412" i="1"/>
  <c r="D411" i="1"/>
  <c r="D398" i="1"/>
  <c r="D403" i="1"/>
  <c r="D409" i="1"/>
  <c r="D407" i="1"/>
  <c r="D406" i="1"/>
  <c r="D402" i="1"/>
  <c r="D401" i="1"/>
  <c r="D400" i="1"/>
  <c r="D397" i="1"/>
  <c r="D396" i="1"/>
  <c r="D395" i="1"/>
  <c r="D388" i="1"/>
  <c r="D385" i="1"/>
  <c r="D392" i="1"/>
  <c r="D390" i="1"/>
  <c r="D393" i="1"/>
  <c r="D383" i="1"/>
  <c r="D378" i="1"/>
  <c r="D382" i="1"/>
  <c r="D377" i="1"/>
  <c r="D380" i="1"/>
  <c r="D375" i="1"/>
  <c r="D373" i="1"/>
  <c r="D372" i="1"/>
  <c r="D370" i="1"/>
  <c r="D368" i="1"/>
  <c r="D367" i="1"/>
  <c r="D365" i="1"/>
  <c r="D361" i="1"/>
  <c r="D358" i="1"/>
  <c r="D353" i="1"/>
  <c r="D357" i="1"/>
  <c r="D356" i="1"/>
  <c r="D351" i="1"/>
  <c r="D355" i="1"/>
  <c r="D350" i="1"/>
  <c r="D338" i="1"/>
  <c r="D343" i="1"/>
  <c r="D337" i="1"/>
  <c r="A189" i="1"/>
  <c r="A190" i="1" s="1"/>
  <c r="A191" i="1" s="1"/>
  <c r="G188" i="1"/>
  <c r="A184" i="1"/>
  <c r="A185" i="1" s="1"/>
  <c r="A186" i="1" s="1"/>
  <c r="G183" i="1"/>
  <c r="A179" i="1"/>
  <c r="A180" i="1" s="1"/>
  <c r="A181" i="1" s="1"/>
  <c r="G178" i="1"/>
  <c r="D63" i="1"/>
  <c r="I311" i="1" l="1"/>
  <c r="K142" i="1"/>
  <c r="I397" i="1"/>
  <c r="I372" i="1"/>
  <c r="I332" i="1"/>
  <c r="F449" i="1"/>
  <c r="F448" i="1"/>
  <c r="D447" i="1"/>
  <c r="F447" i="1" s="1"/>
  <c r="A447" i="1"/>
  <c r="A448" i="1" s="1"/>
  <c r="A449" i="1" s="1"/>
  <c r="G446" i="1"/>
  <c r="F446" i="1"/>
  <c r="F444" i="1"/>
  <c r="F443" i="1"/>
  <c r="D442" i="1"/>
  <c r="F442" i="1" s="1"/>
  <c r="A442" i="1"/>
  <c r="A443" i="1" s="1"/>
  <c r="A444" i="1" s="1"/>
  <c r="G441" i="1"/>
  <c r="F441" i="1"/>
  <c r="F454" i="1"/>
  <c r="D453" i="1"/>
  <c r="F453" i="1" s="1"/>
  <c r="D452" i="1"/>
  <c r="F452" i="1" s="1"/>
  <c r="A452" i="1"/>
  <c r="A453" i="1" s="1"/>
  <c r="A454" i="1" s="1"/>
  <c r="G451" i="1"/>
  <c r="D451" i="1"/>
  <c r="F451" i="1" s="1"/>
  <c r="F434" i="1"/>
  <c r="F433" i="1"/>
  <c r="D432" i="1"/>
  <c r="F432" i="1" s="1"/>
  <c r="A432" i="1"/>
  <c r="A433" i="1" s="1"/>
  <c r="A434" i="1" s="1"/>
  <c r="G431" i="1"/>
  <c r="F431" i="1"/>
  <c r="F439" i="1"/>
  <c r="F438" i="1"/>
  <c r="D437" i="1"/>
  <c r="F437" i="1" s="1"/>
  <c r="A437" i="1"/>
  <c r="A438" i="1" s="1"/>
  <c r="A439" i="1" s="1"/>
  <c r="G436" i="1"/>
  <c r="F436" i="1"/>
  <c r="F429" i="1"/>
  <c r="F428" i="1"/>
  <c r="D427" i="1"/>
  <c r="F427" i="1" s="1"/>
  <c r="A427" i="1"/>
  <c r="A428" i="1" s="1"/>
  <c r="A429" i="1" s="1"/>
  <c r="G426" i="1"/>
  <c r="F426" i="1"/>
  <c r="F424" i="1"/>
  <c r="F423" i="1"/>
  <c r="D422" i="1"/>
  <c r="F422" i="1" s="1"/>
  <c r="A422" i="1"/>
  <c r="A423" i="1" s="1"/>
  <c r="A424" i="1" s="1"/>
  <c r="G421" i="1"/>
  <c r="F421" i="1"/>
  <c r="D417" i="1"/>
  <c r="F417" i="1" s="1"/>
  <c r="F418" i="1"/>
  <c r="F416" i="1"/>
  <c r="F419" i="1"/>
  <c r="A417" i="1"/>
  <c r="A418" i="1" s="1"/>
  <c r="A419" i="1" s="1"/>
  <c r="G416" i="1"/>
  <c r="F414" i="1"/>
  <c r="F413" i="1"/>
  <c r="F412" i="1"/>
  <c r="A412" i="1"/>
  <c r="A413" i="1" s="1"/>
  <c r="A414" i="1" s="1"/>
  <c r="G411" i="1"/>
  <c r="F411" i="1"/>
  <c r="F409" i="1"/>
  <c r="F407" i="1"/>
  <c r="A407" i="1"/>
  <c r="A408" i="1" s="1"/>
  <c r="A409" i="1" s="1"/>
  <c r="G406" i="1"/>
  <c r="F406" i="1"/>
  <c r="F403" i="1"/>
  <c r="F402" i="1"/>
  <c r="F401" i="1"/>
  <c r="A401" i="1"/>
  <c r="A402" i="1" s="1"/>
  <c r="A403" i="1" s="1"/>
  <c r="G400" i="1"/>
  <c r="F400" i="1"/>
  <c r="F398" i="1"/>
  <c r="F397" i="1"/>
  <c r="F396" i="1"/>
  <c r="A396" i="1"/>
  <c r="A397" i="1" s="1"/>
  <c r="A398" i="1" s="1"/>
  <c r="G395" i="1"/>
  <c r="F395" i="1"/>
  <c r="F393" i="1"/>
  <c r="F392" i="1"/>
  <c r="D391" i="1"/>
  <c r="F391" i="1" s="1"/>
  <c r="A391" i="1"/>
  <c r="A392" i="1" s="1"/>
  <c r="A393" i="1" s="1"/>
  <c r="G390" i="1"/>
  <c r="F390" i="1"/>
  <c r="F388" i="1"/>
  <c r="D386" i="1"/>
  <c r="F386" i="1" s="1"/>
  <c r="A386" i="1"/>
  <c r="A387" i="1" s="1"/>
  <c r="A388" i="1" s="1"/>
  <c r="G385" i="1"/>
  <c r="F385" i="1"/>
  <c r="F383" i="1"/>
  <c r="F382" i="1"/>
  <c r="D381" i="1"/>
  <c r="F381" i="1" s="1"/>
  <c r="A381" i="1"/>
  <c r="A382" i="1" s="1"/>
  <c r="A383" i="1" s="1"/>
  <c r="G380" i="1"/>
  <c r="F380" i="1"/>
  <c r="F378" i="1"/>
  <c r="F377" i="1"/>
  <c r="D376" i="1"/>
  <c r="F376" i="1" s="1"/>
  <c r="A376" i="1"/>
  <c r="A377" i="1" s="1"/>
  <c r="A378" i="1" s="1"/>
  <c r="G375" i="1"/>
  <c r="F375" i="1"/>
  <c r="D371" i="1"/>
  <c r="D366" i="1"/>
  <c r="F366" i="1" s="1"/>
  <c r="F373" i="1"/>
  <c r="F372" i="1"/>
  <c r="F371" i="1"/>
  <c r="A371" i="1"/>
  <c r="A372" i="1" s="1"/>
  <c r="A373" i="1" s="1"/>
  <c r="G370" i="1"/>
  <c r="F370" i="1"/>
  <c r="F361" i="1"/>
  <c r="F365" i="1"/>
  <c r="F357" i="1"/>
  <c r="F355" i="1"/>
  <c r="F356" i="1"/>
  <c r="D360" i="1"/>
  <c r="F351" i="1"/>
  <c r="F350" i="1"/>
  <c r="D346" i="1"/>
  <c r="F346" i="1" s="1"/>
  <c r="D345" i="1"/>
  <c r="F345" i="1" s="1"/>
  <c r="D341" i="1"/>
  <c r="F341" i="1" s="1"/>
  <c r="D340" i="1"/>
  <c r="F340" i="1" s="1"/>
  <c r="D336" i="1"/>
  <c r="F336" i="1" s="1"/>
  <c r="D335" i="1"/>
  <c r="F335" i="1" s="1"/>
  <c r="D331" i="1"/>
  <c r="F331" i="1" s="1"/>
  <c r="D330" i="1"/>
  <c r="I338" i="1"/>
  <c r="F368" i="1"/>
  <c r="F367" i="1"/>
  <c r="A366" i="1"/>
  <c r="A367" i="1" s="1"/>
  <c r="A368" i="1" s="1"/>
  <c r="G365" i="1"/>
  <c r="I350" i="1"/>
  <c r="F358" i="1"/>
  <c r="A356" i="1"/>
  <c r="A357" i="1" s="1"/>
  <c r="A358" i="1" s="1"/>
  <c r="G355" i="1"/>
  <c r="D363" i="1"/>
  <c r="F363" i="1" s="1"/>
  <c r="A361" i="1"/>
  <c r="A362" i="1" s="1"/>
  <c r="A363" i="1" s="1"/>
  <c r="G360" i="1"/>
  <c r="F360" i="1"/>
  <c r="D348" i="1"/>
  <c r="F348" i="1" s="1"/>
  <c r="A346" i="1"/>
  <c r="A347" i="1" s="1"/>
  <c r="A348" i="1" s="1"/>
  <c r="G345" i="1"/>
  <c r="F459" i="1"/>
  <c r="F458" i="1"/>
  <c r="F457" i="1"/>
  <c r="A457" i="1"/>
  <c r="A458" i="1" s="1"/>
  <c r="A459" i="1" s="1"/>
  <c r="G456" i="1"/>
  <c r="G457" i="1" s="1"/>
  <c r="G458" i="1" s="1"/>
  <c r="G459" i="1" s="1"/>
  <c r="F456" i="1"/>
  <c r="D352" i="1"/>
  <c r="F352" i="1" s="1"/>
  <c r="D342" i="1"/>
  <c r="F342" i="1" s="1"/>
  <c r="F343" i="1"/>
  <c r="A341" i="1"/>
  <c r="A342" i="1" s="1"/>
  <c r="A343" i="1" s="1"/>
  <c r="G340" i="1"/>
  <c r="F353" i="1"/>
  <c r="A351" i="1"/>
  <c r="A352" i="1" s="1"/>
  <c r="A353" i="1" s="1"/>
  <c r="G350" i="1"/>
  <c r="F337" i="1"/>
  <c r="D333" i="1"/>
  <c r="F333" i="1" s="1"/>
  <c r="F338" i="1"/>
  <c r="A336" i="1"/>
  <c r="A337" i="1" s="1"/>
  <c r="A338" i="1" s="1"/>
  <c r="G335" i="1"/>
  <c r="A331" i="1"/>
  <c r="A332" i="1" s="1"/>
  <c r="A333" i="1" s="1"/>
  <c r="G330" i="1"/>
  <c r="AG222" i="6"/>
  <c r="AG221" i="6"/>
  <c r="AC221" i="6"/>
  <c r="Y221" i="6"/>
  <c r="U221" i="6"/>
  <c r="AG220" i="6"/>
  <c r="AC220" i="6"/>
  <c r="Y220" i="6"/>
  <c r="U220" i="6"/>
  <c r="AF219" i="6"/>
  <c r="AE219" i="6"/>
  <c r="AG219" i="6" s="1"/>
  <c r="AB219" i="6"/>
  <c r="AA219" i="6"/>
  <c r="Y219" i="6"/>
  <c r="T219" i="6"/>
  <c r="S219" i="6"/>
  <c r="AG218" i="6"/>
  <c r="AC218" i="6"/>
  <c r="Y218" i="6"/>
  <c r="U218" i="6"/>
  <c r="AG217" i="6"/>
  <c r="AC217" i="6"/>
  <c r="Y217" i="6"/>
  <c r="U217" i="6"/>
  <c r="AG216" i="6"/>
  <c r="AC216" i="6"/>
  <c r="Y216" i="6"/>
  <c r="U216" i="6"/>
  <c r="AG215" i="6"/>
  <c r="AC215" i="6"/>
  <c r="Y215" i="6"/>
  <c r="U215" i="6"/>
  <c r="AG214" i="6"/>
  <c r="AC214" i="6"/>
  <c r="Y214" i="6"/>
  <c r="U214" i="6"/>
  <c r="AG213" i="6"/>
  <c r="AC213" i="6"/>
  <c r="Y213" i="6"/>
  <c r="U213" i="6"/>
  <c r="AG212" i="6"/>
  <c r="AC212" i="6"/>
  <c r="Y212" i="6"/>
  <c r="U212" i="6"/>
  <c r="AG211" i="6"/>
  <c r="AC211" i="6"/>
  <c r="Y211" i="6"/>
  <c r="U211" i="6"/>
  <c r="AG210" i="6"/>
  <c r="AC210" i="6"/>
  <c r="Y210" i="6"/>
  <c r="U210" i="6"/>
  <c r="AG209" i="6"/>
  <c r="AC209" i="6"/>
  <c r="Y209" i="6"/>
  <c r="U209" i="6"/>
  <c r="AG208" i="6"/>
  <c r="AC208" i="6"/>
  <c r="Y208" i="6"/>
  <c r="U208" i="6"/>
  <c r="AG207" i="6"/>
  <c r="AC207" i="6"/>
  <c r="Y207" i="6"/>
  <c r="U207" i="6"/>
  <c r="AG206" i="6"/>
  <c r="AC206" i="6"/>
  <c r="Y206" i="6"/>
  <c r="U206" i="6"/>
  <c r="AG205" i="6"/>
  <c r="AC205" i="6"/>
  <c r="Y205" i="6"/>
  <c r="U205" i="6"/>
  <c r="AG204" i="6"/>
  <c r="AC204" i="6"/>
  <c r="Y204" i="6"/>
  <c r="U204" i="6"/>
  <c r="AG203" i="6"/>
  <c r="AC203" i="6"/>
  <c r="Y203" i="6"/>
  <c r="U203" i="6"/>
  <c r="AG202" i="6"/>
  <c r="AC202" i="6"/>
  <c r="Y202" i="6"/>
  <c r="U202" i="6"/>
  <c r="AG201" i="6"/>
  <c r="AC201" i="6"/>
  <c r="Y201" i="6"/>
  <c r="U201" i="6"/>
  <c r="AG200" i="6"/>
  <c r="AC200" i="6"/>
  <c r="X200" i="6"/>
  <c r="W200" i="6"/>
  <c r="U200" i="6"/>
  <c r="AG199" i="6"/>
  <c r="AC199" i="6"/>
  <c r="Y199" i="6"/>
  <c r="U199" i="6"/>
  <c r="P222" i="6"/>
  <c r="P221" i="6"/>
  <c r="L221" i="6"/>
  <c r="H221" i="6"/>
  <c r="D221" i="6"/>
  <c r="P220" i="6"/>
  <c r="L220" i="6"/>
  <c r="H220" i="6"/>
  <c r="D220" i="6"/>
  <c r="O219" i="6"/>
  <c r="N219" i="6"/>
  <c r="K219" i="6"/>
  <c r="J219" i="6"/>
  <c r="H219" i="6"/>
  <c r="C219" i="6"/>
  <c r="B219" i="6"/>
  <c r="P218" i="6"/>
  <c r="L218" i="6"/>
  <c r="H218" i="6"/>
  <c r="D218" i="6"/>
  <c r="P217" i="6"/>
  <c r="L217" i="6"/>
  <c r="H217" i="6"/>
  <c r="D217" i="6"/>
  <c r="P216" i="6"/>
  <c r="L216" i="6"/>
  <c r="H216" i="6"/>
  <c r="D216" i="6"/>
  <c r="P215" i="6"/>
  <c r="L215" i="6"/>
  <c r="H215" i="6"/>
  <c r="D215" i="6"/>
  <c r="P214" i="6"/>
  <c r="L214" i="6"/>
  <c r="H214" i="6"/>
  <c r="D214" i="6"/>
  <c r="P213" i="6"/>
  <c r="L213" i="6"/>
  <c r="H213" i="6"/>
  <c r="D213" i="6"/>
  <c r="P212" i="6"/>
  <c r="L212" i="6"/>
  <c r="H212" i="6"/>
  <c r="D212" i="6"/>
  <c r="P211" i="6"/>
  <c r="L211" i="6"/>
  <c r="H211" i="6"/>
  <c r="D211" i="6"/>
  <c r="P210" i="6"/>
  <c r="L210" i="6"/>
  <c r="H210" i="6"/>
  <c r="D210" i="6"/>
  <c r="P209" i="6"/>
  <c r="L209" i="6"/>
  <c r="H209" i="6"/>
  <c r="D209" i="6"/>
  <c r="P208" i="6"/>
  <c r="L208" i="6"/>
  <c r="H208" i="6"/>
  <c r="D208" i="6"/>
  <c r="P207" i="6"/>
  <c r="L207" i="6"/>
  <c r="H207" i="6"/>
  <c r="D207" i="6"/>
  <c r="P206" i="6"/>
  <c r="L206" i="6"/>
  <c r="H206" i="6"/>
  <c r="D206" i="6"/>
  <c r="P205" i="6"/>
  <c r="L205" i="6"/>
  <c r="H205" i="6"/>
  <c r="D205" i="6"/>
  <c r="P204" i="6"/>
  <c r="L204" i="6"/>
  <c r="H204" i="6"/>
  <c r="D204" i="6"/>
  <c r="P203" i="6"/>
  <c r="L203" i="6"/>
  <c r="H203" i="6"/>
  <c r="D203" i="6"/>
  <c r="P202" i="6"/>
  <c r="L202" i="6"/>
  <c r="H202" i="6"/>
  <c r="D202" i="6"/>
  <c r="P201" i="6"/>
  <c r="L201" i="6"/>
  <c r="H201" i="6"/>
  <c r="D201" i="6"/>
  <c r="P200" i="6"/>
  <c r="L200" i="6"/>
  <c r="G200" i="6"/>
  <c r="F200" i="6"/>
  <c r="H200" i="6" s="1"/>
  <c r="D200" i="6"/>
  <c r="P199" i="6"/>
  <c r="L199" i="6"/>
  <c r="H199" i="6"/>
  <c r="D199" i="6"/>
  <c r="AG195" i="6"/>
  <c r="AG194" i="6"/>
  <c r="AC194" i="6"/>
  <c r="Y194" i="6"/>
  <c r="U194" i="6"/>
  <c r="AG193" i="6"/>
  <c r="AC193" i="6"/>
  <c r="Y193" i="6"/>
  <c r="U193" i="6"/>
  <c r="AF192" i="6"/>
  <c r="AE192" i="6"/>
  <c r="AB192" i="6"/>
  <c r="AA192" i="6"/>
  <c r="Y192" i="6"/>
  <c r="T192" i="6"/>
  <c r="S192" i="6"/>
  <c r="AG191" i="6"/>
  <c r="AC191" i="6"/>
  <c r="Y191" i="6"/>
  <c r="U191" i="6"/>
  <c r="AG190" i="6"/>
  <c r="AC190" i="6"/>
  <c r="Y190" i="6"/>
  <c r="U190" i="6"/>
  <c r="AG189" i="6"/>
  <c r="AC189" i="6"/>
  <c r="Y189" i="6"/>
  <c r="U189" i="6"/>
  <c r="AG188" i="6"/>
  <c r="AC188" i="6"/>
  <c r="Y188" i="6"/>
  <c r="U188" i="6"/>
  <c r="AG187" i="6"/>
  <c r="AC187" i="6"/>
  <c r="Y187" i="6"/>
  <c r="U187" i="6"/>
  <c r="AG186" i="6"/>
  <c r="AC186" i="6"/>
  <c r="Y186" i="6"/>
  <c r="U186" i="6"/>
  <c r="AG185" i="6"/>
  <c r="AC185" i="6"/>
  <c r="Y185" i="6"/>
  <c r="U185" i="6"/>
  <c r="AG184" i="6"/>
  <c r="AC184" i="6"/>
  <c r="Y184" i="6"/>
  <c r="U184" i="6"/>
  <c r="AG183" i="6"/>
  <c r="AC183" i="6"/>
  <c r="Y183" i="6"/>
  <c r="U183" i="6"/>
  <c r="AG182" i="6"/>
  <c r="AC182" i="6"/>
  <c r="Y182" i="6"/>
  <c r="U182" i="6"/>
  <c r="AG181" i="6"/>
  <c r="AC181" i="6"/>
  <c r="Y181" i="6"/>
  <c r="U181" i="6"/>
  <c r="AG180" i="6"/>
  <c r="AC180" i="6"/>
  <c r="Y180" i="6"/>
  <c r="U180" i="6"/>
  <c r="AG179" i="6"/>
  <c r="AC179" i="6"/>
  <c r="Y179" i="6"/>
  <c r="U179" i="6"/>
  <c r="AG178" i="6"/>
  <c r="AC178" i="6"/>
  <c r="Y178" i="6"/>
  <c r="U178" i="6"/>
  <c r="AG177" i="6"/>
  <c r="AC177" i="6"/>
  <c r="Y177" i="6"/>
  <c r="U177" i="6"/>
  <c r="AG176" i="6"/>
  <c r="AC176" i="6"/>
  <c r="Y176" i="6"/>
  <c r="U176" i="6"/>
  <c r="AG175" i="6"/>
  <c r="AC175" i="6"/>
  <c r="Y175" i="6"/>
  <c r="U175" i="6"/>
  <c r="AG174" i="6"/>
  <c r="AC174" i="6"/>
  <c r="Y174" i="6"/>
  <c r="U174" i="6"/>
  <c r="AG173" i="6"/>
  <c r="AC173" i="6"/>
  <c r="X173" i="6"/>
  <c r="W173" i="6"/>
  <c r="Y173" i="6" s="1"/>
  <c r="U173" i="6"/>
  <c r="AG172" i="6"/>
  <c r="AC172" i="6"/>
  <c r="Y172" i="6"/>
  <c r="W195" i="6" s="1"/>
  <c r="D295" i="1" s="1"/>
  <c r="U172" i="6"/>
  <c r="P195" i="6"/>
  <c r="P194" i="6"/>
  <c r="L194" i="6"/>
  <c r="H194" i="6"/>
  <c r="D194" i="6"/>
  <c r="P193" i="6"/>
  <c r="L193" i="6"/>
  <c r="H193" i="6"/>
  <c r="D193" i="6"/>
  <c r="O192" i="6"/>
  <c r="N192" i="6"/>
  <c r="P192" i="6" s="1"/>
  <c r="K192" i="6"/>
  <c r="J192" i="6"/>
  <c r="H192" i="6"/>
  <c r="C192" i="6"/>
  <c r="B192" i="6"/>
  <c r="D192" i="6" s="1"/>
  <c r="P191" i="6"/>
  <c r="L191" i="6"/>
  <c r="H191" i="6"/>
  <c r="D191" i="6"/>
  <c r="P190" i="6"/>
  <c r="L190" i="6"/>
  <c r="H190" i="6"/>
  <c r="D190" i="6"/>
  <c r="P189" i="6"/>
  <c r="L189" i="6"/>
  <c r="H189" i="6"/>
  <c r="D189" i="6"/>
  <c r="P188" i="6"/>
  <c r="L188" i="6"/>
  <c r="H188" i="6"/>
  <c r="D188" i="6"/>
  <c r="P187" i="6"/>
  <c r="L187" i="6"/>
  <c r="H187" i="6"/>
  <c r="D187" i="6"/>
  <c r="P186" i="6"/>
  <c r="L186" i="6"/>
  <c r="H186" i="6"/>
  <c r="D186" i="6"/>
  <c r="P185" i="6"/>
  <c r="L185" i="6"/>
  <c r="H185" i="6"/>
  <c r="D185" i="6"/>
  <c r="P184" i="6"/>
  <c r="L184" i="6"/>
  <c r="H184" i="6"/>
  <c r="D184" i="6"/>
  <c r="P183" i="6"/>
  <c r="L183" i="6"/>
  <c r="H183" i="6"/>
  <c r="D183" i="6"/>
  <c r="P182" i="6"/>
  <c r="L182" i="6"/>
  <c r="H182" i="6"/>
  <c r="D182" i="6"/>
  <c r="P181" i="6"/>
  <c r="L181" i="6"/>
  <c r="H181" i="6"/>
  <c r="D181" i="6"/>
  <c r="P180" i="6"/>
  <c r="L180" i="6"/>
  <c r="H180" i="6"/>
  <c r="D180" i="6"/>
  <c r="P179" i="6"/>
  <c r="L179" i="6"/>
  <c r="H179" i="6"/>
  <c r="D179" i="6"/>
  <c r="P178" i="6"/>
  <c r="L178" i="6"/>
  <c r="H178" i="6"/>
  <c r="D178" i="6"/>
  <c r="P177" i="6"/>
  <c r="L177" i="6"/>
  <c r="H177" i="6"/>
  <c r="D177" i="6"/>
  <c r="P176" i="6"/>
  <c r="L176" i="6"/>
  <c r="H176" i="6"/>
  <c r="D176" i="6"/>
  <c r="P175" i="6"/>
  <c r="L175" i="6"/>
  <c r="H175" i="6"/>
  <c r="D175" i="6"/>
  <c r="P174" i="6"/>
  <c r="L174" i="6"/>
  <c r="H174" i="6"/>
  <c r="D174" i="6"/>
  <c r="P173" i="6"/>
  <c r="L173" i="6"/>
  <c r="G173" i="6"/>
  <c r="F173" i="6"/>
  <c r="D173" i="6"/>
  <c r="P172" i="6"/>
  <c r="L172" i="6"/>
  <c r="H172" i="6"/>
  <c r="D172" i="6"/>
  <c r="A275" i="1"/>
  <c r="A276" i="1" s="1"/>
  <c r="A277" i="1" s="1"/>
  <c r="G274" i="1"/>
  <c r="A285" i="1"/>
  <c r="A286" i="1" s="1"/>
  <c r="A287" i="1" s="1"/>
  <c r="G284" i="1"/>
  <c r="P168" i="6"/>
  <c r="P167" i="6"/>
  <c r="L167" i="6"/>
  <c r="H167" i="6"/>
  <c r="D167" i="6"/>
  <c r="P166" i="6"/>
  <c r="L166" i="6"/>
  <c r="H166" i="6"/>
  <c r="D166" i="6"/>
  <c r="O165" i="6"/>
  <c r="N165" i="6"/>
  <c r="P165" i="6" s="1"/>
  <c r="K165" i="6"/>
  <c r="J165" i="6"/>
  <c r="H165" i="6"/>
  <c r="C165" i="6"/>
  <c r="B165" i="6"/>
  <c r="D165" i="6" s="1"/>
  <c r="P164" i="6"/>
  <c r="L164" i="6"/>
  <c r="H164" i="6"/>
  <c r="D164" i="6"/>
  <c r="P163" i="6"/>
  <c r="L163" i="6"/>
  <c r="H163" i="6"/>
  <c r="D163" i="6"/>
  <c r="P162" i="6"/>
  <c r="L162" i="6"/>
  <c r="H162" i="6"/>
  <c r="D162" i="6"/>
  <c r="P161" i="6"/>
  <c r="L161" i="6"/>
  <c r="H161" i="6"/>
  <c r="D161" i="6"/>
  <c r="P160" i="6"/>
  <c r="L160" i="6"/>
  <c r="H160" i="6"/>
  <c r="D160" i="6"/>
  <c r="P159" i="6"/>
  <c r="L159" i="6"/>
  <c r="H159" i="6"/>
  <c r="D159" i="6"/>
  <c r="P158" i="6"/>
  <c r="L158" i="6"/>
  <c r="H158" i="6"/>
  <c r="D158" i="6"/>
  <c r="P157" i="6"/>
  <c r="L157" i="6"/>
  <c r="H157" i="6"/>
  <c r="D157" i="6"/>
  <c r="P156" i="6"/>
  <c r="L156" i="6"/>
  <c r="H156" i="6"/>
  <c r="D156" i="6"/>
  <c r="P155" i="6"/>
  <c r="L155" i="6"/>
  <c r="H155" i="6"/>
  <c r="D155" i="6"/>
  <c r="P154" i="6"/>
  <c r="L154" i="6"/>
  <c r="H154" i="6"/>
  <c r="D154" i="6"/>
  <c r="P153" i="6"/>
  <c r="L153" i="6"/>
  <c r="H153" i="6"/>
  <c r="D153" i="6"/>
  <c r="P152" i="6"/>
  <c r="L152" i="6"/>
  <c r="H152" i="6"/>
  <c r="D152" i="6"/>
  <c r="P151" i="6"/>
  <c r="L151" i="6"/>
  <c r="H151" i="6"/>
  <c r="D151" i="6"/>
  <c r="P150" i="6"/>
  <c r="L150" i="6"/>
  <c r="H150" i="6"/>
  <c r="D150" i="6"/>
  <c r="P149" i="6"/>
  <c r="L149" i="6"/>
  <c r="H149" i="6"/>
  <c r="D149" i="6"/>
  <c r="P148" i="6"/>
  <c r="L148" i="6"/>
  <c r="H148" i="6"/>
  <c r="D148" i="6"/>
  <c r="P147" i="6"/>
  <c r="L147" i="6"/>
  <c r="H147" i="6"/>
  <c r="D147" i="6"/>
  <c r="P146" i="6"/>
  <c r="L146" i="6"/>
  <c r="G146" i="6"/>
  <c r="F146" i="6"/>
  <c r="H146" i="6" s="1"/>
  <c r="D146" i="6"/>
  <c r="P145" i="6"/>
  <c r="L145" i="6"/>
  <c r="H145" i="6"/>
  <c r="D145" i="6"/>
  <c r="AG141" i="6"/>
  <c r="AG140" i="6"/>
  <c r="AG139" i="6"/>
  <c r="AF138" i="6"/>
  <c r="AE138" i="6"/>
  <c r="AG138" i="6" s="1"/>
  <c r="AG137" i="6"/>
  <c r="AG136" i="6"/>
  <c r="AG135" i="6"/>
  <c r="AG134" i="6"/>
  <c r="AG133" i="6"/>
  <c r="AG132" i="6"/>
  <c r="AG131" i="6"/>
  <c r="AG130" i="6"/>
  <c r="AG129" i="6"/>
  <c r="AG128" i="6"/>
  <c r="AG127" i="6"/>
  <c r="AG126" i="6"/>
  <c r="AG125" i="6"/>
  <c r="AG124" i="6"/>
  <c r="AG123" i="6"/>
  <c r="AG122" i="6"/>
  <c r="AG121" i="6"/>
  <c r="AG120" i="6"/>
  <c r="AG119" i="6"/>
  <c r="AG118" i="6"/>
  <c r="AC142" i="6"/>
  <c r="Y142" i="6"/>
  <c r="U142" i="6"/>
  <c r="AC141" i="6"/>
  <c r="Y141" i="6"/>
  <c r="U141" i="6"/>
  <c r="AC140" i="6"/>
  <c r="Y140" i="6"/>
  <c r="U140" i="6"/>
  <c r="AC139" i="6"/>
  <c r="Y139" i="6"/>
  <c r="U139" i="6"/>
  <c r="AB138" i="6"/>
  <c r="AA138" i="6"/>
  <c r="AC138" i="6" s="1"/>
  <c r="Y138" i="6"/>
  <c r="T138" i="6"/>
  <c r="S138" i="6"/>
  <c r="U138" i="6" s="1"/>
  <c r="AC137" i="6"/>
  <c r="Y137" i="6"/>
  <c r="U137" i="6"/>
  <c r="AC136" i="6"/>
  <c r="Y136" i="6"/>
  <c r="U136" i="6"/>
  <c r="AC135" i="6"/>
  <c r="Y135" i="6"/>
  <c r="U135" i="6"/>
  <c r="AC134" i="6"/>
  <c r="Y134" i="6"/>
  <c r="U134" i="6"/>
  <c r="AC133" i="6"/>
  <c r="Y133" i="6"/>
  <c r="U133" i="6"/>
  <c r="AC132" i="6"/>
  <c r="Y132" i="6"/>
  <c r="U132" i="6"/>
  <c r="AC131" i="6"/>
  <c r="Y131" i="6"/>
  <c r="U131" i="6"/>
  <c r="AC130" i="6"/>
  <c r="Y130" i="6"/>
  <c r="U130" i="6"/>
  <c r="AC129" i="6"/>
  <c r="Y129" i="6"/>
  <c r="U129" i="6"/>
  <c r="AC128" i="6"/>
  <c r="Y128" i="6"/>
  <c r="U128" i="6"/>
  <c r="AC127" i="6"/>
  <c r="Y127" i="6"/>
  <c r="U127" i="6"/>
  <c r="AC126" i="6"/>
  <c r="Y126" i="6"/>
  <c r="U126" i="6"/>
  <c r="AC125" i="6"/>
  <c r="Y125" i="6"/>
  <c r="U125" i="6"/>
  <c r="AC124" i="6"/>
  <c r="Y124" i="6"/>
  <c r="U124" i="6"/>
  <c r="AC123" i="6"/>
  <c r="Y123" i="6"/>
  <c r="U123" i="6"/>
  <c r="AC122" i="6"/>
  <c r="Y122" i="6"/>
  <c r="U122" i="6"/>
  <c r="AC121" i="6"/>
  <c r="Y121" i="6"/>
  <c r="U121" i="6"/>
  <c r="AC120" i="6"/>
  <c r="Y120" i="6"/>
  <c r="U120" i="6"/>
  <c r="AC119" i="6"/>
  <c r="X119" i="6"/>
  <c r="W119" i="6"/>
  <c r="Y119" i="6" s="1"/>
  <c r="U119" i="6"/>
  <c r="AC118" i="6"/>
  <c r="Y118" i="6"/>
  <c r="U118" i="6"/>
  <c r="L140" i="6"/>
  <c r="H140" i="6"/>
  <c r="L139" i="6"/>
  <c r="H139" i="6"/>
  <c r="K138" i="6"/>
  <c r="J138" i="6"/>
  <c r="L138" i="6" s="1"/>
  <c r="H138" i="6"/>
  <c r="L137" i="6"/>
  <c r="H137" i="6"/>
  <c r="L136" i="6"/>
  <c r="H136" i="6"/>
  <c r="L135" i="6"/>
  <c r="H135" i="6"/>
  <c r="L134" i="6"/>
  <c r="H134" i="6"/>
  <c r="L133" i="6"/>
  <c r="H133" i="6"/>
  <c r="L132" i="6"/>
  <c r="H132" i="6"/>
  <c r="L131" i="6"/>
  <c r="H131" i="6"/>
  <c r="L130" i="6"/>
  <c r="H130" i="6"/>
  <c r="L129" i="6"/>
  <c r="H129" i="6"/>
  <c r="L128" i="6"/>
  <c r="H128" i="6"/>
  <c r="L127" i="6"/>
  <c r="H127" i="6"/>
  <c r="L126" i="6"/>
  <c r="H126" i="6"/>
  <c r="L125" i="6"/>
  <c r="H125" i="6"/>
  <c r="L124" i="6"/>
  <c r="H124" i="6"/>
  <c r="L123" i="6"/>
  <c r="H123" i="6"/>
  <c r="L122" i="6"/>
  <c r="H122" i="6"/>
  <c r="L121" i="6"/>
  <c r="H121" i="6"/>
  <c r="L120" i="6"/>
  <c r="H120" i="6"/>
  <c r="L119" i="6"/>
  <c r="G119" i="6"/>
  <c r="F119" i="6"/>
  <c r="L118" i="6"/>
  <c r="H118" i="6"/>
  <c r="P141" i="6"/>
  <c r="P140" i="6"/>
  <c r="P139" i="6"/>
  <c r="O138" i="6"/>
  <c r="N138" i="6"/>
  <c r="P137" i="6"/>
  <c r="P136" i="6"/>
  <c r="P135" i="6"/>
  <c r="P134" i="6"/>
  <c r="P133" i="6"/>
  <c r="P132" i="6"/>
  <c r="P131" i="6"/>
  <c r="P130" i="6"/>
  <c r="P129" i="6"/>
  <c r="P128" i="6"/>
  <c r="P127" i="6"/>
  <c r="P126" i="6"/>
  <c r="P125" i="6"/>
  <c r="P124" i="6"/>
  <c r="P123" i="6"/>
  <c r="P122" i="6"/>
  <c r="P121" i="6"/>
  <c r="P120" i="6"/>
  <c r="P119" i="6"/>
  <c r="P118" i="6"/>
  <c r="D140" i="6"/>
  <c r="D139" i="6"/>
  <c r="C138" i="6"/>
  <c r="B138" i="6"/>
  <c r="D137" i="6"/>
  <c r="D136" i="6"/>
  <c r="D135" i="6"/>
  <c r="D134" i="6"/>
  <c r="D133" i="6"/>
  <c r="D132" i="6"/>
  <c r="D131" i="6"/>
  <c r="D130" i="6"/>
  <c r="D129" i="6"/>
  <c r="D128" i="6"/>
  <c r="D127" i="6"/>
  <c r="D126" i="6"/>
  <c r="D125" i="6"/>
  <c r="D124" i="6"/>
  <c r="D123" i="6"/>
  <c r="D122" i="6"/>
  <c r="D121" i="6"/>
  <c r="D120" i="6"/>
  <c r="D119" i="6"/>
  <c r="D118" i="6"/>
  <c r="AG86" i="6"/>
  <c r="AC86" i="6"/>
  <c r="Y86" i="6"/>
  <c r="U86" i="6"/>
  <c r="AG85" i="6"/>
  <c r="AC85" i="6"/>
  <c r="Y85" i="6"/>
  <c r="U85" i="6"/>
  <c r="AG84" i="6"/>
  <c r="AC84" i="6"/>
  <c r="Y84" i="6"/>
  <c r="U84" i="6"/>
  <c r="AG83" i="6"/>
  <c r="AC83" i="6"/>
  <c r="Y83" i="6"/>
  <c r="U83" i="6"/>
  <c r="AF82" i="6"/>
  <c r="AE82" i="6"/>
  <c r="AG82" i="6" s="1"/>
  <c r="AB82" i="6"/>
  <c r="AA82" i="6"/>
  <c r="Y82" i="6"/>
  <c r="T82" i="6"/>
  <c r="S82" i="6"/>
  <c r="U82" i="6" s="1"/>
  <c r="AG81" i="6"/>
  <c r="AC81" i="6"/>
  <c r="Y81" i="6"/>
  <c r="U81" i="6"/>
  <c r="AG80" i="6"/>
  <c r="AC80" i="6"/>
  <c r="Y80" i="6"/>
  <c r="U80" i="6"/>
  <c r="AG79" i="6"/>
  <c r="AC79" i="6"/>
  <c r="Y79" i="6"/>
  <c r="U79" i="6"/>
  <c r="AG78" i="6"/>
  <c r="AC78" i="6"/>
  <c r="Y78" i="6"/>
  <c r="U78" i="6"/>
  <c r="AG77" i="6"/>
  <c r="AC77" i="6"/>
  <c r="Y77" i="6"/>
  <c r="U77" i="6"/>
  <c r="AG76" i="6"/>
  <c r="AC76" i="6"/>
  <c r="Y76" i="6"/>
  <c r="U76" i="6"/>
  <c r="AG75" i="6"/>
  <c r="AC75" i="6"/>
  <c r="Y75" i="6"/>
  <c r="U75" i="6"/>
  <c r="AG74" i="6"/>
  <c r="AC74" i="6"/>
  <c r="Y74" i="6"/>
  <c r="U74" i="6"/>
  <c r="AG73" i="6"/>
  <c r="AC73" i="6"/>
  <c r="Y73" i="6"/>
  <c r="U73" i="6"/>
  <c r="AG72" i="6"/>
  <c r="AC72" i="6"/>
  <c r="Y72" i="6"/>
  <c r="U72" i="6"/>
  <c r="AG71" i="6"/>
  <c r="AC71" i="6"/>
  <c r="Y71" i="6"/>
  <c r="U71" i="6"/>
  <c r="AG70" i="6"/>
  <c r="AC70" i="6"/>
  <c r="Y70" i="6"/>
  <c r="U70" i="6"/>
  <c r="AG69" i="6"/>
  <c r="AC69" i="6"/>
  <c r="Y69" i="6"/>
  <c r="U69" i="6"/>
  <c r="AG68" i="6"/>
  <c r="AC68" i="6"/>
  <c r="Y68" i="6"/>
  <c r="U68" i="6"/>
  <c r="AG67" i="6"/>
  <c r="AC67" i="6"/>
  <c r="Y67" i="6"/>
  <c r="U67" i="6"/>
  <c r="AG66" i="6"/>
  <c r="AC66" i="6"/>
  <c r="Y66" i="6"/>
  <c r="U66" i="6"/>
  <c r="AG65" i="6"/>
  <c r="AC65" i="6"/>
  <c r="Y65" i="6"/>
  <c r="U65" i="6"/>
  <c r="AG64" i="6"/>
  <c r="AC64" i="6"/>
  <c r="Y64" i="6"/>
  <c r="U64" i="6"/>
  <c r="AG63" i="6"/>
  <c r="AC63" i="6"/>
  <c r="X63" i="6"/>
  <c r="W63" i="6"/>
  <c r="Y63" i="6" s="1"/>
  <c r="U63" i="6"/>
  <c r="AG62" i="6"/>
  <c r="AC62" i="6"/>
  <c r="Y62" i="6"/>
  <c r="U62" i="6"/>
  <c r="A244" i="1"/>
  <c r="A245" i="1" s="1"/>
  <c r="A246" i="1" s="1"/>
  <c r="G243" i="1"/>
  <c r="A239" i="1"/>
  <c r="A240" i="1" s="1"/>
  <c r="A241" i="1" s="1"/>
  <c r="G238" i="1"/>
  <c r="A229" i="1"/>
  <c r="A230" i="1" s="1"/>
  <c r="A231" i="1" s="1"/>
  <c r="G228" i="1"/>
  <c r="AB114" i="6"/>
  <c r="AB113" i="6"/>
  <c r="X113" i="6"/>
  <c r="T113" i="6"/>
  <c r="AB112" i="6"/>
  <c r="X112" i="6"/>
  <c r="T112" i="6"/>
  <c r="AA111" i="6"/>
  <c r="Z111" i="6"/>
  <c r="W111" i="6"/>
  <c r="V111" i="6"/>
  <c r="T111" i="6"/>
  <c r="AB110" i="6"/>
  <c r="X110" i="6"/>
  <c r="T110" i="6"/>
  <c r="AB109" i="6"/>
  <c r="X109" i="6"/>
  <c r="T109" i="6"/>
  <c r="AB108" i="6"/>
  <c r="X108" i="6"/>
  <c r="T108" i="6"/>
  <c r="AB107" i="6"/>
  <c r="X107" i="6"/>
  <c r="T107" i="6"/>
  <c r="AB106" i="6"/>
  <c r="X106" i="6"/>
  <c r="T106" i="6"/>
  <c r="AB105" i="6"/>
  <c r="X105" i="6"/>
  <c r="T105" i="6"/>
  <c r="AB104" i="6"/>
  <c r="X104" i="6"/>
  <c r="T104" i="6"/>
  <c r="AB103" i="6"/>
  <c r="X103" i="6"/>
  <c r="T103" i="6"/>
  <c r="AB102" i="6"/>
  <c r="X102" i="6"/>
  <c r="T102" i="6"/>
  <c r="AB101" i="6"/>
  <c r="X101" i="6"/>
  <c r="T101" i="6"/>
  <c r="AB100" i="6"/>
  <c r="X100" i="6"/>
  <c r="T100" i="6"/>
  <c r="AB99" i="6"/>
  <c r="X99" i="6"/>
  <c r="T99" i="6"/>
  <c r="AB98" i="6"/>
  <c r="X98" i="6"/>
  <c r="T98" i="6"/>
  <c r="AB97" i="6"/>
  <c r="X97" i="6"/>
  <c r="T97" i="6"/>
  <c r="AB96" i="6"/>
  <c r="X96" i="6"/>
  <c r="T96" i="6"/>
  <c r="AB95" i="6"/>
  <c r="X95" i="6"/>
  <c r="T95" i="6"/>
  <c r="AB94" i="6"/>
  <c r="X94" i="6"/>
  <c r="T94" i="6"/>
  <c r="AB93" i="6"/>
  <c r="X93" i="6"/>
  <c r="T93" i="6"/>
  <c r="AB92" i="6"/>
  <c r="X92" i="6"/>
  <c r="S92" i="6"/>
  <c r="R92" i="6"/>
  <c r="AB91" i="6"/>
  <c r="X91" i="6"/>
  <c r="T91" i="6"/>
  <c r="L113" i="6"/>
  <c r="H113" i="6"/>
  <c r="D113" i="6"/>
  <c r="L112" i="6"/>
  <c r="H112" i="6"/>
  <c r="D112" i="6"/>
  <c r="K111" i="6"/>
  <c r="J111" i="6"/>
  <c r="L111" i="6" s="1"/>
  <c r="H111" i="6"/>
  <c r="C111" i="6"/>
  <c r="B111" i="6"/>
  <c r="D111" i="6" s="1"/>
  <c r="L110" i="6"/>
  <c r="H110" i="6"/>
  <c r="D110" i="6"/>
  <c r="L109" i="6"/>
  <c r="H109" i="6"/>
  <c r="D109" i="6"/>
  <c r="L108" i="6"/>
  <c r="H108" i="6"/>
  <c r="D108" i="6"/>
  <c r="L107" i="6"/>
  <c r="H107" i="6"/>
  <c r="D107" i="6"/>
  <c r="L106" i="6"/>
  <c r="H106" i="6"/>
  <c r="D106" i="6"/>
  <c r="L105" i="6"/>
  <c r="H105" i="6"/>
  <c r="D105" i="6"/>
  <c r="L104" i="6"/>
  <c r="H104" i="6"/>
  <c r="D104" i="6"/>
  <c r="L103" i="6"/>
  <c r="H103" i="6"/>
  <c r="D103" i="6"/>
  <c r="L102" i="6"/>
  <c r="H102" i="6"/>
  <c r="D102" i="6"/>
  <c r="L101" i="6"/>
  <c r="H101" i="6"/>
  <c r="D101" i="6"/>
  <c r="L100" i="6"/>
  <c r="H100" i="6"/>
  <c r="D100" i="6"/>
  <c r="L99" i="6"/>
  <c r="H99" i="6"/>
  <c r="D99" i="6"/>
  <c r="L98" i="6"/>
  <c r="H98" i="6"/>
  <c r="D98" i="6"/>
  <c r="L97" i="6"/>
  <c r="H97" i="6"/>
  <c r="D97" i="6"/>
  <c r="L96" i="6"/>
  <c r="H96" i="6"/>
  <c r="D96" i="6"/>
  <c r="L95" i="6"/>
  <c r="H95" i="6"/>
  <c r="D95" i="6"/>
  <c r="L94" i="6"/>
  <c r="H94" i="6"/>
  <c r="D94" i="6"/>
  <c r="L93" i="6"/>
  <c r="H93" i="6"/>
  <c r="D93" i="6"/>
  <c r="L92" i="6"/>
  <c r="G92" i="6"/>
  <c r="F92" i="6"/>
  <c r="H92" i="6" s="1"/>
  <c r="D92" i="6"/>
  <c r="L91" i="6"/>
  <c r="H91" i="6"/>
  <c r="D91" i="6"/>
  <c r="P114" i="6"/>
  <c r="P113" i="6"/>
  <c r="P112" i="6"/>
  <c r="O111" i="6"/>
  <c r="N111" i="6"/>
  <c r="P110" i="6"/>
  <c r="P109" i="6"/>
  <c r="P108" i="6"/>
  <c r="P107" i="6"/>
  <c r="P106" i="6"/>
  <c r="P105" i="6"/>
  <c r="P104" i="6"/>
  <c r="P103" i="6"/>
  <c r="P102" i="6"/>
  <c r="P101" i="6"/>
  <c r="P100" i="6"/>
  <c r="P99" i="6"/>
  <c r="P98" i="6"/>
  <c r="P97" i="6"/>
  <c r="P96" i="6"/>
  <c r="P95" i="6"/>
  <c r="P94" i="6"/>
  <c r="P93" i="6"/>
  <c r="P92" i="6"/>
  <c r="P91" i="6"/>
  <c r="A219" i="1"/>
  <c r="A220" i="1" s="1"/>
  <c r="A221" i="1" s="1"/>
  <c r="G218" i="1"/>
  <c r="P85" i="6"/>
  <c r="L85" i="6"/>
  <c r="H85" i="6"/>
  <c r="D85" i="6"/>
  <c r="P84" i="6"/>
  <c r="L84" i="6"/>
  <c r="H84" i="6"/>
  <c r="D84" i="6"/>
  <c r="P86" i="6"/>
  <c r="L86" i="6"/>
  <c r="H86" i="6"/>
  <c r="D86" i="6"/>
  <c r="P83" i="6"/>
  <c r="L83" i="6"/>
  <c r="H83" i="6"/>
  <c r="D83" i="6"/>
  <c r="O82" i="6"/>
  <c r="N82" i="6"/>
  <c r="K82" i="6"/>
  <c r="J82" i="6"/>
  <c r="H82" i="6"/>
  <c r="C82" i="6"/>
  <c r="B82" i="6"/>
  <c r="P81" i="6"/>
  <c r="L81" i="6"/>
  <c r="H81" i="6"/>
  <c r="D81" i="6"/>
  <c r="P80" i="6"/>
  <c r="L80" i="6"/>
  <c r="H80" i="6"/>
  <c r="D80" i="6"/>
  <c r="P79" i="6"/>
  <c r="L79" i="6"/>
  <c r="H79" i="6"/>
  <c r="D79" i="6"/>
  <c r="P78" i="6"/>
  <c r="L78" i="6"/>
  <c r="H78" i="6"/>
  <c r="D78" i="6"/>
  <c r="P77" i="6"/>
  <c r="L77" i="6"/>
  <c r="H77" i="6"/>
  <c r="D77" i="6"/>
  <c r="P76" i="6"/>
  <c r="L76" i="6"/>
  <c r="H76" i="6"/>
  <c r="D76" i="6"/>
  <c r="P75" i="6"/>
  <c r="L75" i="6"/>
  <c r="H75" i="6"/>
  <c r="D75" i="6"/>
  <c r="P74" i="6"/>
  <c r="L74" i="6"/>
  <c r="H74" i="6"/>
  <c r="D74" i="6"/>
  <c r="P73" i="6"/>
  <c r="L73" i="6"/>
  <c r="H73" i="6"/>
  <c r="D73" i="6"/>
  <c r="P72" i="6"/>
  <c r="L72" i="6"/>
  <c r="H72" i="6"/>
  <c r="D72" i="6"/>
  <c r="P71" i="6"/>
  <c r="L71" i="6"/>
  <c r="H71" i="6"/>
  <c r="D71" i="6"/>
  <c r="P70" i="6"/>
  <c r="L70" i="6"/>
  <c r="H70" i="6"/>
  <c r="D70" i="6"/>
  <c r="P69" i="6"/>
  <c r="L69" i="6"/>
  <c r="H69" i="6"/>
  <c r="D69" i="6"/>
  <c r="P68" i="6"/>
  <c r="L68" i="6"/>
  <c r="H68" i="6"/>
  <c r="D68" i="6"/>
  <c r="P67" i="6"/>
  <c r="L67" i="6"/>
  <c r="H67" i="6"/>
  <c r="D67" i="6"/>
  <c r="P66" i="6"/>
  <c r="L66" i="6"/>
  <c r="H66" i="6"/>
  <c r="D66" i="6"/>
  <c r="P65" i="6"/>
  <c r="L65" i="6"/>
  <c r="H65" i="6"/>
  <c r="D65" i="6"/>
  <c r="P64" i="6"/>
  <c r="L64" i="6"/>
  <c r="H64" i="6"/>
  <c r="D64" i="6"/>
  <c r="P63" i="6"/>
  <c r="L63" i="6"/>
  <c r="G63" i="6"/>
  <c r="F63" i="6"/>
  <c r="D63" i="6"/>
  <c r="P62" i="6"/>
  <c r="L62" i="6"/>
  <c r="H62" i="6"/>
  <c r="D62" i="6"/>
  <c r="AG57" i="6"/>
  <c r="AC57" i="6"/>
  <c r="Y57" i="6"/>
  <c r="U57" i="6"/>
  <c r="AG56" i="6"/>
  <c r="AC56" i="6"/>
  <c r="Y56" i="6"/>
  <c r="U56" i="6"/>
  <c r="AF55" i="6"/>
  <c r="AE55" i="6"/>
  <c r="AB55" i="6"/>
  <c r="AA55" i="6"/>
  <c r="Y55" i="6"/>
  <c r="T55" i="6"/>
  <c r="S55" i="6"/>
  <c r="AG54" i="6"/>
  <c r="AC54" i="6"/>
  <c r="Y54" i="6"/>
  <c r="U54" i="6"/>
  <c r="AG53" i="6"/>
  <c r="AC53" i="6"/>
  <c r="Y53" i="6"/>
  <c r="U53" i="6"/>
  <c r="AG52" i="6"/>
  <c r="AC52" i="6"/>
  <c r="Y52" i="6"/>
  <c r="U52" i="6"/>
  <c r="AG51" i="6"/>
  <c r="AC51" i="6"/>
  <c r="Y51" i="6"/>
  <c r="U51" i="6"/>
  <c r="AG50" i="6"/>
  <c r="AC50" i="6"/>
  <c r="Y50" i="6"/>
  <c r="U50" i="6"/>
  <c r="AG49" i="6"/>
  <c r="AC49" i="6"/>
  <c r="Y49" i="6"/>
  <c r="U49" i="6"/>
  <c r="AG48" i="6"/>
  <c r="AC48" i="6"/>
  <c r="Y48" i="6"/>
  <c r="U48" i="6"/>
  <c r="AG47" i="6"/>
  <c r="AC47" i="6"/>
  <c r="Y47" i="6"/>
  <c r="U47" i="6"/>
  <c r="AG46" i="6"/>
  <c r="AC46" i="6"/>
  <c r="Y46" i="6"/>
  <c r="U46" i="6"/>
  <c r="AG45" i="6"/>
  <c r="AC45" i="6"/>
  <c r="Y45" i="6"/>
  <c r="U45" i="6"/>
  <c r="AG44" i="6"/>
  <c r="AC44" i="6"/>
  <c r="Y44" i="6"/>
  <c r="U44" i="6"/>
  <c r="AG43" i="6"/>
  <c r="AC43" i="6"/>
  <c r="Y43" i="6"/>
  <c r="U43" i="6"/>
  <c r="AG42" i="6"/>
  <c r="AC42" i="6"/>
  <c r="Y42" i="6"/>
  <c r="U42" i="6"/>
  <c r="AG41" i="6"/>
  <c r="AC41" i="6"/>
  <c r="Y41" i="6"/>
  <c r="U41" i="6"/>
  <c r="AG40" i="6"/>
  <c r="AC40" i="6"/>
  <c r="Y40" i="6"/>
  <c r="U40" i="6"/>
  <c r="AG39" i="6"/>
  <c r="AC39" i="6"/>
  <c r="Y39" i="6"/>
  <c r="U39" i="6"/>
  <c r="AG38" i="6"/>
  <c r="AC38" i="6"/>
  <c r="Y38" i="6"/>
  <c r="U38" i="6"/>
  <c r="AG37" i="6"/>
  <c r="AC37" i="6"/>
  <c r="Y37" i="6"/>
  <c r="U37" i="6"/>
  <c r="AG36" i="6"/>
  <c r="AC36" i="6"/>
  <c r="X36" i="6"/>
  <c r="W36" i="6"/>
  <c r="Y36" i="6" s="1"/>
  <c r="U36" i="6"/>
  <c r="AG35" i="6"/>
  <c r="AC35" i="6"/>
  <c r="Y35" i="6"/>
  <c r="U35" i="6"/>
  <c r="A164" i="1"/>
  <c r="A165" i="1" s="1"/>
  <c r="A166" i="1" s="1"/>
  <c r="G163" i="1"/>
  <c r="H57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G36" i="6"/>
  <c r="F36" i="6"/>
  <c r="H36" i="6" s="1"/>
  <c r="H35" i="6"/>
  <c r="P57" i="6"/>
  <c r="L57" i="6"/>
  <c r="D57" i="6"/>
  <c r="P56" i="6"/>
  <c r="L56" i="6"/>
  <c r="D56" i="6"/>
  <c r="O55" i="6"/>
  <c r="N55" i="6"/>
  <c r="K55" i="6"/>
  <c r="J55" i="6"/>
  <c r="C55" i="6"/>
  <c r="B55" i="6"/>
  <c r="P54" i="6"/>
  <c r="L54" i="6"/>
  <c r="D54" i="6"/>
  <c r="P53" i="6"/>
  <c r="L53" i="6"/>
  <c r="D53" i="6"/>
  <c r="P52" i="6"/>
  <c r="L52" i="6"/>
  <c r="D52" i="6"/>
  <c r="P51" i="6"/>
  <c r="L51" i="6"/>
  <c r="D51" i="6"/>
  <c r="P50" i="6"/>
  <c r="L50" i="6"/>
  <c r="D50" i="6"/>
  <c r="P49" i="6"/>
  <c r="L49" i="6"/>
  <c r="D49" i="6"/>
  <c r="P48" i="6"/>
  <c r="L48" i="6"/>
  <c r="D48" i="6"/>
  <c r="P47" i="6"/>
  <c r="L47" i="6"/>
  <c r="D47" i="6"/>
  <c r="P46" i="6"/>
  <c r="L46" i="6"/>
  <c r="D46" i="6"/>
  <c r="P45" i="6"/>
  <c r="L45" i="6"/>
  <c r="D45" i="6"/>
  <c r="P44" i="6"/>
  <c r="L44" i="6"/>
  <c r="D44" i="6"/>
  <c r="P43" i="6"/>
  <c r="L43" i="6"/>
  <c r="D43" i="6"/>
  <c r="P42" i="6"/>
  <c r="L42" i="6"/>
  <c r="D42" i="6"/>
  <c r="P41" i="6"/>
  <c r="L41" i="6"/>
  <c r="D41" i="6"/>
  <c r="P40" i="6"/>
  <c r="L40" i="6"/>
  <c r="D40" i="6"/>
  <c r="P39" i="6"/>
  <c r="L39" i="6"/>
  <c r="D39" i="6"/>
  <c r="P38" i="6"/>
  <c r="L38" i="6"/>
  <c r="D38" i="6"/>
  <c r="P37" i="6"/>
  <c r="L37" i="6"/>
  <c r="D37" i="6"/>
  <c r="P36" i="6"/>
  <c r="L36" i="6"/>
  <c r="D36" i="6"/>
  <c r="P35" i="6"/>
  <c r="L35" i="6"/>
  <c r="D35" i="6"/>
  <c r="A159" i="1"/>
  <c r="A160" i="1" s="1"/>
  <c r="A161" i="1" s="1"/>
  <c r="G158" i="1"/>
  <c r="AD29" i="6"/>
  <c r="AD28" i="6"/>
  <c r="AC27" i="6"/>
  <c r="AB27" i="6"/>
  <c r="AD27" i="6" s="1"/>
  <c r="AD26" i="6"/>
  <c r="AD25" i="6"/>
  <c r="AD24" i="6"/>
  <c r="AD23" i="6"/>
  <c r="AD22" i="6"/>
  <c r="AD21" i="6"/>
  <c r="AD20" i="6"/>
  <c r="AD19" i="6"/>
  <c r="AD18" i="6"/>
  <c r="AD17" i="6"/>
  <c r="AD16" i="6"/>
  <c r="AD15" i="6"/>
  <c r="AD14" i="6"/>
  <c r="AD13" i="6"/>
  <c r="AD12" i="6"/>
  <c r="AD11" i="6"/>
  <c r="AD10" i="6"/>
  <c r="AD9" i="6"/>
  <c r="AD8" i="6"/>
  <c r="AD7" i="6"/>
  <c r="Z29" i="6"/>
  <c r="Z28" i="6"/>
  <c r="Y27" i="6"/>
  <c r="X27" i="6"/>
  <c r="Z27" i="6" s="1"/>
  <c r="Z26" i="6"/>
  <c r="Z25" i="6"/>
  <c r="Z24" i="6"/>
  <c r="Z23" i="6"/>
  <c r="Z22" i="6"/>
  <c r="Z21" i="6"/>
  <c r="Z20" i="6"/>
  <c r="Z19" i="6"/>
  <c r="Z18" i="6"/>
  <c r="Z17" i="6"/>
  <c r="Z16" i="6"/>
  <c r="Z15" i="6"/>
  <c r="Z14" i="6"/>
  <c r="Z13" i="6"/>
  <c r="Z12" i="6"/>
  <c r="Z11" i="6"/>
  <c r="Z10" i="6"/>
  <c r="Z9" i="6"/>
  <c r="Z8" i="6"/>
  <c r="Z7" i="6"/>
  <c r="V29" i="6"/>
  <c r="V28" i="6"/>
  <c r="V27" i="6"/>
  <c r="V26" i="6"/>
  <c r="V25" i="6"/>
  <c r="V24" i="6"/>
  <c r="V23" i="6"/>
  <c r="V22" i="6"/>
  <c r="V21" i="6"/>
  <c r="V20" i="6"/>
  <c r="V19" i="6"/>
  <c r="V18" i="6"/>
  <c r="V17" i="6"/>
  <c r="V16" i="6"/>
  <c r="V15" i="6"/>
  <c r="V14" i="6"/>
  <c r="V13" i="6"/>
  <c r="V12" i="6"/>
  <c r="V11" i="6"/>
  <c r="V10" i="6"/>
  <c r="V9" i="6"/>
  <c r="U8" i="6"/>
  <c r="T8" i="6"/>
  <c r="V7" i="6"/>
  <c r="C8" i="6"/>
  <c r="B8" i="6"/>
  <c r="Q27" i="6"/>
  <c r="P27" i="6"/>
  <c r="R29" i="6"/>
  <c r="R28" i="6"/>
  <c r="R26" i="6"/>
  <c r="R25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R10" i="6"/>
  <c r="R9" i="6"/>
  <c r="R8" i="6"/>
  <c r="R7" i="6"/>
  <c r="L27" i="6"/>
  <c r="K27" i="6"/>
  <c r="M27" i="6" s="1"/>
  <c r="H27" i="6"/>
  <c r="I27" i="6" s="1"/>
  <c r="G27" i="6"/>
  <c r="M29" i="6"/>
  <c r="M28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I29" i="6"/>
  <c r="I28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D25" i="6"/>
  <c r="D27" i="6"/>
  <c r="D24" i="6"/>
  <c r="D26" i="6"/>
  <c r="D23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8" i="6"/>
  <c r="D29" i="6"/>
  <c r="D7" i="6"/>
  <c r="E44" i="1"/>
  <c r="N196" i="6" l="1"/>
  <c r="D292" i="1" s="1"/>
  <c r="D55" i="6"/>
  <c r="P111" i="6"/>
  <c r="T92" i="6"/>
  <c r="AC82" i="6"/>
  <c r="D138" i="6"/>
  <c r="P138" i="6"/>
  <c r="N142" i="6" s="1"/>
  <c r="H119" i="6"/>
  <c r="L219" i="6"/>
  <c r="S195" i="6"/>
  <c r="D294" i="1" s="1"/>
  <c r="U192" i="6"/>
  <c r="P219" i="6"/>
  <c r="N223" i="6" s="1"/>
  <c r="D312" i="1" s="1"/>
  <c r="F222" i="6"/>
  <c r="J222" i="6"/>
  <c r="D311" i="1" s="1"/>
  <c r="F168" i="6"/>
  <c r="D275" i="1" s="1"/>
  <c r="F275" i="1" s="1"/>
  <c r="L55" i="6"/>
  <c r="AC55" i="6"/>
  <c r="L82" i="6"/>
  <c r="J87" i="6" s="1"/>
  <c r="H173" i="6"/>
  <c r="U219" i="6"/>
  <c r="S222" i="6" s="1"/>
  <c r="D314" i="1" s="1"/>
  <c r="D310" i="1"/>
  <c r="D305" i="1"/>
  <c r="D300" i="1"/>
  <c r="D306" i="1"/>
  <c r="D307" i="1"/>
  <c r="AA195" i="6"/>
  <c r="D296" i="1" s="1"/>
  <c r="D260" i="1"/>
  <c r="P55" i="6"/>
  <c r="X111" i="6"/>
  <c r="F195" i="6"/>
  <c r="D290" i="1" s="1"/>
  <c r="L192" i="6"/>
  <c r="D219" i="6"/>
  <c r="B222" i="6" s="1"/>
  <c r="Y200" i="6"/>
  <c r="W222" i="6" s="1"/>
  <c r="AG55" i="6"/>
  <c r="AE58" i="6" s="1"/>
  <c r="AB111" i="6"/>
  <c r="Z115" i="6" s="1"/>
  <c r="F141" i="6"/>
  <c r="J141" i="6"/>
  <c r="AE142" i="6"/>
  <c r="D257" i="1" s="1"/>
  <c r="W87" i="6"/>
  <c r="B141" i="6"/>
  <c r="AA87" i="6"/>
  <c r="D220" i="1" s="1"/>
  <c r="AC192" i="6"/>
  <c r="F330" i="1"/>
  <c r="G127" i="1" s="1"/>
  <c r="C127" i="1"/>
  <c r="AC219" i="6"/>
  <c r="AA222" i="6" s="1"/>
  <c r="U55" i="6"/>
  <c r="S58" i="6" s="1"/>
  <c r="D82" i="6"/>
  <c r="B87" i="6" s="1"/>
  <c r="L165" i="6"/>
  <c r="J168" i="6" s="1"/>
  <c r="AG192" i="6"/>
  <c r="E127" i="1"/>
  <c r="AE223" i="6"/>
  <c r="AE196" i="6"/>
  <c r="D297" i="1" s="1"/>
  <c r="B195" i="6"/>
  <c r="D289" i="1" s="1"/>
  <c r="J195" i="6"/>
  <c r="D291" i="1" s="1"/>
  <c r="N169" i="6"/>
  <c r="B168" i="6"/>
  <c r="W143" i="6"/>
  <c r="D255" i="1" s="1"/>
  <c r="S143" i="6"/>
  <c r="D254" i="1" s="1"/>
  <c r="AA143" i="6"/>
  <c r="D256" i="1" s="1"/>
  <c r="V114" i="6"/>
  <c r="S87" i="6"/>
  <c r="AE87" i="6"/>
  <c r="R114" i="6"/>
  <c r="F114" i="6"/>
  <c r="J114" i="6"/>
  <c r="H63" i="6"/>
  <c r="F87" i="6" s="1"/>
  <c r="R27" i="6"/>
  <c r="P30" i="6" s="1"/>
  <c r="D153" i="1" s="1"/>
  <c r="W58" i="6"/>
  <c r="D8" i="6"/>
  <c r="B30" i="6" s="1"/>
  <c r="N58" i="6"/>
  <c r="D161" i="1" s="1"/>
  <c r="F161" i="1" s="1"/>
  <c r="P82" i="6"/>
  <c r="N87" i="6" s="1"/>
  <c r="B114" i="6"/>
  <c r="D238" i="1" s="1"/>
  <c r="N115" i="6"/>
  <c r="AA58" i="6"/>
  <c r="V8" i="6"/>
  <c r="T30" i="6" s="1"/>
  <c r="D154" i="1" s="1"/>
  <c r="X30" i="6"/>
  <c r="D155" i="1" s="1"/>
  <c r="AB30" i="6"/>
  <c r="D156" i="1" s="1"/>
  <c r="B58" i="6"/>
  <c r="D158" i="1" s="1"/>
  <c r="F158" i="1" s="1"/>
  <c r="F58" i="6"/>
  <c r="J58" i="6"/>
  <c r="D160" i="1" s="1"/>
  <c r="F160" i="1" s="1"/>
  <c r="G30" i="6"/>
  <c r="D150" i="1" s="1"/>
  <c r="K30" i="6"/>
  <c r="D151" i="1" s="1"/>
  <c r="D518" i="1"/>
  <c r="D302" i="1" l="1"/>
  <c r="D301" i="1"/>
  <c r="D188" i="1"/>
  <c r="F188" i="1" s="1"/>
  <c r="D183" i="1"/>
  <c r="F183" i="1" s="1"/>
  <c r="D178" i="1"/>
  <c r="F178" i="1" s="1"/>
  <c r="D168" i="1"/>
  <c r="D243" i="1"/>
  <c r="F243" i="1" s="1"/>
  <c r="D316" i="1"/>
  <c r="D321" i="1"/>
  <c r="D252" i="1"/>
  <c r="D236" i="1"/>
  <c r="D272" i="1"/>
  <c r="D282" i="1"/>
  <c r="D315" i="1"/>
  <c r="D320" i="1"/>
  <c r="D299" i="1"/>
  <c r="D304" i="1"/>
  <c r="D231" i="1"/>
  <c r="F231" i="1" s="1"/>
  <c r="D287" i="1"/>
  <c r="F287" i="1" s="1"/>
  <c r="D267" i="1"/>
  <c r="D276" i="1"/>
  <c r="F276" i="1" s="1"/>
  <c r="D261" i="1"/>
  <c r="D277" i="1"/>
  <c r="F277" i="1" s="1"/>
  <c r="D262" i="1"/>
  <c r="D181" i="1"/>
  <c r="F181" i="1" s="1"/>
  <c r="D186" i="1"/>
  <c r="F186" i="1" s="1"/>
  <c r="D191" i="1"/>
  <c r="F191" i="1" s="1"/>
  <c r="D274" i="1"/>
  <c r="F274" i="1" s="1"/>
  <c r="D259" i="1"/>
  <c r="D322" i="1"/>
  <c r="D317" i="1"/>
  <c r="D284" i="1"/>
  <c r="F284" i="1" s="1"/>
  <c r="D228" i="1"/>
  <c r="F228" i="1" s="1"/>
  <c r="D264" i="1"/>
  <c r="D171" i="1"/>
  <c r="D280" i="1"/>
  <c r="D250" i="1"/>
  <c r="D234" i="1"/>
  <c r="D270" i="1"/>
  <c r="D170" i="1"/>
  <c r="D190" i="1"/>
  <c r="F190" i="1" s="1"/>
  <c r="D185" i="1"/>
  <c r="F185" i="1" s="1"/>
  <c r="D180" i="1"/>
  <c r="F180" i="1" s="1"/>
  <c r="D166" i="1"/>
  <c r="F166" i="1" s="1"/>
  <c r="D246" i="1"/>
  <c r="F246" i="1" s="1"/>
  <c r="D226" i="1"/>
  <c r="D241" i="1"/>
  <c r="F241" i="1" s="1"/>
  <c r="D159" i="1"/>
  <c r="F159" i="1" s="1"/>
  <c r="D174" i="1"/>
  <c r="D149" i="1"/>
  <c r="D281" i="1"/>
  <c r="D271" i="1"/>
  <c r="D230" i="1"/>
  <c r="D266" i="1"/>
  <c r="D286" i="1"/>
  <c r="F286" i="1" s="1"/>
  <c r="D184" i="1"/>
  <c r="F184" i="1" s="1"/>
  <c r="D169" i="1"/>
  <c r="D179" i="1"/>
  <c r="F179" i="1" s="1"/>
  <c r="D189" i="1"/>
  <c r="F189" i="1" s="1"/>
  <c r="D244" i="1"/>
  <c r="F244" i="1" s="1"/>
  <c r="D239" i="1"/>
  <c r="F239" i="1" s="1"/>
  <c r="D229" i="1"/>
  <c r="F229" i="1" s="1"/>
  <c r="D224" i="1"/>
  <c r="D285" i="1"/>
  <c r="F285" i="1" s="1"/>
  <c r="D265" i="1"/>
  <c r="D251" i="1"/>
  <c r="D235" i="1"/>
  <c r="D240" i="1"/>
  <c r="F240" i="1" s="1"/>
  <c r="F230" i="1"/>
  <c r="D225" i="1"/>
  <c r="D245" i="1"/>
  <c r="F245" i="1" s="1"/>
  <c r="F238" i="1"/>
  <c r="D223" i="1"/>
  <c r="D216" i="1"/>
  <c r="D206" i="1"/>
  <c r="D221" i="1"/>
  <c r="F221" i="1" s="1"/>
  <c r="D196" i="1"/>
  <c r="D211" i="1"/>
  <c r="D201" i="1"/>
  <c r="D165" i="1"/>
  <c r="F165" i="1" s="1"/>
  <c r="D164" i="1"/>
  <c r="F164" i="1" s="1"/>
  <c r="D176" i="1"/>
  <c r="D175" i="1"/>
  <c r="D200" i="1"/>
  <c r="D215" i="1"/>
  <c r="F220" i="1"/>
  <c r="D210" i="1"/>
  <c r="D195" i="1"/>
  <c r="D205" i="1"/>
  <c r="D193" i="1"/>
  <c r="D198" i="1"/>
  <c r="D213" i="1"/>
  <c r="D218" i="1"/>
  <c r="F218" i="1" s="1"/>
  <c r="D208" i="1"/>
  <c r="D199" i="1"/>
  <c r="D214" i="1"/>
  <c r="D194" i="1"/>
  <c r="D219" i="1"/>
  <c r="F219" i="1" s="1"/>
  <c r="D209" i="1"/>
  <c r="D204" i="1"/>
  <c r="D163" i="1"/>
  <c r="F163" i="1" s="1"/>
  <c r="C17" i="1"/>
  <c r="C126" i="1" l="1"/>
  <c r="E126" i="1"/>
  <c r="E128" i="1" s="1"/>
  <c r="C81" i="1"/>
  <c r="C82" i="1" l="1"/>
  <c r="C83" i="1"/>
  <c r="F322" i="1"/>
  <c r="F320" i="1"/>
  <c r="F317" i="1"/>
  <c r="F312" i="1"/>
  <c r="F311" i="1"/>
  <c r="F310" i="1"/>
  <c r="F307" i="1"/>
  <c r="F306" i="1"/>
  <c r="F305" i="1"/>
  <c r="F304" i="1"/>
  <c r="F302" i="1"/>
  <c r="F301" i="1"/>
  <c r="F300" i="1"/>
  <c r="F299" i="1"/>
  <c r="F297" i="1"/>
  <c r="F296" i="1"/>
  <c r="F295" i="1"/>
  <c r="F294" i="1"/>
  <c r="F292" i="1"/>
  <c r="F291" i="1"/>
  <c r="F290" i="1"/>
  <c r="F282" i="1"/>
  <c r="F281" i="1"/>
  <c r="F280" i="1"/>
  <c r="F272" i="1"/>
  <c r="F270" i="1"/>
  <c r="F267" i="1"/>
  <c r="F266" i="1"/>
  <c r="F265" i="1"/>
  <c r="F264" i="1"/>
  <c r="F262" i="1"/>
  <c r="F261" i="1"/>
  <c r="F260" i="1"/>
  <c r="F259" i="1"/>
  <c r="F257" i="1"/>
  <c r="F256" i="1"/>
  <c r="F255" i="1"/>
  <c r="F254" i="1"/>
  <c r="F252" i="1"/>
  <c r="F251" i="1"/>
  <c r="F236" i="1"/>
  <c r="F235" i="1"/>
  <c r="F234" i="1"/>
  <c r="F226" i="1"/>
  <c r="F225" i="1"/>
  <c r="F224" i="1"/>
  <c r="F223" i="1"/>
  <c r="F215" i="1"/>
  <c r="F214" i="1"/>
  <c r="F213" i="1"/>
  <c r="F211" i="1"/>
  <c r="F210" i="1"/>
  <c r="F209" i="1"/>
  <c r="F208" i="1"/>
  <c r="F206" i="1"/>
  <c r="F205" i="1"/>
  <c r="F204" i="1"/>
  <c r="F200" i="1"/>
  <c r="J198" i="1" s="1"/>
  <c r="F199" i="1"/>
  <c r="F198" i="1"/>
  <c r="F196" i="1"/>
  <c r="F194" i="1"/>
  <c r="F193" i="1"/>
  <c r="F176" i="1"/>
  <c r="F175" i="1"/>
  <c r="F174" i="1"/>
  <c r="F171" i="1"/>
  <c r="F170" i="1"/>
  <c r="F168" i="1"/>
  <c r="F151" i="1"/>
  <c r="F321" i="1"/>
  <c r="A320" i="1"/>
  <c r="A321" i="1" s="1"/>
  <c r="A322" i="1" s="1"/>
  <c r="G319" i="1"/>
  <c r="A310" i="1"/>
  <c r="A311" i="1" s="1"/>
  <c r="A312" i="1" s="1"/>
  <c r="G309" i="1"/>
  <c r="A305" i="1"/>
  <c r="A306" i="1" s="1"/>
  <c r="A307" i="1" s="1"/>
  <c r="G304" i="1"/>
  <c r="F314" i="1"/>
  <c r="J312" i="1" s="1"/>
  <c r="F316" i="1"/>
  <c r="F315" i="1"/>
  <c r="A315" i="1"/>
  <c r="A316" i="1" s="1"/>
  <c r="A317" i="1" s="1"/>
  <c r="G314" i="1"/>
  <c r="A300" i="1"/>
  <c r="A301" i="1" s="1"/>
  <c r="A302" i="1" s="1"/>
  <c r="G299" i="1"/>
  <c r="A295" i="1"/>
  <c r="A296" i="1" s="1"/>
  <c r="A297" i="1" s="1"/>
  <c r="G294" i="1"/>
  <c r="A280" i="1"/>
  <c r="A281" i="1" s="1"/>
  <c r="A282" i="1" s="1"/>
  <c r="G279" i="1"/>
  <c r="F271" i="1"/>
  <c r="A270" i="1"/>
  <c r="A271" i="1" s="1"/>
  <c r="A272" i="1" s="1"/>
  <c r="G269" i="1"/>
  <c r="A290" i="1"/>
  <c r="A291" i="1" s="1"/>
  <c r="A292" i="1" s="1"/>
  <c r="G289" i="1"/>
  <c r="F289" i="1"/>
  <c r="A265" i="1"/>
  <c r="A266" i="1" s="1"/>
  <c r="A267" i="1" s="1"/>
  <c r="G264" i="1"/>
  <c r="A260" i="1"/>
  <c r="A261" i="1" s="1"/>
  <c r="A262" i="1" s="1"/>
  <c r="G259" i="1"/>
  <c r="A255" i="1"/>
  <c r="A256" i="1" s="1"/>
  <c r="A257" i="1" s="1"/>
  <c r="G254" i="1"/>
  <c r="F250" i="1"/>
  <c r="A250" i="1"/>
  <c r="A251" i="1" s="1"/>
  <c r="A252" i="1" s="1"/>
  <c r="G249" i="1"/>
  <c r="A224" i="1"/>
  <c r="A225" i="1" s="1"/>
  <c r="A226" i="1" s="1"/>
  <c r="G223" i="1"/>
  <c r="A209" i="1"/>
  <c r="A210" i="1" s="1"/>
  <c r="A211" i="1" s="1"/>
  <c r="G208" i="1"/>
  <c r="A234" i="1"/>
  <c r="A235" i="1" s="1"/>
  <c r="A236" i="1" s="1"/>
  <c r="G233" i="1"/>
  <c r="A204" i="1"/>
  <c r="A205" i="1" s="1"/>
  <c r="A206" i="1" s="1"/>
  <c r="G203" i="1"/>
  <c r="F216" i="1"/>
  <c r="A214" i="1"/>
  <c r="A215" i="1" s="1"/>
  <c r="A216" i="1" s="1"/>
  <c r="G213" i="1"/>
  <c r="F201" i="1"/>
  <c r="J199" i="1" s="1"/>
  <c r="A199" i="1"/>
  <c r="A200" i="1" s="1"/>
  <c r="A201" i="1" s="1"/>
  <c r="G198" i="1"/>
  <c r="F195" i="1"/>
  <c r="A194" i="1"/>
  <c r="A195" i="1" s="1"/>
  <c r="A196" i="1" s="1"/>
  <c r="G193" i="1"/>
  <c r="A174" i="1"/>
  <c r="A175" i="1" s="1"/>
  <c r="A176" i="1" s="1"/>
  <c r="G173" i="1"/>
  <c r="F169" i="1"/>
  <c r="A169" i="1"/>
  <c r="A170" i="1" s="1"/>
  <c r="A171" i="1" s="1"/>
  <c r="G168" i="1"/>
  <c r="I147" i="1"/>
  <c r="F150" i="1"/>
  <c r="A149" i="1"/>
  <c r="A150" i="1" s="1"/>
  <c r="A151" i="1" s="1"/>
  <c r="G148" i="1"/>
  <c r="F464" i="1"/>
  <c r="F463" i="1"/>
  <c r="F462" i="1"/>
  <c r="A462" i="1"/>
  <c r="A463" i="1" s="1"/>
  <c r="A464" i="1" s="1"/>
  <c r="G461" i="1"/>
  <c r="G462" i="1" s="1"/>
  <c r="G463" i="1" s="1"/>
  <c r="G464" i="1" s="1"/>
  <c r="F461" i="1"/>
  <c r="C128" i="1" l="1"/>
  <c r="J101" i="1"/>
  <c r="F149" i="1"/>
  <c r="M101" i="1"/>
  <c r="Z14" i="1"/>
  <c r="I16" i="1"/>
  <c r="I101" i="1" l="1"/>
  <c r="F153" i="1"/>
  <c r="F134" i="1"/>
  <c r="E45" i="1" l="1"/>
  <c r="E46" i="1" s="1"/>
  <c r="E32" i="1" l="1"/>
  <c r="F154" i="1" l="1"/>
  <c r="F155" i="1"/>
  <c r="F156" i="1"/>
  <c r="A154" i="1"/>
  <c r="A155" i="1" s="1"/>
  <c r="A156" i="1" s="1"/>
  <c r="G153" i="1"/>
  <c r="G126" i="1" l="1"/>
  <c r="G128" i="1" s="1"/>
  <c r="F118" i="1"/>
  <c r="F135" i="1" l="1"/>
  <c r="F136" i="1"/>
  <c r="F137" i="1"/>
  <c r="B491" i="1" l="1"/>
  <c r="A478" i="1"/>
  <c r="A484" i="1"/>
  <c r="A472" i="1"/>
  <c r="F488" i="1" l="1"/>
  <c r="F487" i="1"/>
  <c r="F486" i="1"/>
  <c r="F485" i="1"/>
  <c r="F484" i="1"/>
  <c r="F482" i="1"/>
  <c r="F481" i="1"/>
  <c r="F480" i="1"/>
  <c r="F479" i="1"/>
  <c r="F478" i="1"/>
  <c r="F476" i="1"/>
  <c r="F475" i="1"/>
  <c r="F474" i="1"/>
  <c r="F473" i="1"/>
  <c r="F472" i="1"/>
  <c r="F470" i="1"/>
  <c r="F469" i="1"/>
  <c r="F467" i="1"/>
  <c r="F466" i="1"/>
  <c r="F468" i="1"/>
  <c r="A485" i="1"/>
  <c r="A479" i="1"/>
  <c r="A473" i="1"/>
  <c r="B492" i="1" l="1"/>
  <c r="A474" i="1"/>
  <c r="A480" i="1"/>
  <c r="A486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G484" i="1"/>
  <c r="G485" i="1" s="1"/>
  <c r="G486" i="1" s="1"/>
  <c r="G487" i="1" s="1"/>
  <c r="G488" i="1" s="1"/>
  <c r="G478" i="1"/>
  <c r="G479" i="1" s="1"/>
  <c r="G480" i="1" s="1"/>
  <c r="G481" i="1" s="1"/>
  <c r="G482" i="1" s="1"/>
  <c r="G472" i="1"/>
  <c r="G473" i="1" s="1"/>
  <c r="G474" i="1" s="1"/>
  <c r="G475" i="1" s="1"/>
  <c r="G476" i="1" s="1"/>
  <c r="G466" i="1"/>
  <c r="G467" i="1" s="1"/>
  <c r="G468" i="1" s="1"/>
  <c r="G469" i="1" s="1"/>
  <c r="G470" i="1" s="1"/>
  <c r="A466" i="1"/>
  <c r="A467" i="1" s="1"/>
  <c r="A468" i="1" s="1"/>
  <c r="A469" i="1" s="1"/>
  <c r="A470" i="1" s="1"/>
  <c r="A135" i="1"/>
  <c r="A136" i="1" s="1"/>
  <c r="A137" i="1" s="1"/>
  <c r="G134" i="1"/>
  <c r="G135" i="1" s="1"/>
  <c r="G136" i="1" s="1"/>
  <c r="G137" i="1" s="1"/>
  <c r="B89" i="1"/>
  <c r="B75" i="1"/>
  <c r="G52" i="1"/>
  <c r="C52" i="1"/>
  <c r="E29" i="1"/>
  <c r="E27" i="1"/>
  <c r="E8" i="1"/>
  <c r="E3" i="1"/>
  <c r="A487" i="1"/>
  <c r="A475" i="1"/>
  <c r="A481" i="1"/>
  <c r="D68" i="1" l="1"/>
  <c r="A476" i="1"/>
  <c r="A482" i="1"/>
  <c r="A488" i="1"/>
  <c r="H75" i="1"/>
  <c r="H89" i="1"/>
  <c r="J91" i="1" l="1"/>
  <c r="J89" i="1"/>
  <c r="J92" i="1"/>
  <c r="C93" i="1" s="1"/>
  <c r="J86" i="1"/>
  <c r="J88" i="1" s="1"/>
  <c r="D96" i="1"/>
  <c r="D98" i="1"/>
  <c r="D101" i="1"/>
  <c r="D95" i="1"/>
  <c r="D99" i="1"/>
  <c r="D100" i="1"/>
  <c r="D97" i="1"/>
  <c r="J90" i="1"/>
  <c r="D87" i="1"/>
  <c r="D85" i="1"/>
  <c r="D84" i="1"/>
  <c r="D81" i="1"/>
  <c r="D83" i="1"/>
  <c r="J78" i="1"/>
  <c r="J79" i="1" s="1"/>
  <c r="J84" i="1" s="1"/>
  <c r="D86" i="1"/>
  <c r="J72" i="1"/>
  <c r="J74" i="1" s="1"/>
  <c r="D82" i="1"/>
  <c r="J76" i="1"/>
  <c r="J77" i="1"/>
  <c r="C78" i="1" s="1"/>
  <c r="D78" i="1" s="1"/>
  <c r="J75" i="1"/>
  <c r="D94" i="1"/>
  <c r="D80" i="1"/>
  <c r="J93" i="1" l="1"/>
  <c r="C92" i="1"/>
  <c r="D92" i="1" s="1"/>
  <c r="J80" i="1"/>
  <c r="J81" i="1" s="1"/>
  <c r="J82" i="1" s="1"/>
  <c r="J83" i="1" s="1"/>
  <c r="J98" i="1" l="1"/>
  <c r="J94" i="1"/>
  <c r="J95" i="1" s="1"/>
  <c r="J96" i="1" s="1"/>
  <c r="J97" i="1" s="1"/>
  <c r="J85" i="1"/>
  <c r="C79" i="1" s="1"/>
  <c r="G78" i="1" s="1"/>
  <c r="D72" i="1" s="1"/>
  <c r="D73" i="1" s="1"/>
  <c r="J99" i="1" l="1"/>
  <c r="F73" i="1"/>
  <c r="J73" i="1"/>
  <c r="E78" i="1"/>
  <c r="D79" i="1"/>
  <c r="I73" i="1" s="1"/>
  <c r="I74" i="1" s="1"/>
  <c r="G92" i="1" l="1"/>
  <c r="D93" i="1"/>
  <c r="I87" i="1" s="1"/>
  <c r="E92" i="1"/>
  <c r="J87" i="1"/>
  <c r="I72" i="1"/>
  <c r="C76" i="1" s="1"/>
  <c r="I88" i="1" l="1"/>
  <c r="I86" i="1" s="1"/>
  <c r="C9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Sachin</author>
  </authors>
  <commentList>
    <comment ref="E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6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<sst xmlns="http://schemas.openxmlformats.org/spreadsheetml/2006/main" count="1211" uniqueCount="415">
  <si>
    <t xml:space="preserve">Valuation Report </t>
  </si>
  <si>
    <t>Date:</t>
  </si>
  <si>
    <t>CPC Name:</t>
  </si>
  <si>
    <t>Date Of Property Visit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</si>
  <si>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</si>
  <si>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</si>
  <si>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</si>
  <si>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</si>
  <si>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</si>
  <si>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</si>
  <si>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</si>
  <si>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</si>
  <si>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</si>
  <si>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</si>
  <si>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</si>
  <si>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</si>
  <si>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</si>
  <si>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</si>
  <si>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</si>
  <si>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</si>
  <si>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</si>
  <si>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</si>
  <si>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</si>
  <si>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</si>
  <si>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</si>
  <si>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</si>
  <si>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</si>
  <si>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</si>
  <si>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</si>
  <si>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</si>
  <si>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</si>
  <si>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</si>
  <si>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</si>
  <si>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</si>
  <si>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</si>
  <si>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</si>
  <si>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</si>
  <si>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</si>
  <si>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</si>
  <si>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</si>
  <si>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</si>
  <si>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</si>
  <si>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</si>
  <si>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</si>
  <si>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</si>
  <si>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</si>
  <si>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</si>
  <si>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</si>
  <si>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</si>
  <si>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</si>
  <si>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</si>
  <si>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</si>
  <si>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</si>
  <si>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</si>
  <si>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</si>
  <si>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</si>
  <si>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</si>
  <si>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</si>
  <si>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</si>
  <si>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</si>
  <si>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</si>
  <si>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</si>
  <si>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</si>
  <si>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</si>
  <si>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</si>
  <si>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</si>
  <si>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</si>
  <si>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</si>
  <si>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</si>
  <si>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</si>
  <si>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</si>
  <si>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</si>
  <si>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</si>
  <si>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</si>
  <si>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</si>
  <si>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</si>
  <si>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</si>
  <si>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</si>
  <si>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</si>
  <si>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</si>
  <si>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</si>
  <si>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</si>
  <si>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</si>
  <si>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</si>
  <si>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</si>
  <si>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</si>
  <si>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</si>
  <si>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</si>
  <si>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</si>
  <si>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</si>
  <si>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</si>
  <si>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</si>
  <si>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</si>
  <si>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</si>
  <si>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Society Formation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</si>
  <si>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</si>
  <si>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</si>
  <si>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</si>
  <si>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</si>
  <si>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</si>
  <si>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</si>
  <si>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</si>
  <si>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</si>
  <si>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</si>
  <si>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</si>
  <si>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</si>
  <si>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</si>
  <si>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</si>
  <si>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</si>
  <si>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</si>
  <si>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</si>
  <si>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</si>
  <si>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</si>
  <si>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</si>
  <si>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</si>
  <si>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2nd Floor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</si>
  <si>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</si>
  <si>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</si>
  <si>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Valid Upto 
Date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</si>
  <si>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</si>
  <si>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</si>
  <si>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</si>
  <si>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</si>
  <si>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</si>
  <si>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</si>
  <si>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</si>
  <si>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</si>
  <si>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</si>
  <si>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</si>
  <si>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</si>
  <si>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</si>
  <si>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</si>
  <si>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</si>
  <si>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</si>
  <si>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</si>
  <si>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</si>
  <si>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</si>
  <si>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</si>
  <si>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</si>
  <si>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</si>
  <si>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</si>
  <si>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</si>
  <si>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</si>
  <si>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</si>
  <si>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2nd &amp; 5th Floor</t>
  </si>
  <si>
    <t>Basement 1</t>
  </si>
  <si>
    <t>Plinth in process</t>
  </si>
  <si>
    <t xml:space="preserve">Violations Observed if any : </t>
  </si>
  <si>
    <t>Saleable area Loading :</t>
  </si>
  <si>
    <t>3rd, 5th, 7th, 9th, 11th, 13th, 15th Floor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</si>
  <si>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</si>
  <si>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</si>
  <si>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</si>
  <si>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</si>
  <si>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</si>
  <si>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</si>
  <si>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</si>
  <si>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</si>
  <si>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</si>
  <si>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</si>
  <si>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</si>
  <si>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</si>
  <si>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</si>
  <si>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</si>
  <si>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</si>
  <si>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</si>
  <si>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Latitude, Longitude</t>
  </si>
  <si>
    <t>Provided Contact Details (Name &amp; Contact No.)</t>
  </si>
  <si>
    <t>Site Person - Contact Details (Name &amp; Contact No.)</t>
  </si>
  <si>
    <t>Approved Plans, CC, Sale Plans, Builder Saleable Area, Cost Sheet, Airport Noc, Railway Noc, OC</t>
  </si>
  <si>
    <t>Axis Goregaon</t>
  </si>
  <si>
    <t>Name / No of the Existing Building</t>
  </si>
  <si>
    <t>Mumbai</t>
  </si>
  <si>
    <t>As per Layout</t>
  </si>
  <si>
    <t>Floor Rise Rate from    Floor</t>
  </si>
  <si>
    <t>CTS No</t>
  </si>
  <si>
    <t>Shop No. (Sale Plan)</t>
  </si>
  <si>
    <t>Flat No. (Sale Plan)</t>
  </si>
  <si>
    <t xml:space="preserve">Thane </t>
  </si>
  <si>
    <t>Thane</t>
  </si>
  <si>
    <t>Shahpur</t>
  </si>
  <si>
    <t>Kalyan</t>
  </si>
  <si>
    <t>Bhiwandi</t>
  </si>
  <si>
    <t>Ulhasnagar</t>
  </si>
  <si>
    <t>Ambernath</t>
  </si>
  <si>
    <t>Murbad</t>
  </si>
  <si>
    <t>Mokhada</t>
  </si>
  <si>
    <t>Talasari</t>
  </si>
  <si>
    <t>Palghar</t>
  </si>
  <si>
    <t>Vasai</t>
  </si>
  <si>
    <t>Vikramgad</t>
  </si>
  <si>
    <t>Dahanu</t>
  </si>
  <si>
    <t>Wada</t>
  </si>
  <si>
    <t>Raigad</t>
  </si>
  <si>
    <t>Alibag</t>
  </si>
  <si>
    <t>Panvel</t>
  </si>
  <si>
    <t>Uran</t>
  </si>
  <si>
    <t>Karjat</t>
  </si>
  <si>
    <t>Khalapur</t>
  </si>
  <si>
    <t>Pen</t>
  </si>
  <si>
    <t>Sudhagad</t>
  </si>
  <si>
    <t>Mahad</t>
  </si>
  <si>
    <t>Roha</t>
  </si>
  <si>
    <t>Mangaon</t>
  </si>
  <si>
    <t>Poladpur</t>
  </si>
  <si>
    <t>Mahasala</t>
  </si>
  <si>
    <t>Shriwardhan</t>
  </si>
  <si>
    <t>Murud</t>
  </si>
  <si>
    <t>Andheri</t>
  </si>
  <si>
    <t>Borivali</t>
  </si>
  <si>
    <t>Kurla</t>
  </si>
  <si>
    <t>Pune</t>
  </si>
  <si>
    <t>Pune City</t>
  </si>
  <si>
    <t>Khed</t>
  </si>
  <si>
    <t>Baramati</t>
  </si>
  <si>
    <t>Junnar</t>
  </si>
  <si>
    <t>Shirur</t>
  </si>
  <si>
    <t>Indapur</t>
  </si>
  <si>
    <t>Daund</t>
  </si>
  <si>
    <t>Mawal</t>
  </si>
  <si>
    <t>Ambegaon</t>
  </si>
  <si>
    <t>Purandhar</t>
  </si>
  <si>
    <t>Bhor</t>
  </si>
  <si>
    <t>Mulshi</t>
  </si>
  <si>
    <t>Velhe</t>
  </si>
  <si>
    <t>Haveli</t>
  </si>
  <si>
    <t>Approved Plans, CC</t>
  </si>
  <si>
    <t>Approved Plans, CC, Sale Plans</t>
  </si>
  <si>
    <t>Approved Plans, CC, Sale Plans, Builder Saleable Area</t>
  </si>
  <si>
    <t>Approved Plans, CC, Sale Plans, Builder Saleable Area, Cost Sheet,</t>
  </si>
  <si>
    <t>Approved Plans, CC, Builder Saleable Area,</t>
  </si>
  <si>
    <t>Godrej Residency Pvt Ltd</t>
  </si>
  <si>
    <t>M.A.Road</t>
  </si>
  <si>
    <t>Byculla</t>
  </si>
  <si>
    <t>Agripada</t>
  </si>
  <si>
    <t>1.0 KM from Mahalaxmi Railway Station</t>
  </si>
  <si>
    <t>Tower A</t>
  </si>
  <si>
    <t>Ground Floor for Parking</t>
  </si>
  <si>
    <t>1st to 6th Podium Floor for Parking</t>
  </si>
  <si>
    <t>7th Floor for Parking</t>
  </si>
  <si>
    <t>Tower B</t>
  </si>
  <si>
    <t>3rd to 1st Basement floor for Parking</t>
  </si>
  <si>
    <t>Maulana Azad Road</t>
  </si>
  <si>
    <t>8th Service Floor</t>
  </si>
  <si>
    <t>9th Floor for Residential (Part Refuge Area)</t>
  </si>
  <si>
    <t>Refuge Area</t>
  </si>
  <si>
    <t>4BHK</t>
  </si>
  <si>
    <t>14th Floor</t>
  </si>
  <si>
    <t>16th Floor (Part Refuge Area)</t>
  </si>
  <si>
    <t>23rd Floor (Part Refuge Area)</t>
  </si>
  <si>
    <t>30th Floor (Part Refuge Area)</t>
  </si>
  <si>
    <t>24th Floor</t>
  </si>
  <si>
    <t>37th Floor (Part Refuge Area)</t>
  </si>
  <si>
    <t>38th Floor</t>
  </si>
  <si>
    <t>54th Floor</t>
  </si>
  <si>
    <t>44th Floor (Part Refuge Area)</t>
  </si>
  <si>
    <t>51st Floor (Part Refuge Area)</t>
  </si>
  <si>
    <t>58th Floor (Part Refuge Area)</t>
  </si>
  <si>
    <t>65th Floor (Part Refuge Area)</t>
  </si>
  <si>
    <t>2nd Fire check floor between 36th &amp; 37th Floor</t>
  </si>
  <si>
    <t xml:space="preserve">Municipal Corporation of Greater Mumbai
</t>
  </si>
  <si>
    <t>https://maps.app.goo.gl/6uYLPwSNPqcW3AnU9</t>
  </si>
  <si>
    <t>18.9780323,72.8252083</t>
  </si>
  <si>
    <t>Vivarea Tower wing D</t>
  </si>
  <si>
    <t>Raheja Vivarea Tower C</t>
  </si>
  <si>
    <t>Vivarea Tower Wing E</t>
  </si>
  <si>
    <t>27.43 M.W. Maulana Aazad Road</t>
  </si>
  <si>
    <t>Other Plot</t>
  </si>
  <si>
    <t>Mahalaxmi</t>
  </si>
  <si>
    <t>Ward E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</si>
  <si>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</rPr>
      <t xml:space="preserve">                                               </t>
    </r>
  </si>
  <si>
    <t>SNCR/WEST/B/061522/677736</t>
  </si>
  <si>
    <t>230.63 M (Restricted) (AMSL)</t>
  </si>
  <si>
    <t>As the project is redevelopement project but rehab statement or rehab flats is not mentioned in approved layout plan &amp; floor plan.</t>
  </si>
  <si>
    <t>Water Connection Charges</t>
  </si>
  <si>
    <t>Electricity Charges</t>
  </si>
  <si>
    <t>Share Money</t>
  </si>
  <si>
    <t>Online</t>
  </si>
  <si>
    <t>MIS</t>
  </si>
  <si>
    <t>Visitor</t>
  </si>
  <si>
    <t>Cost sheet</t>
  </si>
  <si>
    <t>Pets Park, Party Lawn, BBQ Counter, Pool Deck, Olympic length pool, Kids Pool, Mini Golf Lawn, Pathway/Jogging Loop, Yoga Lawn, Seniors zone with Reflexology path, Kids Play Area, Skating Rink, Tennis &amp; Multiplay court.</t>
  </si>
  <si>
    <t>Approved Plans, CC, Sale Plans, Cost Sheet, Airport Noc</t>
  </si>
  <si>
    <t>Neelkamal Realtors Tower Private Limited</t>
  </si>
  <si>
    <t>Orchid Heights</t>
  </si>
  <si>
    <t>1906 &amp; Redevelopment of building "Orchid Heights"</t>
  </si>
  <si>
    <t>Karan Misal</t>
  </si>
  <si>
    <t xml:space="preserve">Airport Authority of India NOC No.
Valid Up to: </t>
  </si>
  <si>
    <t xml:space="preserve">One Mahalaxmi </t>
  </si>
  <si>
    <t>Previous Name of the builder group as per Rera</t>
  </si>
  <si>
    <t>Present Name of the builder group</t>
  </si>
  <si>
    <t>Present Name of the builder company</t>
  </si>
  <si>
    <t>Previous Name of the Project as per Rera</t>
  </si>
  <si>
    <t>Advance Maintenance Charges for 24 Months</t>
  </si>
  <si>
    <t>LUC Charges</t>
  </si>
  <si>
    <t>Present Name of the Project as per Rera</t>
  </si>
  <si>
    <t>We have done Apf for Tower A because only Godrej Avenue 11 Tower A is specified on the RERA website, and in provided document (Cost sheet &amp; Brochure) only Tower A is mentioned.</t>
  </si>
  <si>
    <t>EB/2701/E/A/FCC/2/Amend</t>
  </si>
  <si>
    <t>Construction work is in process at the time of Visit. Internal photos was not allowed.</t>
  </si>
  <si>
    <t>02 Buildings</t>
  </si>
  <si>
    <t>Tower A = 3B + Gr/Stilt + 1st to 6th Podium Floor + 7th (Stilt) Floor + 8th Service Floor + 9th to 67th Floor
Tower B = 3B + Gr/Stilt + 1st to 6th Podium Floor + 7th (Stilt) Floor + 8th Service Floor + 9th to 49th Floor</t>
  </si>
  <si>
    <t>https://godrejavenueelevens.com/?gclid=Cj0KCQjw2tHABhCiARIsANZzDWq4KZ_LsiF5jUSrIFXfJaFjUdn37LbPhsHidkBrpuPaihJ1JRPaiV0aAtwvEALw_wcB&amp;campaignid=20528094372&amp;adgroupid=158991706211&amp;loc_physicall_ms=9062232&amp;loc_interest_ms=&amp;matchtype=p&amp;network=g&amp;creative=673304234131&amp;keyword=godrej%20avenue%20eleven&amp;placement=&amp;targetid=kwd-2192133699021&amp;sourceid={sourceid}&amp;device=c&amp;gad_source=1&amp;gbraid=0AAAAApNmhKtp0FfMFKMcux8zxHvCMMriI</t>
  </si>
  <si>
    <t>Godrej Avenue Eleven - Tower A = P51900005216
Godrej Avenue Eleven - Tower B = P51900006299</t>
  </si>
  <si>
    <t>Tower A &amp; B</t>
  </si>
  <si>
    <t>Godrej Avenue Eleven - Tower A &amp; B</t>
  </si>
  <si>
    <t>EB/2701/E/A/337/6/Amend</t>
  </si>
  <si>
    <t>3rd to 1st Basement floor for Pump Room &amp; MCGM Parking</t>
  </si>
  <si>
    <t>Ground Floor for Entrance Lobby, Society Office, Meter Room &amp; MCGM Parking</t>
  </si>
  <si>
    <t>7th Floor for Amenity</t>
  </si>
  <si>
    <t>Flat No.</t>
  </si>
  <si>
    <t>Hall</t>
  </si>
  <si>
    <t>Kitchen</t>
  </si>
  <si>
    <t>Bed 1</t>
  </si>
  <si>
    <t>Bed 2</t>
  </si>
  <si>
    <t>Bed 3</t>
  </si>
  <si>
    <t>Bed 4</t>
  </si>
  <si>
    <t>Toilet 1</t>
  </si>
  <si>
    <t>P. Toilet</t>
  </si>
  <si>
    <t>Toilet 2</t>
  </si>
  <si>
    <t>Toilet 3</t>
  </si>
  <si>
    <t>Toilet 4</t>
  </si>
  <si>
    <t>Pass 1</t>
  </si>
  <si>
    <t>Pass 2</t>
  </si>
  <si>
    <t>Pass 3</t>
  </si>
  <si>
    <t>Pass 4</t>
  </si>
  <si>
    <t>Pass 5</t>
  </si>
  <si>
    <t>Servant Toilet</t>
  </si>
  <si>
    <t>Utility</t>
  </si>
  <si>
    <t>Total CA</t>
  </si>
  <si>
    <t>Area</t>
  </si>
  <si>
    <t>Pass 6</t>
  </si>
  <si>
    <t>foyer</t>
  </si>
  <si>
    <t>Dinning</t>
  </si>
  <si>
    <t>Servant Room</t>
  </si>
  <si>
    <t>Pass 7</t>
  </si>
  <si>
    <t>Family Seating</t>
  </si>
  <si>
    <t>10th floor</t>
  </si>
  <si>
    <t>10th Floor</t>
  </si>
  <si>
    <t>11th to 13th Floor</t>
  </si>
  <si>
    <t>11th to 13th floor</t>
  </si>
  <si>
    <t>9th, 16th &amp; 26th (Part refuge) floor</t>
  </si>
  <si>
    <t>20th &amp; 21st Floor</t>
  </si>
  <si>
    <t>22nd Floor</t>
  </si>
  <si>
    <t>25th Floor</t>
  </si>
  <si>
    <t>14th, 15th, 17th, 18th,19th floor</t>
  </si>
  <si>
    <t>Balcony 1</t>
  </si>
  <si>
    <t>Balcony 2</t>
  </si>
  <si>
    <t>26th &amp; 27th Floor</t>
  </si>
  <si>
    <t>30th &amp; 37th Refuge</t>
  </si>
  <si>
    <t>28th Floor</t>
  </si>
  <si>
    <t>29th &amp; 33rd Floor</t>
  </si>
  <si>
    <t>31st Floor</t>
  </si>
  <si>
    <t>32nd, 34th, 35th &amp; 36th Floor</t>
  </si>
  <si>
    <t>20th, 21st,22nd, 24th, 25th Floor</t>
  </si>
  <si>
    <t xml:space="preserve"> 26th &amp; 27th Floor</t>
  </si>
  <si>
    <t>28th, 31st, 32nd, 34th, 35th, 36th &amp; 38th Floor</t>
  </si>
  <si>
    <t>39th, 40th, 41st, 42nd, 46th, 47th, 49th &amp; 50th Floor</t>
  </si>
  <si>
    <t>43rd &amp; 48th Floor</t>
  </si>
  <si>
    <t xml:space="preserve"> 43rd &amp; 48th Floor</t>
  </si>
  <si>
    <t>52nd Floor</t>
  </si>
  <si>
    <t>44th Refuge</t>
  </si>
  <si>
    <t>45th Floor</t>
  </si>
  <si>
    <t>51st Refuge</t>
  </si>
  <si>
    <t>53rd Floor</t>
  </si>
  <si>
    <t>55th &amp; 56th Floor</t>
  </si>
  <si>
    <t>57th Floor</t>
  </si>
  <si>
    <t>58th Floor</t>
  </si>
  <si>
    <t>59th to 64th, 66th &amp; 67th Floor</t>
  </si>
  <si>
    <t>65th refuge floor (1st flat refuge)</t>
  </si>
  <si>
    <t>9th Floor (Part Refuge Area) &amp; Residential Floor</t>
  </si>
  <si>
    <t>3BHK</t>
  </si>
  <si>
    <t>10th to 13th, 15th, 17th, 18th &amp; 20th Floor</t>
  </si>
  <si>
    <t>14th &amp; 19th Floor</t>
  </si>
  <si>
    <t>21st Floor</t>
  </si>
  <si>
    <t xml:space="preserve">16th Floor (Part Refuge Area) </t>
  </si>
  <si>
    <t xml:space="preserve">23rd Floor (Part Refuge Area) </t>
  </si>
  <si>
    <t>26th to 28th Floor</t>
  </si>
  <si>
    <t>29th Floor</t>
  </si>
  <si>
    <t>31st &amp; 32nd Floor</t>
  </si>
  <si>
    <t xml:space="preserve"> 33rd Floor</t>
  </si>
  <si>
    <t>34th to 36th &amp; 39th Floor</t>
  </si>
  <si>
    <t>40th Floor</t>
  </si>
  <si>
    <t>41st &amp; 42nd Floor</t>
  </si>
  <si>
    <t>43rd Floor</t>
  </si>
  <si>
    <t>4th Floor</t>
  </si>
  <si>
    <t>46th, 47th &amp; 49th Floor</t>
  </si>
  <si>
    <t>48th Floor</t>
  </si>
  <si>
    <t>We have updated revised plans for Tower A &amp; B from MCGM site. (On 03/05/2025).</t>
  </si>
  <si>
    <t>Flats - 385</t>
  </si>
  <si>
    <t>Changed RERA name 0n 03/05/2025</t>
  </si>
  <si>
    <t>Approved area of building (Sq.Mt) Tower A &amp; B</t>
  </si>
  <si>
    <t>As per RERA - Tower A &amp; B = 31/12/2028</t>
  </si>
  <si>
    <t>17th Floor</t>
  </si>
  <si>
    <t>18th Floor</t>
  </si>
  <si>
    <t>19th Floor</t>
  </si>
  <si>
    <t>We considered Gross carpet area = Net carpet + Balcony + Dry Balcony.</t>
  </si>
  <si>
    <t xml:space="preserve">Office No. 1031, Wing J, Akshar Business Park, Plot No. 03 Sector 25, Near APMC Market, Vashi, Navi Mumbai, Maharashtra 400703 TEL: 022-46090378/79/80
Email : vsjcapf@gmail.com. Web site : www.vsjadon.com
</t>
  </si>
  <si>
    <t>15th Floor</t>
  </si>
  <si>
    <t xml:space="preserve">Fire NOC No.
Valid Up to: </t>
  </si>
  <si>
    <t>Site elevation in AMSL mtrs = 3.27M
Permissible top eleveation in AMSL Mtrs = 230.63 M (Restricted) (AMSL)</t>
  </si>
  <si>
    <t>proposed structure of tower B same as tower A</t>
  </si>
  <si>
    <t>Tower A &amp; B = 3B + Gr/Stilt + 1st to 6th Podium Floor + 7th (Stilt) Floor + 8th Service Floor + 9th to 68th Floor
Tower B = 3B + Gr/Stilt + 1st to 6th Podium Floor + 7th (Stilt) Floor + 8th Service Floor + 9th to 56th Floor</t>
  </si>
  <si>
    <t>Tower B = 3B + Gr/Stilt + 1st to 6th Podium Floor + 7th (Stilt) Floor + 8th Service Floor + 9th to 68th Floor</t>
  </si>
  <si>
    <t>We have Added Tower B on 16/05/2025.</t>
  </si>
  <si>
    <t>Tower A = 3B + Gr/Stilt + 1st to 6th Podium Floor + 7th (Stilt) Floor + 8th Service Floor + 9th to 68th Floor</t>
  </si>
  <si>
    <t xml:space="preserve">As per the revised approved plans height of Tower A (253.87mt) exceeds the given airport permission height (227.36mt) . </t>
  </si>
  <si>
    <t>We have updated revised plans for Tower A &amp; B from MCGM site. (On 16/05/2025).</t>
  </si>
  <si>
    <t>EB/2701/E/A/FCC/3/Amend</t>
  </si>
  <si>
    <r>
      <t xml:space="preserve">The Commencement Certificate (CC) is re-endorsed for </t>
    </r>
    <r>
      <rPr>
        <b/>
        <sz val="12"/>
        <color rgb="FF000000"/>
        <rFont val="Times New Roman"/>
        <family val="1"/>
      </rPr>
      <t>Tower A</t>
    </r>
    <r>
      <rPr>
        <sz val="12"/>
        <color indexed="8"/>
        <rFont val="Times New Roman"/>
        <family val="1"/>
      </rPr>
      <t xml:space="preserve"> and the plinth CC is re-endorsed for </t>
    </r>
    <r>
      <rPr>
        <b/>
        <sz val="12"/>
        <color rgb="FF000000"/>
        <rFont val="Times New Roman"/>
        <family val="1"/>
      </rPr>
      <t>Tower B</t>
    </r>
    <r>
      <rPr>
        <sz val="12"/>
        <color indexed="8"/>
        <rFont val="Times New Roman"/>
        <family val="1"/>
      </rPr>
      <t>, as per the last approved amended plan dated 28.02.2025.</t>
    </r>
  </si>
  <si>
    <r>
      <t xml:space="preserve">This CC is re-endorsed for </t>
    </r>
    <r>
      <rPr>
        <b/>
        <sz val="12"/>
        <rFont val="Times New Roman"/>
        <family val="1"/>
      </rPr>
      <t>Tower 'A' &amp;'B'</t>
    </r>
    <r>
      <rPr>
        <sz val="12"/>
        <rFont val="Times New Roman"/>
        <family val="1"/>
      </rPr>
      <t xml:space="preserve"> (for Sale building) and extend the same up to top of 64th floor for Tower'A' only as per the last amended approval dated 04/03/2024.</t>
    </r>
  </si>
  <si>
    <t>Pranita Mhatre</t>
  </si>
  <si>
    <t>We have updated approved CC from MCGM site on 14/08/2025</t>
  </si>
  <si>
    <t xml:space="preserve"> as per calling in site meet person 50  slab of tower A &amp; plinth completed of tower B ON 14/08/2025</t>
  </si>
  <si>
    <t>Tower B DETAIL TAKEN FROM SITE MEET PERSON</t>
  </si>
  <si>
    <t xml:space="preserve">Details of Residential in Building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</si>
</sst>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0.0"/>
    <numFmt numFmtId="166" formatCode="_(* #,##0.00_);_(* \(#,##0.00\);_(* &quot;-&quot;??_);_(@_)"/>
    <numFmt numFmtId="167" formatCode="_(* #,##0_);_(* \(#,##0\);_(* &quot;-&quot;??_);_(@_)"/>
    <numFmt numFmtId="168" formatCode="_ * #,##0_ ;_ * \-#,##0_ ;_ * &quot;-&quot;??_ ;_ @_ "/>
  </numFmts>
  <fonts count="33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Times New Roman"/>
      <family val="1"/>
    </font>
    <font>
      <b/>
      <sz val="11"/>
      <color rgb="FF000000"/>
      <name val="Calibri"/>
      <family val="2"/>
    </font>
    <font>
      <b/>
      <sz val="12"/>
      <color rgb="FFFF0000"/>
      <name val="Times New Roman"/>
      <family val="1"/>
    </font>
    <font>
      <b/>
      <sz val="12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6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38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7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29" xfId="0" applyFont="1" applyFill="1" applyBorder="1"/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7" fillId="0" borderId="0" xfId="1" applyNumberFormat="1" applyFont="1" applyAlignment="1">
      <alignment vertical="center"/>
    </xf>
    <xf numFmtId="1" fontId="7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9" fontId="12" fillId="0" borderId="6" xfId="8" applyFont="1" applyFill="1" applyBorder="1" applyAlignment="1" applyProtection="1">
      <alignment horizontal="center" vertical="top" wrapText="1"/>
      <protection locked="0"/>
    </xf>
    <xf numFmtId="0" fontId="15" fillId="0" borderId="0" xfId="1" applyFont="1" applyAlignment="1">
      <alignment horizontal="center" vertical="center"/>
    </xf>
    <xf numFmtId="0" fontId="29" fillId="0" borderId="0" xfId="1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1" fontId="15" fillId="0" borderId="0" xfId="1" applyNumberFormat="1" applyFont="1" applyAlignment="1">
      <alignment horizontal="center" vertical="center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9" fontId="8" fillId="0" borderId="1" xfId="8" applyFont="1" applyFill="1" applyBorder="1" applyAlignment="1" applyProtection="1">
      <alignment horizontal="center" vertical="top" wrapText="1"/>
      <protection locked="0"/>
    </xf>
    <xf numFmtId="0" fontId="26" fillId="0" borderId="0" xfId="10"/>
    <xf numFmtId="0" fontId="30" fillId="0" borderId="0" xfId="0" applyFont="1"/>
    <xf numFmtId="0" fontId="30" fillId="0" borderId="0" xfId="0" applyFont="1" applyAlignment="1">
      <alignment wrapText="1"/>
    </xf>
    <xf numFmtId="0" fontId="30" fillId="5" borderId="0" xfId="0" applyFont="1" applyFill="1"/>
    <xf numFmtId="0" fontId="0" fillId="5" borderId="0" xfId="0" applyFill="1"/>
    <xf numFmtId="0" fontId="0" fillId="0" borderId="1" xfId="0" applyBorder="1"/>
    <xf numFmtId="0" fontId="30" fillId="0" borderId="0" xfId="0" applyFont="1" applyAlignment="1">
      <alignment horizontal="center" wrapText="1"/>
    </xf>
    <xf numFmtId="0" fontId="30" fillId="4" borderId="30" xfId="0" applyFont="1" applyFill="1" applyBorder="1" applyAlignment="1">
      <alignment horizontal="center"/>
    </xf>
    <xf numFmtId="0" fontId="0" fillId="0" borderId="3" xfId="0" applyBorder="1"/>
    <xf numFmtId="1" fontId="0" fillId="0" borderId="4" xfId="0" applyNumberFormat="1" applyBorder="1"/>
    <xf numFmtId="165" fontId="0" fillId="0" borderId="4" xfId="0" applyNumberFormat="1" applyBorder="1"/>
    <xf numFmtId="0" fontId="0" fillId="0" borderId="5" xfId="0" applyBorder="1"/>
    <xf numFmtId="0" fontId="0" fillId="0" borderId="6" xfId="0" applyBorder="1"/>
    <xf numFmtId="165" fontId="0" fillId="0" borderId="37" xfId="0" applyNumberFormat="1" applyBorder="1"/>
    <xf numFmtId="0" fontId="30" fillId="0" borderId="0" xfId="0" applyFont="1" applyAlignment="1">
      <alignment horizontal="left" wrapText="1"/>
    </xf>
    <xf numFmtId="0" fontId="30" fillId="4" borderId="0" xfId="0" applyFont="1" applyFill="1" applyAlignment="1">
      <alignment horizontal="center"/>
    </xf>
    <xf numFmtId="1" fontId="0" fillId="0" borderId="0" xfId="0" applyNumberFormat="1"/>
    <xf numFmtId="165" fontId="0" fillId="0" borderId="0" xfId="0" applyNumberFormat="1"/>
    <xf numFmtId="0" fontId="30" fillId="4" borderId="36" xfId="0" applyFont="1" applyFill="1" applyBorder="1" applyAlignment="1">
      <alignment horizontal="center"/>
    </xf>
    <xf numFmtId="0" fontId="30" fillId="4" borderId="29" xfId="0" applyFont="1" applyFill="1" applyBorder="1" applyAlignment="1">
      <alignment horizontal="center"/>
    </xf>
    <xf numFmtId="0" fontId="31" fillId="0" borderId="0" xfId="1" applyFont="1"/>
    <xf numFmtId="0" fontId="12" fillId="0" borderId="1" xfId="1" applyFont="1" applyBorder="1" applyAlignment="1" applyProtection="1">
      <alignment vertical="top" wrapText="1"/>
      <protection locked="0"/>
    </xf>
    <xf numFmtId="0" fontId="12" fillId="0" borderId="1" xfId="1" applyFont="1" applyBorder="1" applyAlignment="1" applyProtection="1">
      <alignment horizontal="center" vertical="center" wrapText="1"/>
      <protection locked="0"/>
    </xf>
    <xf numFmtId="9" fontId="12" fillId="0" borderId="1" xfId="8" applyFont="1" applyFill="1" applyBorder="1" applyAlignment="1" applyProtection="1">
      <alignment horizontal="center" vertical="center" wrapText="1"/>
      <protection locked="0"/>
    </xf>
    <xf numFmtId="0" fontId="10" fillId="0" borderId="0" xfId="1" applyFont="1"/>
    <xf numFmtId="0" fontId="10" fillId="0" borderId="0" xfId="0" applyFont="1" applyAlignment="1">
      <alignment horizontal="center" vertical="center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0" fontId="7" fillId="0" borderId="0" xfId="1" applyFont="1" applyAlignment="1">
      <alignment horizontal="center" vertical="center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12" fillId="0" borderId="7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14" fontId="12" fillId="0" borderId="7" xfId="1" applyNumberFormat="1" applyFont="1" applyBorder="1" applyAlignment="1" applyProtection="1">
      <alignment horizontal="left" vertical="top" wrapText="1"/>
      <protection locked="0"/>
    </xf>
    <xf numFmtId="14" fontId="12" fillId="0" borderId="8" xfId="1" applyNumberFormat="1" applyFont="1" applyBorder="1" applyAlignment="1" applyProtection="1">
      <alignment horizontal="left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68" fontId="12" fillId="0" borderId="1" xfId="9" applyNumberFormat="1" applyFont="1" applyFill="1" applyBorder="1" applyAlignment="1" applyProtection="1">
      <alignment horizontal="left" vertical="top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13" fillId="0" borderId="7" xfId="0" applyNumberFormat="1" applyFont="1" applyBorder="1" applyAlignment="1">
      <alignment horizontal="center" vertical="center" wrapText="1"/>
    </xf>
    <xf numFmtId="1" fontId="13" fillId="0" borderId="20" xfId="0" applyNumberFormat="1" applyFont="1" applyBorder="1" applyAlignment="1">
      <alignment horizontal="center" vertical="center" wrapText="1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0" fontId="13" fillId="0" borderId="7" xfId="1" applyFont="1" applyBorder="1" applyAlignment="1" applyProtection="1">
      <alignment horizontal="left" vertical="top" wrapText="1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9" fontId="12" fillId="0" borderId="16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24" xfId="8" applyFont="1" applyFill="1" applyBorder="1" applyAlignment="1" applyProtection="1">
      <alignment horizontal="center" vertical="center" wrapText="1"/>
      <protection locked="0"/>
    </xf>
    <xf numFmtId="9" fontId="12" fillId="0" borderId="9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11" xfId="8" applyFont="1" applyFill="1" applyBorder="1" applyAlignment="1" applyProtection="1">
      <alignment horizontal="center" vertical="center" wrapText="1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1" fontId="8" fillId="6" borderId="7" xfId="1" applyNumberFormat="1" applyFont="1" applyFill="1" applyBorder="1" applyAlignment="1" applyProtection="1">
      <alignment horizontal="center" vertical="center" wrapText="1"/>
      <protection locked="0"/>
    </xf>
    <xf numFmtId="1" fontId="8" fillId="6" borderId="20" xfId="1" applyNumberFormat="1" applyFont="1" applyFill="1" applyBorder="1" applyAlignment="1" applyProtection="1">
      <alignment horizontal="center" vertical="center" wrapText="1"/>
      <protection locked="0"/>
    </xf>
    <xf numFmtId="1" fontId="8" fillId="6" borderId="8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2" fillId="0" borderId="7" xfId="1" applyFont="1" applyBorder="1" applyAlignment="1" applyProtection="1">
      <alignment horizontal="center" vertical="top"/>
      <protection locked="0"/>
    </xf>
    <xf numFmtId="0" fontId="12" fillId="0" borderId="20" xfId="1" applyFont="1" applyBorder="1" applyAlignment="1" applyProtection="1">
      <alignment horizontal="center" vertical="top"/>
      <protection locked="0"/>
    </xf>
    <xf numFmtId="0" fontId="12" fillId="0" borderId="8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" fontId="4" fillId="0" borderId="1" xfId="1" applyNumberFormat="1" applyFont="1" applyBorder="1" applyAlignment="1" applyProtection="1">
      <alignment horizontal="center" vertical="top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12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7" fillId="0" borderId="24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1" fontId="7" fillId="0" borderId="7" xfId="1" applyNumberFormat="1" applyFont="1" applyBorder="1" applyAlignment="1">
      <alignment horizontal="center" vertical="center"/>
    </xf>
    <xf numFmtId="1" fontId="7" fillId="0" borderId="20" xfId="1" applyNumberFormat="1" applyFont="1" applyBorder="1" applyAlignment="1">
      <alignment horizontal="center" vertical="center"/>
    </xf>
    <xf numFmtId="1" fontId="7" fillId="0" borderId="8" xfId="1" applyNumberFormat="1" applyFont="1" applyBorder="1" applyAlignment="1">
      <alignment horizontal="center" vertical="center"/>
    </xf>
    <xf numFmtId="0" fontId="30" fillId="2" borderId="0" xfId="0" applyFont="1" applyFill="1" applyAlignment="1">
      <alignment horizontal="center"/>
    </xf>
    <xf numFmtId="0" fontId="30" fillId="4" borderId="36" xfId="0" applyFont="1" applyFill="1" applyBorder="1" applyAlignment="1">
      <alignment horizontal="center"/>
    </xf>
    <xf numFmtId="0" fontId="30" fillId="4" borderId="29" xfId="0" applyFont="1" applyFill="1" applyBorder="1" applyAlignment="1">
      <alignment horizontal="center"/>
    </xf>
    <xf numFmtId="165" fontId="30" fillId="5" borderId="33" xfId="0" applyNumberFormat="1" applyFont="1" applyFill="1" applyBorder="1" applyAlignment="1">
      <alignment horizontal="center"/>
    </xf>
    <xf numFmtId="165" fontId="30" fillId="5" borderId="34" xfId="0" applyNumberFormat="1" applyFont="1" applyFill="1" applyBorder="1" applyAlignment="1">
      <alignment horizontal="center"/>
    </xf>
    <xf numFmtId="165" fontId="30" fillId="5" borderId="35" xfId="0" applyNumberFormat="1" applyFont="1" applyFill="1" applyBorder="1" applyAlignment="1">
      <alignment horizontal="center"/>
    </xf>
    <xf numFmtId="0" fontId="30" fillId="3" borderId="0" xfId="0" applyFont="1" applyFill="1" applyAlignment="1">
      <alignment horizontal="center"/>
    </xf>
    <xf numFmtId="0" fontId="30" fillId="4" borderId="21" xfId="0" applyFont="1" applyFill="1" applyBorder="1" applyAlignment="1">
      <alignment horizontal="center"/>
    </xf>
    <xf numFmtId="0" fontId="30" fillId="4" borderId="14" xfId="0" applyFont="1" applyFill="1" applyBorder="1" applyAlignment="1">
      <alignment horizontal="center"/>
    </xf>
    <xf numFmtId="165" fontId="30" fillId="5" borderId="31" xfId="0" applyNumberFormat="1" applyFont="1" applyFill="1" applyBorder="1" applyAlignment="1">
      <alignment horizontal="center"/>
    </xf>
    <xf numFmtId="165" fontId="30" fillId="5" borderId="38" xfId="0" applyNumberFormat="1" applyFont="1" applyFill="1" applyBorder="1" applyAlignment="1">
      <alignment horizontal="center"/>
    </xf>
    <xf numFmtId="165" fontId="30" fillId="5" borderId="32" xfId="0" applyNumberFormat="1" applyFont="1" applyFill="1" applyBorder="1" applyAlignment="1">
      <alignment horizontal="center"/>
    </xf>
    <xf numFmtId="0" fontId="30" fillId="3" borderId="10" xfId="0" applyFont="1" applyFill="1" applyBorder="1" applyAlignment="1">
      <alignment horizontal="center"/>
    </xf>
    <xf numFmtId="0" fontId="30" fillId="4" borderId="0" xfId="0" applyFont="1" applyFill="1" applyAlignment="1">
      <alignment horizontal="center"/>
    </xf>
    <xf numFmtId="165" fontId="30" fillId="5" borderId="0" xfId="0" applyNumberFormat="1" applyFont="1" applyFill="1" applyAlignment="1">
      <alignment horizontal="center"/>
    </xf>
    <xf numFmtId="0" fontId="30" fillId="0" borderId="10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5.png"/><Relationship Id="rId1" Type="http://schemas.openxmlformats.org/officeDocument/2006/relationships/image" Target="../media/image24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614791</xdr:colOff>
      <xdr:row>625</xdr:row>
      <xdr:rowOff>22097</xdr:rowOff>
    </xdr:from>
    <xdr:to>
      <xdr:col>7</xdr:col>
      <xdr:colOff>158552</xdr:colOff>
      <xdr:row>644</xdr:row>
      <xdr:rowOff>88900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14791" y="80635347"/>
          <a:ext cx="5500061" cy="380695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674058</xdr:colOff>
      <xdr:row>604</xdr:row>
      <xdr:rowOff>60613</xdr:rowOff>
    </xdr:from>
    <xdr:to>
      <xdr:col>7</xdr:col>
      <xdr:colOff>99286</xdr:colOff>
      <xdr:row>624</xdr:row>
      <xdr:rowOff>124498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74058" y="63332590"/>
          <a:ext cx="5096933" cy="404706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oneCellAnchor>
    <xdr:from>
      <xdr:col>3</xdr:col>
      <xdr:colOff>666083</xdr:colOff>
      <xdr:row>627</xdr:row>
      <xdr:rowOff>95364</xdr:rowOff>
    </xdr:from>
    <xdr:ext cx="791563" cy="311496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076322" y="87104168"/>
          <a:ext cx="791563" cy="311496"/>
        </a:xfrm>
        <a:prstGeom prst="rect">
          <a:avLst/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Tower A</a:t>
          </a:r>
        </a:p>
      </xdr:txBody>
    </xdr:sp>
    <xdr:clientData/>
  </xdr:oneCellAnchor>
  <xdr:twoCellAnchor>
    <xdr:from>
      <xdr:col>3</xdr:col>
      <xdr:colOff>727364</xdr:colOff>
      <xdr:row>629</xdr:row>
      <xdr:rowOff>8541</xdr:rowOff>
    </xdr:from>
    <xdr:to>
      <xdr:col>4</xdr:col>
      <xdr:colOff>118024</xdr:colOff>
      <xdr:row>634</xdr:row>
      <xdr:rowOff>12799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>
          <a:stCxn id="7" idx="2"/>
        </xdr:cNvCxnSpPr>
      </xdr:nvCxnSpPr>
      <xdr:spPr>
        <a:xfrm flipH="1">
          <a:off x="3137603" y="87414911"/>
          <a:ext cx="334878" cy="998171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5</xdr:col>
      <xdr:colOff>285083</xdr:colOff>
      <xdr:row>634</xdr:row>
      <xdr:rowOff>34750</xdr:rowOff>
    </xdr:from>
    <xdr:ext cx="785343" cy="311496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4418105" y="88435033"/>
          <a:ext cx="785343" cy="311496"/>
        </a:xfrm>
        <a:prstGeom prst="rect">
          <a:avLst/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Tower B</a:t>
          </a:r>
        </a:p>
      </xdr:txBody>
    </xdr:sp>
    <xdr:clientData/>
  </xdr:oneCellAnchor>
  <xdr:twoCellAnchor>
    <xdr:from>
      <xdr:col>5</xdr:col>
      <xdr:colOff>121230</xdr:colOff>
      <xdr:row>635</xdr:row>
      <xdr:rowOff>146711</xdr:rowOff>
    </xdr:from>
    <xdr:to>
      <xdr:col>5</xdr:col>
      <xdr:colOff>677755</xdr:colOff>
      <xdr:row>639</xdr:row>
      <xdr:rowOff>168285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>
          <a:stCxn id="11" idx="2"/>
        </xdr:cNvCxnSpPr>
      </xdr:nvCxnSpPr>
      <xdr:spPr>
        <a:xfrm flipH="1">
          <a:off x="4254252" y="88745776"/>
          <a:ext cx="556525" cy="816705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510400</xdr:colOff>
      <xdr:row>584</xdr:row>
      <xdr:rowOff>11735</xdr:rowOff>
    </xdr:from>
    <xdr:to>
      <xdr:col>6</xdr:col>
      <xdr:colOff>274295</xdr:colOff>
      <xdr:row>599</xdr:row>
      <xdr:rowOff>89283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72400" y="59101371"/>
          <a:ext cx="3911600" cy="306493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685800</xdr:colOff>
      <xdr:row>18</xdr:row>
      <xdr:rowOff>95250</xdr:rowOff>
    </xdr:from>
    <xdr:to>
      <xdr:col>13</xdr:col>
      <xdr:colOff>161475</xdr:colOff>
      <xdr:row>22</xdr:row>
      <xdr:rowOff>367591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59491A-8A46-4427-9736-36116D4DE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67550" y="5162550"/>
          <a:ext cx="3600000" cy="1072441"/>
        </a:xfrm>
        <a:prstGeom prst="rect">
          <a:avLst/>
        </a:prstGeom>
      </xdr:spPr>
    </xdr:pic>
    <xdr:clientData/>
  </xdr:twoCellAnchor>
  <xdr:twoCellAnchor editAs="oneCell">
    <xdr:from>
      <xdr:col>9</xdr:col>
      <xdr:colOff>171450</xdr:colOff>
      <xdr:row>222</xdr:row>
      <xdr:rowOff>180975</xdr:rowOff>
    </xdr:from>
    <xdr:to>
      <xdr:col>13</xdr:col>
      <xdr:colOff>381443</xdr:colOff>
      <xdr:row>226</xdr:row>
      <xdr:rowOff>190615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1BA28F0-0FA0-4EF9-9A3C-D0FCD5F46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715250" y="45319950"/>
          <a:ext cx="3172268" cy="809738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400</xdr:row>
      <xdr:rowOff>200024</xdr:rowOff>
    </xdr:from>
    <xdr:to>
      <xdr:col>13</xdr:col>
      <xdr:colOff>13605</xdr:colOff>
      <xdr:row>404</xdr:row>
      <xdr:rowOff>171448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FD22228-0E51-4292-9653-159E81DAF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543800" y="80943449"/>
          <a:ext cx="2975880" cy="771525"/>
        </a:xfrm>
        <a:prstGeom prst="rect">
          <a:avLst/>
        </a:prstGeom>
      </xdr:spPr>
    </xdr:pic>
    <xdr:clientData/>
  </xdr:twoCellAnchor>
  <xdr:twoCellAnchor editAs="oneCell">
    <xdr:from>
      <xdr:col>8</xdr:col>
      <xdr:colOff>759884</xdr:colOff>
      <xdr:row>115</xdr:row>
      <xdr:rowOff>77259</xdr:rowOff>
    </xdr:from>
    <xdr:to>
      <xdr:col>18</xdr:col>
      <xdr:colOff>503737</xdr:colOff>
      <xdr:row>126</xdr:row>
      <xdr:rowOff>183274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16E7D22-E72B-4145-A1CD-09359327D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141634" y="28109334"/>
          <a:ext cx="7363853" cy="1306165"/>
        </a:xfrm>
        <a:prstGeom prst="rect">
          <a:avLst/>
        </a:prstGeom>
      </xdr:spPr>
    </xdr:pic>
    <xdr:clientData/>
  </xdr:twoCellAnchor>
  <xdr:twoCellAnchor editAs="oneCell">
    <xdr:from>
      <xdr:col>8</xdr:col>
      <xdr:colOff>512694</xdr:colOff>
      <xdr:row>47</xdr:row>
      <xdr:rowOff>7869</xdr:rowOff>
    </xdr:from>
    <xdr:to>
      <xdr:col>13</xdr:col>
      <xdr:colOff>465638</xdr:colOff>
      <xdr:row>50</xdr:row>
      <xdr:rowOff>121058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218CAB38-0E72-4B15-A690-9099C6191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890303" y="11007173"/>
          <a:ext cx="4069400" cy="941450"/>
        </a:xfrm>
        <a:prstGeom prst="rect">
          <a:avLst/>
        </a:prstGeom>
      </xdr:spPr>
    </xdr:pic>
    <xdr:clientData/>
  </xdr:twoCellAnchor>
  <xdr:twoCellAnchor>
    <xdr:from>
      <xdr:col>0</xdr:col>
      <xdr:colOff>542925</xdr:colOff>
      <xdr:row>561</xdr:row>
      <xdr:rowOff>114300</xdr:rowOff>
    </xdr:from>
    <xdr:to>
      <xdr:col>7</xdr:col>
      <xdr:colOff>266025</xdr:colOff>
      <xdr:row>582</xdr:row>
      <xdr:rowOff>172078</xdr:rowOff>
    </xdr:to>
    <xdr:grpSp>
      <xdr:nvGrpSpPr>
        <xdr:cNvPr id="28" name="Group 27">
          <a:extLst>
            <a:ext uri="{FF2B5EF4-FFF2-40B4-BE49-F238E27FC236}">
              <a16:creationId xmlns:a16="http://schemas.microsoft.com/office/drawing/2014/main" id="{5A6944BC-760C-4923-B103-C76944480DE0}"/>
            </a:ext>
          </a:extLst>
        </xdr:cNvPr>
        <xdr:cNvGrpSpPr/>
      </xdr:nvGrpSpPr>
      <xdr:grpSpPr>
        <a:xfrm>
          <a:off x="542925" y="106306620"/>
          <a:ext cx="5552400" cy="4218298"/>
          <a:chOff x="448236" y="1235475"/>
          <a:chExt cx="5400000" cy="4258303"/>
        </a:xfrm>
      </xdr:grpSpPr>
      <xdr:pic>
        <xdr:nvPicPr>
          <xdr:cNvPr id="29" name="Picture 28">
            <a:extLst>
              <a:ext uri="{FF2B5EF4-FFF2-40B4-BE49-F238E27FC236}">
                <a16:creationId xmlns:a16="http://schemas.microsoft.com/office/drawing/2014/main" id="{62193E05-6FFB-4082-9A90-0A966A65881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/>
          <a:stretch>
            <a:fillRect/>
          </a:stretch>
        </xdr:blipFill>
        <xdr:spPr>
          <a:xfrm>
            <a:off x="448236" y="1235475"/>
            <a:ext cx="5400000" cy="4258303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30" name="Rectangle 29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/>
        </xdr:nvSpPr>
        <xdr:spPr>
          <a:xfrm rot="3025317">
            <a:off x="709180" y="1812865"/>
            <a:ext cx="2159665" cy="1371795"/>
          </a:xfrm>
          <a:prstGeom prst="rect">
            <a:avLst/>
          </a:prstGeom>
          <a:noFill/>
          <a:ln w="571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t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en-IN" sz="1100"/>
          </a:p>
        </xdr:txBody>
      </xdr:sp>
      <xdr:sp macro="" textlink="">
        <xdr:nvSpPr>
          <xdr:cNvPr id="31" name="Rectangle 30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>
          <a:xfrm rot="2755945">
            <a:off x="2555028" y="3134753"/>
            <a:ext cx="2256253" cy="1398696"/>
          </a:xfrm>
          <a:prstGeom prst="rect">
            <a:avLst/>
          </a:prstGeom>
          <a:noFill/>
          <a:ln w="571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t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en-IN" sz="1100"/>
          </a:p>
        </xdr:txBody>
      </xdr:sp>
      <xdr:sp macro="" textlink="">
        <xdr:nvSpPr>
          <xdr:cNvPr id="32" name="TextBox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 txBox="1"/>
        </xdr:nvSpPr>
        <xdr:spPr>
          <a:xfrm>
            <a:off x="2918347" y="1515229"/>
            <a:ext cx="791563" cy="311496"/>
          </a:xfrm>
          <a:prstGeom prst="rect">
            <a:avLst/>
          </a:prstGeom>
          <a:solidFill>
            <a:srgbClr val="FFFF00"/>
          </a:solidFill>
          <a:ln>
            <a:solidFill>
              <a:sysClr val="windowText" lastClr="000000"/>
            </a:solidFill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rtlCol="0" anchor="t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4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Tower A</a:t>
            </a:r>
          </a:p>
        </xdr:txBody>
      </xdr:sp>
      <xdr:cxnSp macro="">
        <xdr:nvCxnSpPr>
          <xdr:cNvPr id="33" name="Straight Arrow Connector 32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CxnSpPr>
            <a:cxnSpLocks/>
            <a:stCxn id="32" idx="2"/>
          </xdr:cNvCxnSpPr>
        </xdr:nvCxnSpPr>
        <xdr:spPr>
          <a:xfrm flipH="1">
            <a:off x="2496997" y="1826725"/>
            <a:ext cx="817132" cy="451995"/>
          </a:xfrm>
          <a:prstGeom prst="straightConnector1">
            <a:avLst/>
          </a:prstGeom>
          <a:ln w="38100">
            <a:solidFill>
              <a:sysClr val="windowText" lastClr="000000"/>
            </a:solidFill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34" name="TextBox 2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 txBox="1"/>
        </xdr:nvSpPr>
        <xdr:spPr>
          <a:xfrm>
            <a:off x="4082231" y="2117191"/>
            <a:ext cx="785343" cy="311496"/>
          </a:xfrm>
          <a:prstGeom prst="rect">
            <a:avLst/>
          </a:prstGeom>
          <a:solidFill>
            <a:srgbClr val="FFFF00"/>
          </a:solidFill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rtlCol="0" anchor="t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4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Tower B</a:t>
            </a:r>
          </a:p>
        </xdr:txBody>
      </xdr:sp>
      <xdr:cxnSp macro="">
        <xdr:nvCxnSpPr>
          <xdr:cNvPr id="35" name="Straight Arrow Connector 34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CxnSpPr>
            <a:stCxn id="34" idx="2"/>
          </xdr:cNvCxnSpPr>
        </xdr:nvCxnSpPr>
        <xdr:spPr>
          <a:xfrm flipH="1">
            <a:off x="4321359" y="2428687"/>
            <a:ext cx="153544" cy="1108465"/>
          </a:xfrm>
          <a:prstGeom prst="straightConnector1">
            <a:avLst/>
          </a:prstGeom>
          <a:ln w="38100">
            <a:solidFill>
              <a:sysClr val="windowText" lastClr="000000"/>
            </a:solidFill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9</xdr:col>
      <xdr:colOff>419100</xdr:colOff>
      <xdr:row>2</xdr:row>
      <xdr:rowOff>133350</xdr:rowOff>
    </xdr:from>
    <xdr:to>
      <xdr:col>16</xdr:col>
      <xdr:colOff>580350</xdr:colOff>
      <xdr:row>13</xdr:row>
      <xdr:rowOff>60121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D95796B2-9E2C-495A-A0D1-97E62EE45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962900" y="933450"/>
          <a:ext cx="5400000" cy="2127046"/>
        </a:xfrm>
        <a:prstGeom prst="rect">
          <a:avLst/>
        </a:prstGeom>
      </xdr:spPr>
    </xdr:pic>
    <xdr:clientData/>
  </xdr:twoCellAnchor>
  <xdr:twoCellAnchor editAs="oneCell">
    <xdr:from>
      <xdr:col>8</xdr:col>
      <xdr:colOff>612085</xdr:colOff>
      <xdr:row>33</xdr:row>
      <xdr:rowOff>35201</xdr:rowOff>
    </xdr:from>
    <xdr:to>
      <xdr:col>20</xdr:col>
      <xdr:colOff>67005</xdr:colOff>
      <xdr:row>45</xdr:row>
      <xdr:rowOff>6957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BFD1E576-C2DA-4CBE-BBF2-736E7FD0A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89694" y="8251549"/>
          <a:ext cx="8292463" cy="2357147"/>
        </a:xfrm>
        <a:prstGeom prst="rect">
          <a:avLst/>
        </a:prstGeom>
      </xdr:spPr>
    </xdr:pic>
    <xdr:clientData/>
  </xdr:twoCellAnchor>
  <xdr:twoCellAnchor>
    <xdr:from>
      <xdr:col>8</xdr:col>
      <xdr:colOff>414863</xdr:colOff>
      <xdr:row>517</xdr:row>
      <xdr:rowOff>148301</xdr:rowOff>
    </xdr:from>
    <xdr:to>
      <xdr:col>15</xdr:col>
      <xdr:colOff>325642</xdr:colOff>
      <xdr:row>547</xdr:row>
      <xdr:rowOff>82252</xdr:rowOff>
    </xdr:to>
    <xdr:grpSp>
      <xdr:nvGrpSpPr>
        <xdr:cNvPr id="38" name="Group 37">
          <a:extLst>
            <a:ext uri="{FF2B5EF4-FFF2-40B4-BE49-F238E27FC236}">
              <a16:creationId xmlns:a16="http://schemas.microsoft.com/office/drawing/2014/main" id="{AFD0315A-13D4-4B81-9E80-31850E8C0B67}"/>
            </a:ext>
          </a:extLst>
        </xdr:cNvPr>
        <xdr:cNvGrpSpPr/>
      </xdr:nvGrpSpPr>
      <xdr:grpSpPr>
        <a:xfrm>
          <a:off x="6968063" y="97630961"/>
          <a:ext cx="5694359" cy="5869931"/>
          <a:chOff x="654198" y="1609412"/>
          <a:chExt cx="5549604" cy="5925176"/>
        </a:xfrm>
      </xdr:grpSpPr>
      <xdr:grpSp>
        <xdr:nvGrpSpPr>
          <xdr:cNvPr id="39" name="Group 38">
            <a:extLst>
              <a:ext uri="{FF2B5EF4-FFF2-40B4-BE49-F238E27FC236}">
                <a16:creationId xmlns:a16="http://schemas.microsoft.com/office/drawing/2014/main" id="{FB130CBC-34EB-4DAF-81CB-895267287D50}"/>
              </a:ext>
            </a:extLst>
          </xdr:cNvPr>
          <xdr:cNvGrpSpPr/>
        </xdr:nvGrpSpPr>
        <xdr:grpSpPr>
          <a:xfrm>
            <a:off x="654198" y="1609412"/>
            <a:ext cx="5549604" cy="5925176"/>
            <a:chOff x="0" y="0"/>
            <a:chExt cx="5549604" cy="5925176"/>
          </a:xfrm>
        </xdr:grpSpPr>
        <xdr:pic>
          <xdr:nvPicPr>
            <xdr:cNvPr id="42" name="Picture 41">
              <a:extLst>
                <a:ext uri="{FF2B5EF4-FFF2-40B4-BE49-F238E27FC236}">
                  <a16:creationId xmlns:a16="http://schemas.microsoft.com/office/drawing/2014/main" id="{69F77174-9033-451C-AD99-FF0340EF41C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0" y="0"/>
              <a:ext cx="2697188" cy="36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3" name="Picture 42">
              <a:extLst>
                <a:ext uri="{FF2B5EF4-FFF2-40B4-BE49-F238E27FC236}">
                  <a16:creationId xmlns:a16="http://schemas.microsoft.com/office/drawing/2014/main" id="{8336408D-A814-492C-95C2-B20B90A79E9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852417" y="0"/>
              <a:ext cx="2697187" cy="36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4" name="Picture 43">
              <a:extLst>
                <a:ext uri="{FF2B5EF4-FFF2-40B4-BE49-F238E27FC236}">
                  <a16:creationId xmlns:a16="http://schemas.microsoft.com/office/drawing/2014/main" id="{FE03CC1E-02AC-47AF-BA72-C3CF3D67EBD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089160" y="3765176"/>
              <a:ext cx="1618312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5" name="Picture 44">
              <a:extLst>
                <a:ext uri="{FF2B5EF4-FFF2-40B4-BE49-F238E27FC236}">
                  <a16:creationId xmlns:a16="http://schemas.microsoft.com/office/drawing/2014/main" id="{F8B9A64E-E208-49C6-8BDA-F3E8C5F834A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833757" y="3765176"/>
              <a:ext cx="1618312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sp macro="" textlink="">
        <xdr:nvSpPr>
          <xdr:cNvPr id="40" name="TextBox 15">
            <a:extLst>
              <a:ext uri="{FF2B5EF4-FFF2-40B4-BE49-F238E27FC236}">
                <a16:creationId xmlns:a16="http://schemas.microsoft.com/office/drawing/2014/main" id="{516706B2-FDF6-43A7-B4EA-AB5DFEB5950C}"/>
              </a:ext>
            </a:extLst>
          </xdr:cNvPr>
          <xdr:cNvSpPr txBox="1"/>
        </xdr:nvSpPr>
        <xdr:spPr>
          <a:xfrm>
            <a:off x="2390610" y="1609412"/>
            <a:ext cx="960776" cy="369332"/>
          </a:xfrm>
          <a:prstGeom prst="rect">
            <a:avLst/>
          </a:prstGeom>
          <a:solidFill>
            <a:schemeClr val="bg1">
              <a:lumMod val="95000"/>
            </a:schemeClr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Tower A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41" name="TextBox 16">
            <a:extLst>
              <a:ext uri="{FF2B5EF4-FFF2-40B4-BE49-F238E27FC236}">
                <a16:creationId xmlns:a16="http://schemas.microsoft.com/office/drawing/2014/main" id="{2E4E559A-3FAE-4CA5-A6BF-A9C789EE46BE}"/>
              </a:ext>
            </a:extLst>
          </xdr:cNvPr>
          <xdr:cNvSpPr txBox="1"/>
        </xdr:nvSpPr>
        <xdr:spPr>
          <a:xfrm>
            <a:off x="3616698" y="1649430"/>
            <a:ext cx="951158" cy="369332"/>
          </a:xfrm>
          <a:prstGeom prst="rect">
            <a:avLst/>
          </a:prstGeom>
          <a:solidFill>
            <a:schemeClr val="bg1">
              <a:lumMod val="95000"/>
            </a:schemeClr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Tower B</a:t>
            </a:r>
            <a:endParaRPr lang="en-IN" b="1">
              <a:solidFill>
                <a:srgbClr val="FF0000"/>
              </a:solidFill>
            </a:endParaRPr>
          </a:p>
        </xdr:txBody>
      </xdr:sp>
    </xdr:grpSp>
    <xdr:clientData/>
  </xdr:twoCellAnchor>
  <xdr:twoCellAnchor editAs="oneCell">
    <xdr:from>
      <xdr:col>8</xdr:col>
      <xdr:colOff>554935</xdr:colOff>
      <xdr:row>51</xdr:row>
      <xdr:rowOff>93276</xdr:rowOff>
    </xdr:from>
    <xdr:to>
      <xdr:col>17</xdr:col>
      <xdr:colOff>312951</xdr:colOff>
      <xdr:row>57</xdr:row>
      <xdr:rowOff>563361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932544" y="12119624"/>
          <a:ext cx="6756820" cy="1902976"/>
        </a:xfrm>
        <a:prstGeom prst="rect">
          <a:avLst/>
        </a:prstGeom>
      </xdr:spPr>
    </xdr:pic>
    <xdr:clientData/>
  </xdr:twoCellAnchor>
  <xdr:twoCellAnchor editAs="oneCell">
    <xdr:from>
      <xdr:col>8</xdr:col>
      <xdr:colOff>601980</xdr:colOff>
      <xdr:row>57</xdr:row>
      <xdr:rowOff>426720</xdr:rowOff>
    </xdr:from>
    <xdr:to>
      <xdr:col>22</xdr:col>
      <xdr:colOff>310011</xdr:colOff>
      <xdr:row>65</xdr:row>
      <xdr:rowOff>319002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8BBBD71-64D7-7EB1-8348-8C5F8CF633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155180" y="14226540"/>
          <a:ext cx="10040751" cy="3000794"/>
        </a:xfrm>
        <a:prstGeom prst="rect">
          <a:avLst/>
        </a:prstGeom>
      </xdr:spPr>
    </xdr:pic>
    <xdr:clientData/>
  </xdr:twoCellAnchor>
  <xdr:twoCellAnchor>
    <xdr:from>
      <xdr:col>0</xdr:col>
      <xdr:colOff>160020</xdr:colOff>
      <xdr:row>518</xdr:row>
      <xdr:rowOff>68582</xdr:rowOff>
    </xdr:from>
    <xdr:to>
      <xdr:col>7</xdr:col>
      <xdr:colOff>533400</xdr:colOff>
      <xdr:row>558</xdr:row>
      <xdr:rowOff>106680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727955CB-8ACE-4DFE-8B53-4EB2BB41EDE1}"/>
            </a:ext>
          </a:extLst>
        </xdr:cNvPr>
        <xdr:cNvGrpSpPr/>
      </xdr:nvGrpSpPr>
      <xdr:grpSpPr>
        <a:xfrm>
          <a:off x="160020" y="97749362"/>
          <a:ext cx="6202680" cy="7955278"/>
          <a:chOff x="1041407" y="113381118"/>
          <a:chExt cx="7406914" cy="10282928"/>
        </a:xfrm>
      </xdr:grpSpPr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81B97D2E-B7EA-8872-3817-0B02D036017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82588" y="113381118"/>
            <a:ext cx="5569324" cy="6432713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8" name="Picture 17">
            <a:extLst>
              <a:ext uri="{FF2B5EF4-FFF2-40B4-BE49-F238E27FC236}">
                <a16:creationId xmlns:a16="http://schemas.microsoft.com/office/drawing/2014/main" id="{AB4E9DAC-BEAF-281B-96E8-D805683D29A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41407" y="120019869"/>
            <a:ext cx="2305715" cy="3614631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9" name="Picture 18">
            <a:extLst>
              <a:ext uri="{FF2B5EF4-FFF2-40B4-BE49-F238E27FC236}">
                <a16:creationId xmlns:a16="http://schemas.microsoft.com/office/drawing/2014/main" id="{63FAE443-C539-7A28-4B32-B7AEE6B79B7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92007" y="120019869"/>
            <a:ext cx="2305715" cy="3614631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FAD23C04-7D79-127F-2E14-DEAFA5187B5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b="6540"/>
          <a:stretch>
            <a:fillRect/>
          </a:stretch>
        </xdr:blipFill>
        <xdr:spPr>
          <a:xfrm>
            <a:off x="6142606" y="120019869"/>
            <a:ext cx="2305715" cy="3644177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21" name="TextBox 10">
            <a:extLst>
              <a:ext uri="{FF2B5EF4-FFF2-40B4-BE49-F238E27FC236}">
                <a16:creationId xmlns:a16="http://schemas.microsoft.com/office/drawing/2014/main" id="{D5F070C6-26FC-3CE1-F02A-71B200008E7C}"/>
              </a:ext>
            </a:extLst>
          </xdr:cNvPr>
          <xdr:cNvSpPr txBox="1"/>
        </xdr:nvSpPr>
        <xdr:spPr>
          <a:xfrm>
            <a:off x="3653119" y="113470764"/>
            <a:ext cx="1518409" cy="625896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Tower A</a:t>
            </a:r>
            <a:endParaRPr lang="en-IN" b="1">
              <a:solidFill>
                <a:srgbClr val="FF0000"/>
              </a:solidFill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291353</xdr:colOff>
      <xdr:row>14</xdr:row>
      <xdr:rowOff>11206</xdr:rowOff>
    </xdr:from>
    <xdr:to>
      <xdr:col>6</xdr:col>
      <xdr:colOff>510088</xdr:colOff>
      <xdr:row>35</xdr:row>
      <xdr:rowOff>58729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1353" y="2689412"/>
          <a:ext cx="7200000" cy="404802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717177</xdr:colOff>
      <xdr:row>16</xdr:row>
      <xdr:rowOff>123264</xdr:rowOff>
    </xdr:from>
    <xdr:to>
      <xdr:col>16</xdr:col>
      <xdr:colOff>26979</xdr:colOff>
      <xdr:row>35</xdr:row>
      <xdr:rowOff>103764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98442" y="3182470"/>
          <a:ext cx="6403125" cy="3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omments" Target="../comments1.xml"/><Relationship Id="rId2" Type="http://schemas.openxmlformats.org/officeDocument/2006/relationships/hyperlink" Target="https://godrejavenueelevens.com/?gclid=Cj0KCQjw2tHABhCiARIsANZzDWq4KZ_LsiF5jUSrIFXfJaFjUdn37LbPhsHidkBrpuPaihJ1JRPaiV0aAtwvEALw_wcB&amp;campaignid=20528094372&amp;adgroupid=158991706211&amp;loc_physicall_ms=9062232&amp;loc_interest_ms=&amp;matchtype=p&amp;network=g&amp;creative=673304234131&amp;keyword=godrej%20avenue%20eleven&amp;placement=&amp;targetid=kwd-2192133699021&amp;sourceid=%7bsourceid%7d&amp;device=c&amp;gad_source=1&amp;gbraid=0AAAAApNmhKtp0FfMFKMcux8zxHvCMMriI" TargetMode="External"/><Relationship Id="rId1" Type="http://schemas.openxmlformats.org/officeDocument/2006/relationships/hyperlink" Target="https://maps.app.goo.gl/6uYLPwSNPqcW3AnU9" TargetMode="External"/><Relationship Id="rId6" Type="http://schemas.openxmlformats.org/officeDocument/2006/relationships/vmlDrawing" Target="../drawings/vmlDrawing2.v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604"/>
  <sheetViews>
    <sheetView tabSelected="1" view="pageBreakPreview" topLeftCell="A114" zoomScaleNormal="100" zoomScaleSheetLayoutView="100" zoomScalePageLayoutView="85" workbookViewId="0">
      <selection activeCell="I139" sqref="I139"/>
    </sheetView>
  </sheetViews>
  <sheetFormatPr defaultColWidth="9.109375" defaultRowHeight="15.6" x14ac:dyDescent="0.3"/>
  <cols>
    <col min="1" max="1" width="11.44140625" style="37" customWidth="1"/>
    <col min="2" max="2" width="12" style="37" customWidth="1"/>
    <col min="3" max="3" width="12.6640625" style="37" customWidth="1"/>
    <col min="4" max="4" width="14.109375" style="37" customWidth="1"/>
    <col min="5" max="6" width="11.6640625" style="37" customWidth="1"/>
    <col min="7" max="7" width="11.44140625" style="37" customWidth="1"/>
    <col min="8" max="8" width="10.5546875" style="37" customWidth="1"/>
    <col min="9" max="9" width="17.44140625" style="18" customWidth="1"/>
    <col min="10" max="10" width="11.44140625" style="18" customWidth="1"/>
    <col min="11" max="11" width="10.5546875" style="18" bestFit="1" customWidth="1"/>
    <col min="12" max="12" width="10.5546875" style="18" customWidth="1"/>
    <col min="13" max="13" width="11.88671875" style="18" customWidth="1"/>
    <col min="14" max="14" width="12.5546875" style="18" customWidth="1"/>
    <col min="15" max="15" width="9.88671875" style="18" customWidth="1"/>
    <col min="16" max="16" width="11.6640625" style="18" customWidth="1"/>
    <col min="17" max="247" width="9.109375" style="18"/>
    <col min="248" max="248" width="8.6640625" style="18" customWidth="1"/>
    <col min="249" max="249" width="9.88671875" style="18" customWidth="1"/>
    <col min="250" max="250" width="14.44140625" style="18" customWidth="1"/>
    <col min="251" max="251" width="7.33203125" style="18" customWidth="1"/>
    <col min="252" max="252" width="5.5546875" style="18" customWidth="1"/>
    <col min="253" max="253" width="9" style="18" customWidth="1"/>
    <col min="254" max="255" width="9.88671875" style="18" customWidth="1"/>
    <col min="256" max="256" width="11.109375" style="18" customWidth="1"/>
    <col min="257" max="257" width="2.88671875" style="18" customWidth="1"/>
    <col min="258" max="258" width="3.5546875" style="18" customWidth="1"/>
    <col min="259" max="503" width="9.109375" style="18"/>
    <col min="504" max="504" width="8.6640625" style="18" customWidth="1"/>
    <col min="505" max="505" width="9.88671875" style="18" customWidth="1"/>
    <col min="506" max="506" width="14.44140625" style="18" customWidth="1"/>
    <col min="507" max="507" width="7.33203125" style="18" customWidth="1"/>
    <col min="508" max="508" width="5.5546875" style="18" customWidth="1"/>
    <col min="509" max="509" width="9" style="18" customWidth="1"/>
    <col min="510" max="511" width="9.88671875" style="18" customWidth="1"/>
    <col min="512" max="512" width="11.109375" style="18" customWidth="1"/>
    <col min="513" max="513" width="2.88671875" style="18" customWidth="1"/>
    <col min="514" max="514" width="3.5546875" style="18" customWidth="1"/>
    <col min="515" max="759" width="9.109375" style="18"/>
    <col min="760" max="760" width="8.6640625" style="18" customWidth="1"/>
    <col min="761" max="761" width="9.88671875" style="18" customWidth="1"/>
    <col min="762" max="762" width="14.44140625" style="18" customWidth="1"/>
    <col min="763" max="763" width="7.33203125" style="18" customWidth="1"/>
    <col min="764" max="764" width="5.5546875" style="18" customWidth="1"/>
    <col min="765" max="765" width="9" style="18" customWidth="1"/>
    <col min="766" max="767" width="9.88671875" style="18" customWidth="1"/>
    <col min="768" max="768" width="11.109375" style="18" customWidth="1"/>
    <col min="769" max="769" width="2.88671875" style="18" customWidth="1"/>
    <col min="770" max="770" width="3.5546875" style="18" customWidth="1"/>
    <col min="771" max="1015" width="9.109375" style="18"/>
    <col min="1016" max="1016" width="8.6640625" style="18" customWidth="1"/>
    <col min="1017" max="1017" width="9.88671875" style="18" customWidth="1"/>
    <col min="1018" max="1018" width="14.44140625" style="18" customWidth="1"/>
    <col min="1019" max="1019" width="7.33203125" style="18" customWidth="1"/>
    <col min="1020" max="1020" width="5.5546875" style="18" customWidth="1"/>
    <col min="1021" max="1021" width="9" style="18" customWidth="1"/>
    <col min="1022" max="1023" width="9.88671875" style="18" customWidth="1"/>
    <col min="1024" max="1024" width="11.109375" style="18" customWidth="1"/>
    <col min="1025" max="1025" width="2.88671875" style="18" customWidth="1"/>
    <col min="1026" max="1026" width="3.5546875" style="18" customWidth="1"/>
    <col min="1027" max="1271" width="9.109375" style="18"/>
    <col min="1272" max="1272" width="8.6640625" style="18" customWidth="1"/>
    <col min="1273" max="1273" width="9.88671875" style="18" customWidth="1"/>
    <col min="1274" max="1274" width="14.44140625" style="18" customWidth="1"/>
    <col min="1275" max="1275" width="7.33203125" style="18" customWidth="1"/>
    <col min="1276" max="1276" width="5.5546875" style="18" customWidth="1"/>
    <col min="1277" max="1277" width="9" style="18" customWidth="1"/>
    <col min="1278" max="1279" width="9.88671875" style="18" customWidth="1"/>
    <col min="1280" max="1280" width="11.109375" style="18" customWidth="1"/>
    <col min="1281" max="1281" width="2.88671875" style="18" customWidth="1"/>
    <col min="1282" max="1282" width="3.5546875" style="18" customWidth="1"/>
    <col min="1283" max="1527" width="9.109375" style="18"/>
    <col min="1528" max="1528" width="8.6640625" style="18" customWidth="1"/>
    <col min="1529" max="1529" width="9.88671875" style="18" customWidth="1"/>
    <col min="1530" max="1530" width="14.44140625" style="18" customWidth="1"/>
    <col min="1531" max="1531" width="7.33203125" style="18" customWidth="1"/>
    <col min="1532" max="1532" width="5.5546875" style="18" customWidth="1"/>
    <col min="1533" max="1533" width="9" style="18" customWidth="1"/>
    <col min="1534" max="1535" width="9.88671875" style="18" customWidth="1"/>
    <col min="1536" max="1536" width="11.109375" style="18" customWidth="1"/>
    <col min="1537" max="1537" width="2.88671875" style="18" customWidth="1"/>
    <col min="1538" max="1538" width="3.5546875" style="18" customWidth="1"/>
    <col min="1539" max="1783" width="9.109375" style="18"/>
    <col min="1784" max="1784" width="8.6640625" style="18" customWidth="1"/>
    <col min="1785" max="1785" width="9.88671875" style="18" customWidth="1"/>
    <col min="1786" max="1786" width="14.44140625" style="18" customWidth="1"/>
    <col min="1787" max="1787" width="7.33203125" style="18" customWidth="1"/>
    <col min="1788" max="1788" width="5.5546875" style="18" customWidth="1"/>
    <col min="1789" max="1789" width="9" style="18" customWidth="1"/>
    <col min="1790" max="1791" width="9.88671875" style="18" customWidth="1"/>
    <col min="1792" max="1792" width="11.109375" style="18" customWidth="1"/>
    <col min="1793" max="1793" width="2.88671875" style="18" customWidth="1"/>
    <col min="1794" max="1794" width="3.5546875" style="18" customWidth="1"/>
    <col min="1795" max="2039" width="9.109375" style="18"/>
    <col min="2040" max="2040" width="8.6640625" style="18" customWidth="1"/>
    <col min="2041" max="2041" width="9.88671875" style="18" customWidth="1"/>
    <col min="2042" max="2042" width="14.44140625" style="18" customWidth="1"/>
    <col min="2043" max="2043" width="7.33203125" style="18" customWidth="1"/>
    <col min="2044" max="2044" width="5.5546875" style="18" customWidth="1"/>
    <col min="2045" max="2045" width="9" style="18" customWidth="1"/>
    <col min="2046" max="2047" width="9.88671875" style="18" customWidth="1"/>
    <col min="2048" max="2048" width="11.109375" style="18" customWidth="1"/>
    <col min="2049" max="2049" width="2.88671875" style="18" customWidth="1"/>
    <col min="2050" max="2050" width="3.5546875" style="18" customWidth="1"/>
    <col min="2051" max="2295" width="9.109375" style="18"/>
    <col min="2296" max="2296" width="8.6640625" style="18" customWidth="1"/>
    <col min="2297" max="2297" width="9.88671875" style="18" customWidth="1"/>
    <col min="2298" max="2298" width="14.44140625" style="18" customWidth="1"/>
    <col min="2299" max="2299" width="7.33203125" style="18" customWidth="1"/>
    <col min="2300" max="2300" width="5.5546875" style="18" customWidth="1"/>
    <col min="2301" max="2301" width="9" style="18" customWidth="1"/>
    <col min="2302" max="2303" width="9.88671875" style="18" customWidth="1"/>
    <col min="2304" max="2304" width="11.109375" style="18" customWidth="1"/>
    <col min="2305" max="2305" width="2.88671875" style="18" customWidth="1"/>
    <col min="2306" max="2306" width="3.5546875" style="18" customWidth="1"/>
    <col min="2307" max="2551" width="9.109375" style="18"/>
    <col min="2552" max="2552" width="8.6640625" style="18" customWidth="1"/>
    <col min="2553" max="2553" width="9.88671875" style="18" customWidth="1"/>
    <col min="2554" max="2554" width="14.44140625" style="18" customWidth="1"/>
    <col min="2555" max="2555" width="7.33203125" style="18" customWidth="1"/>
    <col min="2556" max="2556" width="5.5546875" style="18" customWidth="1"/>
    <col min="2557" max="2557" width="9" style="18" customWidth="1"/>
    <col min="2558" max="2559" width="9.88671875" style="18" customWidth="1"/>
    <col min="2560" max="2560" width="11.109375" style="18" customWidth="1"/>
    <col min="2561" max="2561" width="2.88671875" style="18" customWidth="1"/>
    <col min="2562" max="2562" width="3.5546875" style="18" customWidth="1"/>
    <col min="2563" max="2807" width="9.109375" style="18"/>
    <col min="2808" max="2808" width="8.6640625" style="18" customWidth="1"/>
    <col min="2809" max="2809" width="9.88671875" style="18" customWidth="1"/>
    <col min="2810" max="2810" width="14.44140625" style="18" customWidth="1"/>
    <col min="2811" max="2811" width="7.33203125" style="18" customWidth="1"/>
    <col min="2812" max="2812" width="5.5546875" style="18" customWidth="1"/>
    <col min="2813" max="2813" width="9" style="18" customWidth="1"/>
    <col min="2814" max="2815" width="9.88671875" style="18" customWidth="1"/>
    <col min="2816" max="2816" width="11.109375" style="18" customWidth="1"/>
    <col min="2817" max="2817" width="2.88671875" style="18" customWidth="1"/>
    <col min="2818" max="2818" width="3.5546875" style="18" customWidth="1"/>
    <col min="2819" max="3063" width="9.109375" style="18"/>
    <col min="3064" max="3064" width="8.6640625" style="18" customWidth="1"/>
    <col min="3065" max="3065" width="9.88671875" style="18" customWidth="1"/>
    <col min="3066" max="3066" width="14.44140625" style="18" customWidth="1"/>
    <col min="3067" max="3067" width="7.33203125" style="18" customWidth="1"/>
    <col min="3068" max="3068" width="5.5546875" style="18" customWidth="1"/>
    <col min="3069" max="3069" width="9" style="18" customWidth="1"/>
    <col min="3070" max="3071" width="9.88671875" style="18" customWidth="1"/>
    <col min="3072" max="3072" width="11.109375" style="18" customWidth="1"/>
    <col min="3073" max="3073" width="2.88671875" style="18" customWidth="1"/>
    <col min="3074" max="3074" width="3.5546875" style="18" customWidth="1"/>
    <col min="3075" max="3319" width="9.109375" style="18"/>
    <col min="3320" max="3320" width="8.6640625" style="18" customWidth="1"/>
    <col min="3321" max="3321" width="9.88671875" style="18" customWidth="1"/>
    <col min="3322" max="3322" width="14.44140625" style="18" customWidth="1"/>
    <col min="3323" max="3323" width="7.33203125" style="18" customWidth="1"/>
    <col min="3324" max="3324" width="5.5546875" style="18" customWidth="1"/>
    <col min="3325" max="3325" width="9" style="18" customWidth="1"/>
    <col min="3326" max="3327" width="9.88671875" style="18" customWidth="1"/>
    <col min="3328" max="3328" width="11.109375" style="18" customWidth="1"/>
    <col min="3329" max="3329" width="2.88671875" style="18" customWidth="1"/>
    <col min="3330" max="3330" width="3.5546875" style="18" customWidth="1"/>
    <col min="3331" max="3575" width="9.109375" style="18"/>
    <col min="3576" max="3576" width="8.6640625" style="18" customWidth="1"/>
    <col min="3577" max="3577" width="9.88671875" style="18" customWidth="1"/>
    <col min="3578" max="3578" width="14.44140625" style="18" customWidth="1"/>
    <col min="3579" max="3579" width="7.33203125" style="18" customWidth="1"/>
    <col min="3580" max="3580" width="5.5546875" style="18" customWidth="1"/>
    <col min="3581" max="3581" width="9" style="18" customWidth="1"/>
    <col min="3582" max="3583" width="9.88671875" style="18" customWidth="1"/>
    <col min="3584" max="3584" width="11.109375" style="18" customWidth="1"/>
    <col min="3585" max="3585" width="2.88671875" style="18" customWidth="1"/>
    <col min="3586" max="3586" width="3.5546875" style="18" customWidth="1"/>
    <col min="3587" max="3831" width="9.109375" style="18"/>
    <col min="3832" max="3832" width="8.6640625" style="18" customWidth="1"/>
    <col min="3833" max="3833" width="9.88671875" style="18" customWidth="1"/>
    <col min="3834" max="3834" width="14.44140625" style="18" customWidth="1"/>
    <col min="3835" max="3835" width="7.33203125" style="18" customWidth="1"/>
    <col min="3836" max="3836" width="5.5546875" style="18" customWidth="1"/>
    <col min="3837" max="3837" width="9" style="18" customWidth="1"/>
    <col min="3838" max="3839" width="9.88671875" style="18" customWidth="1"/>
    <col min="3840" max="3840" width="11.109375" style="18" customWidth="1"/>
    <col min="3841" max="3841" width="2.88671875" style="18" customWidth="1"/>
    <col min="3842" max="3842" width="3.5546875" style="18" customWidth="1"/>
    <col min="3843" max="4087" width="9.109375" style="18"/>
    <col min="4088" max="4088" width="8.6640625" style="18" customWidth="1"/>
    <col min="4089" max="4089" width="9.88671875" style="18" customWidth="1"/>
    <col min="4090" max="4090" width="14.44140625" style="18" customWidth="1"/>
    <col min="4091" max="4091" width="7.33203125" style="18" customWidth="1"/>
    <col min="4092" max="4092" width="5.5546875" style="18" customWidth="1"/>
    <col min="4093" max="4093" width="9" style="18" customWidth="1"/>
    <col min="4094" max="4095" width="9.88671875" style="18" customWidth="1"/>
    <col min="4096" max="4096" width="11.109375" style="18" customWidth="1"/>
    <col min="4097" max="4097" width="2.88671875" style="18" customWidth="1"/>
    <col min="4098" max="4098" width="3.5546875" style="18" customWidth="1"/>
    <col min="4099" max="4343" width="9.109375" style="18"/>
    <col min="4344" max="4344" width="8.6640625" style="18" customWidth="1"/>
    <col min="4345" max="4345" width="9.88671875" style="18" customWidth="1"/>
    <col min="4346" max="4346" width="14.44140625" style="18" customWidth="1"/>
    <col min="4347" max="4347" width="7.33203125" style="18" customWidth="1"/>
    <col min="4348" max="4348" width="5.5546875" style="18" customWidth="1"/>
    <col min="4349" max="4349" width="9" style="18" customWidth="1"/>
    <col min="4350" max="4351" width="9.88671875" style="18" customWidth="1"/>
    <col min="4352" max="4352" width="11.109375" style="18" customWidth="1"/>
    <col min="4353" max="4353" width="2.88671875" style="18" customWidth="1"/>
    <col min="4354" max="4354" width="3.5546875" style="18" customWidth="1"/>
    <col min="4355" max="4599" width="9.109375" style="18"/>
    <col min="4600" max="4600" width="8.6640625" style="18" customWidth="1"/>
    <col min="4601" max="4601" width="9.88671875" style="18" customWidth="1"/>
    <col min="4602" max="4602" width="14.44140625" style="18" customWidth="1"/>
    <col min="4603" max="4603" width="7.33203125" style="18" customWidth="1"/>
    <col min="4604" max="4604" width="5.5546875" style="18" customWidth="1"/>
    <col min="4605" max="4605" width="9" style="18" customWidth="1"/>
    <col min="4606" max="4607" width="9.88671875" style="18" customWidth="1"/>
    <col min="4608" max="4608" width="11.109375" style="18" customWidth="1"/>
    <col min="4609" max="4609" width="2.88671875" style="18" customWidth="1"/>
    <col min="4610" max="4610" width="3.5546875" style="18" customWidth="1"/>
    <col min="4611" max="4855" width="9.109375" style="18"/>
    <col min="4856" max="4856" width="8.6640625" style="18" customWidth="1"/>
    <col min="4857" max="4857" width="9.88671875" style="18" customWidth="1"/>
    <col min="4858" max="4858" width="14.44140625" style="18" customWidth="1"/>
    <col min="4859" max="4859" width="7.33203125" style="18" customWidth="1"/>
    <col min="4860" max="4860" width="5.5546875" style="18" customWidth="1"/>
    <col min="4861" max="4861" width="9" style="18" customWidth="1"/>
    <col min="4862" max="4863" width="9.88671875" style="18" customWidth="1"/>
    <col min="4864" max="4864" width="11.109375" style="18" customWidth="1"/>
    <col min="4865" max="4865" width="2.88671875" style="18" customWidth="1"/>
    <col min="4866" max="4866" width="3.5546875" style="18" customWidth="1"/>
    <col min="4867" max="5111" width="9.109375" style="18"/>
    <col min="5112" max="5112" width="8.6640625" style="18" customWidth="1"/>
    <col min="5113" max="5113" width="9.88671875" style="18" customWidth="1"/>
    <col min="5114" max="5114" width="14.44140625" style="18" customWidth="1"/>
    <col min="5115" max="5115" width="7.33203125" style="18" customWidth="1"/>
    <col min="5116" max="5116" width="5.5546875" style="18" customWidth="1"/>
    <col min="5117" max="5117" width="9" style="18" customWidth="1"/>
    <col min="5118" max="5119" width="9.88671875" style="18" customWidth="1"/>
    <col min="5120" max="5120" width="11.109375" style="18" customWidth="1"/>
    <col min="5121" max="5121" width="2.88671875" style="18" customWidth="1"/>
    <col min="5122" max="5122" width="3.5546875" style="18" customWidth="1"/>
    <col min="5123" max="5367" width="9.109375" style="18"/>
    <col min="5368" max="5368" width="8.6640625" style="18" customWidth="1"/>
    <col min="5369" max="5369" width="9.88671875" style="18" customWidth="1"/>
    <col min="5370" max="5370" width="14.44140625" style="18" customWidth="1"/>
    <col min="5371" max="5371" width="7.33203125" style="18" customWidth="1"/>
    <col min="5372" max="5372" width="5.5546875" style="18" customWidth="1"/>
    <col min="5373" max="5373" width="9" style="18" customWidth="1"/>
    <col min="5374" max="5375" width="9.88671875" style="18" customWidth="1"/>
    <col min="5376" max="5376" width="11.109375" style="18" customWidth="1"/>
    <col min="5377" max="5377" width="2.88671875" style="18" customWidth="1"/>
    <col min="5378" max="5378" width="3.5546875" style="18" customWidth="1"/>
    <col min="5379" max="5623" width="9.109375" style="18"/>
    <col min="5624" max="5624" width="8.6640625" style="18" customWidth="1"/>
    <col min="5625" max="5625" width="9.88671875" style="18" customWidth="1"/>
    <col min="5626" max="5626" width="14.44140625" style="18" customWidth="1"/>
    <col min="5627" max="5627" width="7.33203125" style="18" customWidth="1"/>
    <col min="5628" max="5628" width="5.5546875" style="18" customWidth="1"/>
    <col min="5629" max="5629" width="9" style="18" customWidth="1"/>
    <col min="5630" max="5631" width="9.88671875" style="18" customWidth="1"/>
    <col min="5632" max="5632" width="11.109375" style="18" customWidth="1"/>
    <col min="5633" max="5633" width="2.88671875" style="18" customWidth="1"/>
    <col min="5634" max="5634" width="3.5546875" style="18" customWidth="1"/>
    <col min="5635" max="5879" width="9.109375" style="18"/>
    <col min="5880" max="5880" width="8.6640625" style="18" customWidth="1"/>
    <col min="5881" max="5881" width="9.88671875" style="18" customWidth="1"/>
    <col min="5882" max="5882" width="14.44140625" style="18" customWidth="1"/>
    <col min="5883" max="5883" width="7.33203125" style="18" customWidth="1"/>
    <col min="5884" max="5884" width="5.5546875" style="18" customWidth="1"/>
    <col min="5885" max="5885" width="9" style="18" customWidth="1"/>
    <col min="5886" max="5887" width="9.88671875" style="18" customWidth="1"/>
    <col min="5888" max="5888" width="11.109375" style="18" customWidth="1"/>
    <col min="5889" max="5889" width="2.88671875" style="18" customWidth="1"/>
    <col min="5890" max="5890" width="3.5546875" style="18" customWidth="1"/>
    <col min="5891" max="6135" width="9.109375" style="18"/>
    <col min="6136" max="6136" width="8.6640625" style="18" customWidth="1"/>
    <col min="6137" max="6137" width="9.88671875" style="18" customWidth="1"/>
    <col min="6138" max="6138" width="14.44140625" style="18" customWidth="1"/>
    <col min="6139" max="6139" width="7.33203125" style="18" customWidth="1"/>
    <col min="6140" max="6140" width="5.5546875" style="18" customWidth="1"/>
    <col min="6141" max="6141" width="9" style="18" customWidth="1"/>
    <col min="6142" max="6143" width="9.88671875" style="18" customWidth="1"/>
    <col min="6144" max="6144" width="11.109375" style="18" customWidth="1"/>
    <col min="6145" max="6145" width="2.88671875" style="18" customWidth="1"/>
    <col min="6146" max="6146" width="3.5546875" style="18" customWidth="1"/>
    <col min="6147" max="6391" width="9.109375" style="18"/>
    <col min="6392" max="6392" width="8.6640625" style="18" customWidth="1"/>
    <col min="6393" max="6393" width="9.88671875" style="18" customWidth="1"/>
    <col min="6394" max="6394" width="14.44140625" style="18" customWidth="1"/>
    <col min="6395" max="6395" width="7.33203125" style="18" customWidth="1"/>
    <col min="6396" max="6396" width="5.5546875" style="18" customWidth="1"/>
    <col min="6397" max="6397" width="9" style="18" customWidth="1"/>
    <col min="6398" max="6399" width="9.88671875" style="18" customWidth="1"/>
    <col min="6400" max="6400" width="11.109375" style="18" customWidth="1"/>
    <col min="6401" max="6401" width="2.88671875" style="18" customWidth="1"/>
    <col min="6402" max="6402" width="3.5546875" style="18" customWidth="1"/>
    <col min="6403" max="6647" width="9.109375" style="18"/>
    <col min="6648" max="6648" width="8.6640625" style="18" customWidth="1"/>
    <col min="6649" max="6649" width="9.88671875" style="18" customWidth="1"/>
    <col min="6650" max="6650" width="14.44140625" style="18" customWidth="1"/>
    <col min="6651" max="6651" width="7.33203125" style="18" customWidth="1"/>
    <col min="6652" max="6652" width="5.5546875" style="18" customWidth="1"/>
    <col min="6653" max="6653" width="9" style="18" customWidth="1"/>
    <col min="6654" max="6655" width="9.88671875" style="18" customWidth="1"/>
    <col min="6656" max="6656" width="11.109375" style="18" customWidth="1"/>
    <col min="6657" max="6657" width="2.88671875" style="18" customWidth="1"/>
    <col min="6658" max="6658" width="3.5546875" style="18" customWidth="1"/>
    <col min="6659" max="6903" width="9.109375" style="18"/>
    <col min="6904" max="6904" width="8.6640625" style="18" customWidth="1"/>
    <col min="6905" max="6905" width="9.88671875" style="18" customWidth="1"/>
    <col min="6906" max="6906" width="14.44140625" style="18" customWidth="1"/>
    <col min="6907" max="6907" width="7.33203125" style="18" customWidth="1"/>
    <col min="6908" max="6908" width="5.5546875" style="18" customWidth="1"/>
    <col min="6909" max="6909" width="9" style="18" customWidth="1"/>
    <col min="6910" max="6911" width="9.88671875" style="18" customWidth="1"/>
    <col min="6912" max="6912" width="11.109375" style="18" customWidth="1"/>
    <col min="6913" max="6913" width="2.88671875" style="18" customWidth="1"/>
    <col min="6914" max="6914" width="3.5546875" style="18" customWidth="1"/>
    <col min="6915" max="7159" width="9.109375" style="18"/>
    <col min="7160" max="7160" width="8.6640625" style="18" customWidth="1"/>
    <col min="7161" max="7161" width="9.88671875" style="18" customWidth="1"/>
    <col min="7162" max="7162" width="14.44140625" style="18" customWidth="1"/>
    <col min="7163" max="7163" width="7.33203125" style="18" customWidth="1"/>
    <col min="7164" max="7164" width="5.5546875" style="18" customWidth="1"/>
    <col min="7165" max="7165" width="9" style="18" customWidth="1"/>
    <col min="7166" max="7167" width="9.88671875" style="18" customWidth="1"/>
    <col min="7168" max="7168" width="11.109375" style="18" customWidth="1"/>
    <col min="7169" max="7169" width="2.88671875" style="18" customWidth="1"/>
    <col min="7170" max="7170" width="3.5546875" style="18" customWidth="1"/>
    <col min="7171" max="7415" width="9.109375" style="18"/>
    <col min="7416" max="7416" width="8.6640625" style="18" customWidth="1"/>
    <col min="7417" max="7417" width="9.88671875" style="18" customWidth="1"/>
    <col min="7418" max="7418" width="14.44140625" style="18" customWidth="1"/>
    <col min="7419" max="7419" width="7.33203125" style="18" customWidth="1"/>
    <col min="7420" max="7420" width="5.5546875" style="18" customWidth="1"/>
    <col min="7421" max="7421" width="9" style="18" customWidth="1"/>
    <col min="7422" max="7423" width="9.88671875" style="18" customWidth="1"/>
    <col min="7424" max="7424" width="11.109375" style="18" customWidth="1"/>
    <col min="7425" max="7425" width="2.88671875" style="18" customWidth="1"/>
    <col min="7426" max="7426" width="3.5546875" style="18" customWidth="1"/>
    <col min="7427" max="7671" width="9.109375" style="18"/>
    <col min="7672" max="7672" width="8.6640625" style="18" customWidth="1"/>
    <col min="7673" max="7673" width="9.88671875" style="18" customWidth="1"/>
    <col min="7674" max="7674" width="14.44140625" style="18" customWidth="1"/>
    <col min="7675" max="7675" width="7.33203125" style="18" customWidth="1"/>
    <col min="7676" max="7676" width="5.5546875" style="18" customWidth="1"/>
    <col min="7677" max="7677" width="9" style="18" customWidth="1"/>
    <col min="7678" max="7679" width="9.88671875" style="18" customWidth="1"/>
    <col min="7680" max="7680" width="11.109375" style="18" customWidth="1"/>
    <col min="7681" max="7681" width="2.88671875" style="18" customWidth="1"/>
    <col min="7682" max="7682" width="3.5546875" style="18" customWidth="1"/>
    <col min="7683" max="7927" width="9.109375" style="18"/>
    <col min="7928" max="7928" width="8.6640625" style="18" customWidth="1"/>
    <col min="7929" max="7929" width="9.88671875" style="18" customWidth="1"/>
    <col min="7930" max="7930" width="14.44140625" style="18" customWidth="1"/>
    <col min="7931" max="7931" width="7.33203125" style="18" customWidth="1"/>
    <col min="7932" max="7932" width="5.5546875" style="18" customWidth="1"/>
    <col min="7933" max="7933" width="9" style="18" customWidth="1"/>
    <col min="7934" max="7935" width="9.88671875" style="18" customWidth="1"/>
    <col min="7936" max="7936" width="11.109375" style="18" customWidth="1"/>
    <col min="7937" max="7937" width="2.88671875" style="18" customWidth="1"/>
    <col min="7938" max="7938" width="3.5546875" style="18" customWidth="1"/>
    <col min="7939" max="8183" width="9.109375" style="18"/>
    <col min="8184" max="8184" width="8.6640625" style="18" customWidth="1"/>
    <col min="8185" max="8185" width="9.88671875" style="18" customWidth="1"/>
    <col min="8186" max="8186" width="14.44140625" style="18" customWidth="1"/>
    <col min="8187" max="8187" width="7.33203125" style="18" customWidth="1"/>
    <col min="8188" max="8188" width="5.5546875" style="18" customWidth="1"/>
    <col min="8189" max="8189" width="9" style="18" customWidth="1"/>
    <col min="8190" max="8191" width="9.88671875" style="18" customWidth="1"/>
    <col min="8192" max="8192" width="11.109375" style="18" customWidth="1"/>
    <col min="8193" max="8193" width="2.88671875" style="18" customWidth="1"/>
    <col min="8194" max="8194" width="3.5546875" style="18" customWidth="1"/>
    <col min="8195" max="8439" width="9.109375" style="18"/>
    <col min="8440" max="8440" width="8.6640625" style="18" customWidth="1"/>
    <col min="8441" max="8441" width="9.88671875" style="18" customWidth="1"/>
    <col min="8442" max="8442" width="14.44140625" style="18" customWidth="1"/>
    <col min="8443" max="8443" width="7.33203125" style="18" customWidth="1"/>
    <col min="8444" max="8444" width="5.5546875" style="18" customWidth="1"/>
    <col min="8445" max="8445" width="9" style="18" customWidth="1"/>
    <col min="8446" max="8447" width="9.88671875" style="18" customWidth="1"/>
    <col min="8448" max="8448" width="11.109375" style="18" customWidth="1"/>
    <col min="8449" max="8449" width="2.88671875" style="18" customWidth="1"/>
    <col min="8450" max="8450" width="3.5546875" style="18" customWidth="1"/>
    <col min="8451" max="8695" width="9.109375" style="18"/>
    <col min="8696" max="8696" width="8.6640625" style="18" customWidth="1"/>
    <col min="8697" max="8697" width="9.88671875" style="18" customWidth="1"/>
    <col min="8698" max="8698" width="14.44140625" style="18" customWidth="1"/>
    <col min="8699" max="8699" width="7.33203125" style="18" customWidth="1"/>
    <col min="8700" max="8700" width="5.5546875" style="18" customWidth="1"/>
    <col min="8701" max="8701" width="9" style="18" customWidth="1"/>
    <col min="8702" max="8703" width="9.88671875" style="18" customWidth="1"/>
    <col min="8704" max="8704" width="11.109375" style="18" customWidth="1"/>
    <col min="8705" max="8705" width="2.88671875" style="18" customWidth="1"/>
    <col min="8706" max="8706" width="3.5546875" style="18" customWidth="1"/>
    <col min="8707" max="8951" width="9.109375" style="18"/>
    <col min="8952" max="8952" width="8.6640625" style="18" customWidth="1"/>
    <col min="8953" max="8953" width="9.88671875" style="18" customWidth="1"/>
    <col min="8954" max="8954" width="14.44140625" style="18" customWidth="1"/>
    <col min="8955" max="8955" width="7.33203125" style="18" customWidth="1"/>
    <col min="8956" max="8956" width="5.5546875" style="18" customWidth="1"/>
    <col min="8957" max="8957" width="9" style="18" customWidth="1"/>
    <col min="8958" max="8959" width="9.88671875" style="18" customWidth="1"/>
    <col min="8960" max="8960" width="11.109375" style="18" customWidth="1"/>
    <col min="8961" max="8961" width="2.88671875" style="18" customWidth="1"/>
    <col min="8962" max="8962" width="3.5546875" style="18" customWidth="1"/>
    <col min="8963" max="9207" width="9.109375" style="18"/>
    <col min="9208" max="9208" width="8.6640625" style="18" customWidth="1"/>
    <col min="9209" max="9209" width="9.88671875" style="18" customWidth="1"/>
    <col min="9210" max="9210" width="14.44140625" style="18" customWidth="1"/>
    <col min="9211" max="9211" width="7.33203125" style="18" customWidth="1"/>
    <col min="9212" max="9212" width="5.5546875" style="18" customWidth="1"/>
    <col min="9213" max="9213" width="9" style="18" customWidth="1"/>
    <col min="9214" max="9215" width="9.88671875" style="18" customWidth="1"/>
    <col min="9216" max="9216" width="11.109375" style="18" customWidth="1"/>
    <col min="9217" max="9217" width="2.88671875" style="18" customWidth="1"/>
    <col min="9218" max="9218" width="3.5546875" style="18" customWidth="1"/>
    <col min="9219" max="9463" width="9.109375" style="18"/>
    <col min="9464" max="9464" width="8.6640625" style="18" customWidth="1"/>
    <col min="9465" max="9465" width="9.88671875" style="18" customWidth="1"/>
    <col min="9466" max="9466" width="14.44140625" style="18" customWidth="1"/>
    <col min="9467" max="9467" width="7.33203125" style="18" customWidth="1"/>
    <col min="9468" max="9468" width="5.5546875" style="18" customWidth="1"/>
    <col min="9469" max="9469" width="9" style="18" customWidth="1"/>
    <col min="9470" max="9471" width="9.88671875" style="18" customWidth="1"/>
    <col min="9472" max="9472" width="11.109375" style="18" customWidth="1"/>
    <col min="9473" max="9473" width="2.88671875" style="18" customWidth="1"/>
    <col min="9474" max="9474" width="3.5546875" style="18" customWidth="1"/>
    <col min="9475" max="9719" width="9.109375" style="18"/>
    <col min="9720" max="9720" width="8.6640625" style="18" customWidth="1"/>
    <col min="9721" max="9721" width="9.88671875" style="18" customWidth="1"/>
    <col min="9722" max="9722" width="14.44140625" style="18" customWidth="1"/>
    <col min="9723" max="9723" width="7.33203125" style="18" customWidth="1"/>
    <col min="9724" max="9724" width="5.5546875" style="18" customWidth="1"/>
    <col min="9725" max="9725" width="9" style="18" customWidth="1"/>
    <col min="9726" max="9727" width="9.88671875" style="18" customWidth="1"/>
    <col min="9728" max="9728" width="11.109375" style="18" customWidth="1"/>
    <col min="9729" max="9729" width="2.88671875" style="18" customWidth="1"/>
    <col min="9730" max="9730" width="3.5546875" style="18" customWidth="1"/>
    <col min="9731" max="9975" width="9.109375" style="18"/>
    <col min="9976" max="9976" width="8.6640625" style="18" customWidth="1"/>
    <col min="9977" max="9977" width="9.88671875" style="18" customWidth="1"/>
    <col min="9978" max="9978" width="14.44140625" style="18" customWidth="1"/>
    <col min="9979" max="9979" width="7.33203125" style="18" customWidth="1"/>
    <col min="9980" max="9980" width="5.5546875" style="18" customWidth="1"/>
    <col min="9981" max="9981" width="9" style="18" customWidth="1"/>
    <col min="9982" max="9983" width="9.88671875" style="18" customWidth="1"/>
    <col min="9984" max="9984" width="11.109375" style="18" customWidth="1"/>
    <col min="9985" max="9985" width="2.88671875" style="18" customWidth="1"/>
    <col min="9986" max="9986" width="3.5546875" style="18" customWidth="1"/>
    <col min="9987" max="10231" width="9.109375" style="18"/>
    <col min="10232" max="10232" width="8.6640625" style="18" customWidth="1"/>
    <col min="10233" max="10233" width="9.88671875" style="18" customWidth="1"/>
    <col min="10234" max="10234" width="14.44140625" style="18" customWidth="1"/>
    <col min="10235" max="10235" width="7.33203125" style="18" customWidth="1"/>
    <col min="10236" max="10236" width="5.5546875" style="18" customWidth="1"/>
    <col min="10237" max="10237" width="9" style="18" customWidth="1"/>
    <col min="10238" max="10239" width="9.88671875" style="18" customWidth="1"/>
    <col min="10240" max="10240" width="11.109375" style="18" customWidth="1"/>
    <col min="10241" max="10241" width="2.88671875" style="18" customWidth="1"/>
    <col min="10242" max="10242" width="3.5546875" style="18" customWidth="1"/>
    <col min="10243" max="10487" width="9.109375" style="18"/>
    <col min="10488" max="10488" width="8.6640625" style="18" customWidth="1"/>
    <col min="10489" max="10489" width="9.88671875" style="18" customWidth="1"/>
    <col min="10490" max="10490" width="14.44140625" style="18" customWidth="1"/>
    <col min="10491" max="10491" width="7.33203125" style="18" customWidth="1"/>
    <col min="10492" max="10492" width="5.5546875" style="18" customWidth="1"/>
    <col min="10493" max="10493" width="9" style="18" customWidth="1"/>
    <col min="10494" max="10495" width="9.88671875" style="18" customWidth="1"/>
    <col min="10496" max="10496" width="11.109375" style="18" customWidth="1"/>
    <col min="10497" max="10497" width="2.88671875" style="18" customWidth="1"/>
    <col min="10498" max="10498" width="3.5546875" style="18" customWidth="1"/>
    <col min="10499" max="10743" width="9.109375" style="18"/>
    <col min="10744" max="10744" width="8.6640625" style="18" customWidth="1"/>
    <col min="10745" max="10745" width="9.88671875" style="18" customWidth="1"/>
    <col min="10746" max="10746" width="14.44140625" style="18" customWidth="1"/>
    <col min="10747" max="10747" width="7.33203125" style="18" customWidth="1"/>
    <col min="10748" max="10748" width="5.5546875" style="18" customWidth="1"/>
    <col min="10749" max="10749" width="9" style="18" customWidth="1"/>
    <col min="10750" max="10751" width="9.88671875" style="18" customWidth="1"/>
    <col min="10752" max="10752" width="11.109375" style="18" customWidth="1"/>
    <col min="10753" max="10753" width="2.88671875" style="18" customWidth="1"/>
    <col min="10754" max="10754" width="3.5546875" style="18" customWidth="1"/>
    <col min="10755" max="10999" width="9.109375" style="18"/>
    <col min="11000" max="11000" width="8.6640625" style="18" customWidth="1"/>
    <col min="11001" max="11001" width="9.88671875" style="18" customWidth="1"/>
    <col min="11002" max="11002" width="14.44140625" style="18" customWidth="1"/>
    <col min="11003" max="11003" width="7.33203125" style="18" customWidth="1"/>
    <col min="11004" max="11004" width="5.5546875" style="18" customWidth="1"/>
    <col min="11005" max="11005" width="9" style="18" customWidth="1"/>
    <col min="11006" max="11007" width="9.88671875" style="18" customWidth="1"/>
    <col min="11008" max="11008" width="11.109375" style="18" customWidth="1"/>
    <col min="11009" max="11009" width="2.88671875" style="18" customWidth="1"/>
    <col min="11010" max="11010" width="3.5546875" style="18" customWidth="1"/>
    <col min="11011" max="11255" width="9.109375" style="18"/>
    <col min="11256" max="11256" width="8.6640625" style="18" customWidth="1"/>
    <col min="11257" max="11257" width="9.88671875" style="18" customWidth="1"/>
    <col min="11258" max="11258" width="14.44140625" style="18" customWidth="1"/>
    <col min="11259" max="11259" width="7.33203125" style="18" customWidth="1"/>
    <col min="11260" max="11260" width="5.5546875" style="18" customWidth="1"/>
    <col min="11261" max="11261" width="9" style="18" customWidth="1"/>
    <col min="11262" max="11263" width="9.88671875" style="18" customWidth="1"/>
    <col min="11264" max="11264" width="11.109375" style="18" customWidth="1"/>
    <col min="11265" max="11265" width="2.88671875" style="18" customWidth="1"/>
    <col min="11266" max="11266" width="3.5546875" style="18" customWidth="1"/>
    <col min="11267" max="11511" width="9.109375" style="18"/>
    <col min="11512" max="11512" width="8.6640625" style="18" customWidth="1"/>
    <col min="11513" max="11513" width="9.88671875" style="18" customWidth="1"/>
    <col min="11514" max="11514" width="14.44140625" style="18" customWidth="1"/>
    <col min="11515" max="11515" width="7.33203125" style="18" customWidth="1"/>
    <col min="11516" max="11516" width="5.5546875" style="18" customWidth="1"/>
    <col min="11517" max="11517" width="9" style="18" customWidth="1"/>
    <col min="11518" max="11519" width="9.88671875" style="18" customWidth="1"/>
    <col min="11520" max="11520" width="11.109375" style="18" customWidth="1"/>
    <col min="11521" max="11521" width="2.88671875" style="18" customWidth="1"/>
    <col min="11522" max="11522" width="3.5546875" style="18" customWidth="1"/>
    <col min="11523" max="11767" width="9.109375" style="18"/>
    <col min="11768" max="11768" width="8.6640625" style="18" customWidth="1"/>
    <col min="11769" max="11769" width="9.88671875" style="18" customWidth="1"/>
    <col min="11770" max="11770" width="14.44140625" style="18" customWidth="1"/>
    <col min="11771" max="11771" width="7.33203125" style="18" customWidth="1"/>
    <col min="11772" max="11772" width="5.5546875" style="18" customWidth="1"/>
    <col min="11773" max="11773" width="9" style="18" customWidth="1"/>
    <col min="11774" max="11775" width="9.88671875" style="18" customWidth="1"/>
    <col min="11776" max="11776" width="11.109375" style="18" customWidth="1"/>
    <col min="11777" max="11777" width="2.88671875" style="18" customWidth="1"/>
    <col min="11778" max="11778" width="3.5546875" style="18" customWidth="1"/>
    <col min="11779" max="12023" width="9.109375" style="18"/>
    <col min="12024" max="12024" width="8.6640625" style="18" customWidth="1"/>
    <col min="12025" max="12025" width="9.88671875" style="18" customWidth="1"/>
    <col min="12026" max="12026" width="14.44140625" style="18" customWidth="1"/>
    <col min="12027" max="12027" width="7.33203125" style="18" customWidth="1"/>
    <col min="12028" max="12028" width="5.5546875" style="18" customWidth="1"/>
    <col min="12029" max="12029" width="9" style="18" customWidth="1"/>
    <col min="12030" max="12031" width="9.88671875" style="18" customWidth="1"/>
    <col min="12032" max="12032" width="11.109375" style="18" customWidth="1"/>
    <col min="12033" max="12033" width="2.88671875" style="18" customWidth="1"/>
    <col min="12034" max="12034" width="3.5546875" style="18" customWidth="1"/>
    <col min="12035" max="12279" width="9.109375" style="18"/>
    <col min="12280" max="12280" width="8.6640625" style="18" customWidth="1"/>
    <col min="12281" max="12281" width="9.88671875" style="18" customWidth="1"/>
    <col min="12282" max="12282" width="14.44140625" style="18" customWidth="1"/>
    <col min="12283" max="12283" width="7.33203125" style="18" customWidth="1"/>
    <col min="12284" max="12284" width="5.5546875" style="18" customWidth="1"/>
    <col min="12285" max="12285" width="9" style="18" customWidth="1"/>
    <col min="12286" max="12287" width="9.88671875" style="18" customWidth="1"/>
    <col min="12288" max="12288" width="11.109375" style="18" customWidth="1"/>
    <col min="12289" max="12289" width="2.88671875" style="18" customWidth="1"/>
    <col min="12290" max="12290" width="3.5546875" style="18" customWidth="1"/>
    <col min="12291" max="12535" width="9.109375" style="18"/>
    <col min="12536" max="12536" width="8.6640625" style="18" customWidth="1"/>
    <col min="12537" max="12537" width="9.88671875" style="18" customWidth="1"/>
    <col min="12538" max="12538" width="14.44140625" style="18" customWidth="1"/>
    <col min="12539" max="12539" width="7.33203125" style="18" customWidth="1"/>
    <col min="12540" max="12540" width="5.5546875" style="18" customWidth="1"/>
    <col min="12541" max="12541" width="9" style="18" customWidth="1"/>
    <col min="12542" max="12543" width="9.88671875" style="18" customWidth="1"/>
    <col min="12544" max="12544" width="11.109375" style="18" customWidth="1"/>
    <col min="12545" max="12545" width="2.88671875" style="18" customWidth="1"/>
    <col min="12546" max="12546" width="3.5546875" style="18" customWidth="1"/>
    <col min="12547" max="12791" width="9.109375" style="18"/>
    <col min="12792" max="12792" width="8.6640625" style="18" customWidth="1"/>
    <col min="12793" max="12793" width="9.88671875" style="18" customWidth="1"/>
    <col min="12794" max="12794" width="14.44140625" style="18" customWidth="1"/>
    <col min="12795" max="12795" width="7.33203125" style="18" customWidth="1"/>
    <col min="12796" max="12796" width="5.5546875" style="18" customWidth="1"/>
    <col min="12797" max="12797" width="9" style="18" customWidth="1"/>
    <col min="12798" max="12799" width="9.88671875" style="18" customWidth="1"/>
    <col min="12800" max="12800" width="11.109375" style="18" customWidth="1"/>
    <col min="12801" max="12801" width="2.88671875" style="18" customWidth="1"/>
    <col min="12802" max="12802" width="3.5546875" style="18" customWidth="1"/>
    <col min="12803" max="13047" width="9.109375" style="18"/>
    <col min="13048" max="13048" width="8.6640625" style="18" customWidth="1"/>
    <col min="13049" max="13049" width="9.88671875" style="18" customWidth="1"/>
    <col min="13050" max="13050" width="14.44140625" style="18" customWidth="1"/>
    <col min="13051" max="13051" width="7.33203125" style="18" customWidth="1"/>
    <col min="13052" max="13052" width="5.5546875" style="18" customWidth="1"/>
    <col min="13053" max="13053" width="9" style="18" customWidth="1"/>
    <col min="13054" max="13055" width="9.88671875" style="18" customWidth="1"/>
    <col min="13056" max="13056" width="11.109375" style="18" customWidth="1"/>
    <col min="13057" max="13057" width="2.88671875" style="18" customWidth="1"/>
    <col min="13058" max="13058" width="3.5546875" style="18" customWidth="1"/>
    <col min="13059" max="13303" width="9.109375" style="18"/>
    <col min="13304" max="13304" width="8.6640625" style="18" customWidth="1"/>
    <col min="13305" max="13305" width="9.88671875" style="18" customWidth="1"/>
    <col min="13306" max="13306" width="14.44140625" style="18" customWidth="1"/>
    <col min="13307" max="13307" width="7.33203125" style="18" customWidth="1"/>
    <col min="13308" max="13308" width="5.5546875" style="18" customWidth="1"/>
    <col min="13309" max="13309" width="9" style="18" customWidth="1"/>
    <col min="13310" max="13311" width="9.88671875" style="18" customWidth="1"/>
    <col min="13312" max="13312" width="11.109375" style="18" customWidth="1"/>
    <col min="13313" max="13313" width="2.88671875" style="18" customWidth="1"/>
    <col min="13314" max="13314" width="3.5546875" style="18" customWidth="1"/>
    <col min="13315" max="13559" width="9.109375" style="18"/>
    <col min="13560" max="13560" width="8.6640625" style="18" customWidth="1"/>
    <col min="13561" max="13561" width="9.88671875" style="18" customWidth="1"/>
    <col min="13562" max="13562" width="14.44140625" style="18" customWidth="1"/>
    <col min="13563" max="13563" width="7.33203125" style="18" customWidth="1"/>
    <col min="13564" max="13564" width="5.5546875" style="18" customWidth="1"/>
    <col min="13565" max="13565" width="9" style="18" customWidth="1"/>
    <col min="13566" max="13567" width="9.88671875" style="18" customWidth="1"/>
    <col min="13568" max="13568" width="11.109375" style="18" customWidth="1"/>
    <col min="13569" max="13569" width="2.88671875" style="18" customWidth="1"/>
    <col min="13570" max="13570" width="3.5546875" style="18" customWidth="1"/>
    <col min="13571" max="13815" width="9.109375" style="18"/>
    <col min="13816" max="13816" width="8.6640625" style="18" customWidth="1"/>
    <col min="13817" max="13817" width="9.88671875" style="18" customWidth="1"/>
    <col min="13818" max="13818" width="14.44140625" style="18" customWidth="1"/>
    <col min="13819" max="13819" width="7.33203125" style="18" customWidth="1"/>
    <col min="13820" max="13820" width="5.5546875" style="18" customWidth="1"/>
    <col min="13821" max="13821" width="9" style="18" customWidth="1"/>
    <col min="13822" max="13823" width="9.88671875" style="18" customWidth="1"/>
    <col min="13824" max="13824" width="11.109375" style="18" customWidth="1"/>
    <col min="13825" max="13825" width="2.88671875" style="18" customWidth="1"/>
    <col min="13826" max="13826" width="3.5546875" style="18" customWidth="1"/>
    <col min="13827" max="14071" width="9.109375" style="18"/>
    <col min="14072" max="14072" width="8.6640625" style="18" customWidth="1"/>
    <col min="14073" max="14073" width="9.88671875" style="18" customWidth="1"/>
    <col min="14074" max="14074" width="14.44140625" style="18" customWidth="1"/>
    <col min="14075" max="14075" width="7.33203125" style="18" customWidth="1"/>
    <col min="14076" max="14076" width="5.5546875" style="18" customWidth="1"/>
    <col min="14077" max="14077" width="9" style="18" customWidth="1"/>
    <col min="14078" max="14079" width="9.88671875" style="18" customWidth="1"/>
    <col min="14080" max="14080" width="11.109375" style="18" customWidth="1"/>
    <col min="14081" max="14081" width="2.88671875" style="18" customWidth="1"/>
    <col min="14082" max="14082" width="3.5546875" style="18" customWidth="1"/>
    <col min="14083" max="14327" width="9.109375" style="18"/>
    <col min="14328" max="14328" width="8.6640625" style="18" customWidth="1"/>
    <col min="14329" max="14329" width="9.88671875" style="18" customWidth="1"/>
    <col min="14330" max="14330" width="14.44140625" style="18" customWidth="1"/>
    <col min="14331" max="14331" width="7.33203125" style="18" customWidth="1"/>
    <col min="14332" max="14332" width="5.5546875" style="18" customWidth="1"/>
    <col min="14333" max="14333" width="9" style="18" customWidth="1"/>
    <col min="14334" max="14335" width="9.88671875" style="18" customWidth="1"/>
    <col min="14336" max="14336" width="11.109375" style="18" customWidth="1"/>
    <col min="14337" max="14337" width="2.88671875" style="18" customWidth="1"/>
    <col min="14338" max="14338" width="3.5546875" style="18" customWidth="1"/>
    <col min="14339" max="14583" width="9.109375" style="18"/>
    <col min="14584" max="14584" width="8.6640625" style="18" customWidth="1"/>
    <col min="14585" max="14585" width="9.88671875" style="18" customWidth="1"/>
    <col min="14586" max="14586" width="14.44140625" style="18" customWidth="1"/>
    <col min="14587" max="14587" width="7.33203125" style="18" customWidth="1"/>
    <col min="14588" max="14588" width="5.5546875" style="18" customWidth="1"/>
    <col min="14589" max="14589" width="9" style="18" customWidth="1"/>
    <col min="14590" max="14591" width="9.88671875" style="18" customWidth="1"/>
    <col min="14592" max="14592" width="11.109375" style="18" customWidth="1"/>
    <col min="14593" max="14593" width="2.88671875" style="18" customWidth="1"/>
    <col min="14594" max="14594" width="3.5546875" style="18" customWidth="1"/>
    <col min="14595" max="14839" width="9.109375" style="18"/>
    <col min="14840" max="14840" width="8.6640625" style="18" customWidth="1"/>
    <col min="14841" max="14841" width="9.88671875" style="18" customWidth="1"/>
    <col min="14842" max="14842" width="14.44140625" style="18" customWidth="1"/>
    <col min="14843" max="14843" width="7.33203125" style="18" customWidth="1"/>
    <col min="14844" max="14844" width="5.5546875" style="18" customWidth="1"/>
    <col min="14845" max="14845" width="9" style="18" customWidth="1"/>
    <col min="14846" max="14847" width="9.88671875" style="18" customWidth="1"/>
    <col min="14848" max="14848" width="11.109375" style="18" customWidth="1"/>
    <col min="14849" max="14849" width="2.88671875" style="18" customWidth="1"/>
    <col min="14850" max="14850" width="3.5546875" style="18" customWidth="1"/>
    <col min="14851" max="15095" width="9.109375" style="18"/>
    <col min="15096" max="15096" width="8.6640625" style="18" customWidth="1"/>
    <col min="15097" max="15097" width="9.88671875" style="18" customWidth="1"/>
    <col min="15098" max="15098" width="14.44140625" style="18" customWidth="1"/>
    <col min="15099" max="15099" width="7.33203125" style="18" customWidth="1"/>
    <col min="15100" max="15100" width="5.5546875" style="18" customWidth="1"/>
    <col min="15101" max="15101" width="9" style="18" customWidth="1"/>
    <col min="15102" max="15103" width="9.88671875" style="18" customWidth="1"/>
    <col min="15104" max="15104" width="11.109375" style="18" customWidth="1"/>
    <col min="15105" max="15105" width="2.88671875" style="18" customWidth="1"/>
    <col min="15106" max="15106" width="3.5546875" style="18" customWidth="1"/>
    <col min="15107" max="15351" width="9.109375" style="18"/>
    <col min="15352" max="15352" width="8.6640625" style="18" customWidth="1"/>
    <col min="15353" max="15353" width="9.88671875" style="18" customWidth="1"/>
    <col min="15354" max="15354" width="14.44140625" style="18" customWidth="1"/>
    <col min="15355" max="15355" width="7.33203125" style="18" customWidth="1"/>
    <col min="15356" max="15356" width="5.5546875" style="18" customWidth="1"/>
    <col min="15357" max="15357" width="9" style="18" customWidth="1"/>
    <col min="15358" max="15359" width="9.88671875" style="18" customWidth="1"/>
    <col min="15360" max="15360" width="11.109375" style="18" customWidth="1"/>
    <col min="15361" max="15361" width="2.88671875" style="18" customWidth="1"/>
    <col min="15362" max="15362" width="3.5546875" style="18" customWidth="1"/>
    <col min="15363" max="15607" width="9.109375" style="18"/>
    <col min="15608" max="15608" width="8.6640625" style="18" customWidth="1"/>
    <col min="15609" max="15609" width="9.88671875" style="18" customWidth="1"/>
    <col min="15610" max="15610" width="14.44140625" style="18" customWidth="1"/>
    <col min="15611" max="15611" width="7.33203125" style="18" customWidth="1"/>
    <col min="15612" max="15612" width="5.5546875" style="18" customWidth="1"/>
    <col min="15613" max="15613" width="9" style="18" customWidth="1"/>
    <col min="15614" max="15615" width="9.88671875" style="18" customWidth="1"/>
    <col min="15616" max="15616" width="11.109375" style="18" customWidth="1"/>
    <col min="15617" max="15617" width="2.88671875" style="18" customWidth="1"/>
    <col min="15618" max="15618" width="3.5546875" style="18" customWidth="1"/>
    <col min="15619" max="15863" width="9.109375" style="18"/>
    <col min="15864" max="15864" width="8.6640625" style="18" customWidth="1"/>
    <col min="15865" max="15865" width="9.88671875" style="18" customWidth="1"/>
    <col min="15866" max="15866" width="14.44140625" style="18" customWidth="1"/>
    <col min="15867" max="15867" width="7.33203125" style="18" customWidth="1"/>
    <col min="15868" max="15868" width="5.5546875" style="18" customWidth="1"/>
    <col min="15869" max="15869" width="9" style="18" customWidth="1"/>
    <col min="15870" max="15871" width="9.88671875" style="18" customWidth="1"/>
    <col min="15872" max="15872" width="11.109375" style="18" customWidth="1"/>
    <col min="15873" max="15873" width="2.88671875" style="18" customWidth="1"/>
    <col min="15874" max="15874" width="3.5546875" style="18" customWidth="1"/>
    <col min="15875" max="16119" width="9.109375" style="18"/>
    <col min="16120" max="16120" width="8.6640625" style="18" customWidth="1"/>
    <col min="16121" max="16121" width="9.88671875" style="18" customWidth="1"/>
    <col min="16122" max="16122" width="14.44140625" style="18" customWidth="1"/>
    <col min="16123" max="16123" width="7.33203125" style="18" customWidth="1"/>
    <col min="16124" max="16124" width="5.5546875" style="18" customWidth="1"/>
    <col min="16125" max="16125" width="9" style="18" customWidth="1"/>
    <col min="16126" max="16127" width="9.88671875" style="18" customWidth="1"/>
    <col min="16128" max="16128" width="11.109375" style="18" customWidth="1"/>
    <col min="16129" max="16129" width="2.88671875" style="18" customWidth="1"/>
    <col min="16130" max="16130" width="3.5546875" style="18" customWidth="1"/>
    <col min="16131" max="16384" width="9.109375" style="18"/>
  </cols>
  <sheetData>
    <row r="1" spans="1:26" ht="46.5" customHeight="1" x14ac:dyDescent="0.3">
      <c r="A1" s="193" t="s">
        <v>396</v>
      </c>
      <c r="B1" s="193"/>
      <c r="C1" s="193"/>
      <c r="D1" s="193"/>
      <c r="E1" s="193"/>
      <c r="F1" s="193"/>
      <c r="G1" s="193"/>
      <c r="H1" s="193"/>
    </row>
    <row r="2" spans="1:26" ht="16.5" customHeight="1" x14ac:dyDescent="0.3">
      <c r="A2" s="194" t="s">
        <v>0</v>
      </c>
      <c r="B2" s="194"/>
      <c r="C2" s="194"/>
      <c r="D2" s="194"/>
      <c r="E2" s="194"/>
      <c r="F2" s="194"/>
      <c r="G2" s="194"/>
      <c r="H2" s="194"/>
    </row>
    <row r="3" spans="1:26" x14ac:dyDescent="0.3">
      <c r="A3" s="181" t="s">
        <v>1</v>
      </c>
      <c r="B3" s="181"/>
      <c r="C3" s="181"/>
      <c r="D3" s="181"/>
      <c r="E3" s="181" t="str">
        <f ca="1">TEXT(TODAY(),"DD/MM/YYYY")</f>
        <v>14/08/2025</v>
      </c>
      <c r="F3" s="181"/>
      <c r="G3" s="181"/>
      <c r="H3" s="181"/>
    </row>
    <row r="4" spans="1:26" ht="15" customHeight="1" x14ac:dyDescent="0.3">
      <c r="A4" s="181" t="s">
        <v>2</v>
      </c>
      <c r="B4" s="181"/>
      <c r="C4" s="181"/>
      <c r="D4" s="181"/>
      <c r="E4" s="181" t="s">
        <v>170</v>
      </c>
      <c r="F4" s="181"/>
      <c r="G4" s="181"/>
      <c r="H4" s="181"/>
    </row>
    <row r="5" spans="1:26" x14ac:dyDescent="0.3">
      <c r="A5" s="181" t="s">
        <v>3</v>
      </c>
      <c r="B5" s="181"/>
      <c r="C5" s="181"/>
      <c r="D5" s="181"/>
      <c r="E5" s="195">
        <v>45880</v>
      </c>
      <c r="F5" s="181"/>
      <c r="G5" s="181"/>
      <c r="H5" s="181"/>
    </row>
    <row r="6" spans="1:26" ht="16.5" customHeight="1" x14ac:dyDescent="0.3">
      <c r="A6" s="181" t="s">
        <v>289</v>
      </c>
      <c r="B6" s="181"/>
      <c r="C6" s="181"/>
      <c r="D6" s="181"/>
      <c r="E6" s="181" t="s">
        <v>283</v>
      </c>
      <c r="F6" s="181"/>
      <c r="G6" s="181"/>
      <c r="H6" s="181"/>
    </row>
    <row r="7" spans="1:26" ht="16.5" customHeight="1" x14ac:dyDescent="0.3">
      <c r="A7" s="181" t="s">
        <v>290</v>
      </c>
      <c r="B7" s="181"/>
      <c r="C7" s="181"/>
      <c r="D7" s="181"/>
      <c r="E7" s="173" t="s">
        <v>231</v>
      </c>
      <c r="F7" s="173"/>
      <c r="G7" s="173"/>
      <c r="H7" s="173"/>
    </row>
    <row r="8" spans="1:26" ht="15" customHeight="1" x14ac:dyDescent="0.3">
      <c r="A8" s="181" t="s">
        <v>291</v>
      </c>
      <c r="B8" s="181"/>
      <c r="C8" s="181"/>
      <c r="D8" s="181"/>
      <c r="E8" s="181" t="str">
        <f>E7</f>
        <v>Godrej Residency Pvt Ltd</v>
      </c>
      <c r="F8" s="181"/>
      <c r="G8" s="181"/>
      <c r="H8" s="181"/>
    </row>
    <row r="9" spans="1:26" x14ac:dyDescent="0.3">
      <c r="A9" s="181" t="s">
        <v>292</v>
      </c>
      <c r="B9" s="181"/>
      <c r="C9" s="181"/>
      <c r="D9" s="181"/>
      <c r="E9" s="181" t="s">
        <v>288</v>
      </c>
      <c r="F9" s="181"/>
      <c r="G9" s="181"/>
      <c r="H9" s="181"/>
    </row>
    <row r="10" spans="1:26" x14ac:dyDescent="0.3">
      <c r="A10" s="181" t="s">
        <v>295</v>
      </c>
      <c r="B10" s="181"/>
      <c r="C10" s="181"/>
      <c r="D10" s="181"/>
      <c r="E10" s="173" t="s">
        <v>304</v>
      </c>
      <c r="F10" s="173"/>
      <c r="G10" s="173"/>
      <c r="H10" s="173"/>
    </row>
    <row r="11" spans="1:26" x14ac:dyDescent="0.3">
      <c r="A11" s="181" t="s">
        <v>167</v>
      </c>
      <c r="B11" s="181"/>
      <c r="C11" s="181"/>
      <c r="D11" s="181"/>
      <c r="E11" s="181">
        <v>9821422860</v>
      </c>
      <c r="F11" s="181"/>
      <c r="G11" s="181"/>
      <c r="H11" s="181"/>
    </row>
    <row r="12" spans="1:26" x14ac:dyDescent="0.3">
      <c r="A12" s="181" t="s">
        <v>168</v>
      </c>
      <c r="B12" s="181"/>
      <c r="C12" s="181"/>
      <c r="D12" s="181"/>
      <c r="E12" s="181">
        <v>7738038523</v>
      </c>
      <c r="F12" s="181"/>
      <c r="G12" s="181"/>
      <c r="H12" s="181"/>
    </row>
    <row r="13" spans="1:26" x14ac:dyDescent="0.3">
      <c r="A13" s="181" t="s">
        <v>4</v>
      </c>
      <c r="B13" s="181"/>
      <c r="C13" s="181"/>
      <c r="D13" s="181"/>
      <c r="E13" s="149" t="s">
        <v>303</v>
      </c>
      <c r="F13" s="181"/>
      <c r="G13" s="181"/>
      <c r="H13" s="181"/>
    </row>
    <row r="14" spans="1:26" x14ac:dyDescent="0.3">
      <c r="A14" s="181" t="s">
        <v>171</v>
      </c>
      <c r="B14" s="181"/>
      <c r="C14" s="181"/>
      <c r="D14" s="181"/>
      <c r="E14" s="181" t="s">
        <v>284</v>
      </c>
      <c r="F14" s="181"/>
      <c r="G14" s="181"/>
      <c r="H14" s="181"/>
      <c r="S14" s="48" t="s">
        <v>178</v>
      </c>
      <c r="T14" s="48" t="s">
        <v>188</v>
      </c>
      <c r="U14" s="48" t="s">
        <v>172</v>
      </c>
      <c r="V14" s="48" t="s">
        <v>193</v>
      </c>
      <c r="W14" s="48" t="s">
        <v>211</v>
      </c>
      <c r="X14"/>
      <c r="Y14" t="s">
        <v>193</v>
      </c>
      <c r="Z14" t="e">
        <f ca="1">OFFSET($S$14,1,MATCH($G21,$S$14:$W$14,0)-1,15,1)</f>
        <v>#VALUE!</v>
      </c>
    </row>
    <row r="15" spans="1:26" ht="32.25" customHeight="1" x14ac:dyDescent="0.3">
      <c r="A15" s="111" t="s">
        <v>5</v>
      </c>
      <c r="B15" s="111"/>
      <c r="C15" s="111"/>
      <c r="D15" s="111"/>
      <c r="E15" s="149" t="s">
        <v>282</v>
      </c>
      <c r="F15" s="149"/>
      <c r="G15" s="149"/>
      <c r="H15" s="149"/>
      <c r="I15" s="82" t="s">
        <v>389</v>
      </c>
      <c r="S15" s="48" t="s">
        <v>179</v>
      </c>
      <c r="T15" s="48" t="s">
        <v>186</v>
      </c>
      <c r="U15" s="48" t="s">
        <v>208</v>
      </c>
      <c r="V15" s="48" t="s">
        <v>194</v>
      </c>
      <c r="W15" s="48" t="s">
        <v>212</v>
      </c>
      <c r="X15"/>
      <c r="Y15"/>
      <c r="Z15"/>
    </row>
    <row r="16" spans="1:26" ht="63" customHeight="1" x14ac:dyDescent="0.3">
      <c r="A16" s="111" t="s">
        <v>6</v>
      </c>
      <c r="B16" s="111"/>
      <c r="C16" s="111"/>
      <c r="D16" s="111"/>
      <c r="E16" s="149" t="s">
        <v>302</v>
      </c>
      <c r="F16" s="181"/>
      <c r="G16" s="181"/>
      <c r="H16" s="181"/>
      <c r="I16" s="211" t="e">
        <f ca="1">OFFSET($D$4,1,MATCH($J14,$D$4:$H$4,0)-1,15,1)</f>
        <v>#N/A</v>
      </c>
      <c r="J16" s="212"/>
      <c r="K16" s="212"/>
      <c r="L16" s="212"/>
      <c r="M16" s="212"/>
      <c r="N16" s="212"/>
      <c r="O16" s="212"/>
      <c r="P16" s="212"/>
      <c r="S16" s="48" t="s">
        <v>180</v>
      </c>
      <c r="T16" s="48" t="s">
        <v>187</v>
      </c>
      <c r="U16" s="48" t="s">
        <v>209</v>
      </c>
      <c r="V16" s="48" t="s">
        <v>195</v>
      </c>
      <c r="W16" s="48" t="s">
        <v>225</v>
      </c>
      <c r="X16"/>
      <c r="Y16"/>
      <c r="Z16"/>
    </row>
    <row r="17" spans="1:26" ht="48.75" customHeight="1" x14ac:dyDescent="0.3">
      <c r="A17" s="149" t="s">
        <v>7</v>
      </c>
      <c r="B17" s="149"/>
      <c r="C17" s="149" t="str">
        <f>CONCATENATE((IF(OR(E10="",E10="NA"),"",E10)),", ",(IF(OR(A18="",A18="NA"),"",A18)),".",(IF(OR(C18="",C18="NA"),"",C18)),", near ",(IF(OR(C23="",C23="NA"),"",C23)),", ",(IF(OR(C20="",C20="NA"),"",C20)),", ",(IF(OR(C19="",C19="NA"),"",C19)),", ",(IF(OR(G20="",G20="NA"),"",G20)),", ",(IF(OR(C21="",C21="NA"),"",C21)),", ",(IF(OR(C22="",C22="NA"),"",C22)),", ",(IF(OR(G21="",G21="NA"),"",G21))," - ",(IF(OR(G22="",G22="NA"),"",G22)),".")</f>
        <v>Godrej Avenue Eleven - Tower A &amp; B, CTS No.1906 &amp; Redevelopment of building "Orchid Heights", near Raheja Vivarea Tower C, M.A.Road, Agripada, Byculla, Mahalaxmi, Ward E, Mumbai - 400011.</v>
      </c>
      <c r="D17" s="149"/>
      <c r="E17" s="149"/>
      <c r="F17" s="149"/>
      <c r="G17" s="149"/>
      <c r="H17" s="149"/>
      <c r="S17" s="48" t="s">
        <v>181</v>
      </c>
      <c r="T17" s="48" t="s">
        <v>189</v>
      </c>
      <c r="U17" s="48" t="s">
        <v>210</v>
      </c>
      <c r="V17" s="48" t="s">
        <v>196</v>
      </c>
      <c r="W17" s="48" t="s">
        <v>213</v>
      </c>
      <c r="X17"/>
      <c r="Y17"/>
      <c r="Z17"/>
    </row>
    <row r="18" spans="1:26" x14ac:dyDescent="0.3">
      <c r="A18" s="149" t="s">
        <v>175</v>
      </c>
      <c r="B18" s="149"/>
      <c r="C18" s="149" t="s">
        <v>285</v>
      </c>
      <c r="D18" s="149"/>
      <c r="E18" s="149"/>
      <c r="F18" s="149"/>
      <c r="G18" s="149"/>
      <c r="H18" s="149"/>
      <c r="K18" s="62" t="s">
        <v>301</v>
      </c>
      <c r="S18" s="48" t="s">
        <v>182</v>
      </c>
      <c r="T18" s="48" t="s">
        <v>190</v>
      </c>
      <c r="U18" s="48"/>
      <c r="V18" s="48" t="s">
        <v>197</v>
      </c>
      <c r="W18" s="48" t="s">
        <v>214</v>
      </c>
      <c r="X18"/>
      <c r="Y18"/>
      <c r="Z18"/>
    </row>
    <row r="19" spans="1:26" ht="15.75" customHeight="1" x14ac:dyDescent="0.3">
      <c r="A19" s="149" t="s">
        <v>164</v>
      </c>
      <c r="B19" s="149"/>
      <c r="C19" s="149" t="s">
        <v>234</v>
      </c>
      <c r="D19" s="149"/>
      <c r="E19" s="149"/>
      <c r="F19" s="149"/>
      <c r="G19" s="149"/>
      <c r="H19" s="149"/>
      <c r="S19" s="48" t="s">
        <v>183</v>
      </c>
      <c r="T19" s="48" t="s">
        <v>188</v>
      </c>
      <c r="U19" s="48"/>
      <c r="V19" s="48" t="s">
        <v>198</v>
      </c>
      <c r="W19" s="48" t="s">
        <v>215</v>
      </c>
      <c r="X19"/>
      <c r="Y19"/>
      <c r="Z19"/>
    </row>
    <row r="20" spans="1:26" ht="15.75" customHeight="1" x14ac:dyDescent="0.3">
      <c r="A20" s="149" t="s">
        <v>8</v>
      </c>
      <c r="B20" s="149"/>
      <c r="C20" s="181" t="s">
        <v>232</v>
      </c>
      <c r="D20" s="181"/>
      <c r="E20" s="149" t="s">
        <v>70</v>
      </c>
      <c r="F20" s="149"/>
      <c r="G20" s="149" t="s">
        <v>233</v>
      </c>
      <c r="H20" s="149"/>
      <c r="S20" s="48" t="s">
        <v>184</v>
      </c>
      <c r="T20" s="48" t="s">
        <v>191</v>
      </c>
      <c r="U20" s="48"/>
      <c r="V20" s="48" t="s">
        <v>199</v>
      </c>
      <c r="W20" s="48" t="s">
        <v>216</v>
      </c>
      <c r="X20"/>
      <c r="Y20"/>
      <c r="Z20"/>
    </row>
    <row r="21" spans="1:26" x14ac:dyDescent="0.3">
      <c r="A21" s="181" t="s">
        <v>10</v>
      </c>
      <c r="B21" s="181"/>
      <c r="C21" s="149" t="s">
        <v>268</v>
      </c>
      <c r="D21" s="149"/>
      <c r="E21" s="149" t="s">
        <v>9</v>
      </c>
      <c r="F21" s="149"/>
      <c r="G21" s="192" t="s">
        <v>172</v>
      </c>
      <c r="H21" s="192"/>
      <c r="S21" s="48" t="s">
        <v>185</v>
      </c>
      <c r="T21" s="48" t="s">
        <v>192</v>
      </c>
      <c r="U21" s="48"/>
      <c r="V21" s="48" t="s">
        <v>200</v>
      </c>
      <c r="W21" s="48" t="s">
        <v>217</v>
      </c>
      <c r="X21"/>
      <c r="Y21"/>
      <c r="Z21"/>
    </row>
    <row r="22" spans="1:26" x14ac:dyDescent="0.3">
      <c r="A22" s="181" t="s">
        <v>71</v>
      </c>
      <c r="B22" s="181"/>
      <c r="C22" s="149" t="s">
        <v>269</v>
      </c>
      <c r="D22" s="149"/>
      <c r="E22" s="149" t="s">
        <v>11</v>
      </c>
      <c r="F22" s="149"/>
      <c r="G22" s="149">
        <v>400011</v>
      </c>
      <c r="H22" s="149"/>
      <c r="S22" s="48"/>
      <c r="T22" s="48"/>
      <c r="U22" s="48"/>
      <c r="V22" s="48" t="s">
        <v>201</v>
      </c>
      <c r="W22" s="48" t="s">
        <v>218</v>
      </c>
      <c r="X22"/>
      <c r="Y22"/>
      <c r="Z22"/>
    </row>
    <row r="23" spans="1:26" ht="48" customHeight="1" x14ac:dyDescent="0.3">
      <c r="A23" s="181" t="s">
        <v>119</v>
      </c>
      <c r="B23" s="181"/>
      <c r="C23" s="149" t="s">
        <v>264</v>
      </c>
      <c r="D23" s="149"/>
      <c r="E23" s="149" t="s">
        <v>12</v>
      </c>
      <c r="F23" s="149"/>
      <c r="G23" s="149" t="s">
        <v>235</v>
      </c>
      <c r="H23" s="149"/>
      <c r="S23" s="48"/>
      <c r="T23" s="48"/>
      <c r="U23" s="48"/>
      <c r="V23" s="48" t="s">
        <v>202</v>
      </c>
      <c r="W23" s="48" t="s">
        <v>219</v>
      </c>
      <c r="X23"/>
      <c r="Y23"/>
      <c r="Z23"/>
    </row>
    <row r="24" spans="1:26" ht="15" customHeight="1" x14ac:dyDescent="0.3">
      <c r="A24" s="177" t="s">
        <v>73</v>
      </c>
      <c r="B24" s="177"/>
      <c r="C24" s="177"/>
      <c r="D24" s="177"/>
      <c r="E24" s="181" t="s">
        <v>13</v>
      </c>
      <c r="F24" s="181"/>
      <c r="G24" s="181"/>
      <c r="H24" s="181"/>
      <c r="S24" s="48"/>
      <c r="T24" s="48"/>
      <c r="U24" s="48"/>
      <c r="V24" s="48" t="s">
        <v>203</v>
      </c>
      <c r="W24" s="48" t="s">
        <v>220</v>
      </c>
      <c r="X24"/>
      <c r="Y24"/>
      <c r="Z24"/>
    </row>
    <row r="25" spans="1:26" ht="18.75" customHeight="1" x14ac:dyDescent="0.3">
      <c r="A25" s="177"/>
      <c r="B25" s="177"/>
      <c r="C25" s="177"/>
      <c r="D25" s="177"/>
      <c r="E25" s="181"/>
      <c r="F25" s="181"/>
      <c r="G25" s="181"/>
      <c r="H25" s="181"/>
      <c r="S25" s="48"/>
      <c r="T25" s="48"/>
      <c r="U25" s="48"/>
      <c r="V25" s="48" t="s">
        <v>204</v>
      </c>
      <c r="W25" s="48" t="s">
        <v>221</v>
      </c>
      <c r="X25"/>
      <c r="Y25"/>
      <c r="Z25"/>
    </row>
    <row r="26" spans="1:26" ht="15" customHeight="1" x14ac:dyDescent="0.3">
      <c r="A26" s="177" t="s">
        <v>14</v>
      </c>
      <c r="B26" s="177"/>
      <c r="C26" s="177"/>
      <c r="D26" s="177"/>
      <c r="E26" s="149" t="s">
        <v>15</v>
      </c>
      <c r="F26" s="149"/>
      <c r="G26" s="149"/>
      <c r="H26" s="149"/>
      <c r="S26" s="48"/>
      <c r="T26" s="48"/>
      <c r="U26" s="48"/>
      <c r="V26" s="48" t="s">
        <v>205</v>
      </c>
      <c r="W26" s="48" t="s">
        <v>222</v>
      </c>
      <c r="X26"/>
      <c r="Y26"/>
      <c r="Z26"/>
    </row>
    <row r="27" spans="1:26" ht="15" customHeight="1" x14ac:dyDescent="0.3">
      <c r="A27" s="111" t="s">
        <v>16</v>
      </c>
      <c r="B27" s="111"/>
      <c r="C27" s="111"/>
      <c r="D27" s="111"/>
      <c r="E27" s="149" t="str">
        <f>IF(AND(G21="Mumbai"),"Upper Class","Middle Class")</f>
        <v>Upper Class</v>
      </c>
      <c r="F27" s="149"/>
      <c r="G27" s="149"/>
      <c r="H27" s="149"/>
      <c r="S27" s="48"/>
      <c r="T27" s="48"/>
      <c r="U27" s="48"/>
      <c r="V27" s="48" t="s">
        <v>206</v>
      </c>
      <c r="W27" s="48" t="s">
        <v>223</v>
      </c>
      <c r="X27"/>
      <c r="Y27"/>
      <c r="Z27"/>
    </row>
    <row r="28" spans="1:26" x14ac:dyDescent="0.3">
      <c r="A28" s="111" t="s">
        <v>17</v>
      </c>
      <c r="B28" s="111"/>
      <c r="C28" s="111"/>
      <c r="D28" s="111"/>
      <c r="E28" s="149" t="s">
        <v>18</v>
      </c>
      <c r="F28" s="149"/>
      <c r="G28" s="149"/>
      <c r="H28" s="149"/>
      <c r="S28" s="48"/>
      <c r="T28" s="48"/>
      <c r="U28" s="48"/>
      <c r="V28" s="48" t="s">
        <v>207</v>
      </c>
      <c r="W28" s="48" t="s">
        <v>224</v>
      </c>
      <c r="X28"/>
      <c r="Y28"/>
      <c r="Z28"/>
    </row>
    <row r="29" spans="1:26" ht="15.75" customHeight="1" x14ac:dyDescent="0.3">
      <c r="A29" s="111" t="s">
        <v>19</v>
      </c>
      <c r="B29" s="111"/>
      <c r="C29" s="111"/>
      <c r="D29" s="111"/>
      <c r="E29" s="149" t="str">
        <f>IF(AND(G21="Mumbai"),"Developed","Developing")</f>
        <v>Developed</v>
      </c>
      <c r="F29" s="149"/>
      <c r="G29" s="149"/>
      <c r="H29" s="149"/>
    </row>
    <row r="30" spans="1:26" x14ac:dyDescent="0.3">
      <c r="A30" s="111" t="s">
        <v>20</v>
      </c>
      <c r="B30" s="111"/>
      <c r="C30" s="111"/>
      <c r="D30" s="111"/>
      <c r="E30" s="149" t="s">
        <v>21</v>
      </c>
      <c r="F30" s="149"/>
      <c r="G30" s="149"/>
      <c r="H30" s="149"/>
    </row>
    <row r="31" spans="1:26" ht="15.75" customHeight="1" x14ac:dyDescent="0.3">
      <c r="A31" s="111" t="s">
        <v>78</v>
      </c>
      <c r="B31" s="111"/>
      <c r="C31" s="111"/>
      <c r="D31" s="111"/>
      <c r="E31" s="149" t="s">
        <v>79</v>
      </c>
      <c r="F31" s="149"/>
      <c r="G31" s="149"/>
      <c r="H31" s="149"/>
    </row>
    <row r="32" spans="1:26" ht="15" customHeight="1" x14ac:dyDescent="0.3">
      <c r="A32" s="111" t="s">
        <v>29</v>
      </c>
      <c r="B32" s="111"/>
      <c r="C32" s="111"/>
      <c r="D32" s="111"/>
      <c r="E32" s="149" t="str">
        <f>IF(AND(ISNUMBER(SEARCH("Flat",D64)),ISNUMBER(SEARCH("Shop",D64)),ISNUMBER(SEARCH("Office",D64))),"Residential + Commercial",IF(AND(ISNUMBER(SEARCH("Flat",D64)),ISNUMBER(SEARCH("Shop",D64))),"Residential + Commercial",IF(AND(ISNUMBER(SEARCH("Flat",D64)),ISNUMBER(SEARCH("Office",D64))),"Residential + Commercial",IF(AND(ISNUMBER(SEARCH("Shop",D64)),ISNUMBER(SEARCH("Office",D64))),"Commercial",IF(ISNUMBER(SEARCH("Shop",D64)),"Commercial",IF(ISNUMBER(SEARCH("Office",D64)),"Commercial",IF(ISNUMBER(SEARCH("Flat",D64)),"Residential")))))))</f>
        <v>Residential</v>
      </c>
      <c r="F32" s="149"/>
      <c r="G32" s="149"/>
      <c r="H32" s="149"/>
    </row>
    <row r="33" spans="1:10" ht="15.75" customHeight="1" x14ac:dyDescent="0.3">
      <c r="A33" s="111" t="s">
        <v>89</v>
      </c>
      <c r="B33" s="111"/>
      <c r="C33" s="111"/>
      <c r="D33" s="111"/>
      <c r="E33" s="149" t="s">
        <v>30</v>
      </c>
      <c r="F33" s="149"/>
      <c r="G33" s="149"/>
      <c r="H33" s="149"/>
    </row>
    <row r="34" spans="1:10" s="19" customFormat="1" x14ac:dyDescent="0.3">
      <c r="A34" s="187" t="s">
        <v>90</v>
      </c>
      <c r="B34" s="187"/>
      <c r="C34" s="160" t="s">
        <v>173</v>
      </c>
      <c r="D34" s="160"/>
      <c r="E34" s="160"/>
      <c r="F34" s="160" t="s">
        <v>27</v>
      </c>
      <c r="G34" s="160"/>
      <c r="H34" s="160"/>
    </row>
    <row r="35" spans="1:10" s="19" customFormat="1" x14ac:dyDescent="0.3">
      <c r="A35" s="164" t="s">
        <v>22</v>
      </c>
      <c r="B35" s="164" t="s">
        <v>26</v>
      </c>
      <c r="C35" s="188" t="s">
        <v>266</v>
      </c>
      <c r="D35" s="188"/>
      <c r="E35" s="188"/>
      <c r="F35" s="188" t="s">
        <v>242</v>
      </c>
      <c r="G35" s="188"/>
      <c r="H35" s="188"/>
    </row>
    <row r="36" spans="1:10" x14ac:dyDescent="0.3">
      <c r="A36" s="164" t="s">
        <v>23</v>
      </c>
      <c r="B36" s="164" t="s">
        <v>26</v>
      </c>
      <c r="C36" s="161" t="s">
        <v>267</v>
      </c>
      <c r="D36" s="162"/>
      <c r="E36" s="163"/>
      <c r="F36" s="161" t="s">
        <v>263</v>
      </c>
      <c r="G36" s="162"/>
      <c r="H36" s="163"/>
    </row>
    <row r="37" spans="1:10" s="19" customFormat="1" x14ac:dyDescent="0.3">
      <c r="A37" s="164" t="s">
        <v>25</v>
      </c>
      <c r="B37" s="164" t="s">
        <v>26</v>
      </c>
      <c r="C37" s="161" t="s">
        <v>267</v>
      </c>
      <c r="D37" s="162"/>
      <c r="E37" s="163"/>
      <c r="F37" s="161" t="s">
        <v>264</v>
      </c>
      <c r="G37" s="162"/>
      <c r="H37" s="163"/>
    </row>
    <row r="38" spans="1:10" x14ac:dyDescent="0.3">
      <c r="A38" s="164" t="s">
        <v>24</v>
      </c>
      <c r="B38" s="164" t="s">
        <v>26</v>
      </c>
      <c r="C38" s="161" t="s">
        <v>267</v>
      </c>
      <c r="D38" s="162"/>
      <c r="E38" s="163"/>
      <c r="F38" s="161" t="s">
        <v>265</v>
      </c>
      <c r="G38" s="162"/>
      <c r="H38" s="163"/>
    </row>
    <row r="39" spans="1:10" x14ac:dyDescent="0.3">
      <c r="A39" s="111" t="s">
        <v>28</v>
      </c>
      <c r="B39" s="111"/>
      <c r="C39" s="111"/>
      <c r="D39" s="111"/>
      <c r="E39" s="111"/>
      <c r="F39" s="111"/>
      <c r="G39" s="111"/>
      <c r="H39" s="111"/>
    </row>
    <row r="40" spans="1:10" ht="15.75" customHeight="1" x14ac:dyDescent="0.3">
      <c r="A40" s="111" t="s">
        <v>166</v>
      </c>
      <c r="B40" s="111"/>
      <c r="C40" s="165" t="s">
        <v>262</v>
      </c>
      <c r="D40" s="165"/>
      <c r="E40" s="165"/>
      <c r="F40" s="165"/>
      <c r="G40" s="165"/>
      <c r="H40" s="165"/>
    </row>
    <row r="41" spans="1:10" x14ac:dyDescent="0.3">
      <c r="A41" s="111" t="s">
        <v>163</v>
      </c>
      <c r="B41" s="111"/>
      <c r="C41" s="148" t="s">
        <v>261</v>
      </c>
      <c r="D41" s="149"/>
      <c r="E41" s="149"/>
      <c r="F41" s="149"/>
      <c r="G41" s="149"/>
      <c r="H41" s="149"/>
    </row>
    <row r="42" spans="1:10" x14ac:dyDescent="0.3">
      <c r="A42" s="165" t="s">
        <v>31</v>
      </c>
      <c r="B42" s="165"/>
      <c r="C42" s="165"/>
      <c r="D42" s="165"/>
      <c r="E42" s="165"/>
      <c r="F42" s="165"/>
      <c r="G42" s="165"/>
      <c r="H42" s="165"/>
    </row>
    <row r="43" spans="1:10" x14ac:dyDescent="0.3">
      <c r="A43" s="111" t="s">
        <v>32</v>
      </c>
      <c r="B43" s="111"/>
      <c r="C43" s="111"/>
      <c r="D43" s="111"/>
      <c r="E43" s="176">
        <v>18605.64</v>
      </c>
      <c r="F43" s="176"/>
      <c r="G43" s="176"/>
      <c r="H43" s="176"/>
    </row>
    <row r="44" spans="1:10" x14ac:dyDescent="0.3">
      <c r="A44" s="111" t="s">
        <v>33</v>
      </c>
      <c r="B44" s="111"/>
      <c r="C44" s="111"/>
      <c r="D44" s="111"/>
      <c r="E44" s="179">
        <f>52571.67/E43</f>
        <v>2.8255770830780342</v>
      </c>
      <c r="F44" s="179"/>
      <c r="G44" s="179"/>
      <c r="H44" s="179"/>
    </row>
    <row r="45" spans="1:10" x14ac:dyDescent="0.3">
      <c r="A45" s="111" t="s">
        <v>34</v>
      </c>
      <c r="B45" s="111"/>
      <c r="C45" s="111"/>
      <c r="D45" s="111"/>
      <c r="E45" s="179">
        <f>E47/E43-E44</f>
        <v>2.6891576962684436</v>
      </c>
      <c r="F45" s="179"/>
      <c r="G45" s="179"/>
      <c r="H45" s="179"/>
    </row>
    <row r="46" spans="1:10" x14ac:dyDescent="0.3">
      <c r="A46" s="111" t="s">
        <v>35</v>
      </c>
      <c r="B46" s="111"/>
      <c r="C46" s="111"/>
      <c r="D46" s="111"/>
      <c r="E46" s="179">
        <f>E44+E45</f>
        <v>5.5147347793464778</v>
      </c>
      <c r="F46" s="179"/>
      <c r="G46" s="179"/>
      <c r="H46" s="179"/>
    </row>
    <row r="47" spans="1:10" x14ac:dyDescent="0.3">
      <c r="A47" s="111" t="s">
        <v>88</v>
      </c>
      <c r="B47" s="111"/>
      <c r="C47" s="111"/>
      <c r="D47" s="111"/>
      <c r="E47" s="180">
        <v>102605.17</v>
      </c>
      <c r="F47" s="180"/>
      <c r="G47" s="180"/>
      <c r="H47" s="180"/>
      <c r="J47" s="18">
        <v>72227.11</v>
      </c>
    </row>
    <row r="48" spans="1:10" x14ac:dyDescent="0.3">
      <c r="A48" s="181" t="s">
        <v>36</v>
      </c>
      <c r="B48" s="181"/>
      <c r="C48" s="181"/>
      <c r="D48" s="181"/>
      <c r="E48" s="181" t="s">
        <v>299</v>
      </c>
      <c r="F48" s="181"/>
      <c r="G48" s="181"/>
      <c r="H48" s="181"/>
    </row>
    <row r="49" spans="1:10" x14ac:dyDescent="0.3">
      <c r="A49" s="165" t="s">
        <v>37</v>
      </c>
      <c r="B49" s="165"/>
      <c r="C49" s="165"/>
      <c r="D49" s="165"/>
      <c r="E49" s="165"/>
      <c r="F49" s="165"/>
      <c r="G49" s="165"/>
      <c r="H49" s="165"/>
    </row>
    <row r="50" spans="1:10" ht="33.75" customHeight="1" x14ac:dyDescent="0.3">
      <c r="A50" s="106" t="s">
        <v>151</v>
      </c>
      <c r="B50" s="108"/>
      <c r="C50" s="127" t="s">
        <v>260</v>
      </c>
      <c r="D50" s="128"/>
      <c r="E50" s="128"/>
      <c r="F50" s="128"/>
      <c r="G50" s="128"/>
      <c r="H50" s="129"/>
    </row>
    <row r="51" spans="1:10" ht="15.75" customHeight="1" x14ac:dyDescent="0.3">
      <c r="A51" s="106" t="s">
        <v>38</v>
      </c>
      <c r="B51" s="108"/>
      <c r="C51" s="106" t="s">
        <v>305</v>
      </c>
      <c r="D51" s="107"/>
      <c r="E51" s="108"/>
      <c r="F51" s="17" t="s">
        <v>39</v>
      </c>
      <c r="G51" s="109">
        <v>45716</v>
      </c>
      <c r="H51" s="110"/>
    </row>
    <row r="52" spans="1:10" x14ac:dyDescent="0.3">
      <c r="A52" s="106" t="s">
        <v>40</v>
      </c>
      <c r="B52" s="108"/>
      <c r="C52" s="106" t="str">
        <f>C51</f>
        <v>EB/2701/E/A/337/6/Amend</v>
      </c>
      <c r="D52" s="107"/>
      <c r="E52" s="108"/>
      <c r="F52" s="17" t="s">
        <v>39</v>
      </c>
      <c r="G52" s="109">
        <f>G51</f>
        <v>45716</v>
      </c>
      <c r="H52" s="110"/>
    </row>
    <row r="53" spans="1:10" s="20" customFormat="1" ht="15.75" customHeight="1" x14ac:dyDescent="0.3">
      <c r="A53" s="97" t="s">
        <v>155</v>
      </c>
      <c r="B53" s="98"/>
      <c r="C53" s="106" t="s">
        <v>407</v>
      </c>
      <c r="D53" s="107"/>
      <c r="E53" s="108"/>
      <c r="F53" s="83" t="s">
        <v>39</v>
      </c>
      <c r="G53" s="104">
        <v>45866</v>
      </c>
      <c r="H53" s="105"/>
    </row>
    <row r="54" spans="1:10" s="20" customFormat="1" ht="65.400000000000006" customHeight="1" x14ac:dyDescent="0.3">
      <c r="A54" s="99"/>
      <c r="B54" s="100"/>
      <c r="C54" s="106" t="s">
        <v>408</v>
      </c>
      <c r="D54" s="107"/>
      <c r="E54" s="108"/>
      <c r="F54" s="83" t="s">
        <v>118</v>
      </c>
      <c r="G54" s="104">
        <v>45884</v>
      </c>
      <c r="H54" s="105"/>
    </row>
    <row r="55" spans="1:10" s="20" customFormat="1" ht="32.25" hidden="1" customHeight="1" x14ac:dyDescent="0.3">
      <c r="A55" s="97" t="s">
        <v>398</v>
      </c>
      <c r="B55" s="98"/>
      <c r="C55" s="106" t="s">
        <v>271</v>
      </c>
      <c r="D55" s="107"/>
      <c r="E55" s="108"/>
      <c r="F55" s="17" t="s">
        <v>39</v>
      </c>
      <c r="G55" s="109">
        <v>44810</v>
      </c>
      <c r="H55" s="110"/>
    </row>
    <row r="56" spans="1:10" s="20" customFormat="1" ht="31.2" hidden="1" x14ac:dyDescent="0.3">
      <c r="A56" s="99"/>
      <c r="B56" s="100"/>
      <c r="C56" s="106" t="s">
        <v>272</v>
      </c>
      <c r="D56" s="107"/>
      <c r="E56" s="108"/>
      <c r="F56" s="17" t="s">
        <v>118</v>
      </c>
      <c r="G56" s="109">
        <v>47731</v>
      </c>
      <c r="H56" s="110"/>
    </row>
    <row r="57" spans="1:10" s="20" customFormat="1" x14ac:dyDescent="0.3">
      <c r="A57" s="97" t="s">
        <v>155</v>
      </c>
      <c r="B57" s="98"/>
      <c r="C57" s="101" t="s">
        <v>297</v>
      </c>
      <c r="D57" s="102"/>
      <c r="E57" s="103"/>
      <c r="F57" s="83" t="s">
        <v>39</v>
      </c>
      <c r="G57" s="104">
        <v>45534</v>
      </c>
      <c r="H57" s="105"/>
    </row>
    <row r="58" spans="1:10" s="20" customFormat="1" ht="66.599999999999994" customHeight="1" x14ac:dyDescent="0.3">
      <c r="A58" s="99"/>
      <c r="B58" s="100"/>
      <c r="C58" s="101" t="s">
        <v>409</v>
      </c>
      <c r="D58" s="102"/>
      <c r="E58" s="103"/>
      <c r="F58" s="83" t="s">
        <v>118</v>
      </c>
      <c r="G58" s="104">
        <v>45884</v>
      </c>
      <c r="H58" s="105"/>
    </row>
    <row r="59" spans="1:10" x14ac:dyDescent="0.3">
      <c r="A59" s="97" t="s">
        <v>287</v>
      </c>
      <c r="B59" s="98"/>
      <c r="C59" s="101" t="s">
        <v>271</v>
      </c>
      <c r="D59" s="102"/>
      <c r="E59" s="103"/>
      <c r="F59" s="83" t="s">
        <v>39</v>
      </c>
      <c r="G59" s="104">
        <v>44810</v>
      </c>
      <c r="H59" s="105"/>
    </row>
    <row r="60" spans="1:10" ht="31.2" x14ac:dyDescent="0.3">
      <c r="A60" s="99"/>
      <c r="B60" s="100"/>
      <c r="C60" s="106" t="s">
        <v>399</v>
      </c>
      <c r="D60" s="107"/>
      <c r="E60" s="108"/>
      <c r="F60" s="17" t="s">
        <v>118</v>
      </c>
      <c r="G60" s="109">
        <v>47731</v>
      </c>
      <c r="H60" s="110"/>
    </row>
    <row r="61" spans="1:10" ht="31.5" customHeight="1" x14ac:dyDescent="0.3">
      <c r="A61" s="213" t="s">
        <v>41</v>
      </c>
      <c r="B61" s="214"/>
      <c r="C61" s="213" t="s">
        <v>100</v>
      </c>
      <c r="D61" s="215"/>
      <c r="E61" s="214"/>
      <c r="F61" s="40" t="s">
        <v>39</v>
      </c>
      <c r="G61" s="203" t="s">
        <v>26</v>
      </c>
      <c r="H61" s="204"/>
    </row>
    <row r="62" spans="1:10" x14ac:dyDescent="0.3">
      <c r="A62" s="198" t="s">
        <v>43</v>
      </c>
      <c r="B62" s="198"/>
      <c r="C62" s="198"/>
      <c r="D62" s="198"/>
      <c r="E62" s="198"/>
      <c r="F62" s="198"/>
      <c r="G62" s="198"/>
      <c r="H62" s="198"/>
      <c r="I62" s="21"/>
    </row>
    <row r="63" spans="1:10" ht="36" customHeight="1" x14ac:dyDescent="0.3">
      <c r="A63" s="177" t="s">
        <v>390</v>
      </c>
      <c r="B63" s="177"/>
      <c r="C63" s="177"/>
      <c r="D63" s="111">
        <f>52209.08+33694.67</f>
        <v>85903.75</v>
      </c>
      <c r="E63" s="111"/>
      <c r="F63" s="111"/>
      <c r="G63" s="111"/>
      <c r="H63" s="111"/>
      <c r="J63" s="18" t="s">
        <v>400</v>
      </c>
    </row>
    <row r="64" spans="1:10" x14ac:dyDescent="0.3">
      <c r="A64" s="149" t="s">
        <v>44</v>
      </c>
      <c r="B64" s="181"/>
      <c r="C64" s="181"/>
      <c r="D64" s="181" t="s">
        <v>388</v>
      </c>
      <c r="E64" s="181"/>
      <c r="F64" s="181"/>
      <c r="G64" s="181"/>
      <c r="H64" s="181"/>
    </row>
    <row r="65" spans="1:14" ht="33" customHeight="1" x14ac:dyDescent="0.3">
      <c r="A65" s="189" t="s">
        <v>45</v>
      </c>
      <c r="B65" s="190"/>
      <c r="C65" s="191"/>
      <c r="D65" s="150" t="s">
        <v>300</v>
      </c>
      <c r="E65" s="151"/>
      <c r="F65" s="151"/>
      <c r="G65" s="151"/>
      <c r="H65" s="151"/>
      <c r="J65" s="22"/>
      <c r="K65" s="21"/>
      <c r="N65" s="21"/>
    </row>
    <row r="66" spans="1:14" ht="34.200000000000003" customHeight="1" x14ac:dyDescent="0.3">
      <c r="A66" s="149" t="s">
        <v>86</v>
      </c>
      <c r="B66" s="149"/>
      <c r="C66" s="149"/>
      <c r="D66" s="149" t="s">
        <v>401</v>
      </c>
      <c r="E66" s="149"/>
      <c r="F66" s="149"/>
      <c r="G66" s="149"/>
      <c r="H66" s="149"/>
      <c r="N66" s="21"/>
    </row>
    <row r="67" spans="1:14" ht="15.75" customHeight="1" x14ac:dyDescent="0.3">
      <c r="A67" s="111" t="s">
        <v>42</v>
      </c>
      <c r="B67" s="111"/>
      <c r="C67" s="111"/>
      <c r="D67" s="177" t="s">
        <v>391</v>
      </c>
      <c r="E67" s="177"/>
      <c r="F67" s="177"/>
      <c r="G67" s="177"/>
      <c r="H67" s="177"/>
      <c r="J67" s="23"/>
      <c r="K67" s="23"/>
    </row>
    <row r="68" spans="1:14" x14ac:dyDescent="0.3">
      <c r="A68" s="111" t="s">
        <v>84</v>
      </c>
      <c r="B68" s="111"/>
      <c r="C68" s="111"/>
      <c r="D68" s="178" t="str">
        <f>(IF(G61="NA","60 Years After Completion",IF(G61&lt;&gt;"NA",""&amp;60-ROUNDDOWN((E3-G61)/360,0)&amp;" Years"," ")))</f>
        <v>60 Years After Completion</v>
      </c>
      <c r="E68" s="178"/>
      <c r="F68" s="178"/>
      <c r="G68" s="178"/>
      <c r="H68" s="178"/>
    </row>
    <row r="69" spans="1:14" x14ac:dyDescent="0.3">
      <c r="A69" s="111" t="s">
        <v>85</v>
      </c>
      <c r="B69" s="111"/>
      <c r="C69" s="111"/>
      <c r="D69" s="177" t="s">
        <v>21</v>
      </c>
      <c r="E69" s="177"/>
      <c r="F69" s="177"/>
      <c r="G69" s="177"/>
      <c r="H69" s="177"/>
      <c r="I69" s="24"/>
      <c r="J69" s="24"/>
      <c r="K69" s="24"/>
      <c r="L69" s="24"/>
      <c r="M69" s="24"/>
      <c r="N69" s="24"/>
    </row>
    <row r="70" spans="1:14" ht="47.4" customHeight="1" x14ac:dyDescent="0.3">
      <c r="A70" s="181" t="s">
        <v>270</v>
      </c>
      <c r="B70" s="181"/>
      <c r="C70" s="181"/>
      <c r="D70" s="149" t="s">
        <v>281</v>
      </c>
      <c r="E70" s="177"/>
      <c r="F70" s="177"/>
      <c r="G70" s="177"/>
      <c r="H70" s="177"/>
      <c r="J70" s="23"/>
    </row>
    <row r="71" spans="1:14" ht="16.2" customHeight="1" thickBot="1" x14ac:dyDescent="0.35">
      <c r="A71" s="177" t="s">
        <v>147</v>
      </c>
      <c r="B71" s="177"/>
      <c r="C71" s="177"/>
      <c r="D71" s="177" t="s">
        <v>26</v>
      </c>
      <c r="E71" s="177"/>
      <c r="F71" s="177"/>
      <c r="G71" s="177"/>
      <c r="H71" s="177"/>
    </row>
    <row r="72" spans="1:14" ht="16.2" customHeight="1" x14ac:dyDescent="0.3">
      <c r="A72" s="216" t="s">
        <v>83</v>
      </c>
      <c r="B72" s="216"/>
      <c r="C72" s="216"/>
      <c r="D72" s="150" t="str">
        <f ca="1">(IF(G78&gt;95%,"Nothing",IF(G78&gt;0%,"Cement, Aggregate, Steel, etc",IF(G78=0%,"Work not yet Started"))))</f>
        <v>Cement, Aggregate, Steel, etc</v>
      </c>
      <c r="E72" s="150"/>
      <c r="F72" s="150"/>
      <c r="G72" s="150"/>
      <c r="H72" s="150"/>
      <c r="I72" s="42" t="str">
        <f ca="1">IF(D87=100%,"All work Completed. Possession granted to the Building.",IF(D86=100%,"All work Completed, Waiting for OC",I73&amp;""&amp;I74&amp;""&amp;J73&amp;""&amp;J72&amp;" "&amp;J74))</f>
        <v>Excavation, Plinth Completed, RCC upto 46 Slab, Brickwork upto 45 Floor, Internal Plaster upto 36 Floor, External Plaster upto 33.75 Floor Completed</v>
      </c>
      <c r="J72" s="43" t="str">
        <f ca="1">(IF(C80=(D75+F75+H75),"",IF(C80&gt;0,", RCC upto "&amp;C80&amp;" Slab","")))&amp;(IF(C81=H75,"",IF(C81&gt;0,", Brickwork upto "&amp;C81&amp;" Floor","")))&amp;(IF(C82=H75,"",IF(C82&gt;0,", Internal Plaster upto "&amp;C82&amp;" Floor","")))&amp;(IF(C83=H75,"",IF(C83&gt;0,", External Plaster upto "&amp;C83&amp;" Floor","")))&amp;(IF(C84=H75,"",IF(C84&gt;0,", Flooring upto "&amp;C84&amp;" Floor","")))&amp;(IF(C85=H75,"",IF(C85&gt;0,", Painting upto "&amp;C85&amp;" Floor","")))&amp;(IF(C86=H75,"",IF(C86&gt;0,", Finishing upto "&amp;C86&amp;" Floor","")))&amp;(IF(C87=H75,"",IF(C87&gt;0,", Possession upto "&amp;C87&amp;" Floor","")))</f>
        <v>, RCC upto 46 Slab, Brickwork upto 45 Floor, Internal Plaster upto 36 Floor, External Plaster upto 33.75 Floor</v>
      </c>
    </row>
    <row r="73" spans="1:14" ht="16.2" thickBot="1" x14ac:dyDescent="0.35">
      <c r="A73" s="205" t="s">
        <v>113</v>
      </c>
      <c r="B73" s="205"/>
      <c r="C73" s="205"/>
      <c r="D73" s="150" t="str">
        <f ca="1">(IF(D72="Nothing","Yes",IF(D72="Cement, Aggregate, Steel, etc","Under Construction",IF(D72="Work not yet Started","Work not yet Started"))))</f>
        <v>Under Construction</v>
      </c>
      <c r="E73" s="150"/>
      <c r="F73" s="150" t="str">
        <f ca="1">(IF(D72="Nothing","Yes",IF(D72="Cement, Aggregate, Steel, etc","Under Construction",IF(D72="Work not yet Started","Work not yet Started"))))</f>
        <v>Under Construction</v>
      </c>
      <c r="G73" s="150"/>
      <c r="H73" s="150"/>
      <c r="I73" s="44" t="str">
        <f ca="1">IF(D78=100%,"Excavation","")&amp;IF(D79=100%,", Plinth","")&amp;IF(D80=100%,", RCC Slab","")&amp;IF(D81=100%,", Brickwork","")&amp;IF(D82=100%,", Internal Plaster","")&amp;IF(D83=100%,", External Plaster","")&amp;IF(D84=100%,", Flooring","")&amp;IF(D85=100%,", Painting","")&amp;IF(D86=100%,", Building common Amenities","")</f>
        <v>Excavation, Plinth</v>
      </c>
      <c r="J73" s="45" t="str">
        <f ca="1">(IF(C78=0,"Work not yet Started.",IF(D78=25%,"Piling work in process",IF(D78=50%,"Excavation work in process",IF(D78=100%,"","0")))))&amp;(IF(C79=0%,"",IF(C79=J78,", Footing work is process",IF(C79=J79,", Footing work Completed",IF(C79=J80,", 1st Basement Completed",IF(C79=J81,", 1st &amp; 2nd Basement Completed",IF(C79=J82,", 1st to 3rd Basement Completed",IF(C79=J83,", 1st to 4th Basement Completed",IF(C79=J84,", Plinth work is process",IF(C79=J85,"","0"))))))))))</f>
        <v/>
      </c>
    </row>
    <row r="74" spans="1:14" ht="37.200000000000003" customHeight="1" x14ac:dyDescent="0.3">
      <c r="A74" s="209" t="s">
        <v>137</v>
      </c>
      <c r="B74" s="210"/>
      <c r="C74" s="184" t="s">
        <v>404</v>
      </c>
      <c r="D74" s="185"/>
      <c r="E74" s="185"/>
      <c r="F74" s="185"/>
      <c r="G74" s="185"/>
      <c r="H74" s="186"/>
      <c r="I74" s="44" t="str">
        <f ca="1">IF(I73&lt;&gt;""," Completed","")</f>
        <v xml:space="preserve"> Completed</v>
      </c>
      <c r="J74" s="45" t="str">
        <f ca="1">IF(J72&lt;&gt;"","Completed","")</f>
        <v>Completed</v>
      </c>
    </row>
    <row r="75" spans="1:14" ht="15.75" customHeight="1" x14ac:dyDescent="0.3">
      <c r="A75" s="15" t="s">
        <v>139</v>
      </c>
      <c r="B75" s="46">
        <f>IF(AND(ISNUMBER(SEARCH("1B",C74))),1,IF(AND(ISNUMBER(SEARCH("2B",C74))),2,IF(AND(ISNUMBER(SEARCH("3B",C74))),3,IF(AND(ISNUMBER(SEARCH("4B",C74))),4,IF(ISNUMBER(SEARCH("5B",C74)),5,0)))))</f>
        <v>3</v>
      </c>
      <c r="C75" s="46" t="s">
        <v>69</v>
      </c>
      <c r="D75" s="46">
        <v>1</v>
      </c>
      <c r="E75" s="46" t="s">
        <v>68</v>
      </c>
      <c r="F75" s="46">
        <v>0</v>
      </c>
      <c r="G75" s="46" t="s">
        <v>77</v>
      </c>
      <c r="H75" s="16">
        <f ca="1">--TRIM(RIGHT(SUBSTITUTE(LEFT(C74,_xlfn.AGGREGATE(16,6,FIND({0,1,2,3,4,5,6,7,8,9},C74,ROW(INDIRECT("1:"&amp;LEN(C74)))),1))," ",REPT(" ",LEN(C74))),LEN(C74)))</f>
        <v>68</v>
      </c>
      <c r="I75" s="13" t="s">
        <v>138</v>
      </c>
      <c r="J75" s="25">
        <f ca="1">H75*25%</f>
        <v>17</v>
      </c>
    </row>
    <row r="76" spans="1:14" ht="36.6" customHeight="1" x14ac:dyDescent="0.3">
      <c r="A76" s="172" t="s">
        <v>87</v>
      </c>
      <c r="B76" s="173"/>
      <c r="C76" s="174" t="str">
        <f ca="1">I72</f>
        <v>Excavation, Plinth Completed, RCC upto 46 Slab, Brickwork upto 45 Floor, Internal Plaster upto 36 Floor, External Plaster upto 33.75 Floor Completed</v>
      </c>
      <c r="D76" s="174"/>
      <c r="E76" s="174"/>
      <c r="F76" s="174"/>
      <c r="G76" s="174"/>
      <c r="H76" s="175"/>
      <c r="I76" s="13" t="s">
        <v>95</v>
      </c>
      <c r="J76" s="26">
        <f ca="1">H75*50%</f>
        <v>34</v>
      </c>
    </row>
    <row r="77" spans="1:14" x14ac:dyDescent="0.3">
      <c r="A77" s="166" t="s">
        <v>46</v>
      </c>
      <c r="B77" s="167"/>
      <c r="C77" s="51" t="s">
        <v>136</v>
      </c>
      <c r="D77" s="51" t="s">
        <v>80</v>
      </c>
      <c r="E77" s="137" t="s">
        <v>82</v>
      </c>
      <c r="F77" s="137"/>
      <c r="G77" s="137" t="s">
        <v>81</v>
      </c>
      <c r="H77" s="206"/>
      <c r="I77" s="13" t="s">
        <v>96</v>
      </c>
      <c r="J77" s="26">
        <f ca="1">H75</f>
        <v>68</v>
      </c>
    </row>
    <row r="78" spans="1:14" ht="15.75" customHeight="1" x14ac:dyDescent="0.3">
      <c r="A78" s="166" t="s">
        <v>125</v>
      </c>
      <c r="B78" s="167"/>
      <c r="C78" s="51">
        <f ca="1">J77</f>
        <v>68</v>
      </c>
      <c r="D78" s="52">
        <f ca="1">((100/H75)*C78)/100</f>
        <v>1</v>
      </c>
      <c r="E78" s="130">
        <f ca="1">(((C79/H75*10)+(40/(D75+F75+H75)*C80)+(7.5/(H75)*C81)+(7.5/(H75)*C82)+(10/H75*C83)+(10/H75*C84)+(5/H75*C85)+(5/H75*C86)+(5/H75*C87))/100)</f>
        <v>0.50563725490196076</v>
      </c>
      <c r="F78" s="169"/>
      <c r="G78" s="130">
        <f ca="1">((((C78/H75)*20)+((C79/H75)*25)+(30/(H75+F75+D75)*C80)+(5/H75*C81)+(5/H75*C82)+(5/H75*C83)+(5/H75*C84)+(0/H75*C85)+(0/H75*C86)+(5/H75*C87))/100)</f>
        <v>0.734375</v>
      </c>
      <c r="H78" s="131"/>
      <c r="I78" s="13" t="s">
        <v>97</v>
      </c>
      <c r="J78" s="27">
        <f ca="1">(IF(B75&gt;1,(H75/(B75+2)),H75/4))</f>
        <v>13.6</v>
      </c>
    </row>
    <row r="79" spans="1:14" ht="15.75" customHeight="1" x14ac:dyDescent="0.3">
      <c r="A79" s="166" t="s">
        <v>47</v>
      </c>
      <c r="B79" s="167"/>
      <c r="C79" s="51">
        <f ca="1">J85</f>
        <v>68</v>
      </c>
      <c r="D79" s="52">
        <f ca="1">((100/H75)*C79)/100</f>
        <v>1</v>
      </c>
      <c r="E79" s="132"/>
      <c r="F79" s="170"/>
      <c r="G79" s="132"/>
      <c r="H79" s="133"/>
      <c r="I79" s="13" t="s">
        <v>98</v>
      </c>
      <c r="J79" s="27">
        <f ca="1">(IF(B75&gt;1,(H75/(B75+2)+J78),H75/4+J78))</f>
        <v>27.2</v>
      </c>
    </row>
    <row r="80" spans="1:14" ht="15.75" customHeight="1" x14ac:dyDescent="0.3">
      <c r="A80" s="166" t="s">
        <v>126</v>
      </c>
      <c r="B80" s="167"/>
      <c r="C80" s="51">
        <v>46</v>
      </c>
      <c r="D80" s="52">
        <f ca="1">((100/(D75+F75+H75))*C80)/100</f>
        <v>0.66666666666666674</v>
      </c>
      <c r="E80" s="132"/>
      <c r="F80" s="170"/>
      <c r="G80" s="132"/>
      <c r="H80" s="133"/>
      <c r="I80" s="13" t="s">
        <v>145</v>
      </c>
      <c r="J80" s="27">
        <f ca="1">(IF(B75&gt;1,(H75/(B75+2)+J79),0))</f>
        <v>40.799999999999997</v>
      </c>
    </row>
    <row r="81" spans="1:11" ht="15" customHeight="1" x14ac:dyDescent="0.3">
      <c r="A81" s="166" t="s">
        <v>133</v>
      </c>
      <c r="B81" s="167" t="s">
        <v>127</v>
      </c>
      <c r="C81" s="51">
        <f>C80-1</f>
        <v>45</v>
      </c>
      <c r="D81" s="52">
        <f ca="1">((100/H75)*C81)/100</f>
        <v>0.66176470588235303</v>
      </c>
      <c r="E81" s="132"/>
      <c r="F81" s="170"/>
      <c r="G81" s="132"/>
      <c r="H81" s="133"/>
      <c r="I81" s="13" t="s">
        <v>140</v>
      </c>
      <c r="J81" s="27">
        <f ca="1">(IF(B75&gt;2,(H75/(B75+2)+J80),0))</f>
        <v>54.4</v>
      </c>
    </row>
    <row r="82" spans="1:11" ht="15.75" customHeight="1" x14ac:dyDescent="0.3">
      <c r="A82" s="166" t="s">
        <v>134</v>
      </c>
      <c r="B82" s="167" t="s">
        <v>127</v>
      </c>
      <c r="C82" s="53">
        <f>C81*0.8</f>
        <v>36</v>
      </c>
      <c r="D82" s="52">
        <f ca="1">((100/H75)*C82)/100</f>
        <v>0.52941176470588236</v>
      </c>
      <c r="E82" s="132"/>
      <c r="F82" s="170"/>
      <c r="G82" s="132"/>
      <c r="H82" s="133"/>
      <c r="I82" s="13" t="s">
        <v>141</v>
      </c>
      <c r="J82" s="28">
        <f>(IF(B75&gt;3,(H75/(B75+2)+J81),0))</f>
        <v>0</v>
      </c>
    </row>
    <row r="83" spans="1:11" ht="15.75" customHeight="1" x14ac:dyDescent="0.3">
      <c r="A83" s="166" t="s">
        <v>132</v>
      </c>
      <c r="B83" s="167" t="s">
        <v>129</v>
      </c>
      <c r="C83" s="53">
        <f>C81*0.75</f>
        <v>33.75</v>
      </c>
      <c r="D83" s="52">
        <f ca="1">((100/(H75))*C83)/100</f>
        <v>0.49632352941176472</v>
      </c>
      <c r="E83" s="132"/>
      <c r="F83" s="170"/>
      <c r="G83" s="132"/>
      <c r="H83" s="133"/>
      <c r="I83" s="13" t="s">
        <v>142</v>
      </c>
      <c r="J83" s="27">
        <f>(IF(B75&gt;4,(H75/(B75+2)+J82),0))</f>
        <v>0</v>
      </c>
    </row>
    <row r="84" spans="1:11" ht="15.75" customHeight="1" x14ac:dyDescent="0.3">
      <c r="A84" s="166" t="s">
        <v>128</v>
      </c>
      <c r="B84" s="167" t="s">
        <v>128</v>
      </c>
      <c r="C84" s="51">
        <v>0</v>
      </c>
      <c r="D84" s="52">
        <f ca="1">((100/H75)*C84)/100</f>
        <v>0</v>
      </c>
      <c r="E84" s="132"/>
      <c r="F84" s="170"/>
      <c r="G84" s="132"/>
      <c r="H84" s="133"/>
      <c r="I84" s="13" t="s">
        <v>146</v>
      </c>
      <c r="J84" s="27">
        <f>(IF(B75=1,(H75/(B75+3)+J79),IF(B75=0,(H75/4+J79),IF(B75&gt;1,0))))</f>
        <v>0</v>
      </c>
    </row>
    <row r="85" spans="1:11" ht="16.2" thickBot="1" x14ac:dyDescent="0.35">
      <c r="A85" s="166" t="s">
        <v>135</v>
      </c>
      <c r="B85" s="167"/>
      <c r="C85" s="51">
        <v>0</v>
      </c>
      <c r="D85" s="52">
        <f ca="1">((100/H75)*C85)/100</f>
        <v>0</v>
      </c>
      <c r="E85" s="132"/>
      <c r="F85" s="170"/>
      <c r="G85" s="132"/>
      <c r="H85" s="133"/>
      <c r="I85" s="14" t="s">
        <v>99</v>
      </c>
      <c r="J85" s="29">
        <f ca="1">(IF(B75&gt;1.5,(H75/(B75+2)+J79+MAX(0,J80-J79)+MAX(0,J81-J80)+MAX(0,J82-J81)+MAX(0,J83-J82)+MAX(0,J84-J83)),IF(B75=1,(H75/(B75+3)+J84),IF(B75=0,H75/4+J84))))</f>
        <v>68</v>
      </c>
    </row>
    <row r="86" spans="1:11" ht="31.5" customHeight="1" x14ac:dyDescent="0.3">
      <c r="A86" s="166" t="s">
        <v>130</v>
      </c>
      <c r="B86" s="167" t="s">
        <v>130</v>
      </c>
      <c r="C86" s="84">
        <v>0</v>
      </c>
      <c r="D86" s="85">
        <f ca="1">((100/(H75))*C86)/100</f>
        <v>0</v>
      </c>
      <c r="E86" s="132"/>
      <c r="F86" s="170"/>
      <c r="G86" s="132"/>
      <c r="H86" s="133"/>
      <c r="I86" s="42" t="str">
        <f ca="1">IF(D101=100%,"All work Completed. Possession granted to the Building.",IF(D100=100%,"All work Completed, Waiting for OC",I87&amp;""&amp;I88&amp;""&amp;J87&amp;""&amp;J86&amp;" "&amp;J88))</f>
        <v xml:space="preserve">Excavation Completed, Footing work is process </v>
      </c>
      <c r="J86" s="43" t="str">
        <f ca="1">(IF(C94=(D89+F89+H89),"",IF(C94&gt;0,", RCC upto "&amp;C94&amp;" Slab","")))&amp;(IF(C95=H89,"",IF(C95&gt;0,", Brickwork upto "&amp;C95&amp;" Floor","")))&amp;(IF(C96=H89,"",IF(C96&gt;0,", Internal Plaster upto "&amp;C96&amp;" Floor","")))&amp;(IF(C97=H89,"",IF(C97&gt;0,", External Plaster upto "&amp;C97&amp;" Floor","")))&amp;(IF(C98=H89,"",IF(C98&gt;0,", Flooring upto "&amp;C98&amp;" Floor","")))&amp;(IF(C99=H89,"",IF(C99&gt;0,", Painting upto "&amp;C99&amp;" Floor","")))&amp;(IF(C100=H89,"",IF(C100&gt;0,", Finishing upto "&amp;C100&amp;" Floor","")))&amp;(IF(C101=H89,"",IF(C101&gt;0,", Possession upto "&amp;C101&amp;" Floor","")))</f>
        <v/>
      </c>
    </row>
    <row r="87" spans="1:11" ht="16.2" thickBot="1" x14ac:dyDescent="0.35">
      <c r="A87" s="207" t="s">
        <v>131</v>
      </c>
      <c r="B87" s="208"/>
      <c r="C87" s="54">
        <v>0</v>
      </c>
      <c r="D87" s="55">
        <f ca="1">((100/(H75))*C87)/100</f>
        <v>0</v>
      </c>
      <c r="E87" s="134"/>
      <c r="F87" s="171"/>
      <c r="G87" s="134"/>
      <c r="H87" s="135"/>
      <c r="I87" s="44" t="str">
        <f ca="1">IF(D92=100%,"Excavation","")&amp;IF(D93=100%,", Plinth","")&amp;IF(D94=100%,", RCC Slab","")&amp;IF(D95=100%,", Brickwork","")&amp;IF(D96=100%,", Internal Plaster","")&amp;IF(D97=100%,", External Plaster","")&amp;IF(D98=100%,", Flooring","")&amp;IF(D99=100%,", Painting","")&amp;IF(D100=100%,", Building common Amenities","")</f>
        <v>Excavation</v>
      </c>
      <c r="J87" s="45" t="str">
        <f ca="1">(IF(C92=0,"Work not yet Started.",IF(D92=25%,"Piling work in process",IF(D92=50%,"Excavation work in process",IF(D92=100%,"","0")))))&amp;(IF(C93=0%,"",IF(C93=J92,", Footing work is process",IF(C93=J93,", Footing work Completed",IF(C93=J94,", 1st Basement Completed",IF(C93=J95,", 1st &amp; 2nd Basement Completed",IF(C93=J96,", 1st to 3rd Basement Completed",IF(C93=J97,", 1st to 4th Basement Completed",IF(C93=J98,", Plinth work is process",IF(C93=J99,"","0"))))))))))</f>
        <v>, Footing work is process</v>
      </c>
    </row>
    <row r="88" spans="1:11" ht="36.6" customHeight="1" x14ac:dyDescent="0.3">
      <c r="A88" s="182" t="s">
        <v>137</v>
      </c>
      <c r="B88" s="183"/>
      <c r="C88" s="184" t="s">
        <v>402</v>
      </c>
      <c r="D88" s="185"/>
      <c r="E88" s="185"/>
      <c r="F88" s="185"/>
      <c r="G88" s="185"/>
      <c r="H88" s="186"/>
      <c r="I88" s="44" t="str">
        <f ca="1">IF(I87&lt;&gt;""," Completed","")</f>
        <v xml:space="preserve"> Completed</v>
      </c>
      <c r="J88" s="45" t="str">
        <f ca="1">IF(J86&lt;&gt;"","Completed","")</f>
        <v/>
      </c>
    </row>
    <row r="89" spans="1:11" ht="15.75" customHeight="1" x14ac:dyDescent="0.3">
      <c r="A89" s="15" t="s">
        <v>139</v>
      </c>
      <c r="B89" s="46">
        <f>IF(AND(ISNUMBER(SEARCH("1B",C88))),1,IF(AND(ISNUMBER(SEARCH("2B",C88))),2,IF(AND(ISNUMBER(SEARCH("3B",C88))),3,IF(AND(ISNUMBER(SEARCH("4B",C88))),4,IF(ISNUMBER(SEARCH("5B",C88)),5,0)))))</f>
        <v>3</v>
      </c>
      <c r="C89" s="46" t="s">
        <v>69</v>
      </c>
      <c r="D89" s="46">
        <v>1</v>
      </c>
      <c r="E89" s="46" t="s">
        <v>68</v>
      </c>
      <c r="F89" s="46">
        <v>0</v>
      </c>
      <c r="G89" s="46" t="s">
        <v>77</v>
      </c>
      <c r="H89" s="16">
        <f ca="1">--TRIM(RIGHT(SUBSTITUTE(LEFT(C88,_xlfn.AGGREGATE(16,6,FIND({0,1,2,3,4,5,6,7,8,9},C88,ROW(INDIRECT("1:"&amp;LEN(C88)))),1))," ",REPT(" ",LEN(C88))),LEN(C88)))</f>
        <v>68</v>
      </c>
      <c r="I89" s="13" t="s">
        <v>138</v>
      </c>
      <c r="J89" s="25">
        <f ca="1">H89*25%</f>
        <v>17</v>
      </c>
    </row>
    <row r="90" spans="1:11" x14ac:dyDescent="0.3">
      <c r="A90" s="172" t="s">
        <v>87</v>
      </c>
      <c r="B90" s="173"/>
      <c r="C90" s="174" t="str">
        <f ca="1">(IF($G$61="NA",I86,"All work Completed. OC Received."))</f>
        <v xml:space="preserve">Excavation Completed, Footing work is process </v>
      </c>
      <c r="D90" s="174"/>
      <c r="E90" s="174"/>
      <c r="F90" s="174"/>
      <c r="G90" s="174"/>
      <c r="H90" s="175"/>
      <c r="I90" s="13" t="s">
        <v>95</v>
      </c>
      <c r="J90" s="26">
        <f ca="1">H89*50%</f>
        <v>34</v>
      </c>
    </row>
    <row r="91" spans="1:11" x14ac:dyDescent="0.3">
      <c r="A91" s="136" t="s">
        <v>46</v>
      </c>
      <c r="B91" s="137"/>
      <c r="C91" s="51" t="s">
        <v>136</v>
      </c>
      <c r="D91" s="51" t="s">
        <v>80</v>
      </c>
      <c r="E91" s="137" t="s">
        <v>82</v>
      </c>
      <c r="F91" s="137"/>
      <c r="G91" s="137" t="s">
        <v>81</v>
      </c>
      <c r="H91" s="206"/>
      <c r="I91" s="13" t="s">
        <v>96</v>
      </c>
      <c r="J91" s="26">
        <f ca="1">H89</f>
        <v>68</v>
      </c>
    </row>
    <row r="92" spans="1:11" ht="15.75" customHeight="1" x14ac:dyDescent="0.3">
      <c r="A92" s="136" t="s">
        <v>125</v>
      </c>
      <c r="B92" s="137"/>
      <c r="C92" s="51">
        <f ca="1">J91</f>
        <v>68</v>
      </c>
      <c r="D92" s="52">
        <f ca="1">((100/H89)*C92)/100</f>
        <v>1</v>
      </c>
      <c r="E92" s="130">
        <f ca="1">(((C93/H89*10)+(40/(D89+F89+H89)*C94)+(7.5/(H89)*C95)+(7.5/(H89)*C96)+(10/H89*C97)+(10/H89*C98)+(5/H89*C99)+(5/H89*C100)+(5/H89*C101))/100)</f>
        <v>1.9999999999999997E-2</v>
      </c>
      <c r="F92" s="169"/>
      <c r="G92" s="130">
        <f ca="1">((((C92/H89)*20)+((C93/H89)*25)+(30/(H89+F89+D89)*C94)+(5/H89*C95)+(5/H89*C96)+(5/H89*C97)+(5/H89*C98)+(0/H89*C99)+(0/H89*C100)+(5/H89*C101))/100)</f>
        <v>0.25</v>
      </c>
      <c r="H92" s="131"/>
      <c r="I92" s="13" t="s">
        <v>97</v>
      </c>
      <c r="J92" s="27">
        <f ca="1">(IF(B89&gt;1,(H89/(B89+2)),H89/4))</f>
        <v>13.6</v>
      </c>
    </row>
    <row r="93" spans="1:11" ht="15.75" customHeight="1" x14ac:dyDescent="0.3">
      <c r="A93" s="136" t="s">
        <v>47</v>
      </c>
      <c r="B93" s="137"/>
      <c r="C93" s="53">
        <f ca="1">J92</f>
        <v>13.6</v>
      </c>
      <c r="D93" s="52">
        <f ca="1">((100/H89)*C93)/100</f>
        <v>0.2</v>
      </c>
      <c r="E93" s="132"/>
      <c r="F93" s="170"/>
      <c r="G93" s="132"/>
      <c r="H93" s="133"/>
      <c r="I93" s="13" t="s">
        <v>98</v>
      </c>
      <c r="J93" s="27">
        <f ca="1">(IF(B89&gt;1,(H89/(B89+2)+J92),H89/4+J92))</f>
        <v>27.2</v>
      </c>
      <c r="K93" s="86" t="s">
        <v>412</v>
      </c>
    </row>
    <row r="94" spans="1:11" ht="15.75" customHeight="1" x14ac:dyDescent="0.3">
      <c r="A94" s="136" t="s">
        <v>126</v>
      </c>
      <c r="B94" s="137"/>
      <c r="C94" s="51">
        <v>0</v>
      </c>
      <c r="D94" s="52">
        <f ca="1">((100/(D89+F89+H89))*C94)/100</f>
        <v>0</v>
      </c>
      <c r="E94" s="132"/>
      <c r="F94" s="170"/>
      <c r="G94" s="132"/>
      <c r="H94" s="133"/>
      <c r="I94" s="13" t="s">
        <v>145</v>
      </c>
      <c r="J94" s="27">
        <f ca="1">(IF(B89&gt;1,(H89/(B89+2)+J93),0))</f>
        <v>40.799999999999997</v>
      </c>
    </row>
    <row r="95" spans="1:11" ht="15" customHeight="1" x14ac:dyDescent="0.3">
      <c r="A95" s="136" t="s">
        <v>133</v>
      </c>
      <c r="B95" s="137" t="s">
        <v>127</v>
      </c>
      <c r="C95" s="51">
        <v>0</v>
      </c>
      <c r="D95" s="52">
        <f ca="1">((100/H89)*C95)/100</f>
        <v>0</v>
      </c>
      <c r="E95" s="132"/>
      <c r="F95" s="170"/>
      <c r="G95" s="132"/>
      <c r="H95" s="133"/>
      <c r="I95" s="13" t="s">
        <v>140</v>
      </c>
      <c r="J95" s="27">
        <f ca="1">(IF(B89&gt;2,(H89/(B89+2)+J94),0))</f>
        <v>54.4</v>
      </c>
    </row>
    <row r="96" spans="1:11" ht="15.75" customHeight="1" x14ac:dyDescent="0.3">
      <c r="A96" s="136" t="s">
        <v>134</v>
      </c>
      <c r="B96" s="137" t="s">
        <v>127</v>
      </c>
      <c r="C96" s="51">
        <v>0</v>
      </c>
      <c r="D96" s="52">
        <f ca="1">((100/H89)*C96)/100</f>
        <v>0</v>
      </c>
      <c r="E96" s="132"/>
      <c r="F96" s="170"/>
      <c r="G96" s="132"/>
      <c r="H96" s="133"/>
      <c r="I96" s="13" t="s">
        <v>141</v>
      </c>
      <c r="J96" s="28">
        <f>(IF(B89&gt;3,(H89/(B89+2)+J95),0))</f>
        <v>0</v>
      </c>
    </row>
    <row r="97" spans="1:15" ht="15.75" customHeight="1" x14ac:dyDescent="0.3">
      <c r="A97" s="136" t="s">
        <v>132</v>
      </c>
      <c r="B97" s="137" t="s">
        <v>129</v>
      </c>
      <c r="C97" s="51">
        <v>0</v>
      </c>
      <c r="D97" s="52">
        <f ca="1">((100/(H89))*C97)/100</f>
        <v>0</v>
      </c>
      <c r="E97" s="132"/>
      <c r="F97" s="170"/>
      <c r="G97" s="132"/>
      <c r="H97" s="133"/>
      <c r="I97" s="13" t="s">
        <v>142</v>
      </c>
      <c r="J97" s="27">
        <f>(IF(B89&gt;4,(H89/(B89+2)+J96),0))</f>
        <v>0</v>
      </c>
    </row>
    <row r="98" spans="1:15" ht="15.75" customHeight="1" x14ac:dyDescent="0.3">
      <c r="A98" s="136" t="s">
        <v>128</v>
      </c>
      <c r="B98" s="137" t="s">
        <v>128</v>
      </c>
      <c r="C98" s="51">
        <v>0</v>
      </c>
      <c r="D98" s="52">
        <f ca="1">((100/H89)*C98)/100</f>
        <v>0</v>
      </c>
      <c r="E98" s="132"/>
      <c r="F98" s="170"/>
      <c r="G98" s="132"/>
      <c r="H98" s="133"/>
      <c r="I98" s="13" t="s">
        <v>146</v>
      </c>
      <c r="J98" s="27">
        <f>(IF(B89=1,(H89/(B89+3)+J93),IF(B89=0,(H89/4+J93),IF(B89&gt;1,0))))</f>
        <v>0</v>
      </c>
    </row>
    <row r="99" spans="1:15" ht="16.2" thickBot="1" x14ac:dyDescent="0.35">
      <c r="A99" s="136" t="s">
        <v>135</v>
      </c>
      <c r="B99" s="137"/>
      <c r="C99" s="51">
        <v>0</v>
      </c>
      <c r="D99" s="52">
        <f ca="1">((100/H89)*C99)/100</f>
        <v>0</v>
      </c>
      <c r="E99" s="132"/>
      <c r="F99" s="170"/>
      <c r="G99" s="132"/>
      <c r="H99" s="133"/>
      <c r="I99" s="14" t="s">
        <v>99</v>
      </c>
      <c r="J99" s="29">
        <f ca="1">(IF(B89&gt;1.5,(H89/(B89+2)+J93+MAX(0,J94-J93)+MAX(0,J95-J94)+MAX(0,J96-J95)+MAX(0,J97-J96)+MAX(0,J98-J97)),IF(B89=1,(H89/(B89+3)+J98),IF(B89=0,H89/4+J98))))</f>
        <v>68</v>
      </c>
    </row>
    <row r="100" spans="1:15" x14ac:dyDescent="0.3">
      <c r="A100" s="136" t="s">
        <v>130</v>
      </c>
      <c r="B100" s="137" t="s">
        <v>130</v>
      </c>
      <c r="C100" s="51">
        <v>0</v>
      </c>
      <c r="D100" s="52">
        <f ca="1">((100/(H89))*C100)/100</f>
        <v>0</v>
      </c>
      <c r="E100" s="132"/>
      <c r="F100" s="170"/>
      <c r="G100" s="132"/>
      <c r="H100" s="133"/>
      <c r="I100" s="56"/>
      <c r="J100" s="56" t="s">
        <v>277</v>
      </c>
      <c r="K100" s="56" t="s">
        <v>278</v>
      </c>
      <c r="L100" s="56" t="s">
        <v>279</v>
      </c>
      <c r="M100" s="56" t="s">
        <v>280</v>
      </c>
      <c r="N100" s="56"/>
      <c r="O100" s="56"/>
    </row>
    <row r="101" spans="1:15" ht="16.2" thickBot="1" x14ac:dyDescent="0.35">
      <c r="A101" s="143" t="s">
        <v>131</v>
      </c>
      <c r="B101" s="144"/>
      <c r="C101" s="54">
        <v>0</v>
      </c>
      <c r="D101" s="55">
        <f ca="1">((100/(H89))*C101)/100</f>
        <v>0</v>
      </c>
      <c r="E101" s="134"/>
      <c r="F101" s="171"/>
      <c r="G101" s="134"/>
      <c r="H101" s="135"/>
      <c r="I101" s="59" t="e">
        <f>AVERAGE(J101:M101)</f>
        <v>#DIV/0!</v>
      </c>
      <c r="J101" s="59">
        <f>AVERAGE(J198:J199)</f>
        <v>36052.592723553331</v>
      </c>
      <c r="K101" s="56">
        <v>40000</v>
      </c>
      <c r="L101" s="56"/>
      <c r="M101" s="59" t="e">
        <f>AVERAGE(L249,L252,L259)</f>
        <v>#DIV/0!</v>
      </c>
      <c r="N101" s="56"/>
      <c r="O101" s="56"/>
    </row>
    <row r="102" spans="1:15" x14ac:dyDescent="0.3">
      <c r="A102" s="139" t="s">
        <v>157</v>
      </c>
      <c r="B102" s="139"/>
      <c r="C102" s="139"/>
      <c r="D102" s="139"/>
      <c r="E102" s="139"/>
      <c r="F102" s="199" t="s">
        <v>161</v>
      </c>
      <c r="G102" s="199"/>
      <c r="H102" s="199"/>
      <c r="I102" s="56"/>
      <c r="J102" s="56"/>
      <c r="K102" s="56"/>
      <c r="L102" s="56"/>
      <c r="M102" s="56"/>
      <c r="N102" s="56"/>
      <c r="O102" s="56"/>
    </row>
    <row r="103" spans="1:15" x14ac:dyDescent="0.3">
      <c r="A103" s="111" t="s">
        <v>159</v>
      </c>
      <c r="B103" s="111"/>
      <c r="C103" s="111"/>
      <c r="D103" s="111"/>
      <c r="E103" s="111"/>
      <c r="F103" s="112">
        <v>36000</v>
      </c>
      <c r="G103" s="112"/>
      <c r="H103" s="112"/>
      <c r="I103" s="56"/>
      <c r="J103" s="56"/>
      <c r="K103" s="56"/>
      <c r="L103" s="56"/>
      <c r="M103" s="56"/>
      <c r="N103" s="56"/>
      <c r="O103" s="56"/>
    </row>
    <row r="104" spans="1:15" s="30" customFormat="1" hidden="1" x14ac:dyDescent="0.25">
      <c r="A104" s="111" t="s">
        <v>158</v>
      </c>
      <c r="B104" s="111"/>
      <c r="C104" s="111"/>
      <c r="D104" s="111"/>
      <c r="E104" s="111"/>
      <c r="F104" s="112"/>
      <c r="G104" s="112"/>
      <c r="H104" s="112"/>
      <c r="I104" s="57"/>
      <c r="J104" s="57"/>
      <c r="K104" s="57"/>
      <c r="L104" s="57"/>
      <c r="M104" s="57"/>
      <c r="N104" s="57"/>
      <c r="O104" s="57"/>
    </row>
    <row r="105" spans="1:15" s="30" customFormat="1" hidden="1" x14ac:dyDescent="0.25">
      <c r="A105" s="111" t="s">
        <v>160</v>
      </c>
      <c r="B105" s="111"/>
      <c r="C105" s="111"/>
      <c r="D105" s="111"/>
      <c r="E105" s="111"/>
      <c r="F105" s="112"/>
      <c r="G105" s="112"/>
      <c r="H105" s="112"/>
      <c r="I105" s="57"/>
      <c r="J105" s="57"/>
      <c r="K105" s="57"/>
      <c r="L105" s="57"/>
      <c r="M105" s="57"/>
      <c r="N105" s="57"/>
      <c r="O105" s="57"/>
    </row>
    <row r="106" spans="1:15" s="30" customFormat="1" hidden="1" x14ac:dyDescent="0.25">
      <c r="A106" s="111" t="s">
        <v>174</v>
      </c>
      <c r="B106" s="111"/>
      <c r="C106" s="111"/>
      <c r="D106" s="111"/>
      <c r="E106" s="111"/>
      <c r="F106" s="112"/>
      <c r="G106" s="112"/>
      <c r="H106" s="112"/>
      <c r="I106" s="57"/>
      <c r="J106" s="57"/>
      <c r="K106" s="57"/>
      <c r="L106" s="57"/>
      <c r="M106" s="57"/>
      <c r="N106" s="57"/>
      <c r="O106" s="57"/>
    </row>
    <row r="107" spans="1:15" s="30" customFormat="1" hidden="1" x14ac:dyDescent="0.25">
      <c r="A107" s="111" t="s">
        <v>91</v>
      </c>
      <c r="B107" s="111"/>
      <c r="C107" s="111"/>
      <c r="D107" s="111"/>
      <c r="E107" s="111"/>
      <c r="F107" s="112"/>
      <c r="G107" s="112"/>
      <c r="H107" s="112"/>
      <c r="I107" s="57"/>
      <c r="J107" s="57"/>
      <c r="K107" s="57"/>
      <c r="L107" s="57"/>
      <c r="M107" s="57"/>
      <c r="N107" s="57"/>
      <c r="O107" s="57"/>
    </row>
    <row r="108" spans="1:15" s="30" customFormat="1" x14ac:dyDescent="0.25">
      <c r="A108" s="111" t="s">
        <v>276</v>
      </c>
      <c r="B108" s="111"/>
      <c r="C108" s="111"/>
      <c r="D108" s="111"/>
      <c r="E108" s="111"/>
      <c r="F108" s="112">
        <v>600</v>
      </c>
      <c r="G108" s="112"/>
      <c r="H108" s="112"/>
      <c r="I108" s="57"/>
      <c r="J108" s="57"/>
      <c r="K108" s="57"/>
      <c r="L108" s="57"/>
      <c r="M108" s="57"/>
      <c r="N108" s="57"/>
      <c r="O108" s="57"/>
    </row>
    <row r="109" spans="1:15" s="30" customFormat="1" hidden="1" x14ac:dyDescent="0.25">
      <c r="A109" s="111" t="s">
        <v>92</v>
      </c>
      <c r="B109" s="111"/>
      <c r="C109" s="111"/>
      <c r="D109" s="111"/>
      <c r="E109" s="111"/>
      <c r="F109" s="112"/>
      <c r="G109" s="112"/>
      <c r="H109" s="112"/>
      <c r="I109" s="57"/>
      <c r="J109" s="57"/>
      <c r="K109" s="57"/>
      <c r="L109" s="57"/>
      <c r="M109" s="57"/>
      <c r="N109" s="57"/>
      <c r="O109" s="57"/>
    </row>
    <row r="110" spans="1:15" s="30" customFormat="1" hidden="1" x14ac:dyDescent="0.25">
      <c r="A110" s="111" t="s">
        <v>162</v>
      </c>
      <c r="B110" s="111"/>
      <c r="C110" s="111"/>
      <c r="D110" s="111"/>
      <c r="E110" s="111"/>
      <c r="F110" s="112"/>
      <c r="G110" s="112"/>
      <c r="H110" s="112"/>
      <c r="I110" s="57"/>
      <c r="J110" s="57"/>
      <c r="K110" s="57"/>
      <c r="L110" s="57"/>
      <c r="M110" s="57"/>
      <c r="N110" s="57"/>
      <c r="O110" s="57"/>
    </row>
    <row r="111" spans="1:15" s="30" customFormat="1" x14ac:dyDescent="0.25">
      <c r="A111" s="111" t="s">
        <v>275</v>
      </c>
      <c r="B111" s="111"/>
      <c r="C111" s="111"/>
      <c r="D111" s="111"/>
      <c r="E111" s="111"/>
      <c r="F111" s="112">
        <v>25000</v>
      </c>
      <c r="G111" s="112"/>
      <c r="H111" s="112"/>
      <c r="I111" s="57"/>
      <c r="J111" s="57"/>
      <c r="K111" s="57"/>
      <c r="L111" s="57"/>
      <c r="M111" s="57"/>
      <c r="N111" s="57"/>
      <c r="O111" s="57"/>
    </row>
    <row r="112" spans="1:15" s="30" customFormat="1" x14ac:dyDescent="0.25">
      <c r="A112" s="111" t="s">
        <v>274</v>
      </c>
      <c r="B112" s="111"/>
      <c r="C112" s="111"/>
      <c r="D112" s="111"/>
      <c r="E112" s="111"/>
      <c r="F112" s="112">
        <v>25000</v>
      </c>
      <c r="G112" s="112"/>
      <c r="H112" s="112"/>
      <c r="I112" s="57"/>
      <c r="J112" s="57"/>
      <c r="K112" s="57"/>
      <c r="L112" s="57"/>
      <c r="M112" s="57"/>
      <c r="N112" s="57"/>
      <c r="O112" s="57"/>
    </row>
    <row r="113" spans="1:15" s="30" customFormat="1" x14ac:dyDescent="0.25">
      <c r="A113" s="111" t="s">
        <v>93</v>
      </c>
      <c r="B113" s="111"/>
      <c r="C113" s="111"/>
      <c r="D113" s="111"/>
      <c r="E113" s="111"/>
      <c r="F113" s="112">
        <v>37500</v>
      </c>
      <c r="G113" s="112"/>
      <c r="H113" s="112"/>
      <c r="I113" s="57"/>
      <c r="J113" s="57"/>
      <c r="K113" s="57"/>
      <c r="L113" s="57"/>
      <c r="M113" s="57"/>
      <c r="N113" s="57"/>
      <c r="O113" s="57"/>
    </row>
    <row r="114" spans="1:15" s="30" customFormat="1" x14ac:dyDescent="0.25">
      <c r="A114" s="111" t="s">
        <v>94</v>
      </c>
      <c r="B114" s="111"/>
      <c r="C114" s="111"/>
      <c r="D114" s="111"/>
      <c r="E114" s="111"/>
      <c r="F114" s="112">
        <v>25000</v>
      </c>
      <c r="G114" s="112"/>
      <c r="H114" s="112"/>
      <c r="I114" s="57"/>
      <c r="J114" s="57"/>
      <c r="K114" s="57"/>
      <c r="L114" s="57"/>
      <c r="M114" s="57"/>
      <c r="N114" s="57"/>
      <c r="O114" s="57"/>
    </row>
    <row r="115" spans="1:15" x14ac:dyDescent="0.3">
      <c r="A115" s="111" t="s">
        <v>293</v>
      </c>
      <c r="B115" s="111"/>
      <c r="C115" s="111"/>
      <c r="D115" s="111"/>
      <c r="E115" s="111"/>
      <c r="F115" s="112">
        <v>1000000</v>
      </c>
      <c r="G115" s="112"/>
      <c r="H115" s="112"/>
      <c r="I115" s="56"/>
      <c r="J115" s="56"/>
      <c r="K115" s="56"/>
      <c r="L115" s="56"/>
      <c r="M115" s="56"/>
      <c r="N115" s="56"/>
      <c r="O115" s="56"/>
    </row>
    <row r="116" spans="1:15" s="31" customFormat="1" x14ac:dyDescent="0.3">
      <c r="A116" s="111" t="s">
        <v>294</v>
      </c>
      <c r="B116" s="111"/>
      <c r="C116" s="111"/>
      <c r="D116" s="111"/>
      <c r="E116" s="111"/>
      <c r="F116" s="112">
        <v>1500000</v>
      </c>
      <c r="G116" s="112"/>
      <c r="H116" s="112"/>
      <c r="I116" s="58"/>
      <c r="J116" s="58"/>
      <c r="K116" s="58"/>
      <c r="L116" s="58"/>
      <c r="M116" s="58"/>
      <c r="N116" s="58"/>
      <c r="O116" s="58"/>
    </row>
    <row r="117" spans="1:15" s="32" customFormat="1" ht="15.75" customHeight="1" x14ac:dyDescent="0.3">
      <c r="A117" s="111" t="s">
        <v>48</v>
      </c>
      <c r="B117" s="111"/>
      <c r="C117" s="111"/>
      <c r="D117" s="111"/>
      <c r="E117" s="111"/>
      <c r="F117" s="112">
        <v>1200000</v>
      </c>
      <c r="G117" s="112"/>
      <c r="H117" s="112"/>
    </row>
    <row r="118" spans="1:15" s="32" customFormat="1" ht="15.75" customHeight="1" x14ac:dyDescent="0.3">
      <c r="A118" s="165" t="s">
        <v>49</v>
      </c>
      <c r="B118" s="165"/>
      <c r="C118" s="165"/>
      <c r="D118" s="165"/>
      <c r="E118" s="165"/>
      <c r="F118" s="112">
        <f>F103*0.8</f>
        <v>28800</v>
      </c>
      <c r="G118" s="112"/>
      <c r="H118" s="112"/>
    </row>
    <row r="119" spans="1:15" s="32" customFormat="1" hidden="1" x14ac:dyDescent="0.3">
      <c r="A119" s="145" t="s">
        <v>72</v>
      </c>
      <c r="B119" s="145"/>
      <c r="C119" s="145"/>
      <c r="D119" s="145"/>
      <c r="E119" s="145"/>
      <c r="F119" s="145"/>
      <c r="G119" s="145"/>
      <c r="H119" s="145"/>
    </row>
    <row r="120" spans="1:15" s="32" customFormat="1" hidden="1" x14ac:dyDescent="0.3">
      <c r="A120" s="152" t="s">
        <v>50</v>
      </c>
      <c r="B120" s="152"/>
      <c r="C120" s="156" t="s">
        <v>75</v>
      </c>
      <c r="D120" s="156"/>
      <c r="E120" s="147" t="s">
        <v>51</v>
      </c>
      <c r="F120" s="147"/>
      <c r="G120" s="152" t="s">
        <v>52</v>
      </c>
      <c r="H120" s="152"/>
    </row>
    <row r="121" spans="1:15" s="32" customFormat="1" hidden="1" x14ac:dyDescent="0.3">
      <c r="A121" s="157"/>
      <c r="B121" s="157"/>
      <c r="C121" s="153"/>
      <c r="D121" s="153"/>
      <c r="E121" s="154"/>
      <c r="F121" s="154"/>
      <c r="G121" s="155"/>
      <c r="H121" s="155"/>
    </row>
    <row r="122" spans="1:15" s="32" customFormat="1" hidden="1" x14ac:dyDescent="0.3">
      <c r="A122" s="157"/>
      <c r="B122" s="157"/>
      <c r="C122" s="153"/>
      <c r="D122" s="153"/>
      <c r="E122" s="154"/>
      <c r="F122" s="154"/>
      <c r="G122" s="155"/>
      <c r="H122" s="155"/>
    </row>
    <row r="123" spans="1:15" s="32" customFormat="1" ht="15.75" hidden="1" customHeight="1" x14ac:dyDescent="0.3">
      <c r="A123" s="145" t="s">
        <v>150</v>
      </c>
      <c r="B123" s="145"/>
      <c r="C123" s="156"/>
      <c r="D123" s="156"/>
      <c r="E123" s="147"/>
      <c r="F123" s="147"/>
      <c r="G123" s="152"/>
      <c r="H123" s="152"/>
    </row>
    <row r="124" spans="1:15" s="32" customFormat="1" x14ac:dyDescent="0.3">
      <c r="A124" s="145" t="s">
        <v>67</v>
      </c>
      <c r="B124" s="145"/>
      <c r="C124" s="145"/>
      <c r="D124" s="145"/>
      <c r="E124" s="145"/>
      <c r="F124" s="145"/>
      <c r="G124" s="145"/>
      <c r="H124" s="145"/>
    </row>
    <row r="125" spans="1:15" s="32" customFormat="1" x14ac:dyDescent="0.3">
      <c r="A125" s="152" t="s">
        <v>50</v>
      </c>
      <c r="B125" s="152"/>
      <c r="C125" s="156" t="s">
        <v>75</v>
      </c>
      <c r="D125" s="156"/>
      <c r="E125" s="147" t="s">
        <v>51</v>
      </c>
      <c r="F125" s="147"/>
      <c r="G125" s="152" t="s">
        <v>52</v>
      </c>
      <c r="H125" s="152"/>
    </row>
    <row r="126" spans="1:15" s="32" customFormat="1" x14ac:dyDescent="0.3">
      <c r="A126" s="157" t="s">
        <v>236</v>
      </c>
      <c r="B126" s="157"/>
      <c r="C126" s="159">
        <f>COUNT(D149:D151)+COUNT(D153:D156)+COUNT(D158:D161)*3+COUNT(D163:D166)+COUNT(D168:D171)*4+COUNT(D174:D176)+COUNT(D193:D196)*2+COUNT(D198:D201)+COUNT(D204:D206)+COUNT(D208:D211)+COUNT(D213:D216)+COUNT(D218:D221)*2+COUNT(D223:D226)+COUNT(D228:D231)*2+COUNT(D234:D236)+COUNT(D238:D241)+COUNT(D243:D246)*4+COUNT(D250:D252)+COUNT(D254:D257)+COUNT(D259:D262)*8+COUNT(D264:D267)*2+COUNT(D270:D272)+COUNT(D274:D277)+COUNT(D284:D287)+COUNT(D280:D282)+COUNT(D289:D292)+COUNT(D294:D297)+COUNT(D299:D302)*2+COUNT(D304:D307)+COUNT(D310:D312)+COUNT(D314:D317)*8+COUNT(D320:D322)</f>
        <v>227</v>
      </c>
      <c r="D126" s="159"/>
      <c r="E126" s="159">
        <f>SUM(D149:D151)+SUM(D153:D156)+SUM(D158:D161)*3+SUM(D163:D166)+SUM(D168:D171)*4+SUM(D174:D176)+SUM(D193:D196)*2+SUM(D198:D201)+SUM(D204:D206)+SUM(D208:D211)+SUM(D213:D216)+SUM(D218:D221)*2+SUM(D223:D226)+SUM(D228:D231)*2+SUM(D234:D236)+SUM(D238:D241)+SUM(D243:D246)*4+SUM(D250:D252)+SUM(D254:D257)+SUM(D259:D262)*8+SUM(D264:D267)*2+SUM(D270:D272)+SUM(D274:D277)+SUM(D284:D287)+SUM(D280:D282)+SUM(D289:D292)+SUM(D294:D297)+SUM(D299:D302)*2+SUM(D304:D307)+SUM(D310:D312)+SUM(D314:D317)*8+SUM(D320:D322)</f>
        <v>493054.41815603996</v>
      </c>
      <c r="F126" s="159"/>
      <c r="G126" s="159">
        <f>SUM(F149:F151)+SUM(F153:F156)+SUM(F158:F161)*3+SUM(F163:F166)+SUM(F168:F171)*4+SUM(F174:F176)+SUM(F193:F196)*2+SUM(F198:F201)+SUM(F204:F206)+SUM(F208:F211)+SUM(F213:F216)+SUM(F218:F221)*2+SUM(F223:F226)+SUM(F228:F231)*2+SUM(F234:F236)+SUM(F238:F241)+SUM(F243:F246)*4+SUM(F250:F252)+SUM(F254:F257)+SUM(F259:F262)*8+SUM(F264:F267)*2+SUM(F270:F272)+SUM(F274:F277)+SUM(F284:F287)+SUM(F280:F282)+SUM(F289:F292)+SUM(F294:F297)+SUM(F299:F302)*2+SUM(F304:F307)+SUM(F310:F312)+SUM(F314:F317)*8+SUM(F320:F322)</f>
        <v>739581.62723405997</v>
      </c>
      <c r="H126" s="159"/>
    </row>
    <row r="127" spans="1:15" s="32" customFormat="1" x14ac:dyDescent="0.3">
      <c r="A127" s="157" t="s">
        <v>240</v>
      </c>
      <c r="B127" s="157"/>
      <c r="C127" s="158">
        <f>COUNT(D330:D331,D333)+COUNT(D335:D338)*8+COUNT(D340:D343)*2+COUNT(D345:D346,D348)+COUNT(D350:D353)+COUNT(D355:D358)+COUNT(D360:D361,D363)+COUNT(D365:D368)+COUNT(D370:D373)+COUNT(D375:D378)*3+COUNT(D380:D383)+COUNT(D385:D386,D388)+COUNT(D390:D393)*2+COUNT(D395:D398)+COUNT(D400:D403)*4+COUNT(D406:D407,D409)+COUNT(D411:D414)+COUNT(D416:D419)+COUNT(D421:D424)*2+COUNT(D426:D429)+COUNT(D431:D432,D434)+COUNT(D436:D439)+COUNT(D441:D444)*3+COUNT(D446:D449)</f>
        <v>158</v>
      </c>
      <c r="D127" s="158"/>
      <c r="E127" s="159">
        <f>SUM(D330:D331,D333)+SUM(D335:D338)*8+SUM(D340:D343)*2+SUM(D345:D346,D348)+SUM(D350:D353)+SUM(D355:D358)+SUM(D360:D361,D363)+SUM(D365:D368)+SUM(D370:D373)+SUM(D375:D378)*3+SUM(D380:D383)+SUM(D385:D386,D388)+SUM(D390:D393)*2+SUM(D395:D398)+SUM(D400:D403)*4+SUM(D406:D407,D409)+SUM(D411:D414)+SUM(D416:D419)+SUM(D421:D424)*2+SUM(D426:D429)+SUM(D431:D432,D434)+SUM(D436:D439)+SUM(D441:D444)*3+SUM(D446:D449)</f>
        <v>289273.17729959992</v>
      </c>
      <c r="F127" s="159"/>
      <c r="G127" s="159">
        <f>SUM(F330:F331,F333)+SUM(F335:F338)*8+SUM(F340:F343)*2+SUM(F345:F346,F348)+SUM(F350:F353)+SUM(F355:F358)+SUM(F360:F361,F363)+SUM(F365:F368)+SUM(F370:F373)+SUM(F375:F378)*3+SUM(F380:F383)+SUM(F385:F386,F388)+SUM(F390:F393)*2+SUM(F395:F398)+SUM(F400:F403)*4+SUM(F406:F407,F409)+SUM(F411:F414)+SUM(F416:F419)+SUM(F421:F424)*2+SUM(F426:F429)+SUM(F431:F432,F434)+SUM(F436:F439)+SUM(F441:F444)*3+SUM(F446:F449)</f>
        <v>433909.76594939991</v>
      </c>
      <c r="H127" s="159"/>
    </row>
    <row r="128" spans="1:15" s="31" customFormat="1" x14ac:dyDescent="0.3">
      <c r="A128" s="145" t="s">
        <v>150</v>
      </c>
      <c r="B128" s="145"/>
      <c r="C128" s="202">
        <f>SUM(C126:C127)</f>
        <v>385</v>
      </c>
      <c r="D128" s="156"/>
      <c r="E128" s="146">
        <f>SUM(E126:F127)</f>
        <v>782327.59545563988</v>
      </c>
      <c r="F128" s="147"/>
      <c r="G128" s="152">
        <f>SUM(G126:G127)</f>
        <v>1173491.39318346</v>
      </c>
      <c r="H128" s="152"/>
    </row>
    <row r="129" spans="1:14" x14ac:dyDescent="0.3">
      <c r="A129" s="194" t="s">
        <v>53</v>
      </c>
      <c r="B129" s="194"/>
      <c r="C129" s="194"/>
      <c r="D129" s="194"/>
      <c r="E129" s="194"/>
      <c r="F129" s="194"/>
      <c r="G129" s="194"/>
      <c r="H129" s="194"/>
    </row>
    <row r="130" spans="1:14" s="34" customFormat="1" x14ac:dyDescent="0.3">
      <c r="A130" s="194" t="s">
        <v>414</v>
      </c>
      <c r="B130" s="194"/>
      <c r="C130" s="194"/>
      <c r="D130" s="194"/>
      <c r="E130" s="194"/>
      <c r="F130" s="194"/>
      <c r="G130" s="194"/>
      <c r="H130" s="194"/>
    </row>
    <row r="131" spans="1:14" s="34" customFormat="1" ht="46.8" hidden="1" x14ac:dyDescent="0.3">
      <c r="A131" s="138" t="s">
        <v>116</v>
      </c>
      <c r="B131" s="138" t="s">
        <v>176</v>
      </c>
      <c r="C131" s="138" t="s">
        <v>54</v>
      </c>
      <c r="D131" s="138" t="s">
        <v>55</v>
      </c>
      <c r="E131" s="168" t="s">
        <v>156</v>
      </c>
      <c r="F131" s="60" t="s">
        <v>148</v>
      </c>
      <c r="G131" s="138" t="s">
        <v>57</v>
      </c>
      <c r="H131" s="138"/>
      <c r="J131" s="33"/>
    </row>
    <row r="132" spans="1:14" s="34" customFormat="1" hidden="1" x14ac:dyDescent="0.3">
      <c r="A132" s="138"/>
      <c r="B132" s="138"/>
      <c r="C132" s="138"/>
      <c r="D132" s="138"/>
      <c r="E132" s="168"/>
      <c r="F132" s="61">
        <v>0.45</v>
      </c>
      <c r="G132" s="138"/>
      <c r="H132" s="138"/>
      <c r="I132" s="33"/>
      <c r="L132" s="91"/>
      <c r="M132" s="91"/>
      <c r="N132" s="33"/>
    </row>
    <row r="133" spans="1:14" s="34" customFormat="1" hidden="1" x14ac:dyDescent="0.3">
      <c r="A133" s="120" t="s">
        <v>114</v>
      </c>
      <c r="B133" s="120"/>
      <c r="C133" s="120"/>
      <c r="D133" s="120"/>
      <c r="E133" s="120"/>
      <c r="F133" s="120"/>
      <c r="G133" s="120"/>
      <c r="H133" s="120"/>
      <c r="I133" s="33"/>
      <c r="L133" s="91"/>
      <c r="M133" s="91"/>
      <c r="N133" s="33"/>
    </row>
    <row r="134" spans="1:14" s="34" customFormat="1" hidden="1" x14ac:dyDescent="0.3">
      <c r="A134" s="121">
        <v>1</v>
      </c>
      <c r="B134" s="121"/>
      <c r="C134" s="39"/>
      <c r="D134" s="39"/>
      <c r="E134" s="39">
        <v>0</v>
      </c>
      <c r="F134" s="39">
        <f>(D134+E134)*(($F$132)+1)</f>
        <v>0</v>
      </c>
      <c r="G134" s="121" t="str">
        <f>A133</f>
        <v>Ground Floor</v>
      </c>
      <c r="H134" s="121"/>
      <c r="I134" s="33"/>
      <c r="L134" s="91"/>
      <c r="M134" s="91"/>
      <c r="N134" s="33"/>
    </row>
    <row r="135" spans="1:14" s="34" customFormat="1" hidden="1" x14ac:dyDescent="0.3">
      <c r="A135" s="121">
        <f t="shared" ref="A135:A137" si="0">A134+1</f>
        <v>2</v>
      </c>
      <c r="B135" s="121"/>
      <c r="C135" s="39"/>
      <c r="D135" s="39"/>
      <c r="E135" s="39">
        <v>0</v>
      </c>
      <c r="F135" s="39">
        <f t="shared" ref="F135:F137" si="1">(D135+E135)*(($F$132)+1)</f>
        <v>0</v>
      </c>
      <c r="G135" s="121" t="str">
        <f t="shared" ref="G135:G137" si="2">G134</f>
        <v>Ground Floor</v>
      </c>
      <c r="H135" s="121"/>
      <c r="I135" s="33"/>
      <c r="L135" s="91"/>
      <c r="M135" s="91"/>
      <c r="N135" s="33"/>
    </row>
    <row r="136" spans="1:14" s="34" customFormat="1" hidden="1" x14ac:dyDescent="0.3">
      <c r="A136" s="121">
        <f t="shared" si="0"/>
        <v>3</v>
      </c>
      <c r="B136" s="121"/>
      <c r="C136" s="39"/>
      <c r="D136" s="39"/>
      <c r="E136" s="39">
        <v>0</v>
      </c>
      <c r="F136" s="39">
        <f t="shared" si="1"/>
        <v>0</v>
      </c>
      <c r="G136" s="121" t="str">
        <f t="shared" si="2"/>
        <v>Ground Floor</v>
      </c>
      <c r="H136" s="121"/>
      <c r="I136" s="33"/>
      <c r="N136" s="33"/>
    </row>
    <row r="137" spans="1:14" hidden="1" x14ac:dyDescent="0.3">
      <c r="A137" s="121">
        <f t="shared" si="0"/>
        <v>4</v>
      </c>
      <c r="B137" s="121"/>
      <c r="C137" s="39"/>
      <c r="D137" s="39"/>
      <c r="E137" s="39">
        <v>0</v>
      </c>
      <c r="F137" s="39">
        <f t="shared" si="1"/>
        <v>0</v>
      </c>
      <c r="G137" s="121" t="str">
        <f t="shared" si="2"/>
        <v>Ground Floor</v>
      </c>
      <c r="H137" s="121"/>
      <c r="I137" s="33"/>
    </row>
    <row r="138" spans="1:14" s="34" customFormat="1" hidden="1" x14ac:dyDescent="0.3">
      <c r="A138" s="121"/>
      <c r="B138" s="121"/>
      <c r="C138" s="121"/>
      <c r="D138" s="121"/>
      <c r="E138" s="121"/>
      <c r="F138" s="121"/>
      <c r="G138" s="121"/>
      <c r="H138" s="121"/>
      <c r="I138" s="33"/>
      <c r="J138" s="50">
        <v>10.763999999999999</v>
      </c>
    </row>
    <row r="139" spans="1:14" s="34" customFormat="1" ht="46.8" x14ac:dyDescent="0.3">
      <c r="A139" s="138" t="s">
        <v>117</v>
      </c>
      <c r="B139" s="138" t="s">
        <v>177</v>
      </c>
      <c r="C139" s="138" t="s">
        <v>54</v>
      </c>
      <c r="D139" s="138" t="s">
        <v>55</v>
      </c>
      <c r="E139" s="168" t="s">
        <v>56</v>
      </c>
      <c r="F139" s="60" t="s">
        <v>148</v>
      </c>
      <c r="G139" s="138" t="s">
        <v>57</v>
      </c>
      <c r="H139" s="138"/>
      <c r="J139" s="33"/>
    </row>
    <row r="140" spans="1:14" s="34" customFormat="1" x14ac:dyDescent="0.3">
      <c r="A140" s="138"/>
      <c r="B140" s="138"/>
      <c r="C140" s="138"/>
      <c r="D140" s="138"/>
      <c r="E140" s="168"/>
      <c r="F140" s="61">
        <v>0.5</v>
      </c>
      <c r="G140" s="138"/>
      <c r="H140" s="138"/>
      <c r="J140" s="33"/>
    </row>
    <row r="141" spans="1:14" s="34" customFormat="1" x14ac:dyDescent="0.3">
      <c r="A141" s="140" t="s">
        <v>236</v>
      </c>
      <c r="B141" s="141"/>
      <c r="C141" s="141"/>
      <c r="D141" s="141"/>
      <c r="E141" s="141"/>
      <c r="F141" s="141"/>
      <c r="G141" s="141"/>
      <c r="H141" s="142"/>
      <c r="J141" s="33"/>
    </row>
    <row r="142" spans="1:14" s="34" customFormat="1" x14ac:dyDescent="0.3">
      <c r="A142" s="94" t="s">
        <v>306</v>
      </c>
      <c r="B142" s="95"/>
      <c r="C142" s="95"/>
      <c r="D142" s="95"/>
      <c r="E142" s="95"/>
      <c r="F142" s="95"/>
      <c r="G142" s="95"/>
      <c r="H142" s="96"/>
      <c r="J142" s="33"/>
      <c r="K142" s="34">
        <f>58+8</f>
        <v>66</v>
      </c>
    </row>
    <row r="143" spans="1:14" s="34" customFormat="1" x14ac:dyDescent="0.3">
      <c r="A143" s="94" t="s">
        <v>307</v>
      </c>
      <c r="B143" s="95"/>
      <c r="C143" s="95"/>
      <c r="D143" s="95"/>
      <c r="E143" s="95"/>
      <c r="F143" s="95"/>
      <c r="G143" s="95"/>
      <c r="H143" s="96"/>
      <c r="J143" s="33"/>
    </row>
    <row r="144" spans="1:14" s="34" customFormat="1" x14ac:dyDescent="0.3">
      <c r="A144" s="94" t="s">
        <v>238</v>
      </c>
      <c r="B144" s="95"/>
      <c r="C144" s="95"/>
      <c r="D144" s="95"/>
      <c r="E144" s="95"/>
      <c r="F144" s="95"/>
      <c r="G144" s="95"/>
      <c r="H144" s="96"/>
      <c r="J144" s="33"/>
    </row>
    <row r="145" spans="1:14" s="34" customFormat="1" x14ac:dyDescent="0.3">
      <c r="A145" s="94" t="s">
        <v>308</v>
      </c>
      <c r="B145" s="95"/>
      <c r="C145" s="95"/>
      <c r="D145" s="95"/>
      <c r="E145" s="95"/>
      <c r="F145" s="95"/>
      <c r="G145" s="95"/>
      <c r="H145" s="96"/>
      <c r="I145" s="34">
        <v>1</v>
      </c>
      <c r="J145" s="33"/>
    </row>
    <row r="146" spans="1:14" s="34" customFormat="1" ht="15.75" customHeight="1" x14ac:dyDescent="0.3">
      <c r="A146" s="94" t="s">
        <v>243</v>
      </c>
      <c r="B146" s="95"/>
      <c r="C146" s="95"/>
      <c r="D146" s="95"/>
      <c r="E146" s="95"/>
      <c r="F146" s="95"/>
      <c r="G146" s="95"/>
      <c r="H146" s="96"/>
      <c r="I146" s="33"/>
      <c r="L146" s="91"/>
      <c r="M146" s="91"/>
      <c r="N146" s="33"/>
    </row>
    <row r="147" spans="1:14" s="34" customFormat="1" ht="15.75" customHeight="1" x14ac:dyDescent="0.3">
      <c r="A147" s="94" t="s">
        <v>244</v>
      </c>
      <c r="B147" s="95"/>
      <c r="C147" s="95"/>
      <c r="D147" s="95"/>
      <c r="E147" s="95"/>
      <c r="F147" s="95"/>
      <c r="G147" s="95"/>
      <c r="H147" s="96"/>
      <c r="I147" s="33">
        <f>2.17*3.2+2.9*1.95+5.3*5.05+5.75*2.91+2.3*0.54+4.3*1.55+3.65*0.71+2.05*0.6+1.5*1.98+2.05*1.6+0.6*0.85+1*1.37+3.5*5.19+3.42*1.65+3.4*3.95+1.11*0.52+3.37*4.88+2.18*1.35+3.62*3.28+2.4*1.1+1.53*2.45+1.53*1.67+1.62*1.69+1.68*2.45+1.57*1.05+1.41*1.05+2.44*1.68+1.76*1.26+3.65*1.85+1.38*1.85</f>
        <v>179.58110000000005</v>
      </c>
      <c r="L147" s="91"/>
      <c r="M147" s="91"/>
      <c r="N147" s="33"/>
    </row>
    <row r="148" spans="1:14" s="34" customFormat="1" ht="15.75" customHeight="1" x14ac:dyDescent="0.3">
      <c r="A148" s="92">
        <v>1</v>
      </c>
      <c r="B148" s="93"/>
      <c r="C148" s="92" t="s">
        <v>245</v>
      </c>
      <c r="D148" s="113"/>
      <c r="E148" s="113"/>
      <c r="F148" s="93"/>
      <c r="G148" s="114" t="str">
        <f>A147</f>
        <v>9th Floor for Residential (Part Refuge Area)</v>
      </c>
      <c r="H148" s="115"/>
      <c r="I148" s="33"/>
      <c r="L148" s="91"/>
      <c r="M148" s="91"/>
      <c r="N148" s="33"/>
    </row>
    <row r="149" spans="1:14" s="34" customFormat="1" ht="15.75" customHeight="1" x14ac:dyDescent="0.3">
      <c r="A149" s="92">
        <f t="shared" ref="A149:A151" si="3">A148+1</f>
        <v>2</v>
      </c>
      <c r="B149" s="93"/>
      <c r="C149" s="39" t="s">
        <v>246</v>
      </c>
      <c r="D149" s="50">
        <f>('Tower A'!B30)*10.764</f>
        <v>2093.7826026000007</v>
      </c>
      <c r="E149" s="39">
        <v>0</v>
      </c>
      <c r="F149" s="39">
        <f>D149*(($F$140)+1)+(IF(E149&lt;101,E149,IF(E149&lt;201,E149/2,IF(E149&lt;=301,E149/3,E149/4))))</f>
        <v>3140.6739039000013</v>
      </c>
      <c r="G149" s="116"/>
      <c r="H149" s="117"/>
      <c r="I149" s="33"/>
      <c r="L149" s="91"/>
      <c r="M149" s="91"/>
      <c r="N149" s="33"/>
    </row>
    <row r="150" spans="1:14" s="34" customFormat="1" x14ac:dyDescent="0.3">
      <c r="A150" s="92">
        <f t="shared" si="3"/>
        <v>3</v>
      </c>
      <c r="B150" s="93"/>
      <c r="C150" s="39" t="s">
        <v>246</v>
      </c>
      <c r="D150" s="50">
        <f>('Tower A'!G30)*10.764</f>
        <v>2136.6782189999994</v>
      </c>
      <c r="E150" s="39">
        <v>0</v>
      </c>
      <c r="F150" s="39">
        <f>D150*(($F$140)+1)+(IF(E150&lt;101,E150,IF(E150&lt;201,E150/2,IF(E150&lt;=301,E150/3,E150/4))))</f>
        <v>3205.0173284999992</v>
      </c>
      <c r="G150" s="116"/>
      <c r="H150" s="117"/>
      <c r="I150" s="34">
        <v>1</v>
      </c>
      <c r="J150" s="33"/>
    </row>
    <row r="151" spans="1:14" s="34" customFormat="1" ht="15.75" customHeight="1" x14ac:dyDescent="0.3">
      <c r="A151" s="92">
        <f t="shared" si="3"/>
        <v>4</v>
      </c>
      <c r="B151" s="93"/>
      <c r="C151" s="39" t="s">
        <v>246</v>
      </c>
      <c r="D151" s="50">
        <f>('Tower A'!K30)*10.764</f>
        <v>1983.3809907600005</v>
      </c>
      <c r="E151" s="39">
        <v>0</v>
      </c>
      <c r="F151" s="39">
        <f>D151*(($F$140)+1)+(IF(E151&lt;101,E151,IF(E151&lt;201,E151/2,IF(E151&lt;=301,E151/3,E151/4))))</f>
        <v>2975.0714861400006</v>
      </c>
      <c r="G151" s="118"/>
      <c r="H151" s="119"/>
      <c r="I151" s="33"/>
      <c r="L151" s="91"/>
      <c r="M151" s="91"/>
      <c r="N151" s="33"/>
    </row>
    <row r="152" spans="1:14" s="34" customFormat="1" ht="15.75" customHeight="1" x14ac:dyDescent="0.3">
      <c r="A152" s="94" t="s">
        <v>337</v>
      </c>
      <c r="B152" s="95"/>
      <c r="C152" s="95"/>
      <c r="D152" s="95"/>
      <c r="E152" s="95"/>
      <c r="F152" s="95"/>
      <c r="G152" s="95"/>
      <c r="H152" s="96"/>
      <c r="I152" s="33"/>
      <c r="L152" s="91"/>
      <c r="M152" s="91"/>
      <c r="N152" s="33"/>
    </row>
    <row r="153" spans="1:14" s="34" customFormat="1" ht="15.75" customHeight="1" x14ac:dyDescent="0.3">
      <c r="A153" s="92">
        <v>1</v>
      </c>
      <c r="B153" s="93"/>
      <c r="C153" s="39" t="s">
        <v>246</v>
      </c>
      <c r="D153" s="50">
        <f>('Tower A'!P30)*10.764</f>
        <v>2153.2327127999997</v>
      </c>
      <c r="E153" s="39">
        <v>0</v>
      </c>
      <c r="F153" s="39">
        <f>D153*(($F$140)+1)+(IF(E153&lt;101,E153,IF(E153&lt;201,E153/2,IF(E153&lt;=301,E153/3,E153/4))))</f>
        <v>3229.8490691999996</v>
      </c>
      <c r="G153" s="114" t="str">
        <f>A152</f>
        <v>10th Floor</v>
      </c>
      <c r="H153" s="115"/>
      <c r="I153" s="33"/>
      <c r="L153" s="91"/>
      <c r="M153" s="91"/>
      <c r="N153" s="33"/>
    </row>
    <row r="154" spans="1:14" s="34" customFormat="1" ht="15.75" customHeight="1" x14ac:dyDescent="0.3">
      <c r="A154" s="92">
        <f t="shared" ref="A154:A156" si="4">A153+1</f>
        <v>2</v>
      </c>
      <c r="B154" s="93"/>
      <c r="C154" s="39" t="s">
        <v>246</v>
      </c>
      <c r="D154" s="50">
        <f>('Tower A'!T30)*10.764</f>
        <v>2093.7826026000007</v>
      </c>
      <c r="E154" s="39">
        <v>0</v>
      </c>
      <c r="F154" s="39">
        <f>D154*(($F$140)+1)+(IF(E154&lt;101,E154,IF(E154&lt;201,E154/2,IF(E154&lt;=301,E154/3,E154/4))))</f>
        <v>3140.6739039000013</v>
      </c>
      <c r="G154" s="116"/>
      <c r="H154" s="117"/>
      <c r="I154" s="33"/>
      <c r="L154" s="91"/>
      <c r="M154" s="91"/>
      <c r="N154" s="33"/>
    </row>
    <row r="155" spans="1:14" s="34" customFormat="1" x14ac:dyDescent="0.3">
      <c r="A155" s="92">
        <f t="shared" si="4"/>
        <v>3</v>
      </c>
      <c r="B155" s="93"/>
      <c r="C155" s="39" t="s">
        <v>246</v>
      </c>
      <c r="D155" s="50">
        <f>('Tower A'!X30)*10.764</f>
        <v>2136.6782189999994</v>
      </c>
      <c r="E155" s="39">
        <v>0</v>
      </c>
      <c r="F155" s="39">
        <f>D155*(($F$140)+1)+(IF(E155&lt;101,E155,IF(E155&lt;201,E155/2,IF(E155&lt;=301,E155/3,E155/4))))</f>
        <v>3205.0173284999992</v>
      </c>
      <c r="G155" s="116"/>
      <c r="H155" s="117"/>
      <c r="I155" s="34">
        <v>3</v>
      </c>
      <c r="J155" s="33"/>
    </row>
    <row r="156" spans="1:14" s="34" customFormat="1" ht="15.75" customHeight="1" x14ac:dyDescent="0.3">
      <c r="A156" s="92">
        <f t="shared" si="4"/>
        <v>4</v>
      </c>
      <c r="B156" s="93"/>
      <c r="C156" s="39" t="s">
        <v>246</v>
      </c>
      <c r="D156" s="50">
        <f>('Tower A'!AB30)*10.764</f>
        <v>1983.3809907600005</v>
      </c>
      <c r="E156" s="39">
        <v>0</v>
      </c>
      <c r="F156" s="39">
        <f>D156*(($F$140)+1)+(IF(E156&lt;101,E156,IF(E156&lt;201,E156/2,IF(E156&lt;=301,E156/3,E156/4))))</f>
        <v>2975.0714861400006</v>
      </c>
      <c r="G156" s="118"/>
      <c r="H156" s="119"/>
      <c r="I156" s="33"/>
      <c r="L156" s="91"/>
      <c r="M156" s="91"/>
      <c r="N156" s="33"/>
    </row>
    <row r="157" spans="1:14" s="34" customFormat="1" ht="15.75" customHeight="1" x14ac:dyDescent="0.3">
      <c r="A157" s="94" t="s">
        <v>338</v>
      </c>
      <c r="B157" s="95"/>
      <c r="C157" s="95"/>
      <c r="D157" s="95"/>
      <c r="E157" s="95"/>
      <c r="F157" s="95"/>
      <c r="G157" s="95"/>
      <c r="H157" s="96"/>
      <c r="I157" s="33"/>
      <c r="L157" s="91"/>
      <c r="M157" s="91"/>
      <c r="N157" s="33"/>
    </row>
    <row r="158" spans="1:14" s="34" customFormat="1" ht="15.75" customHeight="1" x14ac:dyDescent="0.3">
      <c r="A158" s="92">
        <v>1</v>
      </c>
      <c r="B158" s="93"/>
      <c r="C158" s="39" t="s">
        <v>246</v>
      </c>
      <c r="D158" s="50">
        <f>('Tower A'!B58)*10.764</f>
        <v>2153.2327127999997</v>
      </c>
      <c r="E158" s="39">
        <v>0</v>
      </c>
      <c r="F158" s="39">
        <f>D158*(($F$140)+1)+(IF(E158&lt;101,E158,IF(E158&lt;201,E158/2,IF(E158&lt;=301,E158/3,E158/4))))</f>
        <v>3229.8490691999996</v>
      </c>
      <c r="G158" s="114" t="str">
        <f>A157</f>
        <v>11th to 13th Floor</v>
      </c>
      <c r="H158" s="115"/>
      <c r="I158" s="33"/>
      <c r="L158" s="91"/>
      <c r="M158" s="91"/>
      <c r="N158" s="33"/>
    </row>
    <row r="159" spans="1:14" s="34" customFormat="1" ht="15.75" customHeight="1" x14ac:dyDescent="0.3">
      <c r="A159" s="92">
        <f t="shared" ref="A159:A161" si="5">A158+1</f>
        <v>2</v>
      </c>
      <c r="B159" s="93"/>
      <c r="C159" s="39" t="s">
        <v>246</v>
      </c>
      <c r="D159" s="50">
        <f>('Tower A'!F58)*10.764</f>
        <v>2093.7826026000007</v>
      </c>
      <c r="E159" s="39">
        <v>0</v>
      </c>
      <c r="F159" s="39">
        <f>D159*(($F$140)+1)+(IF(E159&lt;101,E159,IF(E159&lt;201,E159/2,IF(E159&lt;=301,E159/3,E159/4))))</f>
        <v>3140.6739039000013</v>
      </c>
      <c r="G159" s="116"/>
      <c r="H159" s="117"/>
      <c r="I159" s="33"/>
      <c r="L159" s="91"/>
      <c r="M159" s="91"/>
      <c r="N159" s="33"/>
    </row>
    <row r="160" spans="1:14" s="34" customFormat="1" x14ac:dyDescent="0.3">
      <c r="A160" s="92">
        <f t="shared" si="5"/>
        <v>3</v>
      </c>
      <c r="B160" s="93"/>
      <c r="C160" s="39" t="s">
        <v>246</v>
      </c>
      <c r="D160" s="50">
        <f>('Tower A'!J58)*10.764</f>
        <v>2136.6782189999994</v>
      </c>
      <c r="E160" s="39">
        <v>0</v>
      </c>
      <c r="F160" s="39">
        <f>D160*(($F$140)+1)+(IF(E160&lt;101,E160,IF(E160&lt;201,E160/2,IF(E160&lt;=301,E160/3,E160/4))))</f>
        <v>3205.0173284999992</v>
      </c>
      <c r="G160" s="116"/>
      <c r="H160" s="117"/>
      <c r="I160" s="34">
        <v>1</v>
      </c>
      <c r="J160" s="33"/>
    </row>
    <row r="161" spans="1:14" s="34" customFormat="1" ht="15.75" customHeight="1" x14ac:dyDescent="0.3">
      <c r="A161" s="92">
        <f t="shared" si="5"/>
        <v>4</v>
      </c>
      <c r="B161" s="93"/>
      <c r="C161" s="39" t="s">
        <v>246</v>
      </c>
      <c r="D161" s="50">
        <f>('Tower A'!N58)*10.764</f>
        <v>1983.3809907600005</v>
      </c>
      <c r="E161" s="39">
        <v>0</v>
      </c>
      <c r="F161" s="39">
        <f>D161*(($F$140)+1)+(IF(E161&lt;101,E161,IF(E161&lt;201,E161/2,IF(E161&lt;=301,E161/3,E161/4))))</f>
        <v>2975.0714861400006</v>
      </c>
      <c r="G161" s="118"/>
      <c r="H161" s="119"/>
      <c r="I161" s="33"/>
      <c r="L161" s="91"/>
      <c r="M161" s="91"/>
      <c r="N161" s="33"/>
    </row>
    <row r="162" spans="1:14" s="34" customFormat="1" ht="15.75" customHeight="1" x14ac:dyDescent="0.3">
      <c r="A162" s="94" t="s">
        <v>247</v>
      </c>
      <c r="B162" s="95"/>
      <c r="C162" s="95"/>
      <c r="D162" s="95"/>
      <c r="E162" s="95"/>
      <c r="F162" s="95"/>
      <c r="G162" s="95"/>
      <c r="H162" s="96"/>
      <c r="I162" s="33"/>
      <c r="L162" s="91"/>
      <c r="M162" s="91"/>
      <c r="N162" s="33"/>
    </row>
    <row r="163" spans="1:14" s="34" customFormat="1" ht="15.75" customHeight="1" x14ac:dyDescent="0.3">
      <c r="A163" s="92">
        <v>1</v>
      </c>
      <c r="B163" s="93"/>
      <c r="C163" s="39" t="s">
        <v>246</v>
      </c>
      <c r="D163" s="50">
        <f>('Tower A'!S58)*10.764</f>
        <v>2153.2327127999997</v>
      </c>
      <c r="E163" s="39">
        <v>0</v>
      </c>
      <c r="F163" s="39">
        <f>D163*(($F$140)+1)+(IF(E163&lt;101,E163,IF(E163&lt;201,E163/2,IF(E163&lt;=301,E163/3,E163/4))))</f>
        <v>3229.8490691999996</v>
      </c>
      <c r="G163" s="114" t="str">
        <f>A162</f>
        <v>14th Floor</v>
      </c>
      <c r="H163" s="115"/>
      <c r="I163" s="33"/>
      <c r="L163" s="91"/>
      <c r="M163" s="91"/>
      <c r="N163" s="33"/>
    </row>
    <row r="164" spans="1:14" s="34" customFormat="1" ht="15.75" customHeight="1" x14ac:dyDescent="0.3">
      <c r="A164" s="92">
        <f t="shared" ref="A164:A166" si="6">A163+1</f>
        <v>2</v>
      </c>
      <c r="B164" s="93"/>
      <c r="C164" s="39" t="s">
        <v>246</v>
      </c>
      <c r="D164" s="50">
        <f>('Tower A'!W58)*10.764</f>
        <v>2093.7826026000007</v>
      </c>
      <c r="E164" s="39">
        <v>0</v>
      </c>
      <c r="F164" s="39">
        <f>D164*(($F$140)+1)+(IF(E164&lt;101,E164,IF(E164&lt;201,E164/2,IF(E164&lt;=301,E164/3,E164/4))))</f>
        <v>3140.6739039000013</v>
      </c>
      <c r="G164" s="116"/>
      <c r="H164" s="117"/>
      <c r="I164" s="33"/>
      <c r="L164" s="91"/>
      <c r="M164" s="91"/>
      <c r="N164" s="33"/>
    </row>
    <row r="165" spans="1:14" s="34" customFormat="1" x14ac:dyDescent="0.3">
      <c r="A165" s="92">
        <f t="shared" si="6"/>
        <v>3</v>
      </c>
      <c r="B165" s="93"/>
      <c r="C165" s="39" t="s">
        <v>246</v>
      </c>
      <c r="D165" s="50">
        <f>('Tower A'!AA58)*10.764</f>
        <v>2136.6782189999994</v>
      </c>
      <c r="E165" s="39">
        <v>0</v>
      </c>
      <c r="F165" s="39">
        <f>D165*(($F$140)+1)+(IF(E165&lt;101,E165,IF(E165&lt;201,E165/2,IF(E165&lt;=301,E165/3,E165/4))))</f>
        <v>3205.0173284999992</v>
      </c>
      <c r="G165" s="116"/>
      <c r="H165" s="117"/>
      <c r="I165" s="34">
        <v>4</v>
      </c>
      <c r="J165" s="33"/>
    </row>
    <row r="166" spans="1:14" s="34" customFormat="1" x14ac:dyDescent="0.3">
      <c r="A166" s="92">
        <f t="shared" si="6"/>
        <v>4</v>
      </c>
      <c r="B166" s="93"/>
      <c r="C166" s="39" t="s">
        <v>246</v>
      </c>
      <c r="D166" s="50">
        <f>('Tower A'!AE58)*10.764</f>
        <v>1983.3809907600005</v>
      </c>
      <c r="E166" s="39">
        <v>0</v>
      </c>
      <c r="F166" s="39">
        <f>D166*(($F$140)+1)+(IF(E166&lt;101,E166,IF(E166&lt;201,E166/2,IF(E166&lt;=301,E166/3,E166/4))))</f>
        <v>2975.0714861400006</v>
      </c>
      <c r="G166" s="118"/>
      <c r="H166" s="119"/>
      <c r="I166" s="33"/>
      <c r="L166" s="91"/>
      <c r="M166" s="91"/>
      <c r="N166" s="33"/>
    </row>
    <row r="167" spans="1:14" s="34" customFormat="1" x14ac:dyDescent="0.3">
      <c r="A167" s="94" t="s">
        <v>397</v>
      </c>
      <c r="B167" s="95"/>
      <c r="C167" s="95"/>
      <c r="D167" s="95"/>
      <c r="E167" s="95"/>
      <c r="F167" s="95"/>
      <c r="G167" s="95"/>
      <c r="H167" s="96"/>
      <c r="I167" s="33"/>
      <c r="L167" s="91"/>
      <c r="M167" s="91"/>
      <c r="N167" s="33"/>
    </row>
    <row r="168" spans="1:14" s="34" customFormat="1" x14ac:dyDescent="0.3">
      <c r="A168" s="92">
        <v>1</v>
      </c>
      <c r="B168" s="93"/>
      <c r="C168" s="39" t="s">
        <v>246</v>
      </c>
      <c r="D168" s="50">
        <f>('Tower A'!S58)*10.764</f>
        <v>2153.2327127999997</v>
      </c>
      <c r="E168" s="39">
        <v>0</v>
      </c>
      <c r="F168" s="39">
        <f>D168*(($F$140)+1)+(IF(E168&lt;101,E168,IF(E168&lt;201,E168/2,IF(E168&lt;=301,E168/3,E168/4))))</f>
        <v>3229.8490691999996</v>
      </c>
      <c r="G168" s="114" t="str">
        <f>A167</f>
        <v>15th Floor</v>
      </c>
      <c r="H168" s="115"/>
      <c r="I168" s="33"/>
      <c r="L168" s="91"/>
      <c r="M168" s="91"/>
      <c r="N168" s="33"/>
    </row>
    <row r="169" spans="1:14" s="34" customFormat="1" x14ac:dyDescent="0.3">
      <c r="A169" s="92">
        <f t="shared" ref="A169:A171" si="7">A168+1</f>
        <v>2</v>
      </c>
      <c r="B169" s="93"/>
      <c r="C169" s="39" t="s">
        <v>246</v>
      </c>
      <c r="D169" s="50">
        <f>('Tower A'!W58)*10.764</f>
        <v>2093.7826026000007</v>
      </c>
      <c r="E169" s="39">
        <v>0</v>
      </c>
      <c r="F169" s="39">
        <f>D169*(($F$140)+1)+(IF(E169&lt;101,E169,IF(E169&lt;201,E169/2,IF(E169&lt;=301,E169/3,E169/4))))</f>
        <v>3140.6739039000013</v>
      </c>
      <c r="G169" s="116"/>
      <c r="H169" s="117"/>
      <c r="I169" s="33"/>
      <c r="L169" s="91"/>
      <c r="M169" s="91"/>
      <c r="N169" s="33"/>
    </row>
    <row r="170" spans="1:14" s="34" customFormat="1" x14ac:dyDescent="0.3">
      <c r="A170" s="92">
        <f t="shared" si="7"/>
        <v>3</v>
      </c>
      <c r="B170" s="93"/>
      <c r="C170" s="39" t="s">
        <v>246</v>
      </c>
      <c r="D170" s="50">
        <f>('Tower A'!AA58)*10.764</f>
        <v>2136.6782189999994</v>
      </c>
      <c r="E170" s="39">
        <v>0</v>
      </c>
      <c r="F170" s="39">
        <f>D170*(($F$140)+1)+(IF(E170&lt;101,E170,IF(E170&lt;201,E170/2,IF(E170&lt;=301,E170/3,E170/4))))</f>
        <v>3205.0173284999992</v>
      </c>
      <c r="G170" s="116"/>
      <c r="H170" s="117"/>
      <c r="I170" s="34">
        <v>1</v>
      </c>
      <c r="J170" s="33"/>
    </row>
    <row r="171" spans="1:14" s="34" customFormat="1" x14ac:dyDescent="0.3">
      <c r="A171" s="92">
        <f t="shared" si="7"/>
        <v>4</v>
      </c>
      <c r="B171" s="93"/>
      <c r="C171" s="39" t="s">
        <v>246</v>
      </c>
      <c r="D171" s="50">
        <f>('Tower A'!AE58)*10.764</f>
        <v>1983.3809907600005</v>
      </c>
      <c r="E171" s="39">
        <v>0</v>
      </c>
      <c r="F171" s="39">
        <f>D171*(($F$140)+1)+(IF(E171&lt;101,E171,IF(E171&lt;201,E171/2,IF(E171&lt;=301,E171/3,E171/4))))</f>
        <v>2975.0714861400006</v>
      </c>
      <c r="G171" s="118"/>
      <c r="H171" s="119"/>
      <c r="I171" s="49"/>
      <c r="J171" s="49"/>
      <c r="L171" s="91"/>
      <c r="M171" s="91"/>
      <c r="N171" s="33"/>
    </row>
    <row r="172" spans="1:14" s="34" customFormat="1" x14ac:dyDescent="0.3">
      <c r="A172" s="94" t="s">
        <v>248</v>
      </c>
      <c r="B172" s="95"/>
      <c r="C172" s="95"/>
      <c r="D172" s="95"/>
      <c r="E172" s="95"/>
      <c r="F172" s="95"/>
      <c r="G172" s="95"/>
      <c r="H172" s="96"/>
      <c r="I172" s="49"/>
      <c r="J172" s="49"/>
      <c r="L172" s="91"/>
      <c r="M172" s="91"/>
      <c r="N172" s="33"/>
    </row>
    <row r="173" spans="1:14" s="34" customFormat="1" x14ac:dyDescent="0.3">
      <c r="A173" s="92">
        <v>1</v>
      </c>
      <c r="B173" s="93"/>
      <c r="C173" s="92" t="s">
        <v>245</v>
      </c>
      <c r="D173" s="113"/>
      <c r="E173" s="113"/>
      <c r="F173" s="93"/>
      <c r="G173" s="114" t="str">
        <f>A172</f>
        <v>16th Floor (Part Refuge Area)</v>
      </c>
      <c r="H173" s="115"/>
      <c r="I173" s="49"/>
      <c r="J173" s="49"/>
      <c r="L173" s="91"/>
      <c r="M173" s="91"/>
      <c r="N173" s="33"/>
    </row>
    <row r="174" spans="1:14" s="34" customFormat="1" x14ac:dyDescent="0.3">
      <c r="A174" s="92">
        <f t="shared" ref="A174:A176" si="8">A173+1</f>
        <v>2</v>
      </c>
      <c r="B174" s="93"/>
      <c r="C174" s="39" t="s">
        <v>246</v>
      </c>
      <c r="D174" s="50">
        <f>('Tower A'!B30)*10.764</f>
        <v>2093.7826026000007</v>
      </c>
      <c r="E174" s="39">
        <v>0</v>
      </c>
      <c r="F174" s="39">
        <f>D174*(($F$140)+1)+(IF(E174&lt;101,E174,IF(E174&lt;201,E174/2,IF(E174&lt;=301,E174/3,E174/4))))</f>
        <v>3140.6739039000013</v>
      </c>
      <c r="G174" s="116"/>
      <c r="H174" s="117"/>
      <c r="I174" s="49"/>
      <c r="J174" s="49"/>
      <c r="L174" s="91"/>
      <c r="M174" s="91"/>
      <c r="N174" s="33"/>
    </row>
    <row r="175" spans="1:14" s="34" customFormat="1" x14ac:dyDescent="0.3">
      <c r="A175" s="92">
        <f t="shared" si="8"/>
        <v>3</v>
      </c>
      <c r="B175" s="93"/>
      <c r="C175" s="39" t="s">
        <v>246</v>
      </c>
      <c r="D175" s="50">
        <f>('Tower A'!G30)*10.764</f>
        <v>2136.6782189999994</v>
      </c>
      <c r="E175" s="39">
        <v>0</v>
      </c>
      <c r="F175" s="39">
        <f>D175*(($F$140)+1)+(IF(E175&lt;101,E175,IF(E175&lt;201,E175/2,IF(E175&lt;=301,E175/3,E175/4))))</f>
        <v>3205.0173284999992</v>
      </c>
      <c r="G175" s="116"/>
      <c r="H175" s="117"/>
      <c r="I175" s="34">
        <v>4</v>
      </c>
      <c r="J175" s="33"/>
    </row>
    <row r="176" spans="1:14" s="34" customFormat="1" x14ac:dyDescent="0.3">
      <c r="A176" s="92">
        <f t="shared" si="8"/>
        <v>4</v>
      </c>
      <c r="B176" s="93"/>
      <c r="C176" s="39" t="s">
        <v>246</v>
      </c>
      <c r="D176" s="50">
        <f>('Tower A'!K30)*10.764</f>
        <v>1983.3809907600005</v>
      </c>
      <c r="E176" s="39">
        <v>0</v>
      </c>
      <c r="F176" s="39">
        <f>D176*(($F$140)+1)+(IF(E176&lt;101,E176,IF(E176&lt;201,E176/2,IF(E176&lt;=301,E176/3,E176/4))))</f>
        <v>2975.0714861400006</v>
      </c>
      <c r="G176" s="118"/>
      <c r="H176" s="119"/>
      <c r="I176" s="33"/>
      <c r="L176" s="91"/>
      <c r="M176" s="91"/>
      <c r="N176" s="33"/>
    </row>
    <row r="177" spans="1:14" s="34" customFormat="1" x14ac:dyDescent="0.3">
      <c r="A177" s="94" t="s">
        <v>392</v>
      </c>
      <c r="B177" s="95"/>
      <c r="C177" s="95"/>
      <c r="D177" s="95"/>
      <c r="E177" s="95"/>
      <c r="F177" s="95"/>
      <c r="G177" s="95"/>
      <c r="H177" s="96"/>
      <c r="I177" s="33"/>
      <c r="L177" s="91"/>
      <c r="M177" s="91"/>
      <c r="N177" s="33"/>
    </row>
    <row r="178" spans="1:14" s="34" customFormat="1" x14ac:dyDescent="0.3">
      <c r="A178" s="92">
        <v>1</v>
      </c>
      <c r="B178" s="93"/>
      <c r="C178" s="39" t="s">
        <v>246</v>
      </c>
      <c r="D178" s="50">
        <f>('Tower A'!S58)*10.764</f>
        <v>2153.2327127999997</v>
      </c>
      <c r="E178" s="39">
        <v>0</v>
      </c>
      <c r="F178" s="39">
        <f>D178*(($F$140)+1)+(IF(E178&lt;101,E178,IF(E178&lt;201,E178/2,IF(E178&lt;=301,E178/3,E178/4))))</f>
        <v>3229.8490691999996</v>
      </c>
      <c r="G178" s="114" t="str">
        <f>A177</f>
        <v>17th Floor</v>
      </c>
      <c r="H178" s="115"/>
      <c r="I178" s="33"/>
      <c r="L178" s="91"/>
      <c r="M178" s="91"/>
      <c r="N178" s="33"/>
    </row>
    <row r="179" spans="1:14" s="34" customFormat="1" x14ac:dyDescent="0.3">
      <c r="A179" s="92">
        <f t="shared" ref="A179:A181" si="9">A178+1</f>
        <v>2</v>
      </c>
      <c r="B179" s="93"/>
      <c r="C179" s="39" t="s">
        <v>246</v>
      </c>
      <c r="D179" s="50">
        <f>('Tower A'!W58)*10.764</f>
        <v>2093.7826026000007</v>
      </c>
      <c r="E179" s="39">
        <v>0</v>
      </c>
      <c r="F179" s="39">
        <f>D179*(($F$140)+1)+(IF(E179&lt;101,E179,IF(E179&lt;201,E179/2,IF(E179&lt;=301,E179/3,E179/4))))</f>
        <v>3140.6739039000013</v>
      </c>
      <c r="G179" s="116"/>
      <c r="H179" s="117"/>
      <c r="I179" s="33"/>
      <c r="L179" s="91"/>
      <c r="M179" s="91"/>
      <c r="N179" s="33"/>
    </row>
    <row r="180" spans="1:14" s="34" customFormat="1" x14ac:dyDescent="0.3">
      <c r="A180" s="92">
        <f t="shared" si="9"/>
        <v>3</v>
      </c>
      <c r="B180" s="93"/>
      <c r="C180" s="39" t="s">
        <v>246</v>
      </c>
      <c r="D180" s="50">
        <f>('Tower A'!AA58)*10.764</f>
        <v>2136.6782189999994</v>
      </c>
      <c r="E180" s="39">
        <v>0</v>
      </c>
      <c r="F180" s="39">
        <f>D180*(($F$140)+1)+(IF(E180&lt;101,E180,IF(E180&lt;201,E180/2,IF(E180&lt;=301,E180/3,E180/4))))</f>
        <v>3205.0173284999992</v>
      </c>
      <c r="G180" s="116"/>
      <c r="H180" s="117"/>
      <c r="I180" s="34">
        <v>4</v>
      </c>
      <c r="J180" s="33"/>
    </row>
    <row r="181" spans="1:14" s="34" customFormat="1" x14ac:dyDescent="0.3">
      <c r="A181" s="92">
        <f t="shared" si="9"/>
        <v>4</v>
      </c>
      <c r="B181" s="93"/>
      <c r="C181" s="39" t="s">
        <v>246</v>
      </c>
      <c r="D181" s="50">
        <f>('Tower A'!AE58)*10.764</f>
        <v>1983.3809907600005</v>
      </c>
      <c r="E181" s="39">
        <v>0</v>
      </c>
      <c r="F181" s="39">
        <f>D181*(($F$140)+1)+(IF(E181&lt;101,E181,IF(E181&lt;201,E181/2,IF(E181&lt;=301,E181/3,E181/4))))</f>
        <v>2975.0714861400006</v>
      </c>
      <c r="G181" s="118"/>
      <c r="H181" s="119"/>
      <c r="I181" s="33"/>
      <c r="L181" s="91"/>
      <c r="M181" s="91"/>
      <c r="N181" s="33"/>
    </row>
    <row r="182" spans="1:14" s="34" customFormat="1" x14ac:dyDescent="0.3">
      <c r="A182" s="94" t="s">
        <v>393</v>
      </c>
      <c r="B182" s="95"/>
      <c r="C182" s="95"/>
      <c r="D182" s="95"/>
      <c r="E182" s="95"/>
      <c r="F182" s="95"/>
      <c r="G182" s="95"/>
      <c r="H182" s="96"/>
      <c r="I182" s="33"/>
      <c r="L182" s="91"/>
      <c r="M182" s="91"/>
      <c r="N182" s="33"/>
    </row>
    <row r="183" spans="1:14" s="34" customFormat="1" x14ac:dyDescent="0.3">
      <c r="A183" s="92">
        <v>1</v>
      </c>
      <c r="B183" s="93"/>
      <c r="C183" s="39" t="s">
        <v>246</v>
      </c>
      <c r="D183" s="50">
        <f>('Tower A'!S58)*10.764</f>
        <v>2153.2327127999997</v>
      </c>
      <c r="E183" s="39">
        <v>0</v>
      </c>
      <c r="F183" s="39">
        <f>D183*(($F$140)+1)+(IF(E183&lt;101,E183,IF(E183&lt;201,E183/2,IF(E183&lt;=301,E183/3,E183/4))))</f>
        <v>3229.8490691999996</v>
      </c>
      <c r="G183" s="114" t="str">
        <f>A182</f>
        <v>18th Floor</v>
      </c>
      <c r="H183" s="115"/>
      <c r="I183" s="33"/>
      <c r="L183" s="91"/>
      <c r="M183" s="91"/>
      <c r="N183" s="33"/>
    </row>
    <row r="184" spans="1:14" s="34" customFormat="1" x14ac:dyDescent="0.3">
      <c r="A184" s="92">
        <f t="shared" ref="A184:A186" si="10">A183+1</f>
        <v>2</v>
      </c>
      <c r="B184" s="93"/>
      <c r="C184" s="39" t="s">
        <v>246</v>
      </c>
      <c r="D184" s="50">
        <f>('Tower A'!W58)*10.764</f>
        <v>2093.7826026000007</v>
      </c>
      <c r="E184" s="39">
        <v>0</v>
      </c>
      <c r="F184" s="39">
        <f>D184*(($F$140)+1)+(IF(E184&lt;101,E184,IF(E184&lt;201,E184/2,IF(E184&lt;=301,E184/3,E184/4))))</f>
        <v>3140.6739039000013</v>
      </c>
      <c r="G184" s="116"/>
      <c r="H184" s="117"/>
      <c r="I184" s="33"/>
      <c r="L184" s="91"/>
      <c r="M184" s="91"/>
      <c r="N184" s="33"/>
    </row>
    <row r="185" spans="1:14" s="34" customFormat="1" x14ac:dyDescent="0.3">
      <c r="A185" s="92">
        <f t="shared" si="10"/>
        <v>3</v>
      </c>
      <c r="B185" s="93"/>
      <c r="C185" s="39" t="s">
        <v>246</v>
      </c>
      <c r="D185" s="50">
        <f>('Tower A'!AA58)*10.764</f>
        <v>2136.6782189999994</v>
      </c>
      <c r="E185" s="39">
        <v>0</v>
      </c>
      <c r="F185" s="39">
        <f>D185*(($F$140)+1)+(IF(E185&lt;101,E185,IF(E185&lt;201,E185/2,IF(E185&lt;=301,E185/3,E185/4))))</f>
        <v>3205.0173284999992</v>
      </c>
      <c r="G185" s="116"/>
      <c r="H185" s="117"/>
      <c r="I185" s="34">
        <v>4</v>
      </c>
      <c r="J185" s="33"/>
    </row>
    <row r="186" spans="1:14" s="34" customFormat="1" x14ac:dyDescent="0.3">
      <c r="A186" s="92">
        <f t="shared" si="10"/>
        <v>4</v>
      </c>
      <c r="B186" s="93"/>
      <c r="C186" s="39" t="s">
        <v>246</v>
      </c>
      <c r="D186" s="50">
        <f>('Tower A'!AE58)*10.764</f>
        <v>1983.3809907600005</v>
      </c>
      <c r="E186" s="39">
        <v>0</v>
      </c>
      <c r="F186" s="39">
        <f>D186*(($F$140)+1)+(IF(E186&lt;101,E186,IF(E186&lt;201,E186/2,IF(E186&lt;=301,E186/3,E186/4))))</f>
        <v>2975.0714861400006</v>
      </c>
      <c r="G186" s="118"/>
      <c r="H186" s="119"/>
      <c r="I186" s="33"/>
      <c r="L186" s="91"/>
      <c r="M186" s="91"/>
      <c r="N186" s="33"/>
    </row>
    <row r="187" spans="1:14" s="34" customFormat="1" x14ac:dyDescent="0.3">
      <c r="A187" s="94" t="s">
        <v>394</v>
      </c>
      <c r="B187" s="95"/>
      <c r="C187" s="95"/>
      <c r="D187" s="95"/>
      <c r="E187" s="95"/>
      <c r="F187" s="95"/>
      <c r="G187" s="95"/>
      <c r="H187" s="96"/>
      <c r="I187" s="33"/>
      <c r="L187" s="91"/>
      <c r="M187" s="91"/>
      <c r="N187" s="33"/>
    </row>
    <row r="188" spans="1:14" s="34" customFormat="1" x14ac:dyDescent="0.3">
      <c r="A188" s="92">
        <v>1</v>
      </c>
      <c r="B188" s="93"/>
      <c r="C188" s="39" t="s">
        <v>246</v>
      </c>
      <c r="D188" s="50">
        <f>('Tower A'!S58)*10.764</f>
        <v>2153.2327127999997</v>
      </c>
      <c r="E188" s="39">
        <v>0</v>
      </c>
      <c r="F188" s="39">
        <f>D188*(($F$140)+1)+(IF(E188&lt;101,E188,IF(E188&lt;201,E188/2,IF(E188&lt;=301,E188/3,E188/4))))</f>
        <v>3229.8490691999996</v>
      </c>
      <c r="G188" s="114" t="str">
        <f>A187</f>
        <v>19th Floor</v>
      </c>
      <c r="H188" s="115"/>
      <c r="I188" s="33"/>
      <c r="L188" s="91"/>
      <c r="M188" s="91"/>
      <c r="N188" s="33"/>
    </row>
    <row r="189" spans="1:14" s="34" customFormat="1" x14ac:dyDescent="0.3">
      <c r="A189" s="92">
        <f t="shared" ref="A189:A191" si="11">A188+1</f>
        <v>2</v>
      </c>
      <c r="B189" s="93"/>
      <c r="C189" s="39" t="s">
        <v>246</v>
      </c>
      <c r="D189" s="50">
        <f>('Tower A'!W58)*10.764</f>
        <v>2093.7826026000007</v>
      </c>
      <c r="E189" s="39">
        <v>0</v>
      </c>
      <c r="F189" s="39">
        <f>D189*(($F$140)+1)+(IF(E189&lt;101,E189,IF(E189&lt;201,E189/2,IF(E189&lt;=301,E189/3,E189/4))))</f>
        <v>3140.6739039000013</v>
      </c>
      <c r="G189" s="116"/>
      <c r="H189" s="117"/>
      <c r="I189" s="33"/>
      <c r="L189" s="91"/>
      <c r="M189" s="91"/>
      <c r="N189" s="33"/>
    </row>
    <row r="190" spans="1:14" s="34" customFormat="1" x14ac:dyDescent="0.3">
      <c r="A190" s="92">
        <f t="shared" si="11"/>
        <v>3</v>
      </c>
      <c r="B190" s="93"/>
      <c r="C190" s="39" t="s">
        <v>246</v>
      </c>
      <c r="D190" s="50">
        <f>('Tower A'!AA58)*10.764</f>
        <v>2136.6782189999994</v>
      </c>
      <c r="E190" s="39">
        <v>0</v>
      </c>
      <c r="F190" s="39">
        <f>D190*(($F$140)+1)+(IF(E190&lt;101,E190,IF(E190&lt;201,E190/2,IF(E190&lt;=301,E190/3,E190/4))))</f>
        <v>3205.0173284999992</v>
      </c>
      <c r="G190" s="116"/>
      <c r="H190" s="117"/>
      <c r="I190" s="49">
        <v>2</v>
      </c>
      <c r="J190" s="49"/>
    </row>
    <row r="191" spans="1:14" s="34" customFormat="1" x14ac:dyDescent="0.3">
      <c r="A191" s="92">
        <f t="shared" si="11"/>
        <v>4</v>
      </c>
      <c r="B191" s="93"/>
      <c r="C191" s="39" t="s">
        <v>246</v>
      </c>
      <c r="D191" s="50">
        <f>('Tower A'!AE58)*10.764</f>
        <v>1983.3809907600005</v>
      </c>
      <c r="E191" s="39">
        <v>0</v>
      </c>
      <c r="F191" s="39">
        <f>D191*(($F$140)+1)+(IF(E191&lt;101,E191,IF(E191&lt;201,E191/2,IF(E191&lt;=301,E191/3,E191/4))))</f>
        <v>2975.0714861400006</v>
      </c>
      <c r="G191" s="118"/>
      <c r="H191" s="119"/>
      <c r="I191" s="33"/>
      <c r="L191" s="91"/>
      <c r="M191" s="91"/>
      <c r="N191" s="33"/>
    </row>
    <row r="192" spans="1:14" s="34" customFormat="1" x14ac:dyDescent="0.3">
      <c r="A192" s="94" t="s">
        <v>341</v>
      </c>
      <c r="B192" s="95"/>
      <c r="C192" s="95"/>
      <c r="D192" s="95"/>
      <c r="E192" s="95"/>
      <c r="F192" s="95"/>
      <c r="G192" s="95"/>
      <c r="H192" s="96"/>
      <c r="I192" s="33"/>
      <c r="L192" s="91"/>
      <c r="M192" s="91"/>
      <c r="N192" s="33"/>
    </row>
    <row r="193" spans="1:14" s="34" customFormat="1" x14ac:dyDescent="0.3">
      <c r="A193" s="92">
        <v>1</v>
      </c>
      <c r="B193" s="93"/>
      <c r="C193" s="39" t="s">
        <v>246</v>
      </c>
      <c r="D193" s="50">
        <f>('Tower A'!B87)*10.764</f>
        <v>2325.5912627999996</v>
      </c>
      <c r="E193" s="39">
        <v>0</v>
      </c>
      <c r="F193" s="39">
        <f>D193*(($F$140)+1)+(IF(E193&lt;101,E193,IF(E193&lt;201,E193/2,IF(E193&lt;=301,E193/3,E193/4))))</f>
        <v>3488.3868941999995</v>
      </c>
      <c r="G193" s="114" t="str">
        <f>A192</f>
        <v>20th &amp; 21st Floor</v>
      </c>
      <c r="H193" s="115"/>
      <c r="I193" s="33"/>
      <c r="L193" s="91"/>
      <c r="M193" s="91"/>
      <c r="N193" s="33"/>
    </row>
    <row r="194" spans="1:14" s="34" customFormat="1" x14ac:dyDescent="0.3">
      <c r="A194" s="92">
        <f t="shared" ref="A194:A196" si="12">A193+1</f>
        <v>2</v>
      </c>
      <c r="B194" s="93"/>
      <c r="C194" s="39" t="s">
        <v>246</v>
      </c>
      <c r="D194" s="50">
        <f>('Tower A'!F87)*10.764</f>
        <v>2198.1826386000007</v>
      </c>
      <c r="E194" s="39">
        <v>0</v>
      </c>
      <c r="F194" s="39">
        <f>D194*(($F$140)+1)+(IF(E194&lt;101,E194,IF(E194&lt;201,E194/2,IF(E194&lt;=301,E194/3,E194/4))))</f>
        <v>3297.2739579000008</v>
      </c>
      <c r="G194" s="116"/>
      <c r="H194" s="117"/>
      <c r="I194" s="33"/>
      <c r="L194" s="91"/>
      <c r="M194" s="91"/>
      <c r="N194" s="33"/>
    </row>
    <row r="195" spans="1:14" s="34" customFormat="1" x14ac:dyDescent="0.3">
      <c r="A195" s="92">
        <f t="shared" si="12"/>
        <v>3</v>
      </c>
      <c r="B195" s="93"/>
      <c r="C195" s="39" t="s">
        <v>246</v>
      </c>
      <c r="D195" s="50">
        <f>('Tower A'!J87)*10.764</f>
        <v>2309.0367689999994</v>
      </c>
      <c r="E195" s="39">
        <v>0</v>
      </c>
      <c r="F195" s="39">
        <f>D195*(($F$140)+1)+(IF(E195&lt;101,E195,IF(E195&lt;201,E195/2,IF(E195&lt;=301,E195/3,E195/4))))</f>
        <v>3463.5551534999991</v>
      </c>
      <c r="G195" s="116"/>
      <c r="H195" s="117"/>
      <c r="I195" s="34">
        <v>1</v>
      </c>
      <c r="J195" s="33"/>
    </row>
    <row r="196" spans="1:14" s="34" customFormat="1" x14ac:dyDescent="0.3">
      <c r="A196" s="92">
        <f t="shared" si="12"/>
        <v>4</v>
      </c>
      <c r="B196" s="93"/>
      <c r="C196" s="39" t="s">
        <v>246</v>
      </c>
      <c r="D196" s="50">
        <f>('Tower A'!N87)*10.764</f>
        <v>2087.7810267600007</v>
      </c>
      <c r="E196" s="39">
        <v>0</v>
      </c>
      <c r="F196" s="39">
        <f>D196*(($F$140)+1)+(IF(E196&lt;101,E196,IF(E196&lt;201,E196/2,IF(E196&lt;=301,E196/3,E196/4))))</f>
        <v>3131.6715401400011</v>
      </c>
      <c r="G196" s="118"/>
      <c r="H196" s="119"/>
      <c r="I196" s="33"/>
      <c r="L196" s="91"/>
      <c r="M196" s="91"/>
      <c r="N196" s="33"/>
    </row>
    <row r="197" spans="1:14" s="34" customFormat="1" x14ac:dyDescent="0.3">
      <c r="A197" s="94" t="s">
        <v>342</v>
      </c>
      <c r="B197" s="95"/>
      <c r="C197" s="95"/>
      <c r="D197" s="95"/>
      <c r="E197" s="95"/>
      <c r="F197" s="95"/>
      <c r="G197" s="95"/>
      <c r="H197" s="96"/>
      <c r="I197" s="33"/>
      <c r="L197" s="91"/>
      <c r="M197" s="91"/>
      <c r="N197" s="33"/>
    </row>
    <row r="198" spans="1:14" s="34" customFormat="1" x14ac:dyDescent="0.3">
      <c r="A198" s="92">
        <v>1</v>
      </c>
      <c r="B198" s="93"/>
      <c r="C198" s="39" t="s">
        <v>246</v>
      </c>
      <c r="D198" s="50">
        <f>('Tower A'!B87)*10.764</f>
        <v>2325.5912627999996</v>
      </c>
      <c r="E198" s="39">
        <v>0</v>
      </c>
      <c r="F198" s="39">
        <f>D198*(($F$140)+1)+(IF(E198&lt;101,E198,IF(E198&lt;201,E198/2,IF(E198&lt;=301,E198/3,E198/4))))</f>
        <v>3488.3868941999995</v>
      </c>
      <c r="G198" s="114" t="str">
        <f>A197</f>
        <v>22nd Floor</v>
      </c>
      <c r="H198" s="115"/>
      <c r="I198" s="33"/>
      <c r="J198" s="33">
        <f>122000000/F200</f>
        <v>35223.92299043262</v>
      </c>
      <c r="L198" s="91"/>
      <c r="M198" s="91"/>
      <c r="N198" s="33"/>
    </row>
    <row r="199" spans="1:14" s="34" customFormat="1" x14ac:dyDescent="0.3">
      <c r="A199" s="92">
        <f t="shared" ref="A199:A201" si="13">A198+1</f>
        <v>2</v>
      </c>
      <c r="B199" s="93"/>
      <c r="C199" s="39" t="s">
        <v>246</v>
      </c>
      <c r="D199" s="50">
        <f>('Tower A'!F87)*10.764</f>
        <v>2198.1826386000007</v>
      </c>
      <c r="E199" s="39">
        <v>0</v>
      </c>
      <c r="F199" s="39">
        <f>D199*(($F$140)+1)+(IF(E199&lt;101,E199,IF(E199&lt;201,E199/2,IF(E199&lt;=301,E199/3,E199/4))))</f>
        <v>3297.2739579000008</v>
      </c>
      <c r="G199" s="116"/>
      <c r="H199" s="117"/>
      <c r="I199" s="33"/>
      <c r="J199" s="33">
        <f>115500000/F201</f>
        <v>36881.262456674041</v>
      </c>
      <c r="L199" s="91"/>
      <c r="M199" s="91"/>
      <c r="N199" s="33"/>
    </row>
    <row r="200" spans="1:14" s="34" customFormat="1" x14ac:dyDescent="0.3">
      <c r="A200" s="92">
        <f t="shared" si="13"/>
        <v>3</v>
      </c>
      <c r="B200" s="93"/>
      <c r="C200" s="39" t="s">
        <v>246</v>
      </c>
      <c r="D200" s="50">
        <f>('Tower A'!J87)*10.764</f>
        <v>2309.0367689999994</v>
      </c>
      <c r="E200" s="39">
        <v>0</v>
      </c>
      <c r="F200" s="39">
        <f>D200*(($F$140)+1)+(IF(E200&lt;101,E200,IF(E200&lt;201,E200/2,IF(E200&lt;=301,E200/3,E200/4))))</f>
        <v>3463.5551534999991</v>
      </c>
      <c r="G200" s="116"/>
      <c r="H200" s="117"/>
      <c r="I200" s="34">
        <v>1</v>
      </c>
      <c r="J200" s="33"/>
    </row>
    <row r="201" spans="1:14" s="34" customFormat="1" x14ac:dyDescent="0.3">
      <c r="A201" s="92">
        <f t="shared" si="13"/>
        <v>4</v>
      </c>
      <c r="B201" s="93"/>
      <c r="C201" s="39" t="s">
        <v>246</v>
      </c>
      <c r="D201" s="50">
        <f>('Tower A'!N87)*10.764</f>
        <v>2087.7810267600007</v>
      </c>
      <c r="E201" s="39">
        <v>0</v>
      </c>
      <c r="F201" s="39">
        <f>D201*(($F$140)+1)+(IF(E201&lt;101,E201,IF(E201&lt;201,E201/2,IF(E201&lt;=301,E201/3,E201/4))))</f>
        <v>3131.6715401400011</v>
      </c>
      <c r="G201" s="118"/>
      <c r="H201" s="119"/>
      <c r="I201" s="33"/>
      <c r="L201" s="91"/>
      <c r="M201" s="91"/>
      <c r="N201" s="33"/>
    </row>
    <row r="202" spans="1:14" s="34" customFormat="1" x14ac:dyDescent="0.3">
      <c r="A202" s="120" t="s">
        <v>249</v>
      </c>
      <c r="B202" s="120"/>
      <c r="C202" s="120"/>
      <c r="D202" s="120"/>
      <c r="E202" s="120"/>
      <c r="F202" s="120"/>
      <c r="G202" s="120"/>
      <c r="H202" s="120"/>
      <c r="I202" s="33"/>
      <c r="L202" s="91"/>
      <c r="M202" s="91"/>
      <c r="N202" s="33"/>
    </row>
    <row r="203" spans="1:14" s="34" customFormat="1" x14ac:dyDescent="0.3">
      <c r="A203" s="121">
        <v>1</v>
      </c>
      <c r="B203" s="121"/>
      <c r="C203" s="121" t="s">
        <v>245</v>
      </c>
      <c r="D203" s="121"/>
      <c r="E203" s="121"/>
      <c r="F203" s="121"/>
      <c r="G203" s="121" t="str">
        <f>A202</f>
        <v>23rd Floor (Part Refuge Area)</v>
      </c>
      <c r="H203" s="121"/>
      <c r="I203" s="33"/>
      <c r="L203" s="91"/>
      <c r="M203" s="91"/>
      <c r="N203" s="33"/>
    </row>
    <row r="204" spans="1:14" s="34" customFormat="1" x14ac:dyDescent="0.3">
      <c r="A204" s="121">
        <f t="shared" ref="A204:A206" si="14">A203+1</f>
        <v>2</v>
      </c>
      <c r="B204" s="121"/>
      <c r="C204" s="39" t="s">
        <v>246</v>
      </c>
      <c r="D204" s="50">
        <f>('Tower A'!F87)*10.764</f>
        <v>2198.1826386000007</v>
      </c>
      <c r="E204" s="39">
        <v>0</v>
      </c>
      <c r="F204" s="39">
        <f>D204*(($F$140)+1)+(IF(E204&lt;101,E204,IF(E204&lt;201,E204/2,IF(E204&lt;=301,E204/3,E204/4))))</f>
        <v>3297.2739579000008</v>
      </c>
      <c r="G204" s="121"/>
      <c r="H204" s="121"/>
      <c r="I204" s="33"/>
      <c r="L204" s="91"/>
      <c r="M204" s="91"/>
      <c r="N204" s="33"/>
    </row>
    <row r="205" spans="1:14" s="34" customFormat="1" x14ac:dyDescent="0.3">
      <c r="A205" s="121">
        <f t="shared" si="14"/>
        <v>3</v>
      </c>
      <c r="B205" s="121"/>
      <c r="C205" s="39" t="s">
        <v>246</v>
      </c>
      <c r="D205" s="50">
        <f>('Tower A'!J87)*10.764</f>
        <v>2309.0367689999994</v>
      </c>
      <c r="E205" s="39">
        <v>0</v>
      </c>
      <c r="F205" s="39">
        <f>D205*(($F$140)+1)+(IF(E205&lt;101,E205,IF(E205&lt;201,E205/2,IF(E205&lt;=301,E205/3,E205/4))))</f>
        <v>3463.5551534999991</v>
      </c>
      <c r="G205" s="121"/>
      <c r="H205" s="121"/>
      <c r="I205" s="34">
        <v>1</v>
      </c>
      <c r="J205" s="33"/>
    </row>
    <row r="206" spans="1:14" s="34" customFormat="1" x14ac:dyDescent="0.3">
      <c r="A206" s="121">
        <f t="shared" si="14"/>
        <v>4</v>
      </c>
      <c r="B206" s="121"/>
      <c r="C206" s="39" t="s">
        <v>246</v>
      </c>
      <c r="D206" s="50">
        <f>('Tower A'!N87)*10.764</f>
        <v>2087.7810267600007</v>
      </c>
      <c r="E206" s="39">
        <v>0</v>
      </c>
      <c r="F206" s="39">
        <f>D206*(($F$140)+1)+(IF(E206&lt;101,E206,IF(E206&lt;201,E206/2,IF(E206&lt;=301,E206/3,E206/4))))</f>
        <v>3131.6715401400011</v>
      </c>
      <c r="G206" s="121"/>
      <c r="H206" s="121"/>
      <c r="I206" s="33"/>
      <c r="L206" s="91"/>
      <c r="M206" s="91"/>
      <c r="N206" s="33"/>
    </row>
    <row r="207" spans="1:14" s="34" customFormat="1" x14ac:dyDescent="0.3">
      <c r="A207" s="120" t="s">
        <v>251</v>
      </c>
      <c r="B207" s="120"/>
      <c r="C207" s="120"/>
      <c r="D207" s="120"/>
      <c r="E207" s="120"/>
      <c r="F207" s="120"/>
      <c r="G207" s="120"/>
      <c r="H207" s="120"/>
      <c r="I207" s="33"/>
      <c r="L207" s="91"/>
      <c r="M207" s="91"/>
      <c r="N207" s="33"/>
    </row>
    <row r="208" spans="1:14" s="34" customFormat="1" x14ac:dyDescent="0.3">
      <c r="A208" s="92">
        <v>1</v>
      </c>
      <c r="B208" s="93"/>
      <c r="C208" s="39" t="s">
        <v>246</v>
      </c>
      <c r="D208" s="50">
        <f>('Tower A'!B87)*10.764</f>
        <v>2325.5912627999996</v>
      </c>
      <c r="E208" s="39">
        <v>0</v>
      </c>
      <c r="F208" s="39">
        <f>D208*(($F$140)+1)+(IF(E208&lt;101,E208,IF(E208&lt;201,E208/2,IF(E208&lt;=301,E208/3,E208/4))))</f>
        <v>3488.3868941999995</v>
      </c>
      <c r="G208" s="114" t="str">
        <f>A207</f>
        <v>24th Floor</v>
      </c>
      <c r="H208" s="115"/>
      <c r="I208" s="33"/>
      <c r="L208" s="91"/>
      <c r="M208" s="91"/>
      <c r="N208" s="33"/>
    </row>
    <row r="209" spans="1:14" s="34" customFormat="1" x14ac:dyDescent="0.3">
      <c r="A209" s="92">
        <f t="shared" ref="A209:A211" si="15">A208+1</f>
        <v>2</v>
      </c>
      <c r="B209" s="93"/>
      <c r="C209" s="39" t="s">
        <v>246</v>
      </c>
      <c r="D209" s="50">
        <f>('Tower A'!F87)*10.764</f>
        <v>2198.1826386000007</v>
      </c>
      <c r="E209" s="39">
        <v>0</v>
      </c>
      <c r="F209" s="39">
        <f>D209*(($F$140)+1)+(IF(E209&lt;101,E209,IF(E209&lt;201,E209/2,IF(E209&lt;=301,E209/3,E209/4))))</f>
        <v>3297.2739579000008</v>
      </c>
      <c r="G209" s="116"/>
      <c r="H209" s="117"/>
      <c r="I209" s="33"/>
      <c r="L209" s="91"/>
      <c r="M209" s="91"/>
      <c r="N209" s="33"/>
    </row>
    <row r="210" spans="1:14" s="34" customFormat="1" x14ac:dyDescent="0.3">
      <c r="A210" s="92">
        <f t="shared" si="15"/>
        <v>3</v>
      </c>
      <c r="B210" s="93"/>
      <c r="C210" s="39" t="s">
        <v>246</v>
      </c>
      <c r="D210" s="50">
        <f>('Tower A'!J87)*10.764</f>
        <v>2309.0367689999994</v>
      </c>
      <c r="E210" s="39">
        <v>0</v>
      </c>
      <c r="F210" s="39">
        <f>D210*(($F$140)+1)+(IF(E210&lt;101,E210,IF(E210&lt;201,E210/2,IF(E210&lt;=301,E210/3,E210/4))))</f>
        <v>3463.5551534999991</v>
      </c>
      <c r="G210" s="116"/>
      <c r="H210" s="117"/>
      <c r="I210" s="34">
        <v>1</v>
      </c>
      <c r="J210" s="33"/>
    </row>
    <row r="211" spans="1:14" s="34" customFormat="1" x14ac:dyDescent="0.3">
      <c r="A211" s="92">
        <f t="shared" si="15"/>
        <v>4</v>
      </c>
      <c r="B211" s="93"/>
      <c r="C211" s="39" t="s">
        <v>246</v>
      </c>
      <c r="D211" s="50">
        <f>('Tower A'!N87)*10.764</f>
        <v>2087.7810267600007</v>
      </c>
      <c r="E211" s="39">
        <v>0</v>
      </c>
      <c r="F211" s="39">
        <f>D211*(($F$140)+1)+(IF(E211&lt;101,E211,IF(E211&lt;201,E211/2,IF(E211&lt;=301,E211/3,E211/4))))</f>
        <v>3131.6715401400011</v>
      </c>
      <c r="G211" s="118"/>
      <c r="H211" s="119"/>
      <c r="I211" s="33"/>
      <c r="L211" s="91"/>
      <c r="M211" s="91"/>
      <c r="N211" s="33"/>
    </row>
    <row r="212" spans="1:14" s="34" customFormat="1" x14ac:dyDescent="0.3">
      <c r="A212" s="94" t="s">
        <v>343</v>
      </c>
      <c r="B212" s="95"/>
      <c r="C212" s="95"/>
      <c r="D212" s="95"/>
      <c r="E212" s="95"/>
      <c r="F212" s="95"/>
      <c r="G212" s="95"/>
      <c r="H212" s="96"/>
      <c r="I212" s="33"/>
      <c r="L212" s="91"/>
      <c r="M212" s="91"/>
      <c r="N212" s="33"/>
    </row>
    <row r="213" spans="1:14" s="34" customFormat="1" x14ac:dyDescent="0.3">
      <c r="A213" s="92">
        <v>1</v>
      </c>
      <c r="B213" s="93"/>
      <c r="C213" s="39" t="s">
        <v>246</v>
      </c>
      <c r="D213" s="50">
        <f>('Tower A'!B87)*10.764</f>
        <v>2325.5912627999996</v>
      </c>
      <c r="E213" s="39">
        <v>0</v>
      </c>
      <c r="F213" s="39">
        <f>D213*(($F$140)+1)+(IF(E213&lt;101,E213,IF(E213&lt;201,E213/2,IF(E213&lt;=301,E213/3,E213/4))))</f>
        <v>3488.3868941999995</v>
      </c>
      <c r="G213" s="114" t="str">
        <f>A212</f>
        <v>25th Floor</v>
      </c>
      <c r="H213" s="115"/>
      <c r="I213" s="33"/>
      <c r="L213" s="91"/>
      <c r="M213" s="91"/>
      <c r="N213" s="33"/>
    </row>
    <row r="214" spans="1:14" s="34" customFormat="1" x14ac:dyDescent="0.3">
      <c r="A214" s="92">
        <f t="shared" ref="A214:A216" si="16">A213+1</f>
        <v>2</v>
      </c>
      <c r="B214" s="93"/>
      <c r="C214" s="39" t="s">
        <v>246</v>
      </c>
      <c r="D214" s="50">
        <f>('Tower A'!F87)*10.764</f>
        <v>2198.1826386000007</v>
      </c>
      <c r="E214" s="39">
        <v>0</v>
      </c>
      <c r="F214" s="39">
        <f>D214*(($F$140)+1)+(IF(E214&lt;101,E214,IF(E214&lt;201,E214/2,IF(E214&lt;=301,E214/3,E214/4))))</f>
        <v>3297.2739579000008</v>
      </c>
      <c r="G214" s="116"/>
      <c r="H214" s="117"/>
      <c r="I214" s="33"/>
      <c r="L214" s="91"/>
      <c r="M214" s="91"/>
      <c r="N214" s="33"/>
    </row>
    <row r="215" spans="1:14" s="34" customFormat="1" x14ac:dyDescent="0.3">
      <c r="A215" s="92">
        <f t="shared" si="16"/>
        <v>3</v>
      </c>
      <c r="B215" s="93"/>
      <c r="C215" s="39" t="s">
        <v>246</v>
      </c>
      <c r="D215" s="50">
        <f>('Tower A'!J87)*10.764</f>
        <v>2309.0367689999994</v>
      </c>
      <c r="E215" s="39">
        <v>0</v>
      </c>
      <c r="F215" s="39">
        <f>D215*(($F$140)+1)+(IF(E215&lt;101,E215,IF(E215&lt;201,E215/2,IF(E215&lt;=301,E215/3,E215/4))))</f>
        <v>3463.5551534999991</v>
      </c>
      <c r="G215" s="116"/>
      <c r="H215" s="117"/>
      <c r="I215" s="34">
        <v>2</v>
      </c>
      <c r="J215" s="33"/>
    </row>
    <row r="216" spans="1:14" s="34" customFormat="1" x14ac:dyDescent="0.3">
      <c r="A216" s="92">
        <f t="shared" si="16"/>
        <v>4</v>
      </c>
      <c r="B216" s="93"/>
      <c r="C216" s="39" t="s">
        <v>246</v>
      </c>
      <c r="D216" s="50">
        <f>('Tower A'!N87)*10.764</f>
        <v>2087.7810267600007</v>
      </c>
      <c r="E216" s="39">
        <v>0</v>
      </c>
      <c r="F216" s="39">
        <f>D216*(($F$140)+1)+(IF(E216&lt;101,E216,IF(E216&lt;201,E216/2,IF(E216&lt;=301,E216/3,E216/4))))</f>
        <v>3131.6715401400011</v>
      </c>
      <c r="G216" s="118"/>
      <c r="H216" s="119"/>
      <c r="I216" s="33"/>
      <c r="L216" s="91"/>
      <c r="M216" s="91"/>
      <c r="N216" s="33"/>
    </row>
    <row r="217" spans="1:14" s="34" customFormat="1" x14ac:dyDescent="0.3">
      <c r="A217" s="94" t="s">
        <v>347</v>
      </c>
      <c r="B217" s="95"/>
      <c r="C217" s="95"/>
      <c r="D217" s="95"/>
      <c r="E217" s="95"/>
      <c r="F217" s="95"/>
      <c r="G217" s="95"/>
      <c r="H217" s="96"/>
      <c r="I217" s="33"/>
      <c r="L217" s="91"/>
      <c r="M217" s="91"/>
      <c r="N217" s="33"/>
    </row>
    <row r="218" spans="1:14" s="34" customFormat="1" x14ac:dyDescent="0.3">
      <c r="A218" s="92">
        <v>1</v>
      </c>
      <c r="B218" s="93"/>
      <c r="C218" s="39" t="s">
        <v>246</v>
      </c>
      <c r="D218" s="50">
        <f>('Tower A'!B87)*10.764</f>
        <v>2325.5912627999996</v>
      </c>
      <c r="E218" s="39">
        <v>0</v>
      </c>
      <c r="F218" s="39">
        <f>D218*(($F$140)+1)+(IF(E218&lt;101,E218,IF(E218&lt;201,E218/2,IF(E218&lt;=301,E218/3,E218/4))))</f>
        <v>3488.3868941999995</v>
      </c>
      <c r="G218" s="114" t="str">
        <f>A217</f>
        <v>26th &amp; 27th Floor</v>
      </c>
      <c r="H218" s="115"/>
      <c r="I218" s="33"/>
      <c r="L218" s="91"/>
      <c r="M218" s="91"/>
      <c r="N218" s="33"/>
    </row>
    <row r="219" spans="1:14" s="34" customFormat="1" x14ac:dyDescent="0.3">
      <c r="A219" s="92">
        <f t="shared" ref="A219:A221" si="17">A218+1</f>
        <v>2</v>
      </c>
      <c r="B219" s="93"/>
      <c r="C219" s="39" t="s">
        <v>246</v>
      </c>
      <c r="D219" s="50">
        <f>('Tower A'!F87)*10.764</f>
        <v>2198.1826386000007</v>
      </c>
      <c r="E219" s="39">
        <v>0</v>
      </c>
      <c r="F219" s="39">
        <f>D219*(($F$140)+1)+(IF(E219&lt;101,E219,IF(E219&lt;201,E219/2,IF(E219&lt;=301,E219/3,E219/4))))</f>
        <v>3297.2739579000008</v>
      </c>
      <c r="G219" s="116"/>
      <c r="H219" s="117"/>
      <c r="I219" s="33"/>
      <c r="L219" s="91"/>
      <c r="M219" s="91"/>
      <c r="N219" s="33"/>
    </row>
    <row r="220" spans="1:14" s="34" customFormat="1" x14ac:dyDescent="0.3">
      <c r="A220" s="92">
        <f t="shared" si="17"/>
        <v>3</v>
      </c>
      <c r="B220" s="93"/>
      <c r="C220" s="39" t="s">
        <v>246</v>
      </c>
      <c r="D220" s="50">
        <f>('Tower A'!AA87)*10.764</f>
        <v>2412.3711689999991</v>
      </c>
      <c r="E220" s="39">
        <v>0</v>
      </c>
      <c r="F220" s="39">
        <f>D220*(($F$140)+1)+(IF(E220&lt;101,E220,IF(E220&lt;201,E220/2,IF(E220&lt;=301,E220/3,E220/4))))</f>
        <v>3618.5567534999986</v>
      </c>
      <c r="G220" s="116"/>
      <c r="H220" s="117"/>
      <c r="I220" s="34">
        <v>1</v>
      </c>
      <c r="J220" s="33"/>
    </row>
    <row r="221" spans="1:14" s="34" customFormat="1" x14ac:dyDescent="0.3">
      <c r="A221" s="92">
        <f t="shared" si="17"/>
        <v>4</v>
      </c>
      <c r="B221" s="93"/>
      <c r="C221" s="39" t="s">
        <v>246</v>
      </c>
      <c r="D221" s="50">
        <f>('Tower A'!N87)*10.764</f>
        <v>2087.7810267600007</v>
      </c>
      <c r="E221" s="39">
        <v>0</v>
      </c>
      <c r="F221" s="39">
        <f>D221*(($F$140)+1)+(IF(E221&lt;101,E221,IF(E221&lt;201,E221/2,IF(E221&lt;=301,E221/3,E221/4))))</f>
        <v>3131.6715401400011</v>
      </c>
      <c r="G221" s="118"/>
      <c r="H221" s="119"/>
      <c r="I221" s="33"/>
      <c r="L221" s="91"/>
      <c r="M221" s="91"/>
      <c r="N221" s="33"/>
    </row>
    <row r="222" spans="1:14" s="34" customFormat="1" x14ac:dyDescent="0.3">
      <c r="A222" s="94" t="s">
        <v>349</v>
      </c>
      <c r="B222" s="95"/>
      <c r="C222" s="95"/>
      <c r="D222" s="95"/>
      <c r="E222" s="95"/>
      <c r="F222" s="95"/>
      <c r="G222" s="95"/>
      <c r="H222" s="96"/>
      <c r="I222" s="33"/>
      <c r="L222" s="91"/>
      <c r="M222" s="91"/>
      <c r="N222" s="33"/>
    </row>
    <row r="223" spans="1:14" s="34" customFormat="1" x14ac:dyDescent="0.3">
      <c r="A223" s="92">
        <v>1</v>
      </c>
      <c r="B223" s="93"/>
      <c r="C223" s="39" t="s">
        <v>246</v>
      </c>
      <c r="D223" s="50">
        <f>('Tower A'!B114)*10.764</f>
        <v>2246.2336727999996</v>
      </c>
      <c r="E223" s="39">
        <v>0</v>
      </c>
      <c r="F223" s="39">
        <f>D223*(($F$140)+1)+(IF(E223&lt;101,E223,IF(E223&lt;201,E223/2,IF(E223&lt;=301,E223/3,E223/4))))</f>
        <v>3369.3505091999996</v>
      </c>
      <c r="G223" s="114" t="str">
        <f>A222</f>
        <v>28th Floor</v>
      </c>
      <c r="H223" s="115"/>
      <c r="I223" s="33"/>
      <c r="L223" s="91"/>
      <c r="M223" s="91"/>
      <c r="N223" s="33"/>
    </row>
    <row r="224" spans="1:14" s="34" customFormat="1" x14ac:dyDescent="0.3">
      <c r="A224" s="92">
        <f t="shared" ref="A224:A226" si="18">A223+1</f>
        <v>2</v>
      </c>
      <c r="B224" s="93"/>
      <c r="C224" s="39" t="s">
        <v>246</v>
      </c>
      <c r="D224" s="50">
        <f>('Tower A'!F114)*10.764</f>
        <v>2093.7826026000007</v>
      </c>
      <c r="E224" s="39">
        <v>0</v>
      </c>
      <c r="F224" s="39">
        <f>D224*(($F$140)+1)+(IF(E224&lt;101,E224,IF(E224&lt;201,E224/2,IF(E224&lt;=301,E224/3,E224/4))))</f>
        <v>3140.6739039000013</v>
      </c>
      <c r="G224" s="116"/>
      <c r="H224" s="117"/>
      <c r="I224" s="33"/>
      <c r="L224" s="91"/>
      <c r="M224" s="91"/>
      <c r="N224" s="33"/>
    </row>
    <row r="225" spans="1:14" s="34" customFormat="1" x14ac:dyDescent="0.3">
      <c r="A225" s="92">
        <f t="shared" si="18"/>
        <v>3</v>
      </c>
      <c r="B225" s="93"/>
      <c r="C225" s="39" t="s">
        <v>246</v>
      </c>
      <c r="D225" s="50">
        <f>('Tower A'!J114)*10.764</f>
        <v>2240.0126189999992</v>
      </c>
      <c r="E225" s="39">
        <v>0</v>
      </c>
      <c r="F225" s="39">
        <f>D225*(($F$140)+1)+(IF(E225&lt;101,E225,IF(E225&lt;201,E225/2,IF(E225&lt;=301,E225/3,E225/4))))</f>
        <v>3360.0189284999988</v>
      </c>
      <c r="G225" s="116"/>
      <c r="H225" s="117"/>
      <c r="I225" s="34">
        <v>2</v>
      </c>
      <c r="J225" s="33"/>
    </row>
    <row r="226" spans="1:14" s="34" customFormat="1" x14ac:dyDescent="0.3">
      <c r="A226" s="92">
        <f t="shared" si="18"/>
        <v>4</v>
      </c>
      <c r="B226" s="93"/>
      <c r="C226" s="39" t="s">
        <v>246</v>
      </c>
      <c r="D226" s="50">
        <f>('Tower A'!N115)*10.764</f>
        <v>2087.7810267600007</v>
      </c>
      <c r="E226" s="39">
        <v>0</v>
      </c>
      <c r="F226" s="39">
        <f>D226*(($F$140)+1)+(IF(E226&lt;101,E226,IF(E226&lt;201,E226/2,IF(E226&lt;=301,E226/3,E226/4))))</f>
        <v>3131.6715401400011</v>
      </c>
      <c r="G226" s="118"/>
      <c r="H226" s="119"/>
      <c r="I226" s="33"/>
      <c r="L226" s="91"/>
      <c r="M226" s="91"/>
      <c r="N226" s="33"/>
    </row>
    <row r="227" spans="1:14" s="34" customFormat="1" x14ac:dyDescent="0.3">
      <c r="A227" s="94" t="s">
        <v>350</v>
      </c>
      <c r="B227" s="95"/>
      <c r="C227" s="95"/>
      <c r="D227" s="95"/>
      <c r="E227" s="95"/>
      <c r="F227" s="95"/>
      <c r="G227" s="95"/>
      <c r="H227" s="96"/>
      <c r="I227" s="33"/>
      <c r="L227" s="91"/>
      <c r="M227" s="91"/>
      <c r="N227" s="33"/>
    </row>
    <row r="228" spans="1:14" s="34" customFormat="1" x14ac:dyDescent="0.3">
      <c r="A228" s="92">
        <v>1</v>
      </c>
      <c r="B228" s="93"/>
      <c r="C228" s="39" t="s">
        <v>246</v>
      </c>
      <c r="D228" s="50">
        <f>('Tower A'!B141)*10.764</f>
        <v>2246.2336727999996</v>
      </c>
      <c r="E228" s="39">
        <v>0</v>
      </c>
      <c r="F228" s="39">
        <f>D228*(($F$140)+1)+(IF(E228&lt;101,E228,IF(E228&lt;201,E228/2,IF(E228&lt;=301,E228/3,E228/4))))</f>
        <v>3369.3505091999996</v>
      </c>
      <c r="G228" s="114" t="str">
        <f>A227</f>
        <v>29th &amp; 33rd Floor</v>
      </c>
      <c r="H228" s="115"/>
      <c r="I228" s="33"/>
      <c r="L228" s="91"/>
      <c r="M228" s="91"/>
      <c r="N228" s="33"/>
    </row>
    <row r="229" spans="1:14" s="34" customFormat="1" x14ac:dyDescent="0.3">
      <c r="A229" s="92">
        <f t="shared" ref="A229:A231" si="19">A228+1</f>
        <v>2</v>
      </c>
      <c r="B229" s="93"/>
      <c r="C229" s="39" t="s">
        <v>246</v>
      </c>
      <c r="D229" s="50">
        <f>('Tower A'!F114)*10.764</f>
        <v>2093.7826026000007</v>
      </c>
      <c r="E229" s="39">
        <v>0</v>
      </c>
      <c r="F229" s="39">
        <f>D229*(($F$140)+1)+(IF(E229&lt;101,E229,IF(E229&lt;201,E229/2,IF(E229&lt;=301,E229/3,E229/4))))</f>
        <v>3140.6739039000013</v>
      </c>
      <c r="G229" s="116"/>
      <c r="H229" s="117"/>
      <c r="I229" s="33"/>
      <c r="L229" s="91"/>
      <c r="M229" s="91"/>
      <c r="N229" s="33"/>
    </row>
    <row r="230" spans="1:14" s="34" customFormat="1" x14ac:dyDescent="0.3">
      <c r="A230" s="92">
        <f t="shared" si="19"/>
        <v>3</v>
      </c>
      <c r="B230" s="93"/>
      <c r="C230" s="39" t="s">
        <v>246</v>
      </c>
      <c r="D230" s="50">
        <f>('Tower A'!J141)*10.764</f>
        <v>2136.6782189999994</v>
      </c>
      <c r="E230" s="39">
        <v>0</v>
      </c>
      <c r="F230" s="39">
        <f>D230*(($F$140)+1)+(IF(E230&lt;101,E230,IF(E230&lt;201,E230/2,IF(E230&lt;=301,E230/3,E230/4))))</f>
        <v>3205.0173284999992</v>
      </c>
      <c r="G230" s="116"/>
      <c r="H230" s="117"/>
      <c r="I230" s="34">
        <v>1</v>
      </c>
      <c r="J230" s="33"/>
    </row>
    <row r="231" spans="1:14" s="34" customFormat="1" x14ac:dyDescent="0.3">
      <c r="A231" s="92">
        <f t="shared" si="19"/>
        <v>4</v>
      </c>
      <c r="B231" s="93"/>
      <c r="C231" s="39" t="s">
        <v>246</v>
      </c>
      <c r="D231" s="50">
        <f>('Tower A'!N142)*10.764</f>
        <v>2087.7810267600007</v>
      </c>
      <c r="E231" s="39">
        <v>0</v>
      </c>
      <c r="F231" s="39">
        <f>D231*(($F$140)+1)+(IF(E231&lt;101,E231,IF(E231&lt;201,E231/2,IF(E231&lt;=301,E231/3,E231/4))))</f>
        <v>3131.6715401400011</v>
      </c>
      <c r="G231" s="118"/>
      <c r="H231" s="119"/>
      <c r="I231" s="33"/>
      <c r="L231" s="91"/>
      <c r="M231" s="91"/>
      <c r="N231" s="33"/>
    </row>
    <row r="232" spans="1:14" s="34" customFormat="1" x14ac:dyDescent="0.3">
      <c r="A232" s="94" t="s">
        <v>250</v>
      </c>
      <c r="B232" s="95"/>
      <c r="C232" s="95"/>
      <c r="D232" s="95"/>
      <c r="E232" s="95"/>
      <c r="F232" s="95"/>
      <c r="G232" s="95"/>
      <c r="H232" s="96"/>
      <c r="I232" s="49"/>
      <c r="J232" s="49"/>
      <c r="L232" s="91"/>
      <c r="M232" s="91"/>
      <c r="N232" s="33"/>
    </row>
    <row r="233" spans="1:14" s="34" customFormat="1" x14ac:dyDescent="0.3">
      <c r="A233" s="92">
        <v>1</v>
      </c>
      <c r="B233" s="93"/>
      <c r="C233" s="92" t="s">
        <v>245</v>
      </c>
      <c r="D233" s="113"/>
      <c r="E233" s="113"/>
      <c r="F233" s="93"/>
      <c r="G233" s="114" t="str">
        <f>A232</f>
        <v>30th Floor (Part Refuge Area)</v>
      </c>
      <c r="H233" s="115"/>
      <c r="I233" s="49"/>
      <c r="J233" s="49"/>
      <c r="L233" s="91"/>
      <c r="M233" s="91"/>
      <c r="N233" s="33"/>
    </row>
    <row r="234" spans="1:14" s="34" customFormat="1" x14ac:dyDescent="0.3">
      <c r="A234" s="92">
        <f t="shared" ref="A234:A236" si="20">A233+1</f>
        <v>2</v>
      </c>
      <c r="B234" s="93"/>
      <c r="C234" s="39" t="s">
        <v>246</v>
      </c>
      <c r="D234" s="50">
        <f>('Tower A'!R114)*10.764</f>
        <v>2093.7826026000007</v>
      </c>
      <c r="E234" s="39">
        <v>0</v>
      </c>
      <c r="F234" s="39">
        <f>D234*(($F$140)+1)+(IF(E234&lt;101,E234,IF(E234&lt;201,E234/2,IF(E234&lt;=301,E234/3,E234/4))))</f>
        <v>3140.6739039000013</v>
      </c>
      <c r="G234" s="116"/>
      <c r="H234" s="117"/>
      <c r="I234" s="49"/>
      <c r="J234" s="49"/>
      <c r="L234" s="91"/>
      <c r="M234" s="91"/>
      <c r="N234" s="33"/>
    </row>
    <row r="235" spans="1:14" s="34" customFormat="1" x14ac:dyDescent="0.3">
      <c r="A235" s="92">
        <f t="shared" si="20"/>
        <v>3</v>
      </c>
      <c r="B235" s="93"/>
      <c r="C235" s="39" t="s">
        <v>246</v>
      </c>
      <c r="D235" s="50">
        <f>('Tower A'!V114)*10.764</f>
        <v>2240.0126189999992</v>
      </c>
      <c r="E235" s="39">
        <v>0</v>
      </c>
      <c r="F235" s="39">
        <f>D235*(($F$140)+1)+(IF(E235&lt;101,E235,IF(E235&lt;201,E235/2,IF(E235&lt;=301,E235/3,E235/4))))</f>
        <v>3360.0189284999988</v>
      </c>
      <c r="G235" s="116"/>
      <c r="H235" s="117"/>
      <c r="I235" s="34">
        <v>1</v>
      </c>
      <c r="J235" s="33"/>
    </row>
    <row r="236" spans="1:14" s="34" customFormat="1" x14ac:dyDescent="0.3">
      <c r="A236" s="92">
        <f t="shared" si="20"/>
        <v>4</v>
      </c>
      <c r="B236" s="93"/>
      <c r="C236" s="39" t="s">
        <v>246</v>
      </c>
      <c r="D236" s="50">
        <f>('Tower A'!Z115)*10.764</f>
        <v>2087.7810267600007</v>
      </c>
      <c r="E236" s="39">
        <v>0</v>
      </c>
      <c r="F236" s="39">
        <f>D236*(($F$140)+1)+(IF(E236&lt;101,E236,IF(E236&lt;201,E236/2,IF(E236&lt;=301,E236/3,E236/4))))</f>
        <v>3131.6715401400011</v>
      </c>
      <c r="G236" s="118"/>
      <c r="H236" s="119"/>
      <c r="I236" s="33"/>
      <c r="L236" s="91"/>
      <c r="M236" s="91"/>
      <c r="N236" s="33"/>
    </row>
    <row r="237" spans="1:14" s="34" customFormat="1" x14ac:dyDescent="0.3">
      <c r="A237" s="94" t="s">
        <v>351</v>
      </c>
      <c r="B237" s="95"/>
      <c r="C237" s="95"/>
      <c r="D237" s="95"/>
      <c r="E237" s="95"/>
      <c r="F237" s="95"/>
      <c r="G237" s="95"/>
      <c r="H237" s="96"/>
      <c r="I237" s="33"/>
      <c r="L237" s="91"/>
      <c r="M237" s="91"/>
      <c r="N237" s="33"/>
    </row>
    <row r="238" spans="1:14" s="34" customFormat="1" x14ac:dyDescent="0.3">
      <c r="A238" s="92">
        <v>1</v>
      </c>
      <c r="B238" s="93"/>
      <c r="C238" s="39" t="s">
        <v>246</v>
      </c>
      <c r="D238" s="50">
        <f>('Tower A'!B114)*10.764</f>
        <v>2246.2336727999996</v>
      </c>
      <c r="E238" s="39">
        <v>0</v>
      </c>
      <c r="F238" s="39">
        <f>D238*(($F$140)+1)+(IF(E238&lt;101,E238,IF(E238&lt;201,E238/2,IF(E238&lt;=301,E238/3,E238/4))))</f>
        <v>3369.3505091999996</v>
      </c>
      <c r="G238" s="114" t="str">
        <f>A237</f>
        <v>31st Floor</v>
      </c>
      <c r="H238" s="115"/>
      <c r="I238" s="33"/>
      <c r="L238" s="91"/>
      <c r="M238" s="91"/>
      <c r="N238" s="33"/>
    </row>
    <row r="239" spans="1:14" s="34" customFormat="1" x14ac:dyDescent="0.3">
      <c r="A239" s="92">
        <f t="shared" ref="A239:A241" si="21">A238+1</f>
        <v>2</v>
      </c>
      <c r="B239" s="93"/>
      <c r="C239" s="39" t="s">
        <v>246</v>
      </c>
      <c r="D239" s="50">
        <f>('Tower A'!F114)*10.764</f>
        <v>2093.7826026000007</v>
      </c>
      <c r="E239" s="39">
        <v>0</v>
      </c>
      <c r="F239" s="39">
        <f>D239*(($F$140)+1)+(IF(E239&lt;101,E239,IF(E239&lt;201,E239/2,IF(E239&lt;=301,E239/3,E239/4))))</f>
        <v>3140.6739039000013</v>
      </c>
      <c r="G239" s="116"/>
      <c r="H239" s="117"/>
      <c r="I239" s="33"/>
      <c r="L239" s="91"/>
      <c r="M239" s="91"/>
      <c r="N239" s="33"/>
    </row>
    <row r="240" spans="1:14" s="34" customFormat="1" x14ac:dyDescent="0.3">
      <c r="A240" s="92">
        <f t="shared" si="21"/>
        <v>3</v>
      </c>
      <c r="B240" s="93"/>
      <c r="C240" s="39" t="s">
        <v>246</v>
      </c>
      <c r="D240" s="50">
        <f>('Tower A'!J114)*10.764</f>
        <v>2240.0126189999992</v>
      </c>
      <c r="E240" s="39">
        <v>0</v>
      </c>
      <c r="F240" s="39">
        <f>D240*(($F$140)+1)+(IF(E240&lt;101,E240,IF(E240&lt;201,E240/2,IF(E240&lt;=301,E240/3,E240/4))))</f>
        <v>3360.0189284999988</v>
      </c>
      <c r="G240" s="116"/>
      <c r="H240" s="117"/>
      <c r="I240" s="34">
        <v>4</v>
      </c>
      <c r="J240" s="33"/>
    </row>
    <row r="241" spans="1:14" s="34" customFormat="1" x14ac:dyDescent="0.3">
      <c r="A241" s="92">
        <f t="shared" si="21"/>
        <v>4</v>
      </c>
      <c r="B241" s="93"/>
      <c r="C241" s="39" t="s">
        <v>246</v>
      </c>
      <c r="D241" s="50">
        <f>('Tower A'!N115)*10.764</f>
        <v>2087.7810267600007</v>
      </c>
      <c r="E241" s="39">
        <v>0</v>
      </c>
      <c r="F241" s="39">
        <f>D241*(($F$140)+1)+(IF(E241&lt;101,E241,IF(E241&lt;201,E241/2,IF(E241&lt;=301,E241/3,E241/4))))</f>
        <v>3131.6715401400011</v>
      </c>
      <c r="G241" s="118"/>
      <c r="H241" s="119"/>
      <c r="I241" s="33"/>
      <c r="L241" s="91"/>
      <c r="M241" s="91"/>
      <c r="N241" s="33"/>
    </row>
    <row r="242" spans="1:14" s="34" customFormat="1" x14ac:dyDescent="0.3">
      <c r="A242" s="94" t="s">
        <v>352</v>
      </c>
      <c r="B242" s="95"/>
      <c r="C242" s="95"/>
      <c r="D242" s="95"/>
      <c r="E242" s="95"/>
      <c r="F242" s="95"/>
      <c r="G242" s="95"/>
      <c r="H242" s="96"/>
      <c r="I242" s="33"/>
      <c r="L242" s="91"/>
      <c r="M242" s="91"/>
      <c r="N242" s="33"/>
    </row>
    <row r="243" spans="1:14" s="34" customFormat="1" x14ac:dyDescent="0.3">
      <c r="A243" s="92">
        <v>1</v>
      </c>
      <c r="B243" s="93"/>
      <c r="C243" s="39" t="s">
        <v>246</v>
      </c>
      <c r="D243" s="50">
        <f>('Tower A'!S58)*10.764</f>
        <v>2153.2327127999997</v>
      </c>
      <c r="E243" s="39">
        <v>0</v>
      </c>
      <c r="F243" s="39">
        <f>D243*(($F$140)+1)+(IF(E243&lt;101,E243,IF(E243&lt;201,E243/2,IF(E243&lt;=301,E243/3,E243/4))))</f>
        <v>3229.8490691999996</v>
      </c>
      <c r="G243" s="114" t="str">
        <f>A242</f>
        <v>32nd, 34th, 35th &amp; 36th Floor</v>
      </c>
      <c r="H243" s="115"/>
      <c r="I243" s="33"/>
      <c r="L243" s="91"/>
      <c r="M243" s="91"/>
      <c r="N243" s="33"/>
    </row>
    <row r="244" spans="1:14" s="34" customFormat="1" x14ac:dyDescent="0.3">
      <c r="A244" s="92">
        <f t="shared" ref="A244:A246" si="22">A243+1</f>
        <v>2</v>
      </c>
      <c r="B244" s="93"/>
      <c r="C244" s="39" t="s">
        <v>246</v>
      </c>
      <c r="D244" s="50">
        <f>('Tower A'!F114)*10.764</f>
        <v>2093.7826026000007</v>
      </c>
      <c r="E244" s="39">
        <v>0</v>
      </c>
      <c r="F244" s="39">
        <f>D244*(($F$140)+1)+(IF(E244&lt;101,E244,IF(E244&lt;201,E244/2,IF(E244&lt;=301,E244/3,E244/4))))</f>
        <v>3140.6739039000013</v>
      </c>
      <c r="G244" s="116"/>
      <c r="H244" s="117"/>
      <c r="I244" s="33"/>
      <c r="L244" s="91"/>
      <c r="M244" s="91"/>
      <c r="N244" s="33"/>
    </row>
    <row r="245" spans="1:14" customFormat="1" x14ac:dyDescent="0.3">
      <c r="A245" s="92">
        <f t="shared" si="22"/>
        <v>3</v>
      </c>
      <c r="B245" s="93"/>
      <c r="C245" s="39" t="s">
        <v>246</v>
      </c>
      <c r="D245" s="50">
        <f>('Tower A'!J114)*10.764</f>
        <v>2240.0126189999992</v>
      </c>
      <c r="E245" s="39">
        <v>0</v>
      </c>
      <c r="F245" s="39">
        <f>D245*(($F$140)+1)+(IF(E245&lt;101,E245,IF(E245&lt;201,E245/2,IF(E245&lt;=301,E245/3,E245/4))))</f>
        <v>3360.0189284999988</v>
      </c>
      <c r="G245" s="116"/>
      <c r="H245" s="117"/>
      <c r="I245" s="49"/>
      <c r="J245" s="49"/>
    </row>
    <row r="246" spans="1:14" s="34" customFormat="1" x14ac:dyDescent="0.3">
      <c r="A246" s="92">
        <f t="shared" si="22"/>
        <v>4</v>
      </c>
      <c r="B246" s="93"/>
      <c r="C246" s="39" t="s">
        <v>246</v>
      </c>
      <c r="D246" s="50">
        <f>('Tower A'!N115)*10.764</f>
        <v>2087.7810267600007</v>
      </c>
      <c r="E246" s="39">
        <v>0</v>
      </c>
      <c r="F246" s="39">
        <f>D246*(($F$140)+1)+(IF(E246&lt;101,E246,IF(E246&lt;201,E246/2,IF(E246&lt;=301,E246/3,E246/4))))</f>
        <v>3131.6715401400011</v>
      </c>
      <c r="G246" s="118"/>
      <c r="H246" s="119"/>
      <c r="I246" s="49">
        <v>1</v>
      </c>
      <c r="J246" s="49"/>
    </row>
    <row r="247" spans="1:14" s="34" customFormat="1" x14ac:dyDescent="0.3">
      <c r="A247" s="122" t="s">
        <v>259</v>
      </c>
      <c r="B247" s="123"/>
      <c r="C247" s="123"/>
      <c r="D247" s="123"/>
      <c r="E247" s="123"/>
      <c r="F247" s="123"/>
      <c r="G247" s="123"/>
      <c r="H247" s="123"/>
      <c r="I247" s="49"/>
      <c r="J247" s="49"/>
      <c r="L247" s="91"/>
      <c r="M247" s="91"/>
      <c r="N247" s="33"/>
    </row>
    <row r="248" spans="1:14" s="34" customFormat="1" x14ac:dyDescent="0.3">
      <c r="A248" s="94" t="s">
        <v>252</v>
      </c>
      <c r="B248" s="95"/>
      <c r="C248" s="95"/>
      <c r="D248" s="95"/>
      <c r="E248" s="95"/>
      <c r="F248" s="95"/>
      <c r="G248" s="95"/>
      <c r="H248" s="96"/>
      <c r="I248" s="33"/>
      <c r="L248" s="91"/>
      <c r="M248" s="91"/>
      <c r="N248" s="33"/>
    </row>
    <row r="249" spans="1:14" s="34" customFormat="1" x14ac:dyDescent="0.3">
      <c r="A249" s="92">
        <v>1</v>
      </c>
      <c r="B249" s="93"/>
      <c r="C249" s="92" t="s">
        <v>245</v>
      </c>
      <c r="D249" s="113"/>
      <c r="E249" s="113"/>
      <c r="F249" s="93"/>
      <c r="G249" s="114" t="str">
        <f>A248</f>
        <v>37th Floor (Part Refuge Area)</v>
      </c>
      <c r="H249" s="115"/>
      <c r="I249" s="33"/>
      <c r="L249" s="33"/>
      <c r="N249" s="33"/>
    </row>
    <row r="250" spans="1:14" s="34" customFormat="1" x14ac:dyDescent="0.3">
      <c r="A250" s="92">
        <f t="shared" ref="A250:A252" si="23">A249+1</f>
        <v>2</v>
      </c>
      <c r="B250" s="93"/>
      <c r="C250" s="39" t="s">
        <v>246</v>
      </c>
      <c r="D250" s="50">
        <f>('Tower A'!R114)*10.764</f>
        <v>2093.7826026000007</v>
      </c>
      <c r="E250" s="39">
        <v>0</v>
      </c>
      <c r="F250" s="39">
        <f>D250*(($F$140)+1)+(IF(E250&lt;101,E250,IF(E250&lt;201,E250/2,IF(E250&lt;=301,E250/3,E250/4))))</f>
        <v>3140.6739039000013</v>
      </c>
      <c r="G250" s="116"/>
      <c r="H250" s="117"/>
      <c r="I250" s="33"/>
      <c r="L250" s="91"/>
      <c r="M250" s="91"/>
      <c r="N250" s="33"/>
    </row>
    <row r="251" spans="1:14" s="34" customFormat="1" x14ac:dyDescent="0.3">
      <c r="A251" s="92">
        <f t="shared" si="23"/>
        <v>3</v>
      </c>
      <c r="B251" s="93"/>
      <c r="C251" s="39" t="s">
        <v>246</v>
      </c>
      <c r="D251" s="50">
        <f>('Tower A'!V114)*10.764</f>
        <v>2240.0126189999992</v>
      </c>
      <c r="E251" s="39">
        <v>0</v>
      </c>
      <c r="F251" s="39">
        <f>D251*(($F$140)+1)+(IF(E251&lt;101,E251,IF(E251&lt;201,E251/2,IF(E251&lt;=301,E251/3,E251/4))))</f>
        <v>3360.0189284999988</v>
      </c>
      <c r="G251" s="116"/>
      <c r="H251" s="117"/>
      <c r="I251" s="34">
        <v>1</v>
      </c>
      <c r="J251" s="33"/>
    </row>
    <row r="252" spans="1:14" s="34" customFormat="1" x14ac:dyDescent="0.3">
      <c r="A252" s="92">
        <f t="shared" si="23"/>
        <v>4</v>
      </c>
      <c r="B252" s="93"/>
      <c r="C252" s="39" t="s">
        <v>246</v>
      </c>
      <c r="D252" s="50">
        <f>('Tower A'!Z115)*10.764</f>
        <v>2087.7810267600007</v>
      </c>
      <c r="E252" s="39">
        <v>0</v>
      </c>
      <c r="F252" s="39">
        <f>D252*(($F$140)+1)+(IF(E252&lt;101,E252,IF(E252&lt;201,E252/2,IF(E252&lt;=301,E252/3,E252/4))))</f>
        <v>3131.6715401400011</v>
      </c>
      <c r="G252" s="118"/>
      <c r="H252" s="119"/>
      <c r="I252" s="33"/>
      <c r="L252" s="33"/>
      <c r="N252" s="33"/>
    </row>
    <row r="253" spans="1:14" s="34" customFormat="1" x14ac:dyDescent="0.3">
      <c r="A253" s="94" t="s">
        <v>253</v>
      </c>
      <c r="B253" s="95"/>
      <c r="C253" s="95"/>
      <c r="D253" s="95"/>
      <c r="E253" s="95"/>
      <c r="F253" s="95"/>
      <c r="G253" s="95"/>
      <c r="H253" s="96"/>
      <c r="I253" s="33"/>
      <c r="L253" s="91"/>
      <c r="M253" s="91"/>
      <c r="N253" s="33"/>
    </row>
    <row r="254" spans="1:14" s="34" customFormat="1" x14ac:dyDescent="0.3">
      <c r="A254" s="92">
        <v>1</v>
      </c>
      <c r="B254" s="93"/>
      <c r="C254" s="39" t="s">
        <v>246</v>
      </c>
      <c r="D254" s="50">
        <f>('Tower A'!S143)*10.764</f>
        <v>2153.2327127999997</v>
      </c>
      <c r="E254" s="39">
        <v>0</v>
      </c>
      <c r="F254" s="39">
        <f>D254*(($F$140)+1)+(IF(E254&lt;101,E254,IF(E254&lt;201,E254/2,IF(E254&lt;=301,E254/3,E254/4))))</f>
        <v>3229.8490691999996</v>
      </c>
      <c r="G254" s="114" t="str">
        <f>A253</f>
        <v>38th Floor</v>
      </c>
      <c r="H254" s="115"/>
      <c r="I254" s="33"/>
      <c r="L254" s="91"/>
      <c r="M254" s="91"/>
      <c r="N254" s="33"/>
    </row>
    <row r="255" spans="1:14" s="34" customFormat="1" x14ac:dyDescent="0.3">
      <c r="A255" s="92">
        <f t="shared" ref="A255:A257" si="24">A254+1</f>
        <v>2</v>
      </c>
      <c r="B255" s="93"/>
      <c r="C255" s="39" t="s">
        <v>246</v>
      </c>
      <c r="D255" s="50">
        <f>('Tower A'!W143)*10.764</f>
        <v>2093.7826026000007</v>
      </c>
      <c r="E255" s="39">
        <v>0</v>
      </c>
      <c r="F255" s="39">
        <f>D255*(($F$140)+1)+(IF(E255&lt;101,E255,IF(E255&lt;201,E255/2,IF(E255&lt;=301,E255/3,E255/4))))</f>
        <v>3140.6739039000013</v>
      </c>
      <c r="G255" s="116"/>
      <c r="H255" s="117"/>
      <c r="I255" s="33"/>
      <c r="L255" s="91"/>
      <c r="M255" s="91"/>
      <c r="N255" s="33"/>
    </row>
    <row r="256" spans="1:14" s="34" customFormat="1" x14ac:dyDescent="0.3">
      <c r="A256" s="92">
        <f t="shared" si="24"/>
        <v>3</v>
      </c>
      <c r="B256" s="93"/>
      <c r="C256" s="39" t="s">
        <v>246</v>
      </c>
      <c r="D256" s="50">
        <f>('Tower A'!AA143)*10.764</f>
        <v>2240.0126189999992</v>
      </c>
      <c r="E256" s="39">
        <v>0</v>
      </c>
      <c r="F256" s="39">
        <f>D256*(($F$140)+1)+(IF(E256&lt;101,E256,IF(E256&lt;201,E256/2,IF(E256&lt;=301,E256/3,E256/4))))</f>
        <v>3360.0189284999988</v>
      </c>
      <c r="G256" s="116"/>
      <c r="H256" s="117"/>
      <c r="I256" s="34">
        <v>8</v>
      </c>
      <c r="J256" s="33"/>
    </row>
    <row r="257" spans="1:14" s="34" customFormat="1" x14ac:dyDescent="0.3">
      <c r="A257" s="92">
        <f t="shared" si="24"/>
        <v>4</v>
      </c>
      <c r="B257" s="93"/>
      <c r="C257" s="39" t="s">
        <v>246</v>
      </c>
      <c r="D257" s="50">
        <f>('Tower A'!AE142)*10.764</f>
        <v>2087.7810267600007</v>
      </c>
      <c r="E257" s="39">
        <v>0</v>
      </c>
      <c r="F257" s="39">
        <f>D257*(($F$140)+1)+(IF(E257&lt;101,E257,IF(E257&lt;201,E257/2,IF(E257&lt;=301,E257/3,E257/4))))</f>
        <v>3131.6715401400011</v>
      </c>
      <c r="G257" s="118"/>
      <c r="H257" s="119"/>
      <c r="I257" s="33"/>
      <c r="L257" s="91"/>
      <c r="M257" s="91"/>
      <c r="N257" s="33"/>
    </row>
    <row r="258" spans="1:14" s="34" customFormat="1" x14ac:dyDescent="0.3">
      <c r="A258" s="94" t="s">
        <v>356</v>
      </c>
      <c r="B258" s="95"/>
      <c r="C258" s="95"/>
      <c r="D258" s="95"/>
      <c r="E258" s="95"/>
      <c r="F258" s="95"/>
      <c r="G258" s="95"/>
      <c r="H258" s="96"/>
      <c r="I258" s="33"/>
      <c r="L258" s="91"/>
      <c r="M258" s="91"/>
      <c r="N258" s="33"/>
    </row>
    <row r="259" spans="1:14" s="34" customFormat="1" x14ac:dyDescent="0.3">
      <c r="A259" s="92">
        <v>1</v>
      </c>
      <c r="B259" s="93"/>
      <c r="C259" s="39" t="s">
        <v>246</v>
      </c>
      <c r="D259" s="50">
        <f>('Tower A'!B168)*10.764</f>
        <v>2246.2336727999996</v>
      </c>
      <c r="E259" s="39">
        <v>0</v>
      </c>
      <c r="F259" s="39">
        <f>D259*(($F$140)+1)+(IF(E259&lt;101,E259,IF(E259&lt;201,E259/2,IF(E259&lt;=301,E259/3,E259/4))))</f>
        <v>3369.3505091999996</v>
      </c>
      <c r="G259" s="114" t="str">
        <f>A258</f>
        <v>39th, 40th, 41st, 42nd, 46th, 47th, 49th &amp; 50th Floor</v>
      </c>
      <c r="H259" s="115"/>
      <c r="I259" s="33"/>
      <c r="L259" s="33"/>
      <c r="N259" s="33"/>
    </row>
    <row r="260" spans="1:14" s="34" customFormat="1" x14ac:dyDescent="0.3">
      <c r="A260" s="92">
        <f t="shared" ref="A260:A262" si="25">A259+1</f>
        <v>2</v>
      </c>
      <c r="B260" s="93"/>
      <c r="C260" s="39" t="s">
        <v>246</v>
      </c>
      <c r="D260" s="50">
        <f>('Tower A'!F168)*10.764</f>
        <v>2093.7826026000007</v>
      </c>
      <c r="E260" s="39">
        <v>0</v>
      </c>
      <c r="F260" s="39">
        <f>D260*(($F$140)+1)+(IF(E260&lt;101,E260,IF(E260&lt;201,E260/2,IF(E260&lt;=301,E260/3,E260/4))))</f>
        <v>3140.6739039000013</v>
      </c>
      <c r="G260" s="116"/>
      <c r="H260" s="117"/>
      <c r="I260" s="33"/>
      <c r="L260" s="91"/>
      <c r="M260" s="91"/>
      <c r="N260" s="33"/>
    </row>
    <row r="261" spans="1:14" s="34" customFormat="1" x14ac:dyDescent="0.3">
      <c r="A261" s="92">
        <f t="shared" si="25"/>
        <v>3</v>
      </c>
      <c r="B261" s="93"/>
      <c r="C261" s="39" t="s">
        <v>246</v>
      </c>
      <c r="D261" s="50">
        <f>('Tower A'!J168)*10.764</f>
        <v>2240.0126189999992</v>
      </c>
      <c r="E261" s="39">
        <v>0</v>
      </c>
      <c r="F261" s="39">
        <f>D261*(($F$140)+1)+(IF(E261&lt;101,E261,IF(E261&lt;201,E261/2,IF(E261&lt;=301,E261/3,E261/4))))</f>
        <v>3360.0189284999988</v>
      </c>
      <c r="G261" s="116"/>
      <c r="H261" s="117"/>
      <c r="I261" s="34">
        <v>2</v>
      </c>
      <c r="J261" s="33"/>
    </row>
    <row r="262" spans="1:14" s="34" customFormat="1" x14ac:dyDescent="0.3">
      <c r="A262" s="92">
        <f t="shared" si="25"/>
        <v>4</v>
      </c>
      <c r="B262" s="93"/>
      <c r="C262" s="39" t="s">
        <v>246</v>
      </c>
      <c r="D262" s="50">
        <f>('Tower A'!N169)*10.764</f>
        <v>2087.7810267600007</v>
      </c>
      <c r="E262" s="39">
        <v>0</v>
      </c>
      <c r="F262" s="39">
        <f>D262*(($F$140)+1)+(IF(E262&lt;101,E262,IF(E262&lt;201,E262/2,IF(E262&lt;=301,E262/3,E262/4))))</f>
        <v>3131.6715401400011</v>
      </c>
      <c r="G262" s="118"/>
      <c r="H262" s="119"/>
      <c r="I262" s="33"/>
      <c r="L262" s="91"/>
      <c r="M262" s="91"/>
      <c r="N262" s="33"/>
    </row>
    <row r="263" spans="1:14" s="34" customFormat="1" x14ac:dyDescent="0.3">
      <c r="A263" s="120" t="s">
        <v>358</v>
      </c>
      <c r="B263" s="120"/>
      <c r="C263" s="120"/>
      <c r="D263" s="120"/>
      <c r="E263" s="120"/>
      <c r="F263" s="120"/>
      <c r="G263" s="120"/>
      <c r="H263" s="120"/>
      <c r="I263" s="33"/>
      <c r="L263" s="91"/>
      <c r="M263" s="91"/>
      <c r="N263" s="33"/>
    </row>
    <row r="264" spans="1:14" s="34" customFormat="1" x14ac:dyDescent="0.3">
      <c r="A264" s="121">
        <v>1</v>
      </c>
      <c r="B264" s="121"/>
      <c r="C264" s="39" t="s">
        <v>246</v>
      </c>
      <c r="D264" s="50">
        <f>('Tower A'!B141)*10.764</f>
        <v>2246.2336727999996</v>
      </c>
      <c r="E264" s="39">
        <v>0</v>
      </c>
      <c r="F264" s="39">
        <f>D264*(($F$140)+1)+(IF(E264&lt;101,E264,IF(E264&lt;201,E264/2,IF(E264&lt;=301,E264/3,E264/4))))</f>
        <v>3369.3505091999996</v>
      </c>
      <c r="G264" s="121" t="str">
        <f>A263</f>
        <v xml:space="preserve"> 43rd &amp; 48th Floor</v>
      </c>
      <c r="H264" s="121"/>
      <c r="I264" s="33"/>
      <c r="L264" s="91"/>
      <c r="M264" s="91"/>
      <c r="N264" s="33"/>
    </row>
    <row r="265" spans="1:14" s="34" customFormat="1" x14ac:dyDescent="0.3">
      <c r="A265" s="121">
        <f t="shared" ref="A265:A267" si="26">A264+1</f>
        <v>2</v>
      </c>
      <c r="B265" s="121"/>
      <c r="C265" s="39" t="s">
        <v>246</v>
      </c>
      <c r="D265" s="50">
        <f>('Tower A'!F141)*10.764</f>
        <v>2093.7826026000007</v>
      </c>
      <c r="E265" s="39">
        <v>0</v>
      </c>
      <c r="F265" s="39">
        <f>D265*(($F$140)+1)+(IF(E265&lt;101,E265,IF(E265&lt;201,E265/2,IF(E265&lt;=301,E265/3,E265/4))))</f>
        <v>3140.6739039000013</v>
      </c>
      <c r="G265" s="121"/>
      <c r="H265" s="121"/>
      <c r="I265" s="33"/>
      <c r="L265" s="91"/>
      <c r="M265" s="91"/>
      <c r="N265" s="33"/>
    </row>
    <row r="266" spans="1:14" s="34" customFormat="1" x14ac:dyDescent="0.3">
      <c r="A266" s="121">
        <f t="shared" si="26"/>
        <v>3</v>
      </c>
      <c r="B266" s="121"/>
      <c r="C266" s="39" t="s">
        <v>246</v>
      </c>
      <c r="D266" s="50">
        <f>('Tower A'!J141)*10.764</f>
        <v>2136.6782189999994</v>
      </c>
      <c r="E266" s="39">
        <v>0</v>
      </c>
      <c r="F266" s="39">
        <f>D266*(($F$140)+1)+(IF(E266&lt;101,E266,IF(E266&lt;201,E266/2,IF(E266&lt;=301,E266/3,E266/4))))</f>
        <v>3205.0173284999992</v>
      </c>
      <c r="G266" s="121"/>
      <c r="H266" s="121"/>
      <c r="I266" s="34">
        <v>1</v>
      </c>
      <c r="J266" s="33"/>
    </row>
    <row r="267" spans="1:14" s="34" customFormat="1" x14ac:dyDescent="0.3">
      <c r="A267" s="121">
        <f t="shared" si="26"/>
        <v>4</v>
      </c>
      <c r="B267" s="121"/>
      <c r="C267" s="39" t="s">
        <v>246</v>
      </c>
      <c r="D267" s="50">
        <f>('Tower A'!N142)*10.764</f>
        <v>2087.7810267600007</v>
      </c>
      <c r="E267" s="39">
        <v>0</v>
      </c>
      <c r="F267" s="39">
        <f>D267*(($F$140)+1)+(IF(E267&lt;101,E267,IF(E267&lt;201,E267/2,IF(E267&lt;=301,E267/3,E267/4))))</f>
        <v>3131.6715401400011</v>
      </c>
      <c r="G267" s="121"/>
      <c r="H267" s="121"/>
      <c r="I267" s="33"/>
      <c r="L267" s="91"/>
      <c r="M267" s="91"/>
      <c r="N267" s="33"/>
    </row>
    <row r="268" spans="1:14" s="34" customFormat="1" x14ac:dyDescent="0.3">
      <c r="A268" s="94" t="s">
        <v>255</v>
      </c>
      <c r="B268" s="95"/>
      <c r="C268" s="95"/>
      <c r="D268" s="95"/>
      <c r="E268" s="95"/>
      <c r="F268" s="95"/>
      <c r="G268" s="95"/>
      <c r="H268" s="96"/>
      <c r="I268" s="33"/>
      <c r="L268" s="91"/>
      <c r="M268" s="91"/>
      <c r="N268" s="33"/>
    </row>
    <row r="269" spans="1:14" s="34" customFormat="1" x14ac:dyDescent="0.3">
      <c r="A269" s="92">
        <v>1</v>
      </c>
      <c r="B269" s="93"/>
      <c r="C269" s="92" t="s">
        <v>245</v>
      </c>
      <c r="D269" s="113"/>
      <c r="E269" s="113"/>
      <c r="F269" s="93"/>
      <c r="G269" s="114" t="str">
        <f>A268</f>
        <v>44th Floor (Part Refuge Area)</v>
      </c>
      <c r="H269" s="115"/>
      <c r="I269" s="33"/>
      <c r="L269" s="91"/>
      <c r="M269" s="91"/>
      <c r="N269" s="33"/>
    </row>
    <row r="270" spans="1:14" s="34" customFormat="1" x14ac:dyDescent="0.3">
      <c r="A270" s="92">
        <f t="shared" ref="A270:A272" si="27">A269+1</f>
        <v>2</v>
      </c>
      <c r="B270" s="93"/>
      <c r="C270" s="39" t="s">
        <v>246</v>
      </c>
      <c r="D270" s="50">
        <f>('Tower A'!R114)*10.764</f>
        <v>2093.7826026000007</v>
      </c>
      <c r="E270" s="39">
        <v>0</v>
      </c>
      <c r="F270" s="39">
        <f>D270*(($F$140)+1)+(IF(E270&lt;101,E270,IF(E270&lt;201,E270/2,IF(E270&lt;=301,E270/3,E270/4))))</f>
        <v>3140.6739039000013</v>
      </c>
      <c r="G270" s="116"/>
      <c r="H270" s="117"/>
      <c r="I270" s="33"/>
      <c r="L270" s="91"/>
      <c r="M270" s="91"/>
      <c r="N270" s="33"/>
    </row>
    <row r="271" spans="1:14" s="34" customFormat="1" x14ac:dyDescent="0.3">
      <c r="A271" s="92">
        <f t="shared" si="27"/>
        <v>3</v>
      </c>
      <c r="B271" s="93"/>
      <c r="C271" s="39" t="s">
        <v>246</v>
      </c>
      <c r="D271" s="50">
        <f>('Tower A'!V114)*10.764</f>
        <v>2240.0126189999992</v>
      </c>
      <c r="E271" s="39">
        <v>0</v>
      </c>
      <c r="F271" s="39">
        <f>D271*(($F$140)+1)+(IF(E271&lt;101,E271,IF(E271&lt;201,E271/2,IF(E271&lt;=301,E271/3,E271/4))))</f>
        <v>3360.0189284999988</v>
      </c>
      <c r="G271" s="116"/>
      <c r="H271" s="117"/>
      <c r="I271" s="34">
        <v>1</v>
      </c>
      <c r="J271" s="33"/>
    </row>
    <row r="272" spans="1:14" s="34" customFormat="1" x14ac:dyDescent="0.3">
      <c r="A272" s="92">
        <f t="shared" si="27"/>
        <v>4</v>
      </c>
      <c r="B272" s="93"/>
      <c r="C272" s="39" t="s">
        <v>246</v>
      </c>
      <c r="D272" s="50">
        <f>('Tower A'!Z115)*10.764</f>
        <v>2087.7810267600007</v>
      </c>
      <c r="E272" s="39">
        <v>0</v>
      </c>
      <c r="F272" s="39">
        <f>D272*(($F$140)+1)+(IF(E272&lt;101,E272,IF(E272&lt;201,E272/2,IF(E272&lt;=301,E272/3,E272/4))))</f>
        <v>3131.6715401400011</v>
      </c>
      <c r="G272" s="118"/>
      <c r="H272" s="119"/>
      <c r="I272" s="33"/>
      <c r="L272" s="91"/>
      <c r="M272" s="91"/>
      <c r="N272" s="33"/>
    </row>
    <row r="273" spans="1:14" s="34" customFormat="1" x14ac:dyDescent="0.3">
      <c r="A273" s="94" t="s">
        <v>361</v>
      </c>
      <c r="B273" s="95"/>
      <c r="C273" s="95"/>
      <c r="D273" s="95"/>
      <c r="E273" s="95"/>
      <c r="F273" s="95"/>
      <c r="G273" s="95"/>
      <c r="H273" s="96"/>
      <c r="I273" s="33"/>
      <c r="L273" s="91"/>
      <c r="M273" s="91"/>
      <c r="N273" s="33"/>
    </row>
    <row r="274" spans="1:14" s="34" customFormat="1" x14ac:dyDescent="0.3">
      <c r="A274" s="92">
        <v>1</v>
      </c>
      <c r="B274" s="93"/>
      <c r="C274" s="39" t="s">
        <v>246</v>
      </c>
      <c r="D274" s="50">
        <f>('Tower A'!B168)*10.764</f>
        <v>2246.2336727999996</v>
      </c>
      <c r="E274" s="39">
        <v>0</v>
      </c>
      <c r="F274" s="39">
        <f>D274*(($F$140)+1)+(IF(E274&lt;101,E274,IF(E274&lt;201,E274/2,IF(E274&lt;=301,E274/3,E274/4))))</f>
        <v>3369.3505091999996</v>
      </c>
      <c r="G274" s="114" t="str">
        <f>A273</f>
        <v>45th Floor</v>
      </c>
      <c r="H274" s="115"/>
      <c r="I274" s="33"/>
      <c r="L274" s="33"/>
      <c r="N274" s="33"/>
    </row>
    <row r="275" spans="1:14" s="34" customFormat="1" x14ac:dyDescent="0.3">
      <c r="A275" s="92">
        <f t="shared" ref="A275:A277" si="28">A274+1</f>
        <v>2</v>
      </c>
      <c r="B275" s="93"/>
      <c r="C275" s="39" t="s">
        <v>246</v>
      </c>
      <c r="D275" s="50">
        <f>('Tower A'!F168)*10.764</f>
        <v>2093.7826026000007</v>
      </c>
      <c r="E275" s="39">
        <v>0</v>
      </c>
      <c r="F275" s="39">
        <f>D275*(($F$140)+1)+(IF(E275&lt;101,E275,IF(E275&lt;201,E275/2,IF(E275&lt;=301,E275/3,E275/4))))</f>
        <v>3140.6739039000013</v>
      </c>
      <c r="G275" s="116"/>
      <c r="H275" s="117"/>
      <c r="I275" s="33"/>
      <c r="L275" s="91"/>
      <c r="M275" s="91"/>
      <c r="N275" s="33"/>
    </row>
    <row r="276" spans="1:14" s="34" customFormat="1" x14ac:dyDescent="0.3">
      <c r="A276" s="92">
        <f t="shared" si="28"/>
        <v>3</v>
      </c>
      <c r="B276" s="93"/>
      <c r="C276" s="39" t="s">
        <v>246</v>
      </c>
      <c r="D276" s="50">
        <f>('Tower A'!J168)*10.764</f>
        <v>2240.0126189999992</v>
      </c>
      <c r="E276" s="39">
        <v>0</v>
      </c>
      <c r="F276" s="39">
        <f>D276*(($F$140)+1)+(IF(E276&lt;101,E276,IF(E276&lt;201,E276/2,IF(E276&lt;=301,E276/3,E276/4))))</f>
        <v>3360.0189284999988</v>
      </c>
      <c r="G276" s="116"/>
      <c r="H276" s="117"/>
      <c r="I276" s="34">
        <v>1</v>
      </c>
      <c r="J276" s="33"/>
    </row>
    <row r="277" spans="1:14" s="34" customFormat="1" x14ac:dyDescent="0.3">
      <c r="A277" s="92">
        <f t="shared" si="28"/>
        <v>4</v>
      </c>
      <c r="B277" s="93"/>
      <c r="C277" s="39" t="s">
        <v>246</v>
      </c>
      <c r="D277" s="50">
        <f>('Tower A'!N169)*10.764</f>
        <v>2087.7810267600007</v>
      </c>
      <c r="E277" s="39">
        <v>0</v>
      </c>
      <c r="F277" s="39">
        <f>D277*(($F$140)+1)+(IF(E277&lt;101,E277,IF(E277&lt;201,E277/2,IF(E277&lt;=301,E277/3,E277/4))))</f>
        <v>3131.6715401400011</v>
      </c>
      <c r="G277" s="118"/>
      <c r="H277" s="119"/>
      <c r="I277" s="33"/>
      <c r="L277" s="91"/>
      <c r="M277" s="91"/>
      <c r="N277" s="33"/>
    </row>
    <row r="278" spans="1:14" s="34" customFormat="1" x14ac:dyDescent="0.3">
      <c r="A278" s="94" t="s">
        <v>256</v>
      </c>
      <c r="B278" s="95"/>
      <c r="C278" s="95"/>
      <c r="D278" s="95"/>
      <c r="E278" s="95"/>
      <c r="F278" s="95"/>
      <c r="G278" s="95"/>
      <c r="H278" s="96"/>
      <c r="I278" s="33"/>
      <c r="L278" s="91"/>
      <c r="M278" s="91"/>
      <c r="N278" s="33"/>
    </row>
    <row r="279" spans="1:14" s="34" customFormat="1" x14ac:dyDescent="0.3">
      <c r="A279" s="92">
        <v>1</v>
      </c>
      <c r="B279" s="93"/>
      <c r="C279" s="92" t="s">
        <v>245</v>
      </c>
      <c r="D279" s="113"/>
      <c r="E279" s="113"/>
      <c r="F279" s="93"/>
      <c r="G279" s="114" t="str">
        <f>A278</f>
        <v>51st Floor (Part Refuge Area)</v>
      </c>
      <c r="H279" s="115"/>
      <c r="I279" s="33"/>
      <c r="L279" s="91"/>
      <c r="M279" s="91"/>
      <c r="N279" s="33"/>
    </row>
    <row r="280" spans="1:14" s="34" customFormat="1" x14ac:dyDescent="0.3">
      <c r="A280" s="92">
        <f t="shared" ref="A280:A282" si="29">A279+1</f>
        <v>2</v>
      </c>
      <c r="B280" s="93"/>
      <c r="C280" s="39" t="s">
        <v>246</v>
      </c>
      <c r="D280" s="50">
        <f>('Tower A'!R114)*10.764</f>
        <v>2093.7826026000007</v>
      </c>
      <c r="E280" s="39">
        <v>0</v>
      </c>
      <c r="F280" s="39">
        <f>D280*(($F$140)+1)+(IF(E280&lt;101,E280,IF(E280&lt;201,E280/2,IF(E280&lt;=301,E280/3,E280/4))))</f>
        <v>3140.6739039000013</v>
      </c>
      <c r="G280" s="116"/>
      <c r="H280" s="117"/>
      <c r="I280" s="33"/>
      <c r="L280" s="91"/>
      <c r="M280" s="91"/>
      <c r="N280" s="33"/>
    </row>
    <row r="281" spans="1:14" s="34" customFormat="1" x14ac:dyDescent="0.3">
      <c r="A281" s="92">
        <f t="shared" si="29"/>
        <v>3</v>
      </c>
      <c r="B281" s="93"/>
      <c r="C281" s="39" t="s">
        <v>246</v>
      </c>
      <c r="D281" s="50">
        <f>('Tower A'!V114)*10.764</f>
        <v>2240.0126189999992</v>
      </c>
      <c r="E281" s="39">
        <v>0</v>
      </c>
      <c r="F281" s="39">
        <f>D281*(($F$140)+1)+(IF(E281&lt;101,E281,IF(E281&lt;201,E281/2,IF(E281&lt;=301,E281/3,E281/4))))</f>
        <v>3360.0189284999988</v>
      </c>
      <c r="G281" s="116"/>
      <c r="H281" s="117"/>
      <c r="I281" s="34">
        <v>1</v>
      </c>
      <c r="J281" s="33"/>
    </row>
    <row r="282" spans="1:14" s="34" customFormat="1" x14ac:dyDescent="0.3">
      <c r="A282" s="92">
        <f t="shared" si="29"/>
        <v>4</v>
      </c>
      <c r="B282" s="93"/>
      <c r="C282" s="39" t="s">
        <v>246</v>
      </c>
      <c r="D282" s="50">
        <f>('Tower A'!Z115)*10.764</f>
        <v>2087.7810267600007</v>
      </c>
      <c r="E282" s="39">
        <v>0</v>
      </c>
      <c r="F282" s="39">
        <f>D282*(($F$140)+1)+(IF(E282&lt;101,E282,IF(E282&lt;201,E282/2,IF(E282&lt;=301,E282/3,E282/4))))</f>
        <v>3131.6715401400011</v>
      </c>
      <c r="G282" s="118"/>
      <c r="H282" s="119"/>
      <c r="I282" s="33"/>
      <c r="L282" s="91"/>
      <c r="M282" s="91"/>
      <c r="N282" s="33"/>
    </row>
    <row r="283" spans="1:14" s="34" customFormat="1" x14ac:dyDescent="0.3">
      <c r="A283" s="120" t="s">
        <v>359</v>
      </c>
      <c r="B283" s="120"/>
      <c r="C283" s="120"/>
      <c r="D283" s="120"/>
      <c r="E283" s="120"/>
      <c r="F283" s="120"/>
      <c r="G283" s="120"/>
      <c r="H283" s="120"/>
      <c r="I283" s="33"/>
      <c r="L283" s="91"/>
      <c r="M283" s="91"/>
      <c r="N283" s="33"/>
    </row>
    <row r="284" spans="1:14" s="34" customFormat="1" x14ac:dyDescent="0.3">
      <c r="A284" s="121">
        <v>1</v>
      </c>
      <c r="B284" s="121"/>
      <c r="C284" s="39" t="s">
        <v>246</v>
      </c>
      <c r="D284" s="50">
        <f>('Tower A'!B141)*10.764</f>
        <v>2246.2336727999996</v>
      </c>
      <c r="E284" s="39">
        <v>0</v>
      </c>
      <c r="F284" s="39">
        <f>D284*(($F$140)+1)+(IF(E284&lt;101,E284,IF(E284&lt;201,E284/2,IF(E284&lt;=301,E284/3,E284/4))))</f>
        <v>3369.3505091999996</v>
      </c>
      <c r="G284" s="121" t="str">
        <f>A283</f>
        <v>52nd Floor</v>
      </c>
      <c r="H284" s="121"/>
      <c r="I284" s="33"/>
      <c r="L284" s="91"/>
      <c r="M284" s="91"/>
      <c r="N284" s="33"/>
    </row>
    <row r="285" spans="1:14" s="34" customFormat="1" x14ac:dyDescent="0.3">
      <c r="A285" s="121">
        <f t="shared" ref="A285:A287" si="30">A284+1</f>
        <v>2</v>
      </c>
      <c r="B285" s="121"/>
      <c r="C285" s="39" t="s">
        <v>246</v>
      </c>
      <c r="D285" s="50">
        <f>('Tower A'!F141)*10.764</f>
        <v>2093.7826026000007</v>
      </c>
      <c r="E285" s="39">
        <v>0</v>
      </c>
      <c r="F285" s="39">
        <f>D285*(($F$140)+1)+(IF(E285&lt;101,E285,IF(E285&lt;201,E285/2,IF(E285&lt;=301,E285/3,E285/4))))</f>
        <v>3140.6739039000013</v>
      </c>
      <c r="G285" s="121"/>
      <c r="H285" s="121"/>
      <c r="I285" s="33"/>
      <c r="L285" s="91"/>
      <c r="M285" s="91"/>
      <c r="N285" s="33"/>
    </row>
    <row r="286" spans="1:14" s="34" customFormat="1" x14ac:dyDescent="0.3">
      <c r="A286" s="121">
        <f t="shared" si="30"/>
        <v>3</v>
      </c>
      <c r="B286" s="121"/>
      <c r="C286" s="39" t="s">
        <v>246</v>
      </c>
      <c r="D286" s="50">
        <f>('Tower A'!J141)*10.764</f>
        <v>2136.6782189999994</v>
      </c>
      <c r="E286" s="39">
        <v>0</v>
      </c>
      <c r="F286" s="39">
        <f>D286*(($F$140)+1)+(IF(E286&lt;101,E286,IF(E286&lt;201,E286/2,IF(E286&lt;=301,E286/3,E286/4))))</f>
        <v>3205.0173284999992</v>
      </c>
      <c r="G286" s="121"/>
      <c r="H286" s="121"/>
      <c r="I286" s="34">
        <v>1</v>
      </c>
      <c r="J286" s="33"/>
    </row>
    <row r="287" spans="1:14" s="34" customFormat="1" x14ac:dyDescent="0.3">
      <c r="A287" s="121">
        <f t="shared" si="30"/>
        <v>4</v>
      </c>
      <c r="B287" s="121"/>
      <c r="C287" s="39" t="s">
        <v>246</v>
      </c>
      <c r="D287" s="50">
        <f>('Tower A'!N142)*10.764</f>
        <v>2087.7810267600007</v>
      </c>
      <c r="E287" s="39">
        <v>0</v>
      </c>
      <c r="F287" s="39">
        <f>D287*(($F$140)+1)+(IF(E287&lt;101,E287,IF(E287&lt;201,E287/2,IF(E287&lt;=301,E287/3,E287/4))))</f>
        <v>3131.6715401400011</v>
      </c>
      <c r="G287" s="121"/>
      <c r="H287" s="121"/>
      <c r="I287" s="33"/>
      <c r="L287" s="91"/>
      <c r="M287" s="91"/>
      <c r="N287" s="33"/>
    </row>
    <row r="288" spans="1:14" s="34" customFormat="1" x14ac:dyDescent="0.3">
      <c r="A288" s="94" t="s">
        <v>363</v>
      </c>
      <c r="B288" s="95"/>
      <c r="C288" s="95"/>
      <c r="D288" s="95"/>
      <c r="E288" s="95"/>
      <c r="F288" s="95"/>
      <c r="G288" s="95"/>
      <c r="H288" s="96"/>
      <c r="I288" s="33"/>
      <c r="L288" s="91"/>
      <c r="M288" s="91"/>
      <c r="N288" s="33"/>
    </row>
    <row r="289" spans="1:14" s="34" customFormat="1" x14ac:dyDescent="0.3">
      <c r="A289" s="92">
        <v>1</v>
      </c>
      <c r="B289" s="93"/>
      <c r="C289" s="39" t="s">
        <v>246</v>
      </c>
      <c r="D289" s="50">
        <f>('Tower A'!B195)*10.764</f>
        <v>2246.2336727999996</v>
      </c>
      <c r="E289" s="39">
        <v>0</v>
      </c>
      <c r="F289" s="39">
        <f>D289*(($F$140)+1)+(IF(E289&lt;101,E289,IF(E289&lt;201,E289/2,IF(E289&lt;=301,E289/3,E289/4))))</f>
        <v>3369.3505091999996</v>
      </c>
      <c r="G289" s="114" t="str">
        <f>A288</f>
        <v>53rd Floor</v>
      </c>
      <c r="H289" s="115"/>
      <c r="I289" s="33"/>
      <c r="L289" s="91"/>
      <c r="M289" s="91"/>
      <c r="N289" s="33"/>
    </row>
    <row r="290" spans="1:14" s="34" customFormat="1" x14ac:dyDescent="0.3">
      <c r="A290" s="92">
        <f t="shared" ref="A290:A292" si="31">A289+1</f>
        <v>2</v>
      </c>
      <c r="B290" s="93"/>
      <c r="C290" s="39" t="s">
        <v>246</v>
      </c>
      <c r="D290" s="50">
        <f>('Tower A'!F195)*10.764</f>
        <v>2093.7826026000007</v>
      </c>
      <c r="E290" s="39">
        <v>0</v>
      </c>
      <c r="F290" s="39">
        <f>D290*(($F$140)+1)+(IF(E290&lt;101,E290,IF(E290&lt;201,E290/2,IF(E290&lt;=301,E290/3,E290/4))))</f>
        <v>3140.6739039000013</v>
      </c>
      <c r="G290" s="116"/>
      <c r="H290" s="117"/>
      <c r="I290" s="33"/>
      <c r="L290" s="91"/>
      <c r="M290" s="91"/>
      <c r="N290" s="33"/>
    </row>
    <row r="291" spans="1:14" s="34" customFormat="1" x14ac:dyDescent="0.3">
      <c r="A291" s="92">
        <f t="shared" si="31"/>
        <v>3</v>
      </c>
      <c r="B291" s="93"/>
      <c r="C291" s="39" t="s">
        <v>246</v>
      </c>
      <c r="D291" s="50">
        <f>('Tower A'!J195)*10.764</f>
        <v>2136.6782189999994</v>
      </c>
      <c r="E291" s="39">
        <v>0</v>
      </c>
      <c r="F291" s="39">
        <f>D291*(($F$140)+1)+(IF(E291&lt;101,E291,IF(E291&lt;201,E291/2,IF(E291&lt;=301,E291/3,E291/4))))</f>
        <v>3205.0173284999992</v>
      </c>
      <c r="G291" s="116"/>
      <c r="H291" s="117"/>
      <c r="I291" s="34">
        <v>1</v>
      </c>
      <c r="J291" s="33"/>
    </row>
    <row r="292" spans="1:14" s="34" customFormat="1" x14ac:dyDescent="0.3">
      <c r="A292" s="92">
        <f t="shared" si="31"/>
        <v>4</v>
      </c>
      <c r="B292" s="93"/>
      <c r="C292" s="39" t="s">
        <v>246</v>
      </c>
      <c r="D292" s="50">
        <f>('Tower A'!N196)*10.764</f>
        <v>2087.7810267600007</v>
      </c>
      <c r="E292" s="39">
        <v>0</v>
      </c>
      <c r="F292" s="39">
        <f>D292*(($F$140)+1)+(IF(E292&lt;101,E292,IF(E292&lt;201,E292/2,IF(E292&lt;=301,E292/3,E292/4))))</f>
        <v>3131.6715401400011</v>
      </c>
      <c r="G292" s="118"/>
      <c r="H292" s="119"/>
      <c r="I292" s="33"/>
      <c r="L292" s="91"/>
      <c r="M292" s="91"/>
      <c r="N292" s="33"/>
    </row>
    <row r="293" spans="1:14" s="34" customFormat="1" x14ac:dyDescent="0.3">
      <c r="A293" s="94" t="s">
        <v>254</v>
      </c>
      <c r="B293" s="95"/>
      <c r="C293" s="95"/>
      <c r="D293" s="95"/>
      <c r="E293" s="95"/>
      <c r="F293" s="95"/>
      <c r="G293" s="95"/>
      <c r="H293" s="96"/>
      <c r="I293" s="33"/>
      <c r="L293" s="91"/>
      <c r="M293" s="91"/>
      <c r="N293" s="33"/>
    </row>
    <row r="294" spans="1:14" s="34" customFormat="1" x14ac:dyDescent="0.3">
      <c r="A294" s="92">
        <v>1</v>
      </c>
      <c r="B294" s="93"/>
      <c r="C294" s="39" t="s">
        <v>246</v>
      </c>
      <c r="D294" s="50">
        <f>('Tower A'!S195)*10.764</f>
        <v>2421.3499595999997</v>
      </c>
      <c r="E294" s="39">
        <v>0</v>
      </c>
      <c r="F294" s="39">
        <f>D294*(($F$140)+1)+(IF(E294&lt;101,E294,IF(E294&lt;201,E294/2,IF(E294&lt;=301,E294/3,E294/4))))</f>
        <v>3632.0249393999993</v>
      </c>
      <c r="G294" s="114" t="str">
        <f>A293</f>
        <v>54th Floor</v>
      </c>
      <c r="H294" s="115"/>
      <c r="I294" s="33"/>
      <c r="L294" s="91"/>
      <c r="M294" s="91"/>
      <c r="N294" s="33"/>
    </row>
    <row r="295" spans="1:14" s="34" customFormat="1" x14ac:dyDescent="0.3">
      <c r="A295" s="92">
        <f t="shared" ref="A295:A297" si="32">A294+1</f>
        <v>2</v>
      </c>
      <c r="B295" s="93"/>
      <c r="C295" s="39" t="s">
        <v>246</v>
      </c>
      <c r="D295" s="50">
        <f>('Tower A'!W195)*10.764</f>
        <v>2198.1826386000007</v>
      </c>
      <c r="E295" s="39">
        <v>0</v>
      </c>
      <c r="F295" s="39">
        <f>D295*(($F$140)+1)+(IF(E295&lt;101,E295,IF(E295&lt;201,E295/2,IF(E295&lt;=301,E295/3,E295/4))))</f>
        <v>3297.2739579000008</v>
      </c>
      <c r="G295" s="116"/>
      <c r="H295" s="117"/>
      <c r="I295" s="33"/>
      <c r="L295" s="91"/>
      <c r="M295" s="91"/>
      <c r="N295" s="33"/>
    </row>
    <row r="296" spans="1:14" s="34" customFormat="1" x14ac:dyDescent="0.3">
      <c r="A296" s="92">
        <f t="shared" si="32"/>
        <v>3</v>
      </c>
      <c r="B296" s="93"/>
      <c r="C296" s="39" t="s">
        <v>246</v>
      </c>
      <c r="D296" s="50">
        <f>('Tower A'!AA195)*10.764</f>
        <v>2415.1289057999993</v>
      </c>
      <c r="E296" s="39">
        <v>0</v>
      </c>
      <c r="F296" s="39">
        <f>D296*(($F$140)+1)+(IF(E296&lt;101,E296,IF(E296&lt;201,E296/2,IF(E296&lt;=301,E296/3,E296/4))))</f>
        <v>3622.693358699999</v>
      </c>
      <c r="G296" s="116"/>
      <c r="H296" s="117"/>
      <c r="I296" s="34">
        <v>2</v>
      </c>
      <c r="J296" s="33"/>
    </row>
    <row r="297" spans="1:14" s="34" customFormat="1" x14ac:dyDescent="0.3">
      <c r="A297" s="92">
        <f t="shared" si="32"/>
        <v>4</v>
      </c>
      <c r="B297" s="93"/>
      <c r="C297" s="39" t="s">
        <v>246</v>
      </c>
      <c r="D297" s="50">
        <f>('Tower A'!AE196)*10.764</f>
        <v>2087.7810267600007</v>
      </c>
      <c r="E297" s="39">
        <v>0</v>
      </c>
      <c r="F297" s="39">
        <f>D297*(($F$140)+1)+(IF(E297&lt;101,E297,IF(E297&lt;201,E297/2,IF(E297&lt;=301,E297/3,E297/4))))</f>
        <v>3131.6715401400011</v>
      </c>
      <c r="G297" s="118"/>
      <c r="H297" s="119"/>
      <c r="I297" s="33"/>
      <c r="L297" s="91"/>
      <c r="M297" s="91"/>
      <c r="N297" s="33"/>
    </row>
    <row r="298" spans="1:14" s="34" customFormat="1" x14ac:dyDescent="0.3">
      <c r="A298" s="94" t="s">
        <v>364</v>
      </c>
      <c r="B298" s="95"/>
      <c r="C298" s="95"/>
      <c r="D298" s="95"/>
      <c r="E298" s="95"/>
      <c r="F298" s="95"/>
      <c r="G298" s="95"/>
      <c r="H298" s="96"/>
      <c r="I298" s="33"/>
      <c r="L298" s="91"/>
      <c r="M298" s="91"/>
      <c r="N298" s="33"/>
    </row>
    <row r="299" spans="1:14" s="34" customFormat="1" x14ac:dyDescent="0.3">
      <c r="A299" s="92">
        <v>1</v>
      </c>
      <c r="B299" s="93"/>
      <c r="C299" s="39" t="s">
        <v>246</v>
      </c>
      <c r="D299" s="50">
        <f>('Tower A'!B222)*10.764</f>
        <v>2421.3499595999997</v>
      </c>
      <c r="E299" s="39">
        <v>0</v>
      </c>
      <c r="F299" s="39">
        <f>D299*(($F$140)+1)+(IF(E299&lt;101,E299,IF(E299&lt;201,E299/2,IF(E299&lt;=301,E299/3,E299/4))))</f>
        <v>3632.0249393999993</v>
      </c>
      <c r="G299" s="114" t="str">
        <f>A298</f>
        <v>55th &amp; 56th Floor</v>
      </c>
      <c r="H299" s="115"/>
      <c r="I299" s="33"/>
      <c r="L299" s="91"/>
      <c r="M299" s="91"/>
      <c r="N299" s="33"/>
    </row>
    <row r="300" spans="1:14" s="34" customFormat="1" x14ac:dyDescent="0.3">
      <c r="A300" s="92">
        <f t="shared" ref="A300:A302" si="33">A299+1</f>
        <v>2</v>
      </c>
      <c r="B300" s="93"/>
      <c r="C300" s="39" t="s">
        <v>246</v>
      </c>
      <c r="D300" s="50">
        <f>('Tower A'!F222)*10.764</f>
        <v>2198.1826386000007</v>
      </c>
      <c r="E300" s="39">
        <v>0</v>
      </c>
      <c r="F300" s="39">
        <f>D300*(($F$140)+1)+(IF(E300&lt;101,E300,IF(E300&lt;201,E300/2,IF(E300&lt;=301,E300/3,E300/4))))</f>
        <v>3297.2739579000008</v>
      </c>
      <c r="G300" s="116"/>
      <c r="H300" s="117"/>
      <c r="I300" s="33"/>
      <c r="L300" s="91"/>
      <c r="M300" s="91"/>
      <c r="N300" s="33"/>
    </row>
    <row r="301" spans="1:14" s="34" customFormat="1" x14ac:dyDescent="0.3">
      <c r="A301" s="92">
        <f t="shared" si="33"/>
        <v>3</v>
      </c>
      <c r="B301" s="93"/>
      <c r="C301" s="39" t="s">
        <v>246</v>
      </c>
      <c r="D301" s="50">
        <f>('Tower A'!J222)*10.764</f>
        <v>2311.7945057999991</v>
      </c>
      <c r="E301" s="39">
        <v>0</v>
      </c>
      <c r="F301" s="39">
        <f>D301*(($F$140)+1)+(IF(E301&lt;101,E301,IF(E301&lt;201,E301/2,IF(E301&lt;=301,E301/3,E301/4))))</f>
        <v>3467.6917586999989</v>
      </c>
      <c r="G301" s="116"/>
      <c r="H301" s="117"/>
      <c r="I301" s="34">
        <v>1</v>
      </c>
      <c r="J301" s="33"/>
    </row>
    <row r="302" spans="1:14" s="34" customFormat="1" x14ac:dyDescent="0.3">
      <c r="A302" s="92">
        <f t="shared" si="33"/>
        <v>4</v>
      </c>
      <c r="B302" s="93"/>
      <c r="C302" s="39" t="s">
        <v>246</v>
      </c>
      <c r="D302" s="50">
        <f>('Tower A'!N223)*10.764</f>
        <v>2087.7810267600007</v>
      </c>
      <c r="E302" s="39">
        <v>0</v>
      </c>
      <c r="F302" s="39">
        <f>D302*(($F$140)+1)+(IF(E302&lt;101,E302,IF(E302&lt;201,E302/2,IF(E302&lt;=301,E302/3,E302/4))))</f>
        <v>3131.6715401400011</v>
      </c>
      <c r="G302" s="118"/>
      <c r="H302" s="119"/>
      <c r="I302" s="33"/>
      <c r="L302" s="91"/>
      <c r="M302" s="91"/>
      <c r="N302" s="33"/>
    </row>
    <row r="303" spans="1:14" s="34" customFormat="1" x14ac:dyDescent="0.3">
      <c r="A303" s="120" t="s">
        <v>365</v>
      </c>
      <c r="B303" s="120"/>
      <c r="C303" s="120"/>
      <c r="D303" s="120"/>
      <c r="E303" s="120"/>
      <c r="F303" s="120"/>
      <c r="G303" s="120"/>
      <c r="H303" s="120"/>
      <c r="I303" s="33"/>
      <c r="L303" s="91"/>
      <c r="M303" s="91"/>
      <c r="N303" s="33"/>
    </row>
    <row r="304" spans="1:14" s="34" customFormat="1" x14ac:dyDescent="0.3">
      <c r="A304" s="121">
        <v>1</v>
      </c>
      <c r="B304" s="121"/>
      <c r="C304" s="39" t="s">
        <v>246</v>
      </c>
      <c r="D304" s="50">
        <f>('Tower A'!B222)*10.764</f>
        <v>2421.3499595999997</v>
      </c>
      <c r="E304" s="39">
        <v>0</v>
      </c>
      <c r="F304" s="39">
        <f>D304*(($F$140)+1)+(IF(E304&lt;101,E304,IF(E304&lt;201,E304/2,IF(E304&lt;=301,E304/3,E304/4))))</f>
        <v>3632.0249393999993</v>
      </c>
      <c r="G304" s="121" t="str">
        <f>A303</f>
        <v>57th Floor</v>
      </c>
      <c r="H304" s="121"/>
      <c r="I304" s="33"/>
      <c r="L304" s="91"/>
      <c r="M304" s="91"/>
      <c r="N304" s="33"/>
    </row>
    <row r="305" spans="1:14" s="34" customFormat="1" x14ac:dyDescent="0.3">
      <c r="A305" s="121">
        <f t="shared" ref="A305:A307" si="34">A304+1</f>
        <v>2</v>
      </c>
      <c r="B305" s="121"/>
      <c r="C305" s="39" t="s">
        <v>246</v>
      </c>
      <c r="D305" s="50">
        <f>('Tower A'!F222)*10.764</f>
        <v>2198.1826386000007</v>
      </c>
      <c r="E305" s="39">
        <v>0</v>
      </c>
      <c r="F305" s="39">
        <f>D305*(($F$140)+1)+(IF(E305&lt;101,E305,IF(E305&lt;201,E305/2,IF(E305&lt;=301,E305/3,E305/4))))</f>
        <v>3297.2739579000008</v>
      </c>
      <c r="G305" s="121"/>
      <c r="H305" s="121"/>
      <c r="I305" s="33"/>
      <c r="L305" s="91"/>
      <c r="M305" s="91"/>
      <c r="N305" s="33"/>
    </row>
    <row r="306" spans="1:14" s="34" customFormat="1" x14ac:dyDescent="0.3">
      <c r="A306" s="121">
        <f t="shared" si="34"/>
        <v>3</v>
      </c>
      <c r="B306" s="121"/>
      <c r="C306" s="39" t="s">
        <v>246</v>
      </c>
      <c r="D306" s="50">
        <f>('Tower A'!J222)*10.764</f>
        <v>2311.7945057999991</v>
      </c>
      <c r="E306" s="39">
        <v>0</v>
      </c>
      <c r="F306" s="39">
        <f>D306*(($F$140)+1)+(IF(E306&lt;101,E306,IF(E306&lt;201,E306/2,IF(E306&lt;=301,E306/3,E306/4))))</f>
        <v>3467.6917586999989</v>
      </c>
      <c r="G306" s="121"/>
      <c r="H306" s="121"/>
      <c r="I306" s="34">
        <v>1</v>
      </c>
      <c r="J306" s="33"/>
    </row>
    <row r="307" spans="1:14" s="34" customFormat="1" x14ac:dyDescent="0.3">
      <c r="A307" s="121">
        <f t="shared" si="34"/>
        <v>4</v>
      </c>
      <c r="B307" s="121"/>
      <c r="C307" s="39" t="s">
        <v>246</v>
      </c>
      <c r="D307" s="50">
        <f>('Tower A'!N223)*10.764</f>
        <v>2087.7810267600007</v>
      </c>
      <c r="E307" s="39">
        <v>0</v>
      </c>
      <c r="F307" s="39">
        <f>D307*(($F$140)+1)+(IF(E307&lt;101,E307,IF(E307&lt;201,E307/2,IF(E307&lt;=301,E307/3,E307/4))))</f>
        <v>3131.6715401400011</v>
      </c>
      <c r="G307" s="121"/>
      <c r="H307" s="121"/>
      <c r="I307" s="33"/>
      <c r="L307" s="91"/>
      <c r="M307" s="91"/>
      <c r="N307" s="33"/>
    </row>
    <row r="308" spans="1:14" s="34" customFormat="1" x14ac:dyDescent="0.3">
      <c r="A308" s="94" t="s">
        <v>257</v>
      </c>
      <c r="B308" s="95"/>
      <c r="C308" s="95"/>
      <c r="D308" s="95"/>
      <c r="E308" s="95"/>
      <c r="F308" s="95"/>
      <c r="G308" s="95"/>
      <c r="H308" s="96"/>
      <c r="I308" s="33"/>
      <c r="L308" s="91"/>
      <c r="M308" s="91"/>
      <c r="N308" s="33"/>
    </row>
    <row r="309" spans="1:14" s="34" customFormat="1" x14ac:dyDescent="0.3">
      <c r="A309" s="92">
        <v>1</v>
      </c>
      <c r="B309" s="93"/>
      <c r="C309" s="92" t="s">
        <v>245</v>
      </c>
      <c r="D309" s="113"/>
      <c r="E309" s="113"/>
      <c r="F309" s="93"/>
      <c r="G309" s="114" t="str">
        <f>A308</f>
        <v>58th Floor (Part Refuge Area)</v>
      </c>
      <c r="H309" s="115"/>
      <c r="I309" s="33"/>
      <c r="L309" s="91"/>
      <c r="M309" s="91"/>
      <c r="N309" s="33"/>
    </row>
    <row r="310" spans="1:14" s="34" customFormat="1" x14ac:dyDescent="0.3">
      <c r="A310" s="92">
        <f t="shared" ref="A310:A312" si="35">A309+1</f>
        <v>2</v>
      </c>
      <c r="B310" s="93"/>
      <c r="C310" s="39" t="s">
        <v>246</v>
      </c>
      <c r="D310" s="50">
        <f>('Tower A'!F222)*10.764</f>
        <v>2198.1826386000007</v>
      </c>
      <c r="E310" s="39">
        <v>0</v>
      </c>
      <c r="F310" s="39">
        <f>D310*(($F$140)+1)+(IF(E310&lt;101,E310,IF(E310&lt;201,E310/2,IF(E310&lt;=301,E310/3,E310/4))))</f>
        <v>3297.2739579000008</v>
      </c>
      <c r="G310" s="116"/>
      <c r="H310" s="117"/>
      <c r="I310" s="33"/>
      <c r="L310" s="91"/>
      <c r="M310" s="91"/>
      <c r="N310" s="33"/>
    </row>
    <row r="311" spans="1:14" s="34" customFormat="1" x14ac:dyDescent="0.3">
      <c r="A311" s="92">
        <f t="shared" si="35"/>
        <v>3</v>
      </c>
      <c r="B311" s="93"/>
      <c r="C311" s="39" t="s">
        <v>246</v>
      </c>
      <c r="D311" s="50">
        <f>('Tower A'!J222)*10.764</f>
        <v>2311.7945057999991</v>
      </c>
      <c r="E311" s="39">
        <v>0</v>
      </c>
      <c r="F311" s="39">
        <f>D311*(($F$140)+1)+(IF(E311&lt;101,E311,IF(E311&lt;201,E311/2,IF(E311&lt;=301,E311/3,E311/4))))</f>
        <v>3467.6917586999989</v>
      </c>
      <c r="G311" s="116"/>
      <c r="H311" s="117"/>
      <c r="I311" s="34">
        <f>6+2</f>
        <v>8</v>
      </c>
      <c r="J311" s="33"/>
    </row>
    <row r="312" spans="1:14" s="34" customFormat="1" x14ac:dyDescent="0.3">
      <c r="A312" s="92">
        <f t="shared" si="35"/>
        <v>4</v>
      </c>
      <c r="B312" s="93"/>
      <c r="C312" s="39" t="s">
        <v>246</v>
      </c>
      <c r="D312" s="50">
        <f>('Tower A'!N223)*10.764</f>
        <v>2087.7810267600007</v>
      </c>
      <c r="E312" s="39">
        <v>0</v>
      </c>
      <c r="F312" s="39">
        <f>D312*(($F$140)+1)+(IF(E312&lt;101,E312,IF(E312&lt;201,E312/2,IF(E312&lt;=301,E312/3,E312/4))))</f>
        <v>3131.6715401400011</v>
      </c>
      <c r="G312" s="118"/>
      <c r="H312" s="119"/>
      <c r="I312" s="33"/>
      <c r="J312" s="34">
        <f>159245022/F314</f>
        <v>45595.977243204688</v>
      </c>
      <c r="L312" s="91"/>
      <c r="M312" s="91"/>
      <c r="N312" s="33"/>
    </row>
    <row r="313" spans="1:14" s="34" customFormat="1" x14ac:dyDescent="0.3">
      <c r="A313" s="94" t="s">
        <v>367</v>
      </c>
      <c r="B313" s="95"/>
      <c r="C313" s="95"/>
      <c r="D313" s="95"/>
      <c r="E313" s="95"/>
      <c r="F313" s="95"/>
      <c r="G313" s="95"/>
      <c r="H313" s="96"/>
      <c r="I313" s="33"/>
      <c r="L313" s="91"/>
      <c r="M313" s="91"/>
      <c r="N313" s="33"/>
    </row>
    <row r="314" spans="1:14" s="34" customFormat="1" x14ac:dyDescent="0.3">
      <c r="A314" s="92">
        <v>1</v>
      </c>
      <c r="B314" s="93"/>
      <c r="C314" s="39" t="s">
        <v>246</v>
      </c>
      <c r="D314" s="50">
        <f>('Tower A'!S222)*10.764</f>
        <v>2328.3489995999998</v>
      </c>
      <c r="E314" s="39">
        <v>0</v>
      </c>
      <c r="F314" s="39">
        <f>D314*(($F$140)+1)+(IF(E314&lt;101,E314,IF(E314&lt;201,E314/2,IF(E314&lt;=301,E314/3,E314/4))))</f>
        <v>3492.5234993999998</v>
      </c>
      <c r="G314" s="114" t="str">
        <f>A313</f>
        <v>59th to 64th, 66th &amp; 67th Floor</v>
      </c>
      <c r="H314" s="115"/>
      <c r="I314" s="33"/>
      <c r="L314" s="91"/>
      <c r="M314" s="91"/>
      <c r="N314" s="33"/>
    </row>
    <row r="315" spans="1:14" s="34" customFormat="1" x14ac:dyDescent="0.3">
      <c r="A315" s="92">
        <f t="shared" ref="A315:A317" si="36">A314+1</f>
        <v>2</v>
      </c>
      <c r="B315" s="93"/>
      <c r="C315" s="39" t="s">
        <v>246</v>
      </c>
      <c r="D315" s="50">
        <f>('Tower A'!W222)*10.764</f>
        <v>2198.1826386000007</v>
      </c>
      <c r="E315" s="39">
        <v>0</v>
      </c>
      <c r="F315" s="39">
        <f>D315*(($F$140)+1)+(IF(E315&lt;101,E315,IF(E315&lt;201,E315/2,IF(E315&lt;=301,E315/3,E315/4))))</f>
        <v>3297.2739579000008</v>
      </c>
      <c r="G315" s="116"/>
      <c r="H315" s="117"/>
      <c r="I315" s="33"/>
      <c r="L315" s="91"/>
      <c r="M315" s="91"/>
      <c r="N315" s="33"/>
    </row>
    <row r="316" spans="1:14" s="34" customFormat="1" x14ac:dyDescent="0.3">
      <c r="A316" s="92">
        <f t="shared" si="36"/>
        <v>3</v>
      </c>
      <c r="B316" s="93"/>
      <c r="C316" s="39" t="s">
        <v>246</v>
      </c>
      <c r="D316" s="50">
        <f>('Tower A'!AA222)*10.764</f>
        <v>2311.7945057999991</v>
      </c>
      <c r="E316" s="39">
        <v>0</v>
      </c>
      <c r="F316" s="39">
        <f>D316*(($F$140)+1)+(IF(E316&lt;101,E316,IF(E316&lt;201,E316/2,IF(E316&lt;=301,E316/3,E316/4))))</f>
        <v>3467.6917586999989</v>
      </c>
      <c r="G316" s="116"/>
      <c r="H316" s="117"/>
      <c r="I316" s="34">
        <v>1</v>
      </c>
      <c r="J316" s="33"/>
    </row>
    <row r="317" spans="1:14" s="34" customFormat="1" x14ac:dyDescent="0.3">
      <c r="A317" s="92">
        <f t="shared" si="36"/>
        <v>4</v>
      </c>
      <c r="B317" s="93"/>
      <c r="C317" s="39" t="s">
        <v>246</v>
      </c>
      <c r="D317" s="50">
        <f>('Tower A'!AE223)*10.764</f>
        <v>2087.7810267600007</v>
      </c>
      <c r="E317" s="39">
        <v>0</v>
      </c>
      <c r="F317" s="39">
        <f>D317*(($F$140)+1)+(IF(E317&lt;101,E317,IF(E317&lt;201,E317/2,IF(E317&lt;=301,E317/3,E317/4))))</f>
        <v>3131.6715401400011</v>
      </c>
      <c r="G317" s="118"/>
      <c r="H317" s="119"/>
      <c r="I317" s="33"/>
      <c r="L317" s="91"/>
      <c r="M317" s="91"/>
      <c r="N317" s="33"/>
    </row>
    <row r="318" spans="1:14" s="34" customFormat="1" x14ac:dyDescent="0.3">
      <c r="A318" s="94" t="s">
        <v>258</v>
      </c>
      <c r="B318" s="95"/>
      <c r="C318" s="95"/>
      <c r="D318" s="95"/>
      <c r="E318" s="95"/>
      <c r="F318" s="95"/>
      <c r="G318" s="95"/>
      <c r="H318" s="96"/>
      <c r="I318" s="33"/>
      <c r="L318" s="91"/>
      <c r="M318" s="91"/>
      <c r="N318" s="33"/>
    </row>
    <row r="319" spans="1:14" s="34" customFormat="1" x14ac:dyDescent="0.3">
      <c r="A319" s="92">
        <v>1</v>
      </c>
      <c r="B319" s="93"/>
      <c r="C319" s="92" t="s">
        <v>245</v>
      </c>
      <c r="D319" s="113"/>
      <c r="E319" s="113"/>
      <c r="F319" s="93"/>
      <c r="G319" s="114" t="str">
        <f>A318</f>
        <v>65th Floor (Part Refuge Area)</v>
      </c>
      <c r="H319" s="115"/>
      <c r="I319" s="33"/>
      <c r="L319" s="91"/>
      <c r="M319" s="91"/>
      <c r="N319" s="33"/>
    </row>
    <row r="320" spans="1:14" s="34" customFormat="1" x14ac:dyDescent="0.3">
      <c r="A320" s="92">
        <f t="shared" ref="A320:A322" si="37">A319+1</f>
        <v>2</v>
      </c>
      <c r="B320" s="93"/>
      <c r="C320" s="39" t="s">
        <v>246</v>
      </c>
      <c r="D320" s="50">
        <f>('Tower A'!W222)*10.764</f>
        <v>2198.1826386000007</v>
      </c>
      <c r="E320" s="39">
        <v>0</v>
      </c>
      <c r="F320" s="39">
        <f>D320*(($F$140)+1)+(IF(E320&lt;101,E320,IF(E320&lt;201,E320/2,IF(E320&lt;=301,E320/3,E320/4))))</f>
        <v>3297.2739579000008</v>
      </c>
      <c r="G320" s="116"/>
      <c r="H320" s="117"/>
      <c r="I320" s="33"/>
      <c r="L320" s="91"/>
      <c r="M320" s="91"/>
      <c r="N320" s="33"/>
    </row>
    <row r="321" spans="1:14" s="34" customFormat="1" x14ac:dyDescent="0.3">
      <c r="A321" s="92">
        <f t="shared" si="37"/>
        <v>3</v>
      </c>
      <c r="B321" s="93"/>
      <c r="C321" s="39" t="s">
        <v>246</v>
      </c>
      <c r="D321" s="50">
        <f>('Tower A'!AA222)*10.764</f>
        <v>2311.7945057999991</v>
      </c>
      <c r="E321" s="39">
        <v>0</v>
      </c>
      <c r="F321" s="39">
        <f>D321*(($F$140)+1)+(IF(E321&lt;101,E321,IF(E321&lt;201,E321/2,IF(E321&lt;=301,E321/3,E321/4))))</f>
        <v>3467.6917586999989</v>
      </c>
      <c r="G321" s="116"/>
      <c r="H321" s="117"/>
      <c r="J321" s="33"/>
    </row>
    <row r="322" spans="1:14" s="34" customFormat="1" x14ac:dyDescent="0.3">
      <c r="A322" s="92">
        <f t="shared" si="37"/>
        <v>4</v>
      </c>
      <c r="B322" s="93"/>
      <c r="C322" s="39" t="s">
        <v>246</v>
      </c>
      <c r="D322" s="50">
        <f>('Tower A'!AE223)*10.764</f>
        <v>2087.7810267600007</v>
      </c>
      <c r="E322" s="39">
        <v>0</v>
      </c>
      <c r="F322" s="39">
        <f>D322*(($F$140)+1)+(IF(E322&lt;101,E322,IF(E322&lt;201,E322/2,IF(E322&lt;=301,E322/3,E322/4))))</f>
        <v>3131.6715401400011</v>
      </c>
      <c r="G322" s="118"/>
      <c r="H322" s="119"/>
      <c r="I322" s="50">
        <v>10.763999999999999</v>
      </c>
      <c r="J322" s="33"/>
    </row>
    <row r="323" spans="1:14" s="34" customFormat="1" x14ac:dyDescent="0.3">
      <c r="A323" s="140" t="s">
        <v>240</v>
      </c>
      <c r="B323" s="141"/>
      <c r="C323" s="141"/>
      <c r="D323" s="141"/>
      <c r="E323" s="141"/>
      <c r="F323" s="141"/>
      <c r="G323" s="141"/>
      <c r="H323" s="142"/>
      <c r="J323" s="33"/>
    </row>
    <row r="324" spans="1:14" s="34" customFormat="1" x14ac:dyDescent="0.3">
      <c r="A324" s="94" t="s">
        <v>241</v>
      </c>
      <c r="B324" s="95"/>
      <c r="C324" s="95"/>
      <c r="D324" s="95"/>
      <c r="E324" s="95"/>
      <c r="F324" s="95"/>
      <c r="G324" s="95"/>
      <c r="H324" s="96"/>
      <c r="J324" s="33"/>
    </row>
    <row r="325" spans="1:14" s="34" customFormat="1" x14ac:dyDescent="0.3">
      <c r="A325" s="94" t="s">
        <v>237</v>
      </c>
      <c r="B325" s="95"/>
      <c r="C325" s="95"/>
      <c r="D325" s="95"/>
      <c r="E325" s="95"/>
      <c r="F325" s="95"/>
      <c r="G325" s="95"/>
      <c r="H325" s="96"/>
      <c r="J325" s="33"/>
    </row>
    <row r="326" spans="1:14" s="34" customFormat="1" x14ac:dyDescent="0.3">
      <c r="A326" s="94" t="s">
        <v>238</v>
      </c>
      <c r="B326" s="95"/>
      <c r="C326" s="95"/>
      <c r="D326" s="95"/>
      <c r="E326" s="95"/>
      <c r="F326" s="95"/>
      <c r="G326" s="95"/>
      <c r="H326" s="96"/>
      <c r="J326" s="33"/>
    </row>
    <row r="327" spans="1:14" s="34" customFormat="1" x14ac:dyDescent="0.3">
      <c r="A327" s="94" t="s">
        <v>239</v>
      </c>
      <c r="B327" s="95"/>
      <c r="C327" s="95"/>
      <c r="D327" s="95"/>
      <c r="E327" s="95"/>
      <c r="F327" s="95"/>
      <c r="G327" s="95"/>
      <c r="H327" s="96"/>
      <c r="I327" s="34">
        <v>1</v>
      </c>
      <c r="J327" s="33"/>
    </row>
    <row r="328" spans="1:14" s="34" customFormat="1" x14ac:dyDescent="0.3">
      <c r="A328" s="94" t="s">
        <v>243</v>
      </c>
      <c r="B328" s="95"/>
      <c r="C328" s="95"/>
      <c r="D328" s="95"/>
      <c r="E328" s="95"/>
      <c r="F328" s="95"/>
      <c r="G328" s="95"/>
      <c r="H328" s="96"/>
      <c r="I328" s="33"/>
      <c r="L328" s="91"/>
      <c r="M328" s="91"/>
      <c r="N328" s="33"/>
    </row>
    <row r="329" spans="1:14" s="34" customFormat="1" x14ac:dyDescent="0.3">
      <c r="A329" s="94" t="s">
        <v>369</v>
      </c>
      <c r="B329" s="95"/>
      <c r="C329" s="95"/>
      <c r="D329" s="95"/>
      <c r="E329" s="95"/>
      <c r="F329" s="95"/>
      <c r="G329" s="95"/>
      <c r="H329" s="96"/>
      <c r="I329" s="33"/>
      <c r="L329" s="91"/>
      <c r="M329" s="91"/>
      <c r="N329" s="33"/>
    </row>
    <row r="330" spans="1:14" s="34" customFormat="1" x14ac:dyDescent="0.3">
      <c r="A330" s="92">
        <v>1</v>
      </c>
      <c r="B330" s="93"/>
      <c r="C330" s="39" t="s">
        <v>246</v>
      </c>
      <c r="D330" s="50">
        <f>(6.8*5.04+3.51*3.65+3.65*(4.67+4.43)+3.35*4.57+1.83*(2.75*2)+2.6*(1.68+1.78)+1.66*1.82+1.83*1.87+6.03*1.89+1.93*1.22+3.35*4.67+0.45*(1.75+1.65)+(4.1*0.58)*2+1.97*1.95+1.52*1.5+3.51*1.23+6.7*1.83)*10.764</f>
        <v>1932.0723395999996</v>
      </c>
      <c r="E330" s="39">
        <v>0</v>
      </c>
      <c r="F330" s="39">
        <f>D330*(($F$140)+1)+(IF(E330&lt;101,E330,IF(E330&lt;201,E330/2,IF(E330&lt;=301,E330/3,E330/4))))</f>
        <v>2898.1085093999995</v>
      </c>
      <c r="G330" s="114" t="str">
        <f>A329</f>
        <v>9th Floor (Part Refuge Area) &amp; Residential Floor</v>
      </c>
      <c r="H330" s="115"/>
      <c r="I330" s="33"/>
      <c r="L330" s="91"/>
      <c r="M330" s="91"/>
      <c r="N330" s="33"/>
    </row>
    <row r="331" spans="1:14" s="34" customFormat="1" x14ac:dyDescent="0.3">
      <c r="A331" s="92">
        <f t="shared" ref="A331:A333" si="38">A330+1</f>
        <v>2</v>
      </c>
      <c r="B331" s="93"/>
      <c r="C331" s="39" t="s">
        <v>246</v>
      </c>
      <c r="D331" s="50">
        <f>(7.01*5.32+3.35*3.81+3.65*4.57+3.35*4.57+3.05*4.32+1.52*1.83+1.83*(2.75*2)+1.52*(2.59*2)+1.84+3.81+1.05*(2.82+2.4+3.15+1.92+3.95+4.25)+2.07*2.5+1.92*1.21+5.76*1.57+3.46*1.22)*10.764</f>
        <v>1741.2922800000003</v>
      </c>
      <c r="E331" s="39">
        <v>0</v>
      </c>
      <c r="F331" s="39">
        <f>D331*(($F$140)+1)+(IF(E331&lt;101,E331,IF(E331&lt;201,E331/2,IF(E331&lt;=301,E331/3,E331/4))))</f>
        <v>2611.9384200000004</v>
      </c>
      <c r="G331" s="116"/>
      <c r="H331" s="117"/>
      <c r="I331" s="33"/>
      <c r="L331" s="91"/>
      <c r="M331" s="91"/>
      <c r="N331" s="33"/>
    </row>
    <row r="332" spans="1:14" s="34" customFormat="1" x14ac:dyDescent="0.3">
      <c r="A332" s="92">
        <f t="shared" si="38"/>
        <v>3</v>
      </c>
      <c r="B332" s="93"/>
      <c r="C332" s="217" t="s">
        <v>245</v>
      </c>
      <c r="D332" s="218"/>
      <c r="E332" s="218"/>
      <c r="F332" s="219"/>
      <c r="G332" s="116"/>
      <c r="H332" s="117"/>
      <c r="I332" s="34">
        <f>8</f>
        <v>8</v>
      </c>
      <c r="J332" s="33"/>
    </row>
    <row r="333" spans="1:14" s="34" customFormat="1" ht="15.75" customHeight="1" x14ac:dyDescent="0.3">
      <c r="A333" s="92">
        <f t="shared" si="38"/>
        <v>4</v>
      </c>
      <c r="B333" s="93"/>
      <c r="C333" s="39" t="s">
        <v>370</v>
      </c>
      <c r="D333" s="50">
        <f>(6.85*4.87+3.65*2.75+3.65*3.97+3.35*(4.32+3.97)+1.78*1.42+(1.83*2.75)*2+1.52*2.6+1.52*3.3+1.05*(3.45+1.72+2.03+4.15+3.85)+0.6*(4.16+2.02)+1.52*2.75+1.78*1.23+2.4*1.22+5.6*1.52)*10.764</f>
        <v>1557.5185079999999</v>
      </c>
      <c r="E333" s="39">
        <v>0</v>
      </c>
      <c r="F333" s="39">
        <f>D333*(($F$140)+1)+(IF(E333&lt;101,E333,IF(E333&lt;201,E333/2,IF(E333&lt;=301,E333/3,E333/4))))</f>
        <v>2336.2777619999997</v>
      </c>
      <c r="G333" s="118"/>
      <c r="H333" s="119"/>
      <c r="I333" s="33"/>
      <c r="L333" s="91"/>
      <c r="M333" s="91"/>
      <c r="N333" s="33"/>
    </row>
    <row r="334" spans="1:14" s="34" customFormat="1" ht="15.75" customHeight="1" x14ac:dyDescent="0.3">
      <c r="A334" s="94" t="s">
        <v>371</v>
      </c>
      <c r="B334" s="95"/>
      <c r="C334" s="95"/>
      <c r="D334" s="95"/>
      <c r="E334" s="95"/>
      <c r="F334" s="95"/>
      <c r="G334" s="95"/>
      <c r="H334" s="96"/>
      <c r="I334" s="33"/>
      <c r="L334" s="91"/>
      <c r="M334" s="91"/>
      <c r="N334" s="33"/>
    </row>
    <row r="335" spans="1:14" s="34" customFormat="1" ht="15.75" customHeight="1" x14ac:dyDescent="0.3">
      <c r="A335" s="92">
        <v>1</v>
      </c>
      <c r="B335" s="93"/>
      <c r="C335" s="39" t="s">
        <v>246</v>
      </c>
      <c r="D335" s="50">
        <f>(6.8*5.04+3.51*3.65+3.65*(4.67+4.43)+3.35*4.57+1.83*(2.75*2)+2.6*(1.68+1.78)+1.66*1.82+1.83*1.87+6.03*1.89+1.93*1.22+3.35*4.67+0.45*(1.75+1.65)+(4.1*0.58)*2+1.97*1.95+1.52*1.5+3.51*1.23+6.7*1.83)*10.764</f>
        <v>1932.0723395999996</v>
      </c>
      <c r="E335" s="39">
        <v>0</v>
      </c>
      <c r="F335" s="39">
        <f>D335*(($F$140)+1)+(IF(E335&lt;101,E335,IF(E335&lt;201,E335/2,IF(E335&lt;=301,E335/3,E335/4))))</f>
        <v>2898.1085093999995</v>
      </c>
      <c r="G335" s="114" t="str">
        <f>A334</f>
        <v>10th to 13th, 15th, 17th, 18th &amp; 20th Floor</v>
      </c>
      <c r="H335" s="115"/>
      <c r="I335" s="33"/>
      <c r="L335" s="91"/>
      <c r="M335" s="91"/>
      <c r="N335" s="33"/>
    </row>
    <row r="336" spans="1:14" s="34" customFormat="1" ht="15.75" customHeight="1" x14ac:dyDescent="0.3">
      <c r="A336" s="92">
        <f t="shared" ref="A336:A338" si="39">A335+1</f>
        <v>2</v>
      </c>
      <c r="B336" s="93"/>
      <c r="C336" s="39" t="s">
        <v>246</v>
      </c>
      <c r="D336" s="50">
        <f>(7.01*5.32+3.35*3.81+3.65*4.57+3.35*4.57+3.05*4.32+1.52*1.83+1.83*(2.75*2)+1.52*(2.59*2)+1.84+3.81+1.05*(2.82+2.4+3.15+1.92+3.95+4.25)+2.07*2.5+1.92*1.21+5.76*1.57+3.46*1.22)*10.764</f>
        <v>1741.2922800000003</v>
      </c>
      <c r="E336" s="39">
        <v>0</v>
      </c>
      <c r="F336" s="39">
        <f>D336*(($F$140)+1)+(IF(E336&lt;101,E336,IF(E336&lt;201,E336/2,IF(E336&lt;=301,E336/3,E336/4))))</f>
        <v>2611.9384200000004</v>
      </c>
      <c r="G336" s="116"/>
      <c r="H336" s="117"/>
      <c r="I336" s="33"/>
      <c r="L336" s="91"/>
      <c r="M336" s="91"/>
      <c r="N336" s="33"/>
    </row>
    <row r="337" spans="1:14" s="34" customFormat="1" x14ac:dyDescent="0.3">
      <c r="A337" s="92">
        <f t="shared" si="39"/>
        <v>3</v>
      </c>
      <c r="B337" s="93"/>
      <c r="C337" s="39" t="s">
        <v>246</v>
      </c>
      <c r="D337" s="50">
        <f>(6.8*5.04+3.51*3.65+3.65*(4.67+4.43)+(3.35*4.57)*2+1.68*1.82+(1.83*2.75)*2+1.78*2.6+1.83*1.87+2.75*2.13+6.03*1.89+1.93*1.22+0.45*(1.67+1.75)+(4.1*0.58)*2+3.35*4.67+6.7*1.83+3.35*1.23+1.97*1.95+1.52*1.5)*10.764</f>
        <v>2111.2671059999993</v>
      </c>
      <c r="E337" s="39">
        <v>0</v>
      </c>
      <c r="F337" s="39">
        <f>D337*(($F$140)+1)+(IF(E337&lt;101,E337,IF(E337&lt;201,E337/2,IF(E337&lt;=301,E337/3,E337/4))))</f>
        <v>3166.900658999999</v>
      </c>
      <c r="G337" s="116"/>
      <c r="H337" s="117"/>
      <c r="I337" s="34">
        <v>2</v>
      </c>
      <c r="J337" s="33"/>
    </row>
    <row r="338" spans="1:14" s="34" customFormat="1" ht="15.75" customHeight="1" x14ac:dyDescent="0.3">
      <c r="A338" s="92">
        <f t="shared" si="39"/>
        <v>4</v>
      </c>
      <c r="B338" s="93"/>
      <c r="C338" s="39" t="s">
        <v>370</v>
      </c>
      <c r="D338" s="50">
        <f>(6.85*4.87+3.65*2.75+3.65*3.97+3.35*(4.32+3.97)+1.78*1.42+(1.83*2.75)*2+1.52*2.6+1.52*3.3+1.05*(3.45+1.72+2.03+4.15+3.85)+0.6*(4.16+2.02)+1.52*2.75+1.78*1.23+2.4*1.22+5.6*1.52)*10.764</f>
        <v>1557.5185079999999</v>
      </c>
      <c r="E338" s="39">
        <v>0</v>
      </c>
      <c r="F338" s="39">
        <f>D338*(($F$140)+1)+(IF(E338&lt;101,E338,IF(E338&lt;201,E338/2,IF(E338&lt;=301,E338/3,E338/4))))</f>
        <v>2336.2777619999997</v>
      </c>
      <c r="G338" s="118"/>
      <c r="H338" s="119"/>
      <c r="I338" s="33">
        <f>(7.01*5.32+3.35*3.81+3.65*4.57+3.35*4.57+3.05*4.32+1.52*1.83+1.83*(2.75*2)+1.52*(2.59*2)+1.84+3.81+1.05*(2.82+2.4+3.15+1.92+3.95+4.25)+2.07*2.5+1.92*1.21+5.76*1.57+3.46*1.22)*10.764</f>
        <v>1741.2922800000003</v>
      </c>
      <c r="L338" s="91"/>
      <c r="M338" s="91"/>
      <c r="N338" s="33"/>
    </row>
    <row r="339" spans="1:14" s="34" customFormat="1" x14ac:dyDescent="0.3">
      <c r="A339" s="94" t="s">
        <v>372</v>
      </c>
      <c r="B339" s="95"/>
      <c r="C339" s="95"/>
      <c r="D339" s="95"/>
      <c r="E339" s="95"/>
      <c r="F339" s="95"/>
      <c r="G339" s="95"/>
      <c r="H339" s="96"/>
      <c r="I339" s="33"/>
      <c r="L339" s="91"/>
      <c r="M339" s="91"/>
      <c r="N339" s="33"/>
    </row>
    <row r="340" spans="1:14" s="34" customFormat="1" x14ac:dyDescent="0.3">
      <c r="A340" s="92">
        <v>1</v>
      </c>
      <c r="B340" s="93"/>
      <c r="C340" s="39" t="s">
        <v>246</v>
      </c>
      <c r="D340" s="50">
        <f>(6.8*5.04+3.51*3.65+3.65*(4.67+4.43)+3.35*4.57+1.83*(2.75*2)+2.6*(1.68+1.78)+1.66*1.82+1.83*1.87+6.03*1.89+1.93*1.22+3.35*4.67+0.45*(1.75+1.65)+(4.1*0.58)*2+1.97*1.95+1.52*1.5+3.51*1.23+6.7*1.83)*10.764</f>
        <v>1932.0723395999996</v>
      </c>
      <c r="E340" s="39">
        <v>0</v>
      </c>
      <c r="F340" s="39">
        <f>D340*(($F$140)+1)+(IF(E340&lt;101,E340,IF(E340&lt;201,E340/2,IF(E340&lt;=301,E340/3,E340/4))))</f>
        <v>2898.1085093999995</v>
      </c>
      <c r="G340" s="114" t="str">
        <f>A339</f>
        <v>14th &amp; 19th Floor</v>
      </c>
      <c r="H340" s="115"/>
      <c r="I340" s="33"/>
      <c r="L340" s="91"/>
      <c r="M340" s="91"/>
      <c r="N340" s="33"/>
    </row>
    <row r="341" spans="1:14" s="34" customFormat="1" x14ac:dyDescent="0.3">
      <c r="A341" s="92">
        <f t="shared" ref="A341:A343" si="40">A340+1</f>
        <v>2</v>
      </c>
      <c r="B341" s="93"/>
      <c r="C341" s="39" t="s">
        <v>246</v>
      </c>
      <c r="D341" s="50">
        <f>(7.01*5.32+3.35*3.81+3.65*4.57+3.35*4.57+3.05*4.32+1.52*1.83+1.83*(2.75*2)+1.52*(2.59*2)+1.84+3.81+1.05*(2.82+2.4+3.15+1.92+3.95+4.25)+2.07*2.5+1.92*1.21+5.76*1.57+3.46*1.22)*10.764</f>
        <v>1741.2922800000003</v>
      </c>
      <c r="E341" s="39">
        <v>0</v>
      </c>
      <c r="F341" s="39">
        <f>D341*(($F$140)+1)+(IF(E341&lt;101,E341,IF(E341&lt;201,E341/2,IF(E341&lt;=301,E341/3,E341/4))))</f>
        <v>2611.9384200000004</v>
      </c>
      <c r="G341" s="116"/>
      <c r="H341" s="117"/>
      <c r="I341" s="33"/>
      <c r="L341" s="91"/>
      <c r="M341" s="91"/>
      <c r="N341" s="33"/>
    </row>
    <row r="342" spans="1:14" s="34" customFormat="1" x14ac:dyDescent="0.3">
      <c r="A342" s="92">
        <f t="shared" si="40"/>
        <v>3</v>
      </c>
      <c r="B342" s="93"/>
      <c r="C342" s="39" t="s">
        <v>246</v>
      </c>
      <c r="D342" s="50">
        <f>(6.8*5.04+3.51*3.65+3.65*(4.67+4.43)+(3.35*4.57)*2+1.68*1.82+(1.83*2.75)*2+1.78*2.6+1.83*1.87+2.75*2.13+6.03*1.89+1.93*1.22+0.45*(1.67+1.75)+(4.1*0.58)*2+3.35*4.67+6.7*1.83+3.35*1.23+1.97*1.95+1.52*1.5)*10.764</f>
        <v>2111.2671059999993</v>
      </c>
      <c r="E342" s="39">
        <v>0</v>
      </c>
      <c r="F342" s="39">
        <f>D342*(($F$140)+1)+(IF(E342&lt;101,E342,IF(E342&lt;201,E342/2,IF(E342&lt;=301,E342/3,E342/4))))</f>
        <v>3166.900658999999</v>
      </c>
      <c r="G342" s="116"/>
      <c r="H342" s="117"/>
      <c r="I342" s="34">
        <v>1</v>
      </c>
      <c r="J342" s="33"/>
    </row>
    <row r="343" spans="1:14" s="34" customFormat="1" x14ac:dyDescent="0.3">
      <c r="A343" s="92">
        <f t="shared" si="40"/>
        <v>4</v>
      </c>
      <c r="B343" s="93"/>
      <c r="C343" s="39" t="s">
        <v>370</v>
      </c>
      <c r="D343" s="50">
        <f>(6.85*4.87+3.65*2.75+3.65*3.97+3.35*(4.32+3.97)+1.78*1.42+(1.83*2.75)*2+1.52*2.6+1.52*3.3+1.05*(3.45+1.72+2.03+4.15+3.85)+0.6*(4.16+2.02)+1.52*2.75+1.78*1.23+2.4*1.22+5.6*1.52)*10.764</f>
        <v>1557.5185079999999</v>
      </c>
      <c r="E343" s="39">
        <v>0</v>
      </c>
      <c r="F343" s="39">
        <f>D343*(($F$140)+1)+(IF(E343&lt;101,E343,IF(E343&lt;201,E343/2,IF(E343&lt;=301,E343/3,E343/4))))</f>
        <v>2336.2777619999997</v>
      </c>
      <c r="G343" s="118"/>
      <c r="H343" s="119"/>
      <c r="I343" s="33"/>
      <c r="L343" s="91"/>
      <c r="M343" s="91"/>
      <c r="N343" s="33"/>
    </row>
    <row r="344" spans="1:14" s="34" customFormat="1" x14ac:dyDescent="0.3">
      <c r="A344" s="94" t="s">
        <v>374</v>
      </c>
      <c r="B344" s="95"/>
      <c r="C344" s="95"/>
      <c r="D344" s="95"/>
      <c r="E344" s="95"/>
      <c r="F344" s="95"/>
      <c r="G344" s="95"/>
      <c r="H344" s="96"/>
      <c r="I344" s="33"/>
      <c r="L344" s="91"/>
      <c r="M344" s="91"/>
      <c r="N344" s="33"/>
    </row>
    <row r="345" spans="1:14" s="34" customFormat="1" x14ac:dyDescent="0.3">
      <c r="A345" s="92">
        <v>1</v>
      </c>
      <c r="B345" s="93"/>
      <c r="C345" s="39" t="s">
        <v>246</v>
      </c>
      <c r="D345" s="50">
        <f>(6.8*5.04+3.51*3.65+3.65*(4.67+4.43)+3.35*4.57+1.83*(2.75*2)+2.6*(1.68+1.78)+1.66*1.82+1.83*1.87+6.03*1.89+1.93*1.22+3.35*4.67+0.45*(1.75+1.65)+(4.1*0.58)*2+1.97*1.95+1.52*1.5+3.51*1.23+6.7*1.83)*10.764</f>
        <v>1932.0723395999996</v>
      </c>
      <c r="E345" s="39">
        <v>0</v>
      </c>
      <c r="F345" s="39">
        <f>D345*(($F$140)+1)+(IF(E345&lt;101,E345,IF(E345&lt;201,E345/2,IF(E345&lt;=301,E345/3,E345/4))))</f>
        <v>2898.1085093999995</v>
      </c>
      <c r="G345" s="114" t="str">
        <f>A344</f>
        <v xml:space="preserve">16th Floor (Part Refuge Area) </v>
      </c>
      <c r="H345" s="115"/>
      <c r="I345" s="33"/>
      <c r="L345" s="91"/>
      <c r="M345" s="91"/>
      <c r="N345" s="33"/>
    </row>
    <row r="346" spans="1:14" s="34" customFormat="1" x14ac:dyDescent="0.3">
      <c r="A346" s="92">
        <f t="shared" ref="A346:A348" si="41">A345+1</f>
        <v>2</v>
      </c>
      <c r="B346" s="93"/>
      <c r="C346" s="39" t="s">
        <v>246</v>
      </c>
      <c r="D346" s="50">
        <f>(7.01*5.32+3.35*3.81+3.65*4.57+3.35*4.57+3.05*4.32+1.52*1.83+1.83*(2.75*2)+1.52*(2.59*2)+1.84+3.81+1.05*(2.82+2.4+3.15+1.92+3.95+4.25)+2.07*2.5+1.92*1.21+5.76*1.57+3.46*1.22)*10.764</f>
        <v>1741.2922800000003</v>
      </c>
      <c r="E346" s="39">
        <v>0</v>
      </c>
      <c r="F346" s="39">
        <f>D346*(($F$140)+1)+(IF(E346&lt;101,E346,IF(E346&lt;201,E346/2,IF(E346&lt;=301,E346/3,E346/4))))</f>
        <v>2611.9384200000004</v>
      </c>
      <c r="G346" s="116"/>
      <c r="H346" s="117"/>
      <c r="I346" s="33"/>
      <c r="L346" s="91"/>
      <c r="M346" s="91"/>
      <c r="N346" s="33"/>
    </row>
    <row r="347" spans="1:14" s="34" customFormat="1" x14ac:dyDescent="0.3">
      <c r="A347" s="92">
        <f t="shared" si="41"/>
        <v>3</v>
      </c>
      <c r="B347" s="93"/>
      <c r="C347" s="217" t="s">
        <v>245</v>
      </c>
      <c r="D347" s="218"/>
      <c r="E347" s="218"/>
      <c r="F347" s="219"/>
      <c r="G347" s="116"/>
      <c r="H347" s="117"/>
      <c r="I347" s="34">
        <v>1</v>
      </c>
      <c r="J347" s="33"/>
    </row>
    <row r="348" spans="1:14" s="34" customFormat="1" x14ac:dyDescent="0.3">
      <c r="A348" s="92">
        <f t="shared" si="41"/>
        <v>4</v>
      </c>
      <c r="B348" s="93"/>
      <c r="C348" s="39" t="s">
        <v>370</v>
      </c>
      <c r="D348" s="50">
        <f>(6.85*4.87+3.65*2.75+3.65*3.97+3.35*(4.32+3.97)+1.78*1.42+(1.83*2.75)*2+1.52*2.6+1.52*3.3+1.05*(3.45+1.72+2.03+4.15+3.85)+0.6*(4.16+2.02)+1.52*2.75+1.78*1.23+2.4*1.22+5.6*1.52)*10.764</f>
        <v>1557.5185079999999</v>
      </c>
      <c r="E348" s="39">
        <v>0</v>
      </c>
      <c r="F348" s="39">
        <f>D348*(($F$140)+1)+(IF(E348&lt;101,E348,IF(E348&lt;201,E348/2,IF(E348&lt;=301,E348/3,E348/4))))</f>
        <v>2336.2777619999997</v>
      </c>
      <c r="G348" s="118"/>
      <c r="H348" s="119"/>
      <c r="I348" s="33"/>
      <c r="L348" s="91"/>
      <c r="M348" s="91"/>
      <c r="N348" s="33"/>
    </row>
    <row r="349" spans="1:14" s="34" customFormat="1" x14ac:dyDescent="0.3">
      <c r="A349" s="94" t="s">
        <v>373</v>
      </c>
      <c r="B349" s="95"/>
      <c r="C349" s="95"/>
      <c r="D349" s="95"/>
      <c r="E349" s="95"/>
      <c r="F349" s="95"/>
      <c r="G349" s="95"/>
      <c r="H349" s="96"/>
      <c r="I349" s="33"/>
      <c r="L349" s="91"/>
      <c r="M349" s="91"/>
      <c r="N349" s="33"/>
    </row>
    <row r="350" spans="1:14" s="34" customFormat="1" x14ac:dyDescent="0.3">
      <c r="A350" s="92">
        <v>1</v>
      </c>
      <c r="B350" s="93"/>
      <c r="C350" s="39" t="s">
        <v>246</v>
      </c>
      <c r="D350" s="50">
        <f>(6.8*5.04+3.51*3.65+3.65*(4.67+4.43)+3.35*4.57+1.83*(2.75*2)+2.6*(1.68+1.78)+1.66*1.82+1.83*1.87+6.03*1.89+1.93*1.22+3.35*4.67+0.45*(1.75+1.65)+(4.1*0.58)*2+1.97*1.95+1.52*1.5+3.51*1.23+6.7*1.83)*10.764</f>
        <v>1932.0723395999996</v>
      </c>
      <c r="E350" s="39">
        <v>0</v>
      </c>
      <c r="F350" s="39">
        <f>D350*(($F$140)+1)+(IF(E350&lt;101,E350,IF(E350&lt;201,E350/2,IF(E350&lt;=301,E350/3,E350/4))))</f>
        <v>2898.1085093999995</v>
      </c>
      <c r="G350" s="114" t="str">
        <f>A349</f>
        <v>21st Floor</v>
      </c>
      <c r="H350" s="115"/>
      <c r="I350" s="33">
        <f>(6.8*5.04+3.51*3.65+3.65*(4.67+4.43)+(3.35*4.57)*2+1.68*1.82+(1.83*2.75)*2+1.78*2.6+1.83*1.87+2.75*2.13+6.03*1.89+1.93*1.22+0.45*(1.67+1.75)+(4.1*0.58)*2+3.35*4.67+3.35*1.23+1.97*1.95+1.52*1.5)*10.764</f>
        <v>1979.2897019999994</v>
      </c>
      <c r="L350" s="91"/>
      <c r="M350" s="91"/>
      <c r="N350" s="33"/>
    </row>
    <row r="351" spans="1:14" s="34" customFormat="1" x14ac:dyDescent="0.3">
      <c r="A351" s="92">
        <f t="shared" ref="A351:A353" si="42">A350+1</f>
        <v>2</v>
      </c>
      <c r="B351" s="93"/>
      <c r="C351" s="39" t="s">
        <v>246</v>
      </c>
      <c r="D351" s="50">
        <f>(7.01*5.32+3.35*3.81+3.65*4.57+3.35*4.57+3.05*4.32+1.52*1.83+1.83*(2.75*2)+1.52*(2.59*2)+1.84+3.81+1.05*(2.82+2.4+3.15+1.92+3.95+4.25)+2.07*2.5+1.92*1.21+5.76*1.57+3.46*1.22)*10.764</f>
        <v>1741.2922800000003</v>
      </c>
      <c r="E351" s="39">
        <v>0</v>
      </c>
      <c r="F351" s="39">
        <f>D351*(($F$140)+1)+(IF(E351&lt;101,E351,IF(E351&lt;201,E351/2,IF(E351&lt;=301,E351/3,E351/4))))</f>
        <v>2611.9384200000004</v>
      </c>
      <c r="G351" s="116"/>
      <c r="H351" s="117"/>
      <c r="I351" s="33"/>
      <c r="L351" s="91"/>
      <c r="M351" s="91"/>
      <c r="N351" s="33"/>
    </row>
    <row r="352" spans="1:14" s="34" customFormat="1" x14ac:dyDescent="0.3">
      <c r="A352" s="92">
        <f t="shared" si="42"/>
        <v>3</v>
      </c>
      <c r="B352" s="93"/>
      <c r="C352" s="39" t="s">
        <v>246</v>
      </c>
      <c r="D352" s="50">
        <f>(6.8*5.04+3.51*3.65+3.65*(4.67+4.43)+(3.35*4.57)*2+1.68*1.82+(1.83*2.75)*2+1.78*2.6+1.83*1.87+2.75*2.13+6.03*1.89+1.93*1.22+0.45*(1.67+1.75)+(4.1*0.58)*2+3.35*4.67+6.7*1.83+3.35*1.23+1.97*1.95+1.52*1.5)*10.764</f>
        <v>2111.2671059999993</v>
      </c>
      <c r="E352" s="39">
        <v>0</v>
      </c>
      <c r="F352" s="39">
        <f>D352*(($F$140)+1)+(IF(E352&lt;101,E352,IF(E352&lt;201,E352/2,IF(E352&lt;=301,E352/3,E352/4))))</f>
        <v>3166.900658999999</v>
      </c>
      <c r="G352" s="116"/>
      <c r="H352" s="117"/>
      <c r="I352" s="34">
        <v>1</v>
      </c>
      <c r="J352" s="33"/>
    </row>
    <row r="353" spans="1:14" s="34" customFormat="1" x14ac:dyDescent="0.3">
      <c r="A353" s="92">
        <f t="shared" si="42"/>
        <v>4</v>
      </c>
      <c r="B353" s="93"/>
      <c r="C353" s="39" t="s">
        <v>370</v>
      </c>
      <c r="D353" s="50">
        <f>(6.85*4.87+3.65*2.75+3.65*3.97+3.35*(4.32+3.97)+1.78*1.42+(1.83*2.75)*2+1.52*2.6+1.52*3.3+1.05*(3.45+1.72+2.03+4.15+3.85)+0.6*(4.16+2.02)+1.52*2.75+1.78*1.23+2.4*1.22+5.6*1.52)*10.764</f>
        <v>1557.5185079999999</v>
      </c>
      <c r="E353" s="39">
        <v>0</v>
      </c>
      <c r="F353" s="39">
        <f>D353*(($F$140)+1)+(IF(E353&lt;101,E353,IF(E353&lt;201,E353/2,IF(E353&lt;=301,E353/3,E353/4))))</f>
        <v>2336.2777619999997</v>
      </c>
      <c r="G353" s="118"/>
      <c r="H353" s="119"/>
      <c r="I353" s="33"/>
      <c r="L353" s="91"/>
      <c r="M353" s="91"/>
      <c r="N353" s="33"/>
    </row>
    <row r="354" spans="1:14" s="34" customFormat="1" x14ac:dyDescent="0.3">
      <c r="A354" s="94" t="s">
        <v>342</v>
      </c>
      <c r="B354" s="95"/>
      <c r="C354" s="95"/>
      <c r="D354" s="95"/>
      <c r="E354" s="95"/>
      <c r="F354" s="95"/>
      <c r="G354" s="95"/>
      <c r="H354" s="96"/>
      <c r="I354" s="33"/>
      <c r="L354" s="91"/>
      <c r="M354" s="91"/>
      <c r="N354" s="33"/>
    </row>
    <row r="355" spans="1:14" s="34" customFormat="1" x14ac:dyDescent="0.3">
      <c r="A355" s="92">
        <v>1</v>
      </c>
      <c r="B355" s="93"/>
      <c r="C355" s="39" t="s">
        <v>246</v>
      </c>
      <c r="D355" s="50">
        <f>(6.8*6.87+3.51*3.65+3.65*(4.67+4.43)+3.35*4.57+1.83*(2.75*2)+2.6*(1.68+1.78)+1.66*1.82+1.83*1.87+6.03*1.89+1.93*1.22+3.35*4.67+0.45*(1.75+1.65)+(4.1*0.58)*2+1.97*1.95+1.52*1.5+3.51*1.23)*10.764</f>
        <v>1934.0421515999997</v>
      </c>
      <c r="E355" s="39">
        <v>0</v>
      </c>
      <c r="F355" s="39">
        <f>D355*(($F$140)+1)+(IF(E355&lt;101,E355,IF(E355&lt;201,E355/2,IF(E355&lt;=301,E355/3,E355/4))))</f>
        <v>2901.0632273999995</v>
      </c>
      <c r="G355" s="114" t="str">
        <f>A354</f>
        <v>22nd Floor</v>
      </c>
      <c r="H355" s="115"/>
      <c r="I355" s="33"/>
      <c r="L355" s="91"/>
      <c r="M355" s="91"/>
      <c r="N355" s="33"/>
    </row>
    <row r="356" spans="1:14" s="34" customFormat="1" x14ac:dyDescent="0.3">
      <c r="A356" s="92">
        <f t="shared" ref="A356:A358" si="43">A355+1</f>
        <v>2</v>
      </c>
      <c r="B356" s="93"/>
      <c r="C356" s="39" t="s">
        <v>246</v>
      </c>
      <c r="D356" s="50">
        <f>(7.01*5.32+3.35*3.81+3.65*4.57+3.35*4.57+3.05*4.32+1.52*1.83+1.83*(2.75*2)+1.52*(2.59*2)+1.84+3.81+1.05*(2.82+2.4+3.15+1.92+3.95+4.25)+2.07*2.5+1.92*1.21+5.76*1.57+3.46*1.22)*10.764</f>
        <v>1741.2922800000003</v>
      </c>
      <c r="E356" s="39">
        <v>0</v>
      </c>
      <c r="F356" s="39">
        <f>D356*(($F$140)+1)+(IF(E356&lt;101,E356,IF(E356&lt;201,E356/2,IF(E356&lt;=301,E356/3,E356/4))))</f>
        <v>2611.9384200000004</v>
      </c>
      <c r="G356" s="116"/>
      <c r="H356" s="117"/>
      <c r="I356" s="33"/>
      <c r="L356" s="91"/>
      <c r="M356" s="91"/>
      <c r="N356" s="33"/>
    </row>
    <row r="357" spans="1:14" s="34" customFormat="1" x14ac:dyDescent="0.3">
      <c r="A357" s="92">
        <f t="shared" si="43"/>
        <v>3</v>
      </c>
      <c r="B357" s="93"/>
      <c r="C357" s="39" t="s">
        <v>246</v>
      </c>
      <c r="D357" s="50">
        <f>(6.8*6.87+3.51*3.65+3.65*(4.67+4.43)+(3.35*4.57)*2+1.68*1.82+(1.83*2.75)*2+1.78*2.6+1.83*1.87+2.75*2.13+6.03*1.89+1.93*1.22+0.45*(1.67+1.75)+(4.1*0.58)*2+3.35*4.67+3.35*1.23+1.97*1.95+1.52*1.5)*10.764</f>
        <v>2113.2369179999996</v>
      </c>
      <c r="E357" s="39">
        <v>0</v>
      </c>
      <c r="F357" s="39">
        <f>D357*(($F$140)+1)+(IF(E357&lt;101,E357,IF(E357&lt;201,E357/2,IF(E357&lt;=301,E357/3,E357/4))))</f>
        <v>3169.8553769999994</v>
      </c>
      <c r="G357" s="116"/>
      <c r="H357" s="117"/>
      <c r="I357" s="34">
        <v>1</v>
      </c>
      <c r="J357" s="33"/>
    </row>
    <row r="358" spans="1:14" s="34" customFormat="1" x14ac:dyDescent="0.3">
      <c r="A358" s="92">
        <f t="shared" si="43"/>
        <v>4</v>
      </c>
      <c r="B358" s="93"/>
      <c r="C358" s="39" t="s">
        <v>370</v>
      </c>
      <c r="D358" s="50">
        <f>(6.85*4.87+3.65*2.75+3.65*3.97+3.35*(4.32+3.97)+1.78*1.42+(1.83*2.75)*2+1.52*2.6+1.52*3.3+1.05*(3.45+1.72+2.03+4.15+3.85)+0.6*(4.16+2.02)+1.52*2.75+1.78*1.23+2.4*1.22+5.6*1.52)*10.764</f>
        <v>1557.5185079999999</v>
      </c>
      <c r="E358" s="39">
        <v>0</v>
      </c>
      <c r="F358" s="39">
        <f>D358*(($F$140)+1)+(IF(E358&lt;101,E358,IF(E358&lt;201,E358/2,IF(E358&lt;=301,E358/3,E358/4))))</f>
        <v>2336.2777619999997</v>
      </c>
      <c r="G358" s="118"/>
      <c r="H358" s="119"/>
      <c r="I358" s="33"/>
      <c r="L358" s="91"/>
      <c r="M358" s="91"/>
      <c r="N358" s="33"/>
    </row>
    <row r="359" spans="1:14" s="34" customFormat="1" x14ac:dyDescent="0.3">
      <c r="A359" s="94" t="s">
        <v>375</v>
      </c>
      <c r="B359" s="95"/>
      <c r="C359" s="95"/>
      <c r="D359" s="95"/>
      <c r="E359" s="95"/>
      <c r="F359" s="95"/>
      <c r="G359" s="95"/>
      <c r="H359" s="96"/>
      <c r="I359" s="33"/>
      <c r="L359" s="91"/>
      <c r="M359" s="91"/>
      <c r="N359" s="33"/>
    </row>
    <row r="360" spans="1:14" s="34" customFormat="1" x14ac:dyDescent="0.3">
      <c r="A360" s="92">
        <v>1</v>
      </c>
      <c r="B360" s="93"/>
      <c r="C360" s="39" t="s">
        <v>246</v>
      </c>
      <c r="D360" s="50">
        <f>(6.8*5.04+3.51*3.65+3.65*(4.67+4.43)+3.35*4.57+1.83*(2.75*2)+2.6*(1.68+1.78)+1.66*1.82+1.83*1.87+6.03*1.89+1.93*1.22+3.35*4.67+0.45*(1.75+1.65)+(4.1*0.58)*2+1.97*1.95+1.52*1.5+3.51*1.23+6.7*1.83)*10.764</f>
        <v>1932.0723395999996</v>
      </c>
      <c r="E360" s="39">
        <v>0</v>
      </c>
      <c r="F360" s="39">
        <f>D360*(($F$140)+1)+(IF(E360&lt;101,E360,IF(E360&lt;201,E360/2,IF(E360&lt;=301,E360/3,E360/4))))</f>
        <v>2898.1085093999995</v>
      </c>
      <c r="G360" s="114" t="str">
        <f>A359</f>
        <v xml:space="preserve">23rd Floor (Part Refuge Area) </v>
      </c>
      <c r="H360" s="115"/>
      <c r="I360" s="33"/>
      <c r="L360" s="91"/>
      <c r="M360" s="91"/>
      <c r="N360" s="33"/>
    </row>
    <row r="361" spans="1:14" s="34" customFormat="1" x14ac:dyDescent="0.3">
      <c r="A361" s="92">
        <f t="shared" ref="A361:A363" si="44">A360+1</f>
        <v>2</v>
      </c>
      <c r="B361" s="93"/>
      <c r="C361" s="39" t="s">
        <v>246</v>
      </c>
      <c r="D361" s="50">
        <f>(7.01*5.32+3.35*3.81+3.65*4.57+3.35*4.57+3.05*4.32+1.52*1.83+1.83*(2.75*2)+1.52*(2.59*2)+1.84+3.81+1.05*(2.82+2.4+3.15+1.92+3.95+4.25)+2.07*2.5+1.92*1.21+5.76*1.57+3.46*1.22)*10.764</f>
        <v>1741.2922800000003</v>
      </c>
      <c r="E361" s="39">
        <v>0</v>
      </c>
      <c r="F361" s="39">
        <f>D361*(($F$140)+1)+(IF(E361&lt;101,E361,IF(E361&lt;201,E361/2,IF(E361&lt;=301,E361/3,E361/4))))</f>
        <v>2611.9384200000004</v>
      </c>
      <c r="G361" s="116"/>
      <c r="H361" s="117"/>
      <c r="I361" s="33"/>
      <c r="L361" s="91"/>
      <c r="M361" s="91"/>
      <c r="N361" s="33"/>
    </row>
    <row r="362" spans="1:14" s="34" customFormat="1" x14ac:dyDescent="0.3">
      <c r="A362" s="92">
        <f t="shared" si="44"/>
        <v>3</v>
      </c>
      <c r="B362" s="93"/>
      <c r="C362" s="217" t="s">
        <v>245</v>
      </c>
      <c r="D362" s="218"/>
      <c r="E362" s="218"/>
      <c r="F362" s="219"/>
      <c r="G362" s="116"/>
      <c r="H362" s="117"/>
      <c r="I362" s="34">
        <v>1</v>
      </c>
      <c r="J362" s="33"/>
    </row>
    <row r="363" spans="1:14" s="34" customFormat="1" x14ac:dyDescent="0.3">
      <c r="A363" s="92">
        <f t="shared" si="44"/>
        <v>4</v>
      </c>
      <c r="B363" s="93"/>
      <c r="C363" s="39" t="s">
        <v>370</v>
      </c>
      <c r="D363" s="50">
        <f>(6.85*4.87+3.65*2.75+3.65*3.97+3.35*(4.32+3.97)+1.78*1.42+(1.83*2.75)*2+1.52*2.6+1.52*3.3+1.05*(3.45+1.72+2.03+4.15+3.85)+0.6*(4.16+2.02)+1.52*2.75+1.78*1.23+2.4*1.22+5.6*1.52)*10.764</f>
        <v>1557.5185079999999</v>
      </c>
      <c r="E363" s="39">
        <v>0</v>
      </c>
      <c r="F363" s="39">
        <f>D363*(($F$140)+1)+(IF(E363&lt;101,E363,IF(E363&lt;201,E363/2,IF(E363&lt;=301,E363/3,E363/4))))</f>
        <v>2336.2777619999997</v>
      </c>
      <c r="G363" s="118"/>
      <c r="H363" s="119"/>
      <c r="I363" s="33"/>
      <c r="L363" s="91"/>
      <c r="M363" s="91"/>
      <c r="N363" s="33"/>
    </row>
    <row r="364" spans="1:14" s="34" customFormat="1" x14ac:dyDescent="0.3">
      <c r="A364" s="94" t="s">
        <v>251</v>
      </c>
      <c r="B364" s="95"/>
      <c r="C364" s="95"/>
      <c r="D364" s="95"/>
      <c r="E364" s="95"/>
      <c r="F364" s="95"/>
      <c r="G364" s="95"/>
      <c r="H364" s="96"/>
      <c r="I364" s="33"/>
      <c r="L364" s="91"/>
      <c r="M364" s="91"/>
      <c r="N364" s="33"/>
    </row>
    <row r="365" spans="1:14" s="34" customFormat="1" x14ac:dyDescent="0.3">
      <c r="A365" s="92">
        <v>1</v>
      </c>
      <c r="B365" s="93"/>
      <c r="C365" s="39" t="s">
        <v>246</v>
      </c>
      <c r="D365" s="50">
        <f>(6.8*6.87+3.51*3.65+3.65*(4.67+4.43)+3.35*4.57+1.83*(2.75*2)+2.6*(1.68+1.78)+1.66*1.82+1.83*1.87+6.03*1.89+1.93*1.22+3.35*4.67+0.45*(1.75+1.65)+(4.1*0.58)*2+1.97*1.95+1.52*1.5+3.51*1.23)*10.764</f>
        <v>1934.0421515999997</v>
      </c>
      <c r="E365" s="39">
        <v>0</v>
      </c>
      <c r="F365" s="39">
        <f>D365*(($F$140)+1)+(IF(E365&lt;101,E365,IF(E365&lt;201,E365/2,IF(E365&lt;=301,E365/3,E365/4))))</f>
        <v>2901.0632273999995</v>
      </c>
      <c r="G365" s="114" t="str">
        <f>A364</f>
        <v>24th Floor</v>
      </c>
      <c r="H365" s="115"/>
      <c r="I365" s="33"/>
      <c r="L365" s="91"/>
      <c r="M365" s="91"/>
      <c r="N365" s="33"/>
    </row>
    <row r="366" spans="1:14" s="34" customFormat="1" x14ac:dyDescent="0.3">
      <c r="A366" s="92">
        <f t="shared" ref="A366:A368" si="45">A365+1</f>
        <v>2</v>
      </c>
      <c r="B366" s="93"/>
      <c r="C366" s="39" t="s">
        <v>246</v>
      </c>
      <c r="D366" s="50">
        <f>(7.01*5.32+3.35*3.81+3.65*4.57+3.35*4.57+3.05*4.32+1.52*1.83+1.83*(2.75*2)+1.52*(2.59*2)+1.84+3.81+1.05*(2.82+2.4+3.15+1.92+3.95+4.25)+2.07*2.5+1.92*1.21+6.06*1.87+3.46*1.22)*10.764</f>
        <v>1765.9310760000001</v>
      </c>
      <c r="E366" s="39">
        <v>0</v>
      </c>
      <c r="F366" s="39">
        <f>D366*(($F$140)+1)+(IF(E366&lt;101,E366,IF(E366&lt;201,E366/2,IF(E366&lt;=301,E366/3,E366/4))))</f>
        <v>2648.8966140000002</v>
      </c>
      <c r="G366" s="116"/>
      <c r="H366" s="117"/>
      <c r="I366" s="33"/>
      <c r="L366" s="91"/>
      <c r="M366" s="91"/>
      <c r="N366" s="33"/>
    </row>
    <row r="367" spans="1:14" s="34" customFormat="1" x14ac:dyDescent="0.3">
      <c r="A367" s="92">
        <f t="shared" si="45"/>
        <v>3</v>
      </c>
      <c r="B367" s="93"/>
      <c r="C367" s="39" t="s">
        <v>246</v>
      </c>
      <c r="D367" s="50">
        <f>(6.8*6.87+3.51*3.65+3.65*(4.67+4.43)+(3.35*4.57)*2+1.68*1.82+(1.83*2.75)*2+1.78*2.6+1.83*1.87+2.75*2.13+6.03*1.89+1.93*1.22+0.45*(1.67+1.75)+(4.1*0.58)*2+3.35*4.67+3.35*1.23+1.97*1.95+1.52*1.5)*10.764</f>
        <v>2113.2369179999996</v>
      </c>
      <c r="E367" s="39">
        <v>0</v>
      </c>
      <c r="F367" s="39">
        <f>D367*(($F$140)+1)+(IF(E367&lt;101,E367,IF(E367&lt;201,E367/2,IF(E367&lt;=301,E367/3,E367/4))))</f>
        <v>3169.8553769999994</v>
      </c>
      <c r="G367" s="116"/>
      <c r="H367" s="117"/>
      <c r="I367" s="34">
        <v>1</v>
      </c>
      <c r="J367" s="33"/>
    </row>
    <row r="368" spans="1:14" s="34" customFormat="1" x14ac:dyDescent="0.3">
      <c r="A368" s="92">
        <f t="shared" si="45"/>
        <v>4</v>
      </c>
      <c r="B368" s="93"/>
      <c r="C368" s="39" t="s">
        <v>370</v>
      </c>
      <c r="D368" s="50">
        <f>(6.85*4.87+3.65*2.75+3.65*3.97+3.35*(4.32+3.97)+1.78*1.42+(1.83*2.75)*2+1.52*2.6+1.52*3.3+1.05*(3.45+1.72+2.03+4.15+3.85)+0.6*(4.16+2.02)+1.52*2.75+1.78*1.23+2.4*1.22+5.6*1.52)*10.764</f>
        <v>1557.5185079999999</v>
      </c>
      <c r="E368" s="39">
        <v>0</v>
      </c>
      <c r="F368" s="39">
        <f>D368*(($F$140)+1)+(IF(E368&lt;101,E368,IF(E368&lt;201,E368/2,IF(E368&lt;=301,E368/3,E368/4))))</f>
        <v>2336.2777619999997</v>
      </c>
      <c r="G368" s="118"/>
      <c r="H368" s="119"/>
      <c r="I368" s="33"/>
      <c r="L368" s="91"/>
      <c r="M368" s="91"/>
      <c r="N368" s="33"/>
    </row>
    <row r="369" spans="1:14" s="34" customFormat="1" x14ac:dyDescent="0.3">
      <c r="A369" s="94" t="s">
        <v>343</v>
      </c>
      <c r="B369" s="95"/>
      <c r="C369" s="95"/>
      <c r="D369" s="95"/>
      <c r="E369" s="95"/>
      <c r="F369" s="95"/>
      <c r="G369" s="95"/>
      <c r="H369" s="96"/>
      <c r="I369" s="33"/>
      <c r="L369" s="91"/>
      <c r="M369" s="91"/>
      <c r="N369" s="33"/>
    </row>
    <row r="370" spans="1:14" s="34" customFormat="1" x14ac:dyDescent="0.3">
      <c r="A370" s="92">
        <v>1</v>
      </c>
      <c r="B370" s="93"/>
      <c r="C370" s="39" t="s">
        <v>246</v>
      </c>
      <c r="D370" s="50">
        <f>(6.8*6.87+3.51*3.65+3.65*(4.67+4.43)+3.35*4.57+1.83*(2.75*2)+2.6*(1.68+1.78)+1.66*1.82+1.83*1.87+6.03*1.89+1.93*1.22+3.35*4.67+0.45*(1.75+1.65)+(4.1*0.58)*2+1.97*1.95+1.52*1.5+3.51*1.23)*10.764</f>
        <v>1934.0421515999997</v>
      </c>
      <c r="E370" s="39">
        <v>0</v>
      </c>
      <c r="F370" s="39">
        <f>D370*(($F$140)+1)+(IF(E370&lt;101,E370,IF(E370&lt;201,E370/2,IF(E370&lt;=301,E370/3,E370/4))))</f>
        <v>2901.0632273999995</v>
      </c>
      <c r="G370" s="114" t="str">
        <f>A369</f>
        <v>25th Floor</v>
      </c>
      <c r="H370" s="115"/>
      <c r="I370" s="33"/>
      <c r="L370" s="91"/>
      <c r="M370" s="91"/>
      <c r="N370" s="33"/>
    </row>
    <row r="371" spans="1:14" s="34" customFormat="1" x14ac:dyDescent="0.3">
      <c r="A371" s="92">
        <f t="shared" ref="A371:A373" si="46">A370+1</f>
        <v>2</v>
      </c>
      <c r="B371" s="93"/>
      <c r="C371" s="39" t="s">
        <v>246</v>
      </c>
      <c r="D371" s="50">
        <f>(7.01*5.32+3.35*3.81+3.65*4.57+3.35*4.57+3.05*4.32+1.52*1.83+1.83*(2.75*2)+1.52*(2.59*2)+1.84+3.81+1.05*(2.82+2.4+3.15+1.92+3.95+4.25)+2.07*2.5+1.92*1.21+6.06*1.87+3.46*1.22)*10.764</f>
        <v>1765.9310760000001</v>
      </c>
      <c r="E371" s="39">
        <v>0</v>
      </c>
      <c r="F371" s="39">
        <f>D371*(($F$140)+1)+(IF(E371&lt;101,E371,IF(E371&lt;201,E371/2,IF(E371&lt;=301,E371/3,E371/4))))</f>
        <v>2648.8966140000002</v>
      </c>
      <c r="G371" s="116"/>
      <c r="H371" s="117"/>
      <c r="I371" s="33"/>
      <c r="L371" s="91"/>
      <c r="M371" s="91"/>
      <c r="N371" s="33"/>
    </row>
    <row r="372" spans="1:14" s="34" customFormat="1" x14ac:dyDescent="0.3">
      <c r="A372" s="92">
        <f t="shared" si="46"/>
        <v>3</v>
      </c>
      <c r="B372" s="93"/>
      <c r="C372" s="39" t="s">
        <v>246</v>
      </c>
      <c r="D372" s="50">
        <f>(6.8*6.87+3.51*3.65+3.65*(4.67+4.43)+(3.35*4.57)*2+1.68*1.82+(1.83*2.75)*2+1.78*2.6+1.83*1.87+2.75*2.13+6.03*1.89+1.93*1.22+0.45*(1.67+1.75)+(4.1*0.58)*2+3.35*4.67+3.35*1.23+1.97*1.95+1.52*1.5)*10.764</f>
        <v>2113.2369179999996</v>
      </c>
      <c r="E372" s="39">
        <v>0</v>
      </c>
      <c r="F372" s="39">
        <f>D372*(($F$140)+1)+(IF(E372&lt;101,E372,IF(E372&lt;201,E372/2,IF(E372&lt;=301,E372/3,E372/4))))</f>
        <v>3169.8553769999994</v>
      </c>
      <c r="G372" s="116"/>
      <c r="H372" s="117"/>
      <c r="I372" s="34">
        <f>3</f>
        <v>3</v>
      </c>
      <c r="J372" s="33"/>
    </row>
    <row r="373" spans="1:14" s="34" customFormat="1" ht="15.75" customHeight="1" x14ac:dyDescent="0.3">
      <c r="A373" s="92">
        <f t="shared" si="46"/>
        <v>4</v>
      </c>
      <c r="B373" s="93"/>
      <c r="C373" s="39" t="s">
        <v>370</v>
      </c>
      <c r="D373" s="50">
        <f>(6.85*4.87+3.65*2.75+3.65*3.97+3.35*(4.32+3.97)+1.78*1.42+(1.83*2.75)*2+1.52*2.6+1.52*3.3+1.05*(3.45+1.72+2.03+4.15+3.85)+0.6*(4.16+2.02)+1.52*2.75+1.78*1.23+2.4*1.22+5.6*1.52)*10.764</f>
        <v>1557.5185079999999</v>
      </c>
      <c r="E373" s="39">
        <v>0</v>
      </c>
      <c r="F373" s="39">
        <f>D373*(($F$140)+1)+(IF(E373&lt;101,E373,IF(E373&lt;201,E373/2,IF(E373&lt;=301,E373/3,E373/4))))</f>
        <v>2336.2777619999997</v>
      </c>
      <c r="G373" s="118"/>
      <c r="H373" s="119"/>
      <c r="I373" s="33"/>
      <c r="L373" s="91"/>
      <c r="M373" s="91"/>
      <c r="N373" s="33"/>
    </row>
    <row r="374" spans="1:14" s="34" customFormat="1" ht="15.75" customHeight="1" x14ac:dyDescent="0.3">
      <c r="A374" s="94" t="s">
        <v>376</v>
      </c>
      <c r="B374" s="95"/>
      <c r="C374" s="95"/>
      <c r="D374" s="95"/>
      <c r="E374" s="95"/>
      <c r="F374" s="95"/>
      <c r="G374" s="95"/>
      <c r="H374" s="96"/>
      <c r="I374" s="33"/>
      <c r="L374" s="91"/>
      <c r="M374" s="91"/>
      <c r="N374" s="33"/>
    </row>
    <row r="375" spans="1:14" s="34" customFormat="1" ht="15.75" customHeight="1" x14ac:dyDescent="0.3">
      <c r="A375" s="92">
        <v>1</v>
      </c>
      <c r="B375" s="93"/>
      <c r="C375" s="39" t="s">
        <v>246</v>
      </c>
      <c r="D375" s="50">
        <f>(6.8*6.87+3.51*3.65+3.65*(4.67+4.43)+3.35*4.57+1.83*(2.75*2)+2.6*(1.68+1.78)+1.66*1.82+1.83*1.87+6.03*1.89+1.93*1.22+3.35*4.67+0.45*(1.75+1.65)+(4.1*0.58)*2+1.97*1.95+1.52*1.5+3.51*1.23)*10.764</f>
        <v>1934.0421515999997</v>
      </c>
      <c r="E375" s="39">
        <v>0</v>
      </c>
      <c r="F375" s="39">
        <f>D375*(($F$140)+1)+(IF(E375&lt;101,E375,IF(E375&lt;201,E375/2,IF(E375&lt;=301,E375/3,E375/4))))</f>
        <v>2901.0632273999995</v>
      </c>
      <c r="G375" s="114" t="str">
        <f>A374</f>
        <v>26th to 28th Floor</v>
      </c>
      <c r="H375" s="115"/>
      <c r="I375" s="33"/>
      <c r="L375" s="91"/>
      <c r="M375" s="91"/>
      <c r="N375" s="33"/>
    </row>
    <row r="376" spans="1:14" s="34" customFormat="1" ht="15.75" customHeight="1" x14ac:dyDescent="0.3">
      <c r="A376" s="92">
        <f t="shared" ref="A376:A378" si="47">A375+1</f>
        <v>2</v>
      </c>
      <c r="B376" s="93"/>
      <c r="C376" s="39" t="s">
        <v>246</v>
      </c>
      <c r="D376" s="50">
        <f>(7.01*5.32+3.35*3.81+3.65*4.57+3.35*4.57+3.05*4.32+1.52*1.83+1.83*(2.75*2)+1.52*(2.59*2)+1.84+3.81+1.05*(2.82+2.4+3.15+1.92+3.95+4.25)+2.07*2.5+1.92*1.21+6.06*1.87+3.46*1.22)*10.764</f>
        <v>1765.9310760000001</v>
      </c>
      <c r="E376" s="39">
        <v>0</v>
      </c>
      <c r="F376" s="39">
        <f>D376*(($F$140)+1)+(IF(E376&lt;101,E376,IF(E376&lt;201,E376/2,IF(E376&lt;=301,E376/3,E376/4))))</f>
        <v>2648.8966140000002</v>
      </c>
      <c r="G376" s="116"/>
      <c r="H376" s="117"/>
      <c r="I376" s="33"/>
      <c r="L376" s="91"/>
      <c r="M376" s="91"/>
      <c r="N376" s="33"/>
    </row>
    <row r="377" spans="1:14" s="34" customFormat="1" x14ac:dyDescent="0.3">
      <c r="A377" s="92">
        <f t="shared" si="47"/>
        <v>3</v>
      </c>
      <c r="B377" s="93"/>
      <c r="C377" s="39" t="s">
        <v>246</v>
      </c>
      <c r="D377" s="50">
        <f>(6.8*6.87+3.51*3.65+3.65*(4.67+4.43)+(3.35*4.57)*2+1.68*1.82+(1.83*2.75)*2+1.78*2.6+1.83*1.87+2.75*2.13+6.03*1.89+1.93*1.22+0.45*(1.67+1.75)+(4.1*0.58)*2+3.35*4.67+3.35*1.23+1.97*1.95+1.52*1.5)*10.764</f>
        <v>2113.2369179999996</v>
      </c>
      <c r="E377" s="39">
        <v>0</v>
      </c>
      <c r="F377" s="39">
        <f>D377*(($F$140)+1)+(IF(E377&lt;101,E377,IF(E377&lt;201,E377/2,IF(E377&lt;=301,E377/3,E377/4))))</f>
        <v>3169.8553769999994</v>
      </c>
      <c r="G377" s="116"/>
      <c r="H377" s="117"/>
      <c r="I377" s="34">
        <v>1</v>
      </c>
      <c r="J377" s="33"/>
    </row>
    <row r="378" spans="1:14" s="34" customFormat="1" ht="15.75" customHeight="1" x14ac:dyDescent="0.3">
      <c r="A378" s="92">
        <f t="shared" si="47"/>
        <v>4</v>
      </c>
      <c r="B378" s="93"/>
      <c r="C378" s="39" t="s">
        <v>370</v>
      </c>
      <c r="D378" s="50">
        <f>(6.85*4.87+3.65*2.75+3.65*3.97+3.35*(4.32+3.97)+1.78*1.42+(1.83*2.75)*2+1.52*2.6+1.52*3.3+1.05*(3.45+1.72+2.03+4.15+3.85)+0.6*(4.16+2.02)+1.52*2.75+1.78*1.23+2.4*1.22+5.6*1.52)*10.764</f>
        <v>1557.5185079999999</v>
      </c>
      <c r="E378" s="39">
        <v>0</v>
      </c>
      <c r="F378" s="39">
        <f>D378*(($F$140)+1)+(IF(E378&lt;101,E378,IF(E378&lt;201,E378/2,IF(E378&lt;=301,E378/3,E378/4))))</f>
        <v>2336.2777619999997</v>
      </c>
      <c r="G378" s="118"/>
      <c r="H378" s="119"/>
      <c r="I378" s="33"/>
      <c r="L378" s="91"/>
      <c r="M378" s="91"/>
      <c r="N378" s="33"/>
    </row>
    <row r="379" spans="1:14" s="34" customFormat="1" ht="15.75" customHeight="1" x14ac:dyDescent="0.3">
      <c r="A379" s="94" t="s">
        <v>377</v>
      </c>
      <c r="B379" s="95"/>
      <c r="C379" s="95"/>
      <c r="D379" s="95"/>
      <c r="E379" s="95"/>
      <c r="F379" s="95"/>
      <c r="G379" s="95"/>
      <c r="H379" s="96"/>
      <c r="I379" s="33"/>
      <c r="L379" s="91"/>
      <c r="M379" s="91"/>
      <c r="N379" s="33"/>
    </row>
    <row r="380" spans="1:14" s="34" customFormat="1" ht="15.75" customHeight="1" x14ac:dyDescent="0.3">
      <c r="A380" s="92">
        <v>1</v>
      </c>
      <c r="B380" s="93"/>
      <c r="C380" s="39" t="s">
        <v>246</v>
      </c>
      <c r="D380" s="50">
        <f>(6.8*6.87+3.51*3.65+3.65*(4.67+4.43)+3.35*4.57+1.83*(2.75*2)+2.6*(1.68+1.78)+1.66*1.82+1.83*1.87+6.03*1.89+1.93*1.22+3.35*4.67+0.45*(1.75+1.65)+(4.1*0.58)*2+1.97*1.95+1.52*1.5+3.51*1.23)*10.764</f>
        <v>1934.0421515999997</v>
      </c>
      <c r="E380" s="39">
        <v>0</v>
      </c>
      <c r="F380" s="39">
        <f>D380*(($F$140)+1)+(IF(E380&lt;101,E380,IF(E380&lt;201,E380/2,IF(E380&lt;=301,E380/3,E380/4))))</f>
        <v>2901.0632273999995</v>
      </c>
      <c r="G380" s="114" t="str">
        <f>A379</f>
        <v>29th Floor</v>
      </c>
      <c r="H380" s="115"/>
      <c r="I380" s="33"/>
      <c r="L380" s="91"/>
      <c r="M380" s="91"/>
      <c r="N380" s="33"/>
    </row>
    <row r="381" spans="1:14" s="34" customFormat="1" ht="15.75" customHeight="1" x14ac:dyDescent="0.3">
      <c r="A381" s="92">
        <f t="shared" ref="A381:A383" si="48">A380+1</f>
        <v>2</v>
      </c>
      <c r="B381" s="93"/>
      <c r="C381" s="39" t="s">
        <v>246</v>
      </c>
      <c r="D381" s="50">
        <f>(7.01*5.32+3.35*3.81+3.65*4.57+3.35*4.57+3.05*4.32+1.52*1.83+1.83*(2.75*2)+1.52*(2.59*2)+1.84+3.81+1.05*(2.82+2.4+3.15+1.92+3.95+4.25)+2.07*2.5+1.92*1.21+6.06*1.87+3.46*1.22)*10.764</f>
        <v>1765.9310760000001</v>
      </c>
      <c r="E381" s="39">
        <v>0</v>
      </c>
      <c r="F381" s="39">
        <f>D381*(($F$140)+1)+(IF(E381&lt;101,E381,IF(E381&lt;201,E381/2,IF(E381&lt;=301,E381/3,E381/4))))</f>
        <v>2648.8966140000002</v>
      </c>
      <c r="G381" s="116"/>
      <c r="H381" s="117"/>
      <c r="I381" s="33"/>
      <c r="L381" s="91"/>
      <c r="M381" s="91"/>
      <c r="N381" s="33"/>
    </row>
    <row r="382" spans="1:14" s="34" customFormat="1" x14ac:dyDescent="0.3">
      <c r="A382" s="92">
        <f t="shared" si="48"/>
        <v>3</v>
      </c>
      <c r="B382" s="93"/>
      <c r="C382" s="39" t="s">
        <v>246</v>
      </c>
      <c r="D382" s="50">
        <f>(6.8*6.87+3.51*3.65+3.65*(4.67+4.43)+(3.35*4.57)*2+1.68*1.82+(1.83*2.75)*2+1.78*2.6+1.83*1.87+2.75*2.13+6.03*1.89+1.93*1.22+0.45*(1.67+1.75)+(4.1*0.58)*2+3.35*4.67+3.35*1.23+1.97*1.95+1.52*1.5)*10.764</f>
        <v>2113.2369179999996</v>
      </c>
      <c r="E382" s="39">
        <v>0</v>
      </c>
      <c r="F382" s="39">
        <f>D382*(($F$140)+1)+(IF(E382&lt;101,E382,IF(E382&lt;201,E382/2,IF(E382&lt;=301,E382/3,E382/4))))</f>
        <v>3169.8553769999994</v>
      </c>
      <c r="G382" s="116"/>
      <c r="H382" s="117"/>
      <c r="I382" s="34">
        <v>1</v>
      </c>
      <c r="J382" s="33"/>
    </row>
    <row r="383" spans="1:14" s="34" customFormat="1" ht="15.75" customHeight="1" x14ac:dyDescent="0.3">
      <c r="A383" s="92">
        <f t="shared" si="48"/>
        <v>4</v>
      </c>
      <c r="B383" s="93"/>
      <c r="C383" s="39" t="s">
        <v>370</v>
      </c>
      <c r="D383" s="50">
        <f>(6.85*4.87+3.65*2.75+3.65*3.97+3.35*(4.32+3.97)+1.78*1.42+(1.83*2.75)*2+1.52*2.6+1.52*3.3+1.05*(3.45+1.72+2.03+4.15+3.85)+0.6*(4.16+2.02)+1.52*2.75+1.78*1.23+2.4*1.22+5.6*1.52)*10.764</f>
        <v>1557.5185079999999</v>
      </c>
      <c r="E383" s="39">
        <v>0</v>
      </c>
      <c r="F383" s="39">
        <f>D383*(($F$140)+1)+(IF(E383&lt;101,E383,IF(E383&lt;201,E383/2,IF(E383&lt;=301,E383/3,E383/4))))</f>
        <v>2336.2777619999997</v>
      </c>
      <c r="G383" s="118"/>
      <c r="H383" s="119"/>
      <c r="I383" s="33"/>
      <c r="L383" s="91"/>
      <c r="M383" s="91"/>
      <c r="N383" s="33"/>
    </row>
    <row r="384" spans="1:14" s="34" customFormat="1" ht="15.75" customHeight="1" x14ac:dyDescent="0.3">
      <c r="A384" s="94" t="s">
        <v>250</v>
      </c>
      <c r="B384" s="95"/>
      <c r="C384" s="95"/>
      <c r="D384" s="95"/>
      <c r="E384" s="95"/>
      <c r="F384" s="95"/>
      <c r="G384" s="95"/>
      <c r="H384" s="96"/>
      <c r="I384" s="33"/>
      <c r="L384" s="91"/>
      <c r="M384" s="91"/>
      <c r="N384" s="33"/>
    </row>
    <row r="385" spans="1:14" s="34" customFormat="1" ht="15.75" customHeight="1" x14ac:dyDescent="0.3">
      <c r="A385" s="92">
        <v>1</v>
      </c>
      <c r="B385" s="93"/>
      <c r="C385" s="39" t="s">
        <v>246</v>
      </c>
      <c r="D385" s="50">
        <f>(6.8*6.87+3.51*3.65+3.65*(4.67+4.43)+3.35*4.57+1.83*(2.75*2)+2.6*(1.68+1.78)+1.66*1.82+1.83*1.87+6.03*1.89+1.93*1.22+3.35*4.67+0.45*(1.75+1.65)+(4.1*0.58)*2+1.97*1.95+1.52*1.5+3.51*1.23)*10.764</f>
        <v>1934.0421515999997</v>
      </c>
      <c r="E385" s="39">
        <v>0</v>
      </c>
      <c r="F385" s="39">
        <f>D385*(($F$140)+1)+(IF(E385&lt;101,E385,IF(E385&lt;201,E385/2,IF(E385&lt;=301,E385/3,E385/4))))</f>
        <v>2901.0632273999995</v>
      </c>
      <c r="G385" s="114" t="str">
        <f>A384</f>
        <v>30th Floor (Part Refuge Area)</v>
      </c>
      <c r="H385" s="115"/>
      <c r="I385" s="33"/>
      <c r="L385" s="91"/>
      <c r="M385" s="91"/>
      <c r="N385" s="33"/>
    </row>
    <row r="386" spans="1:14" s="34" customFormat="1" ht="15.75" customHeight="1" x14ac:dyDescent="0.3">
      <c r="A386" s="92">
        <f t="shared" ref="A386:A388" si="49">A385+1</f>
        <v>2</v>
      </c>
      <c r="B386" s="93"/>
      <c r="C386" s="39" t="s">
        <v>246</v>
      </c>
      <c r="D386" s="50">
        <f>(7.01*5.32+3.35*3.81+3.65*4.57+3.35*4.57+3.05*4.32+1.52*1.83+1.83*(2.75*2)+1.52*(2.59*2)+1.84+3.81+1.05*(2.82+2.4+3.15+1.92+3.95+4.25)+2.07*2.5+1.92*1.21+6.06*1.87+3.46*1.22)*10.764</f>
        <v>1765.9310760000001</v>
      </c>
      <c r="E386" s="39">
        <v>0</v>
      </c>
      <c r="F386" s="39">
        <f>D386*(($F$140)+1)+(IF(E386&lt;101,E386,IF(E386&lt;201,E386/2,IF(E386&lt;=301,E386/3,E386/4))))</f>
        <v>2648.8966140000002</v>
      </c>
      <c r="G386" s="116"/>
      <c r="H386" s="117"/>
      <c r="I386" s="33"/>
      <c r="L386" s="91"/>
      <c r="M386" s="91"/>
      <c r="N386" s="33"/>
    </row>
    <row r="387" spans="1:14" s="34" customFormat="1" x14ac:dyDescent="0.3">
      <c r="A387" s="92">
        <f t="shared" si="49"/>
        <v>3</v>
      </c>
      <c r="B387" s="93"/>
      <c r="C387" s="217" t="s">
        <v>245</v>
      </c>
      <c r="D387" s="218"/>
      <c r="E387" s="218"/>
      <c r="F387" s="219"/>
      <c r="G387" s="116"/>
      <c r="H387" s="117"/>
      <c r="I387" s="34">
        <v>2</v>
      </c>
      <c r="J387" s="33"/>
    </row>
    <row r="388" spans="1:14" s="34" customFormat="1" ht="15.75" customHeight="1" x14ac:dyDescent="0.3">
      <c r="A388" s="92">
        <f t="shared" si="49"/>
        <v>4</v>
      </c>
      <c r="B388" s="93"/>
      <c r="C388" s="39" t="s">
        <v>370</v>
      </c>
      <c r="D388" s="50">
        <f>(6.85*4.87+3.65*2.75+3.65*3.97+3.35*(4.32+3.97)+1.78*1.42+(1.83*2.75)*2+1.52*2.6+1.52*3.3+1.05*(3.45+1.72+2.03+4.15+3.85)+0.6*(4.16+2.02)+1.52*2.75+1.78*1.23+2.4*1.22+5.6*1.52)*10.764</f>
        <v>1557.5185079999999</v>
      </c>
      <c r="E388" s="39">
        <v>0</v>
      </c>
      <c r="F388" s="39">
        <f>D388*(($F$140)+1)+(IF(E388&lt;101,E388,IF(E388&lt;201,E388/2,IF(E388&lt;=301,E388/3,E388/4))))</f>
        <v>2336.2777619999997</v>
      </c>
      <c r="G388" s="118"/>
      <c r="H388" s="119"/>
      <c r="I388" s="33"/>
      <c r="L388" s="91"/>
      <c r="M388" s="91"/>
      <c r="N388" s="33"/>
    </row>
    <row r="389" spans="1:14" s="34" customFormat="1" ht="15.75" customHeight="1" x14ac:dyDescent="0.3">
      <c r="A389" s="94" t="s">
        <v>378</v>
      </c>
      <c r="B389" s="95"/>
      <c r="C389" s="95"/>
      <c r="D389" s="95"/>
      <c r="E389" s="95"/>
      <c r="F389" s="95"/>
      <c r="G389" s="95"/>
      <c r="H389" s="96"/>
      <c r="I389" s="33"/>
      <c r="L389" s="91"/>
      <c r="M389" s="91"/>
      <c r="N389" s="33"/>
    </row>
    <row r="390" spans="1:14" s="34" customFormat="1" ht="15.75" customHeight="1" x14ac:dyDescent="0.3">
      <c r="A390" s="92">
        <v>1</v>
      </c>
      <c r="B390" s="93"/>
      <c r="C390" s="39" t="s">
        <v>246</v>
      </c>
      <c r="D390" s="50">
        <f>(6.8*6.87+3.51*3.65+3.65*(4.67+4.43)+3.35*4.57+1.83*(2.75*2)+2.6*(1.68+1.78)+1.66*1.82+1.83*1.87+6.03*1.89+1.93*1.22+3.35*4.67+0.45*(1.75+1.65)+(4.1*0.58)*2+1.97*1.95+1.52*1.5+3.51*1.23)*10.764</f>
        <v>1934.0421515999997</v>
      </c>
      <c r="E390" s="39">
        <v>0</v>
      </c>
      <c r="F390" s="39">
        <f>D390*(($F$140)+1)+(IF(E390&lt;101,E390,IF(E390&lt;201,E390/2,IF(E390&lt;=301,E390/3,E390/4))))</f>
        <v>2901.0632273999995</v>
      </c>
      <c r="G390" s="114" t="str">
        <f>A389</f>
        <v>31st &amp; 32nd Floor</v>
      </c>
      <c r="H390" s="115"/>
      <c r="I390" s="33"/>
      <c r="L390" s="91"/>
      <c r="M390" s="91"/>
      <c r="N390" s="33"/>
    </row>
    <row r="391" spans="1:14" s="34" customFormat="1" ht="15.75" customHeight="1" x14ac:dyDescent="0.3">
      <c r="A391" s="92">
        <f t="shared" ref="A391:A393" si="50">A390+1</f>
        <v>2</v>
      </c>
      <c r="B391" s="93"/>
      <c r="C391" s="39" t="s">
        <v>246</v>
      </c>
      <c r="D391" s="50">
        <f>(7.01*5.32+3.35*3.81+3.65*4.57+3.35*4.57+3.05*4.32+1.52*1.83+1.83*(2.75*2)+1.52*(2.59*2)+1.84+3.81+1.05*(2.82+2.4+3.15+1.92+3.95+4.25)+2.07*2.5+1.92*1.21+6.06*1.87+3.46*1.22)*10.764</f>
        <v>1765.9310760000001</v>
      </c>
      <c r="E391" s="39">
        <v>0</v>
      </c>
      <c r="F391" s="39">
        <f>D391*(($F$140)+1)+(IF(E391&lt;101,E391,IF(E391&lt;201,E391/2,IF(E391&lt;=301,E391/3,E391/4))))</f>
        <v>2648.8966140000002</v>
      </c>
      <c r="G391" s="116"/>
      <c r="H391" s="117"/>
      <c r="I391" s="33"/>
      <c r="L391" s="91"/>
      <c r="M391" s="91"/>
      <c r="N391" s="33"/>
    </row>
    <row r="392" spans="1:14" s="34" customFormat="1" x14ac:dyDescent="0.3">
      <c r="A392" s="92">
        <f t="shared" si="50"/>
        <v>3</v>
      </c>
      <c r="B392" s="93"/>
      <c r="C392" s="39" t="s">
        <v>246</v>
      </c>
      <c r="D392" s="50">
        <f>(6.8*6.87+3.51*3.65+3.65*(4.67+4.43)+(3.35*4.57)*2+1.68*1.82+(1.83*2.75)*2+1.78*2.6+1.83*1.87+2.75*2.13+6.03*1.89+1.93*1.22+0.45*(1.67+1.75)+(4.1*0.58)*2+3.35*4.67+3.35*1.23+1.97*1.95+1.52*1.5)*10.764</f>
        <v>2113.2369179999996</v>
      </c>
      <c r="E392" s="39">
        <v>0</v>
      </c>
      <c r="F392" s="39">
        <f>D392*(($F$140)+1)+(IF(E392&lt;101,E392,IF(E392&lt;201,E392/2,IF(E392&lt;=301,E392/3,E392/4))))</f>
        <v>3169.8553769999994</v>
      </c>
      <c r="G392" s="116"/>
      <c r="H392" s="117"/>
      <c r="I392" s="34">
        <v>1</v>
      </c>
      <c r="J392" s="33"/>
    </row>
    <row r="393" spans="1:14" s="34" customFormat="1" ht="15.75" customHeight="1" x14ac:dyDescent="0.3">
      <c r="A393" s="92">
        <f t="shared" si="50"/>
        <v>4</v>
      </c>
      <c r="B393" s="93"/>
      <c r="C393" s="39" t="s">
        <v>370</v>
      </c>
      <c r="D393" s="50">
        <f>(6.85*4.87+3.65*2.75+3.65*3.97+3.35*(4.32+3.97)+1.78*1.42+(1.83*2.75)*2+1.52*2.6+1.52*3.3+1.05*(3.45+1.72+2.03+4.15+3.85)+0.6*(4.16+2.02)+1.52*2.75+1.78*1.23+2.4*1.22+5.6*1.52)*10.764</f>
        <v>1557.5185079999999</v>
      </c>
      <c r="E393" s="39">
        <v>0</v>
      </c>
      <c r="F393" s="39">
        <f>D393*(($F$140)+1)+(IF(E393&lt;101,E393,IF(E393&lt;201,E393/2,IF(E393&lt;=301,E393/3,E393/4))))</f>
        <v>2336.2777619999997</v>
      </c>
      <c r="G393" s="118"/>
      <c r="H393" s="119"/>
      <c r="I393" s="33"/>
      <c r="L393" s="91"/>
      <c r="M393" s="91"/>
      <c r="N393" s="33"/>
    </row>
    <row r="394" spans="1:14" s="34" customFormat="1" ht="15.75" customHeight="1" x14ac:dyDescent="0.3">
      <c r="A394" s="94" t="s">
        <v>379</v>
      </c>
      <c r="B394" s="95"/>
      <c r="C394" s="95"/>
      <c r="D394" s="95"/>
      <c r="E394" s="95"/>
      <c r="F394" s="95"/>
      <c r="G394" s="95"/>
      <c r="H394" s="96"/>
      <c r="I394" s="33"/>
      <c r="L394" s="91"/>
      <c r="M394" s="91"/>
      <c r="N394" s="33"/>
    </row>
    <row r="395" spans="1:14" s="34" customFormat="1" ht="15.75" customHeight="1" x14ac:dyDescent="0.3">
      <c r="A395" s="92">
        <v>1</v>
      </c>
      <c r="B395" s="93"/>
      <c r="C395" s="39" t="s">
        <v>246</v>
      </c>
      <c r="D395" s="50">
        <f>(6.95*6.87+3.51*3.65+3.65*(4.67+4.43)+3.35*4.57+1.83*(2.75*2)+2.6*(1.68+1.78)+1.66*1.82+1.83*1.87+6.03*1.89+1.93*1.22+3.35*4.67+0.45*(1.75+1.65)+(4.1*0.58)*2+1.97*1.95+1.52*1.5+3.51*1.23)*10.764</f>
        <v>1945.1344535999997</v>
      </c>
      <c r="E395" s="39">
        <v>0</v>
      </c>
      <c r="F395" s="39">
        <f>D395*(($F$140)+1)+(IF(E395&lt;101,E395,IF(E395&lt;201,E395/2,IF(E395&lt;=301,E395/3,E395/4))))</f>
        <v>2917.7016803999995</v>
      </c>
      <c r="G395" s="114" t="str">
        <f>A394</f>
        <v xml:space="preserve"> 33rd Floor</v>
      </c>
      <c r="H395" s="115"/>
      <c r="I395" s="33"/>
      <c r="L395" s="91"/>
      <c r="M395" s="91"/>
      <c r="N395" s="33"/>
    </row>
    <row r="396" spans="1:14" s="34" customFormat="1" ht="15.75" customHeight="1" x14ac:dyDescent="0.3">
      <c r="A396" s="92">
        <f t="shared" ref="A396:A398" si="51">A395+1</f>
        <v>2</v>
      </c>
      <c r="B396" s="93"/>
      <c r="C396" s="39" t="s">
        <v>246</v>
      </c>
      <c r="D396" s="50">
        <f>(7.01*5.32+3.35*3.81+3.65*4.57+3.35*4.57+3.05*4.32+1.52*1.83+1.83*(2.75*2)+1.52*(2.59*2)+1.84+3.81+1.05*(2.82+2.4+3.15+1.92+3.95+4.25)+2.07*2.5+1.92*1.21+6.36*1.87+3.46*1.22)*10.764</f>
        <v>1771.9696800000002</v>
      </c>
      <c r="E396" s="39">
        <v>0</v>
      </c>
      <c r="F396" s="39">
        <f>D396*(($F$140)+1)+(IF(E396&lt;101,E396,IF(E396&lt;201,E396/2,IF(E396&lt;=301,E396/3,E396/4))))</f>
        <v>2657.9545200000002</v>
      </c>
      <c r="G396" s="116"/>
      <c r="H396" s="117"/>
      <c r="I396" s="33"/>
      <c r="L396" s="91"/>
      <c r="M396" s="91"/>
      <c r="N396" s="33"/>
    </row>
    <row r="397" spans="1:14" s="34" customFormat="1" x14ac:dyDescent="0.3">
      <c r="A397" s="92">
        <f t="shared" si="51"/>
        <v>3</v>
      </c>
      <c r="B397" s="93"/>
      <c r="C397" s="39" t="s">
        <v>246</v>
      </c>
      <c r="D397" s="50">
        <f>(6.95*6.87+3.51*3.65+3.65*(4.67+4.43)+(3.35*4.57)*2+1.68*1.82+(1.83*2.75)*2+1.78*2.6+1.83*1.87+2.75*2.13+6.03*1.89+1.93*1.22+0.45*(1.67+1.75)+(4.1*0.58)*2+3.35*4.67+3.35*1.23+1.97*1.95+1.52*1.5)*10.764</f>
        <v>2124.3292199999996</v>
      </c>
      <c r="E397" s="39">
        <v>0</v>
      </c>
      <c r="F397" s="39">
        <f>D397*(($F$140)+1)+(IF(E397&lt;101,E397,IF(E397&lt;201,E397/2,IF(E397&lt;=301,E397/3,E397/4))))</f>
        <v>3186.4938299999994</v>
      </c>
      <c r="G397" s="116"/>
      <c r="H397" s="117"/>
      <c r="I397" s="34">
        <f>3+1</f>
        <v>4</v>
      </c>
      <c r="J397" s="33"/>
    </row>
    <row r="398" spans="1:14" s="34" customFormat="1" ht="15.75" customHeight="1" x14ac:dyDescent="0.3">
      <c r="A398" s="92">
        <f t="shared" si="51"/>
        <v>4</v>
      </c>
      <c r="B398" s="93"/>
      <c r="C398" s="39" t="s">
        <v>370</v>
      </c>
      <c r="D398" s="50">
        <f>(6.85*4.87+3.65*2.75+3.65*3.97+3.35*(4.32+3.97)+1.78*1.42+(1.83*2.75)*2+1.52*2.6+1.52*3.3+1.05*(3.45+1.72+2.03+4.15+3.85)+0.6*(4.16+2.02)+1.52*2.75+1.78*1.23+2.4*1.22+6.2*1.52)*10.764</f>
        <v>1567.335276</v>
      </c>
      <c r="E398" s="39">
        <v>0</v>
      </c>
      <c r="F398" s="39">
        <f>D398*(($F$140)+1)+(IF(E398&lt;101,E398,IF(E398&lt;201,E398/2,IF(E398&lt;=301,E398/3,E398/4))))</f>
        <v>2351.0029140000001</v>
      </c>
      <c r="G398" s="118"/>
      <c r="H398" s="119"/>
      <c r="I398" s="33"/>
      <c r="L398" s="91"/>
      <c r="M398" s="91"/>
      <c r="N398" s="33"/>
    </row>
    <row r="399" spans="1:14" s="34" customFormat="1" ht="15.75" customHeight="1" x14ac:dyDescent="0.3">
      <c r="A399" s="94" t="s">
        <v>380</v>
      </c>
      <c r="B399" s="95"/>
      <c r="C399" s="95"/>
      <c r="D399" s="95"/>
      <c r="E399" s="95"/>
      <c r="F399" s="95"/>
      <c r="G399" s="95"/>
      <c r="H399" s="96"/>
      <c r="I399" s="33"/>
      <c r="L399" s="91"/>
      <c r="M399" s="91"/>
      <c r="N399" s="33"/>
    </row>
    <row r="400" spans="1:14" s="34" customFormat="1" ht="15.75" customHeight="1" x14ac:dyDescent="0.3">
      <c r="A400" s="92">
        <v>1</v>
      </c>
      <c r="B400" s="93"/>
      <c r="C400" s="39" t="s">
        <v>246</v>
      </c>
      <c r="D400" s="50">
        <f>(6.95*6.87+3.51*3.65+3.65*(4.67+4.43)+3.35*4.57+1.83*(2.75*2)+2.6*(1.68+1.78)+1.66*1.82+1.83*1.87+6.03*1.89+1.93*1.22+3.35*4.67+0.45*(1.75+1.65)+(4.1*0.58)*2+1.97*1.95+1.52*1.5+3.51*1.23)*10.764</f>
        <v>1945.1344535999997</v>
      </c>
      <c r="E400" s="39">
        <v>0</v>
      </c>
      <c r="F400" s="39">
        <f>D400*(($F$140)+1)+(IF(E400&lt;101,E400,IF(E400&lt;201,E400/2,IF(E400&lt;=301,E400/3,E400/4))))</f>
        <v>2917.7016803999995</v>
      </c>
      <c r="G400" s="114" t="str">
        <f>A399</f>
        <v>34th to 36th &amp; 39th Floor</v>
      </c>
      <c r="H400" s="115"/>
      <c r="I400" s="33"/>
      <c r="L400" s="91"/>
      <c r="M400" s="91"/>
      <c r="N400" s="33"/>
    </row>
    <row r="401" spans="1:14" s="34" customFormat="1" ht="15.75" customHeight="1" x14ac:dyDescent="0.3">
      <c r="A401" s="92">
        <f t="shared" ref="A401:A403" si="52">A400+1</f>
        <v>2</v>
      </c>
      <c r="B401" s="93"/>
      <c r="C401" s="39" t="s">
        <v>246</v>
      </c>
      <c r="D401" s="50">
        <f>(7.01*5.32+3.35*3.81+3.65*4.57+3.35*4.57+3.05*4.32+1.52*1.83+1.83*(2.75*2)+1.52*(2.59*2)+1.84+3.81+1.05*(2.82+2.4+3.15+1.92+3.95+4.25)+2.07*2.5+1.92*1.21+6.36*1.87+3.46*1.22)*10.764</f>
        <v>1771.9696800000002</v>
      </c>
      <c r="E401" s="39">
        <v>0</v>
      </c>
      <c r="F401" s="39">
        <f>D401*(($F$140)+1)+(IF(E401&lt;101,E401,IF(E401&lt;201,E401/2,IF(E401&lt;=301,E401/3,E401/4))))</f>
        <v>2657.9545200000002</v>
      </c>
      <c r="G401" s="116"/>
      <c r="H401" s="117"/>
      <c r="I401" s="33"/>
      <c r="L401" s="91"/>
      <c r="M401" s="91"/>
      <c r="N401" s="33"/>
    </row>
    <row r="402" spans="1:14" customFormat="1" x14ac:dyDescent="0.3">
      <c r="A402" s="92">
        <f t="shared" si="52"/>
        <v>3</v>
      </c>
      <c r="B402" s="93"/>
      <c r="C402" s="39" t="s">
        <v>246</v>
      </c>
      <c r="D402" s="50">
        <f>(6.95*6.87+3.51*3.65+3.65*(4.67+4.43)+(3.35*4.57)*2+1.68*1.82+(1.83*2.75)*2+1.78*2.6+1.83*1.87+2.75*2.13+6.03*1.89+1.93*1.22+0.45*(1.67+1.75)+(4.1*0.58)*2+3.35*4.67+3.35*1.23+1.97*1.95+1.52*1.5)*10.764</f>
        <v>2124.3292199999996</v>
      </c>
      <c r="E402" s="39">
        <v>0</v>
      </c>
      <c r="F402" s="39">
        <f>D402*(($F$140)+1)+(IF(E402&lt;101,E402,IF(E402&lt;201,E402/2,IF(E402&lt;=301,E402/3,E402/4))))</f>
        <v>3186.4938299999994</v>
      </c>
      <c r="G402" s="116"/>
      <c r="H402" s="117"/>
      <c r="I402" s="49"/>
      <c r="J402" s="49"/>
    </row>
    <row r="403" spans="1:14" s="34" customFormat="1" x14ac:dyDescent="0.3">
      <c r="A403" s="92">
        <f t="shared" si="52"/>
        <v>4</v>
      </c>
      <c r="B403" s="93"/>
      <c r="C403" s="39" t="s">
        <v>370</v>
      </c>
      <c r="D403" s="50">
        <f>(6.85*4.87+3.65*2.75+3.65*3.97+3.35*(4.32+3.97)+1.78*1.42+(1.83*2.75)*2+1.52*2.6+1.52*3.3+1.05*(3.45+1.72+2.03+4.15+3.85)+0.6*(4.16+2.02)+1.52*2.75+1.78*1.23+2.4*1.22+6.2*1.52)*10.764</f>
        <v>1567.335276</v>
      </c>
      <c r="E403" s="39">
        <v>0</v>
      </c>
      <c r="F403" s="39">
        <f>D403*(($F$140)+1)+(IF(E403&lt;101,E403,IF(E403&lt;201,E403/2,IF(E403&lt;=301,E403/3,E403/4))))</f>
        <v>2351.0029140000001</v>
      </c>
      <c r="G403" s="118"/>
      <c r="H403" s="119"/>
      <c r="I403" s="34">
        <v>1</v>
      </c>
      <c r="J403" s="33"/>
    </row>
    <row r="404" spans="1:14" s="34" customFormat="1" ht="15.75" customHeight="1" x14ac:dyDescent="0.3">
      <c r="A404" s="122" t="s">
        <v>259</v>
      </c>
      <c r="B404" s="123"/>
      <c r="C404" s="123"/>
      <c r="D404" s="123"/>
      <c r="E404" s="123"/>
      <c r="F404" s="123"/>
      <c r="G404" s="123"/>
      <c r="H404" s="123"/>
      <c r="I404" s="33"/>
      <c r="L404" s="91"/>
      <c r="M404" s="91"/>
      <c r="N404" s="33"/>
    </row>
    <row r="405" spans="1:14" s="34" customFormat="1" ht="15.75" customHeight="1" x14ac:dyDescent="0.3">
      <c r="A405" s="94" t="s">
        <v>252</v>
      </c>
      <c r="B405" s="95"/>
      <c r="C405" s="95"/>
      <c r="D405" s="95"/>
      <c r="E405" s="95"/>
      <c r="F405" s="95"/>
      <c r="G405" s="95"/>
      <c r="H405" s="96"/>
      <c r="I405" s="33"/>
      <c r="L405" s="91"/>
      <c r="M405" s="91"/>
      <c r="N405" s="33"/>
    </row>
    <row r="406" spans="1:14" s="34" customFormat="1" ht="15.75" customHeight="1" x14ac:dyDescent="0.3">
      <c r="A406" s="92">
        <v>1</v>
      </c>
      <c r="B406" s="93"/>
      <c r="C406" s="39" t="s">
        <v>246</v>
      </c>
      <c r="D406" s="50">
        <f>(6.95*6.87+3.51*3.65+3.65*(4.67+4.43)+3.35*4.57+1.83*(2.75*2)+2.6*(1.68+1.78)+1.66*1.82+1.83*1.87+6.03*1.89+1.93*1.22+3.35*4.67+0.45*(1.75+1.65)+(4.1*0.58)*2+1.97*1.95+1.52*1.5+3.51*1.23)*10.764</f>
        <v>1945.1344535999997</v>
      </c>
      <c r="E406" s="39">
        <v>0</v>
      </c>
      <c r="F406" s="39">
        <f>D406*(($F$140)+1)+(IF(E406&lt;101,E406,IF(E406&lt;201,E406/2,IF(E406&lt;=301,E406/3,E406/4))))</f>
        <v>2917.7016803999995</v>
      </c>
      <c r="G406" s="114" t="str">
        <f>A405</f>
        <v>37th Floor (Part Refuge Area)</v>
      </c>
      <c r="H406" s="115"/>
      <c r="I406" s="33"/>
      <c r="L406" s="91"/>
      <c r="M406" s="91"/>
      <c r="N406" s="33"/>
    </row>
    <row r="407" spans="1:14" s="34" customFormat="1" ht="15.75" customHeight="1" x14ac:dyDescent="0.3">
      <c r="A407" s="92">
        <f t="shared" ref="A407:A409" si="53">A406+1</f>
        <v>2</v>
      </c>
      <c r="B407" s="93"/>
      <c r="C407" s="39" t="s">
        <v>246</v>
      </c>
      <c r="D407" s="50">
        <f>(7.01*5.32+3.35*3.81+3.65*4.57+3.35*4.57+3.05*4.32+1.52*1.83+1.83*(2.75*2)+1.52*(2.59*2)+1.84+3.81+1.05*(2.82+2.4+3.15+1.92+3.95+4.25)+2.07*2.5+1.92*1.21+6.36*1.87+3.46*1.22)*10.764</f>
        <v>1771.9696800000002</v>
      </c>
      <c r="E407" s="39">
        <v>0</v>
      </c>
      <c r="F407" s="39">
        <f>D407*(($F$140)+1)+(IF(E407&lt;101,E407,IF(E407&lt;201,E407/2,IF(E407&lt;=301,E407/3,E407/4))))</f>
        <v>2657.9545200000002</v>
      </c>
      <c r="G407" s="116"/>
      <c r="H407" s="117"/>
      <c r="I407" s="33"/>
      <c r="L407" s="91"/>
      <c r="M407" s="91"/>
      <c r="N407" s="33"/>
    </row>
    <row r="408" spans="1:14" s="34" customFormat="1" x14ac:dyDescent="0.3">
      <c r="A408" s="92">
        <f t="shared" si="53"/>
        <v>3</v>
      </c>
      <c r="B408" s="93"/>
      <c r="C408" s="217" t="s">
        <v>245</v>
      </c>
      <c r="D408" s="218"/>
      <c r="E408" s="218"/>
      <c r="F408" s="219"/>
      <c r="G408" s="116"/>
      <c r="H408" s="117"/>
      <c r="I408" s="34">
        <v>1</v>
      </c>
      <c r="J408" s="33"/>
    </row>
    <row r="409" spans="1:14" s="34" customFormat="1" ht="15.75" customHeight="1" x14ac:dyDescent="0.3">
      <c r="A409" s="92">
        <f t="shared" si="53"/>
        <v>4</v>
      </c>
      <c r="B409" s="93"/>
      <c r="C409" s="39" t="s">
        <v>370</v>
      </c>
      <c r="D409" s="50">
        <f>(6.85*4.87+3.65*2.75+3.65*3.97+3.35*(4.32+3.97)+1.78*1.42+(1.83*2.75)*2+1.52*2.6+1.52*3.3+1.05*(3.45+1.72+2.03+4.15+3.85)+0.6*(4.16+2.02)+1.52*2.75+1.78*1.23+2.4*1.22+6.2*1.52)*10.764</f>
        <v>1567.335276</v>
      </c>
      <c r="E409" s="39">
        <v>0</v>
      </c>
      <c r="F409" s="39">
        <f>D409*(($F$140)+1)+(IF(E409&lt;101,E409,IF(E409&lt;201,E409/2,IF(E409&lt;=301,E409/3,E409/4))))</f>
        <v>2351.0029140000001</v>
      </c>
      <c r="G409" s="118"/>
      <c r="H409" s="119"/>
      <c r="I409" s="33"/>
      <c r="L409" s="91"/>
      <c r="M409" s="91"/>
      <c r="N409" s="33"/>
    </row>
    <row r="410" spans="1:14" s="34" customFormat="1" ht="15.75" customHeight="1" x14ac:dyDescent="0.3">
      <c r="A410" s="94" t="s">
        <v>253</v>
      </c>
      <c r="B410" s="95"/>
      <c r="C410" s="95"/>
      <c r="D410" s="95"/>
      <c r="E410" s="95"/>
      <c r="F410" s="95"/>
      <c r="G410" s="95"/>
      <c r="H410" s="96"/>
      <c r="I410" s="33"/>
      <c r="L410" s="91"/>
      <c r="M410" s="91"/>
      <c r="N410" s="33"/>
    </row>
    <row r="411" spans="1:14" s="34" customFormat="1" ht="15.75" customHeight="1" x14ac:dyDescent="0.3">
      <c r="A411" s="92">
        <v>1</v>
      </c>
      <c r="B411" s="93"/>
      <c r="C411" s="39" t="s">
        <v>246</v>
      </c>
      <c r="D411" s="50">
        <f>(6.95*6.87+3.51*3.65+3.65*(4.67+4.43)+3.35*4.57+1.83*(2.75*2)+2.6*(1.68+1.78)+1.66*1.82+1.83*1.87+6.03*1.89+1.93*1.22+3.35*4.67+0.45*(1.75+1.65)+(4.1*0.58)*2+1.97*1.95+1.52*1.5+3.51*1.23)*10.764</f>
        <v>1945.1344535999997</v>
      </c>
      <c r="E411" s="39">
        <v>0</v>
      </c>
      <c r="F411" s="39">
        <f>D411*(($F$140)+1)+(IF(E411&lt;101,E411,IF(E411&lt;201,E411/2,IF(E411&lt;=301,E411/3,E411/4))))</f>
        <v>2917.7016803999995</v>
      </c>
      <c r="G411" s="114" t="str">
        <f>A410</f>
        <v>38th Floor</v>
      </c>
      <c r="H411" s="115"/>
      <c r="I411" s="33"/>
      <c r="L411" s="91"/>
      <c r="M411" s="91"/>
      <c r="N411" s="33"/>
    </row>
    <row r="412" spans="1:14" s="34" customFormat="1" ht="15.75" customHeight="1" x14ac:dyDescent="0.3">
      <c r="A412" s="92">
        <f t="shared" ref="A412:A414" si="54">A411+1</f>
        <v>2</v>
      </c>
      <c r="B412" s="93"/>
      <c r="C412" s="39" t="s">
        <v>246</v>
      </c>
      <c r="D412" s="50">
        <f>(7.01*5.32+3.35*3.81+3.65*4.57+3.35*4.57+3.05*4.32+1.52*1.83+1.83*(2.75*2)+1.52*(2.59*2)+1.84+3.81+1.05*(2.82+2.4+3.15+1.92+3.95+4.25)+2.07*2.5+1.92*1.21+6.36*1.87+3.46*1.22)*10.764</f>
        <v>1771.9696800000002</v>
      </c>
      <c r="E412" s="39">
        <v>0</v>
      </c>
      <c r="F412" s="39">
        <f>D412*(($F$140)+1)+(IF(E412&lt;101,E412,IF(E412&lt;201,E412/2,IF(E412&lt;=301,E412/3,E412/4))))</f>
        <v>2657.9545200000002</v>
      </c>
      <c r="G412" s="116"/>
      <c r="H412" s="117"/>
      <c r="I412" s="33"/>
      <c r="L412" s="91"/>
      <c r="M412" s="91"/>
      <c r="N412" s="33"/>
    </row>
    <row r="413" spans="1:14" s="34" customFormat="1" x14ac:dyDescent="0.3">
      <c r="A413" s="92">
        <f t="shared" si="54"/>
        <v>3</v>
      </c>
      <c r="B413" s="93"/>
      <c r="C413" s="39" t="s">
        <v>246</v>
      </c>
      <c r="D413" s="50">
        <f>(6.95*6.87+3.51*3.65+3.65*(4.67+4.43)+(3.35*4.57)*2+1.68*1.82+(1.83*2.75)*2+1.78*2.6+1.83*1.87+2.75*2.13+6.03*1.89+1.93*1.22+0.45*(1.67+1.75)+(4.1*0.58)*2+3.35*4.67+3.35*1.23+1.97*1.95+1.52*1.5)*10.764</f>
        <v>2124.3292199999996</v>
      </c>
      <c r="E413" s="39">
        <v>0</v>
      </c>
      <c r="F413" s="39">
        <f>D413*(($F$140)+1)+(IF(E413&lt;101,E413,IF(E413&lt;201,E413/2,IF(E413&lt;=301,E413/3,E413/4))))</f>
        <v>3186.4938299999994</v>
      </c>
      <c r="G413" s="116"/>
      <c r="H413" s="117"/>
      <c r="I413" s="34">
        <v>1</v>
      </c>
      <c r="J413" s="33"/>
    </row>
    <row r="414" spans="1:14" s="34" customFormat="1" ht="15.75" customHeight="1" x14ac:dyDescent="0.3">
      <c r="A414" s="92">
        <f t="shared" si="54"/>
        <v>4</v>
      </c>
      <c r="B414" s="93"/>
      <c r="C414" s="39" t="s">
        <v>370</v>
      </c>
      <c r="D414" s="50">
        <f>(6.85*4.87+3.65*2.75+3.65*3.97+3.35*(4.32+3.97)+1.78*1.42+(1.83*2.75)*2+1.52*2.6+1.52*3.3+1.05*(3.45+1.72+2.03+4.15+3.85)+0.6*(4.16+2.02)+1.52*2.75+1.78*1.23+2.4*1.22+6.2*1.52)*10.764</f>
        <v>1567.335276</v>
      </c>
      <c r="E414" s="39">
        <v>0</v>
      </c>
      <c r="F414" s="39">
        <f>D414*(($F$140)+1)+(IF(E414&lt;101,E414,IF(E414&lt;201,E414/2,IF(E414&lt;=301,E414/3,E414/4))))</f>
        <v>2351.0029140000001</v>
      </c>
      <c r="G414" s="118"/>
      <c r="H414" s="119"/>
      <c r="I414" s="33"/>
      <c r="L414" s="91"/>
      <c r="M414" s="91"/>
      <c r="N414" s="33"/>
    </row>
    <row r="415" spans="1:14" s="34" customFormat="1" ht="15.75" customHeight="1" x14ac:dyDescent="0.3">
      <c r="A415" s="94" t="s">
        <v>381</v>
      </c>
      <c r="B415" s="95"/>
      <c r="C415" s="95"/>
      <c r="D415" s="95"/>
      <c r="E415" s="95"/>
      <c r="F415" s="95"/>
      <c r="G415" s="95"/>
      <c r="H415" s="96"/>
      <c r="I415" s="33"/>
      <c r="L415" s="91"/>
      <c r="M415" s="91"/>
      <c r="N415" s="33"/>
    </row>
    <row r="416" spans="1:14" s="34" customFormat="1" ht="15.75" customHeight="1" x14ac:dyDescent="0.3">
      <c r="A416" s="92">
        <v>1</v>
      </c>
      <c r="B416" s="93"/>
      <c r="C416" s="39" t="s">
        <v>246</v>
      </c>
      <c r="D416" s="50">
        <f>(6.95*5.04+3.51*3.65+3.65*(4.67+4.43)+3.35*4.57+1.83*(2.75*2)+2.6*(1.68+1.78)+1.66*1.82+1.83*1.87+6.03*1.89+1.93*1.22+3.35*4.67+0.45*(1.75+1.65)+(4.1*0.58)*2+1.97*1.95+1.52*1.5+3.51*1.23+6.85*1.68)*10.764</f>
        <v>1932.1046315999997</v>
      </c>
      <c r="E416" s="39">
        <v>0</v>
      </c>
      <c r="F416" s="39">
        <f>D416*(($F$140)+1)+(IF(E416&lt;101,E416,IF(E416&lt;201,E416/2,IF(E416&lt;=301,E416/3,E416/4))))</f>
        <v>2898.1569473999998</v>
      </c>
      <c r="G416" s="114" t="str">
        <f>A415</f>
        <v>40th Floor</v>
      </c>
      <c r="H416" s="115"/>
      <c r="I416" s="33"/>
      <c r="L416" s="91"/>
      <c r="M416" s="91"/>
      <c r="N416" s="33"/>
    </row>
    <row r="417" spans="1:14" s="34" customFormat="1" ht="15.75" customHeight="1" x14ac:dyDescent="0.3">
      <c r="A417" s="92">
        <f t="shared" ref="A417:A419" si="55">A416+1</f>
        <v>2</v>
      </c>
      <c r="B417" s="93"/>
      <c r="C417" s="39" t="s">
        <v>246</v>
      </c>
      <c r="D417" s="50">
        <f>(7.01*5.32+3.35*3.81+3.65*4.57+3.35*4.57+3.05*4.32+1.52*1.83+1.83*(2.75*2)+1.52*(2.59*2)+1.84+3.81+1.05*(2.82+2.4+3.15+1.92+3.95+4.25)+2.07*2.5+1.92*1.21+6.36*1.57+3.46*1.22)*10.764</f>
        <v>1751.4319680000001</v>
      </c>
      <c r="E417" s="39">
        <v>0</v>
      </c>
      <c r="F417" s="39">
        <f>D417*(($F$140)+1)+(IF(E417&lt;101,E417,IF(E417&lt;201,E417/2,IF(E417&lt;=301,E417/3,E417/4))))</f>
        <v>2627.1479520000003</v>
      </c>
      <c r="G417" s="116"/>
      <c r="H417" s="117"/>
      <c r="I417" s="33"/>
      <c r="L417" s="91"/>
      <c r="M417" s="91"/>
      <c r="N417" s="33"/>
    </row>
    <row r="418" spans="1:14" s="34" customFormat="1" x14ac:dyDescent="0.3">
      <c r="A418" s="92">
        <f t="shared" si="55"/>
        <v>3</v>
      </c>
      <c r="B418" s="93"/>
      <c r="C418" s="39" t="s">
        <v>246</v>
      </c>
      <c r="D418" s="50">
        <f>(6.95*5.04+3.51*3.65+3.65*(4.67+4.43)+(3.35*4.57)*2+1.68*1.82+(1.83*2.75)*2+1.78*2.6+1.83*1.87+2.75*2.13+6.03*1.89+1.93*1.22+0.45*(1.67+1.75)+(4.1*0.58)*2+3.35*4.67+3.35*1.23+1.97*1.95+1.52*1.5+6.85*1.68)*10.764</f>
        <v>2111.2993979999997</v>
      </c>
      <c r="E418" s="39">
        <v>0</v>
      </c>
      <c r="F418" s="39">
        <f>D418*(($F$140)+1)+(IF(E418&lt;101,E418,IF(E418&lt;201,E418/2,IF(E418&lt;=301,E418/3,E418/4))))</f>
        <v>3166.9490969999997</v>
      </c>
      <c r="G418" s="116"/>
      <c r="H418" s="117"/>
      <c r="I418" s="34">
        <v>2</v>
      </c>
      <c r="J418" s="33"/>
    </row>
    <row r="419" spans="1:14" s="34" customFormat="1" ht="15.75" customHeight="1" x14ac:dyDescent="0.3">
      <c r="A419" s="92">
        <f t="shared" si="55"/>
        <v>4</v>
      </c>
      <c r="B419" s="93"/>
      <c r="C419" s="39" t="s">
        <v>370</v>
      </c>
      <c r="D419" s="50">
        <f>(6.85*4.87+3.65*2.75+3.65*3.97+3.35*(4.32+3.97)+1.78*1.42+(1.83*2.75)*2+1.52*2.6+1.52*3.3+1.05*(3.45+1.72+2.03+4.15+3.85)+0.6*(4.16+2.02)+1.52*2.75+1.78*1.23+2.4*1.22+6.2*1.52)*10.764</f>
        <v>1567.335276</v>
      </c>
      <c r="E419" s="39">
        <v>0</v>
      </c>
      <c r="F419" s="39">
        <f>D419*(($F$140)+1)+(IF(E419&lt;101,E419,IF(E419&lt;201,E419/2,IF(E419&lt;=301,E419/3,E419/4))))</f>
        <v>2351.0029140000001</v>
      </c>
      <c r="G419" s="118"/>
      <c r="H419" s="119"/>
      <c r="I419" s="33"/>
      <c r="L419" s="91"/>
      <c r="M419" s="91"/>
      <c r="N419" s="33"/>
    </row>
    <row r="420" spans="1:14" s="34" customFormat="1" ht="15.75" customHeight="1" x14ac:dyDescent="0.3">
      <c r="A420" s="94" t="s">
        <v>382</v>
      </c>
      <c r="B420" s="95"/>
      <c r="C420" s="95"/>
      <c r="D420" s="95"/>
      <c r="E420" s="95"/>
      <c r="F420" s="95"/>
      <c r="G420" s="95"/>
      <c r="H420" s="96"/>
      <c r="I420" s="33"/>
      <c r="L420" s="91"/>
      <c r="M420" s="91"/>
      <c r="N420" s="33"/>
    </row>
    <row r="421" spans="1:14" s="34" customFormat="1" ht="15.75" customHeight="1" x14ac:dyDescent="0.3">
      <c r="A421" s="92">
        <v>1</v>
      </c>
      <c r="B421" s="93"/>
      <c r="C421" s="39" t="s">
        <v>246</v>
      </c>
      <c r="D421" s="50">
        <f>(6.95*5.04+3.51*3.65+3.65*(4.67+4.43)+3.35*4.57+1.83*(2.75*2)+2.6*(1.68+1.78)+1.66*1.82+1.83*1.87+6.03*1.89+1.93*1.22+3.35*4.67+0.45*(1.75+1.65)+(4.1*0.58)*2+1.97*1.95+1.52*1.5+3.51*1.23+6.85*1.68)*10.764</f>
        <v>1932.1046315999997</v>
      </c>
      <c r="E421" s="39">
        <v>0</v>
      </c>
      <c r="F421" s="39">
        <f>D421*(($F$140)+1)+(IF(E421&lt;101,E421,IF(E421&lt;201,E421/2,IF(E421&lt;=301,E421/3,E421/4))))</f>
        <v>2898.1569473999998</v>
      </c>
      <c r="G421" s="114" t="str">
        <f>A420</f>
        <v>41st &amp; 42nd Floor</v>
      </c>
      <c r="H421" s="115"/>
      <c r="I421" s="33"/>
      <c r="L421" s="91"/>
      <c r="M421" s="91"/>
      <c r="N421" s="33"/>
    </row>
    <row r="422" spans="1:14" s="34" customFormat="1" ht="15.75" customHeight="1" x14ac:dyDescent="0.3">
      <c r="A422" s="92">
        <f t="shared" ref="A422:A424" si="56">A421+1</f>
        <v>2</v>
      </c>
      <c r="B422" s="93"/>
      <c r="C422" s="39" t="s">
        <v>246</v>
      </c>
      <c r="D422" s="50">
        <f>(7.01*5.32+3.35*3.81+3.65*4.57+3.35*4.57+3.05*4.32+1.52*1.83+1.83*(2.75*2)+1.52*(2.59*2)+1.84+3.81+1.05*(2.82+2.4+3.15+1.92+3.95+4.25)+2.07*2.5+1.92*1.21+6.36*1.57+3.46*1.22)*10.764</f>
        <v>1751.4319680000001</v>
      </c>
      <c r="E422" s="39">
        <v>0</v>
      </c>
      <c r="F422" s="39">
        <f>D422*(($F$140)+1)+(IF(E422&lt;101,E422,IF(E422&lt;201,E422/2,IF(E422&lt;=301,E422/3,E422/4))))</f>
        <v>2627.1479520000003</v>
      </c>
      <c r="G422" s="116"/>
      <c r="H422" s="117"/>
      <c r="I422" s="33"/>
      <c r="L422" s="91"/>
      <c r="M422" s="91"/>
      <c r="N422" s="33"/>
    </row>
    <row r="423" spans="1:14" s="34" customFormat="1" x14ac:dyDescent="0.3">
      <c r="A423" s="92">
        <f t="shared" si="56"/>
        <v>3</v>
      </c>
      <c r="B423" s="93"/>
      <c r="C423" s="39" t="s">
        <v>246</v>
      </c>
      <c r="D423" s="50">
        <f>(6.95*5.04+3.51*3.65+3.65*(4.67+4.43)+(3.35*4.57)*2+1.68*1.82+(1.83*2.75)*2+1.78*2.6+1.83*1.87+2.75*2.13+6.03*1.89+1.93*1.22+0.45*(1.67+1.75)+(4.1*0.58)*2+3.35*4.67+3.35*1.23+1.97*1.95+1.52*1.5+6.85*1.68)*10.764</f>
        <v>2111.2993979999997</v>
      </c>
      <c r="E423" s="39">
        <v>0</v>
      </c>
      <c r="F423" s="39">
        <f>D423*(($F$140)+1)+(IF(E423&lt;101,E423,IF(E423&lt;201,E423/2,IF(E423&lt;=301,E423/3,E423/4))))</f>
        <v>3166.9490969999997</v>
      </c>
      <c r="G423" s="116"/>
      <c r="H423" s="117"/>
      <c r="I423" s="34">
        <v>1</v>
      </c>
      <c r="J423" s="33"/>
    </row>
    <row r="424" spans="1:14" s="34" customFormat="1" ht="15.75" customHeight="1" x14ac:dyDescent="0.3">
      <c r="A424" s="92">
        <f t="shared" si="56"/>
        <v>4</v>
      </c>
      <c r="B424" s="93"/>
      <c r="C424" s="39" t="s">
        <v>370</v>
      </c>
      <c r="D424" s="50">
        <f>(6.85*4.87+3.65*2.75+3.65*3.97+3.35*(4.32+3.97)+1.78*1.42+(1.83*2.75)*2+1.52*2.6+1.52*3.3+1.05*(3.45+1.72+2.03+4.15+3.85)+0.6*(4.16+2.02)+1.52*2.75+1.78*1.23+2.4*1.22+6.2*1.52)*10.764</f>
        <v>1567.335276</v>
      </c>
      <c r="E424" s="39">
        <v>0</v>
      </c>
      <c r="F424" s="39">
        <f>D424*(($F$140)+1)+(IF(E424&lt;101,E424,IF(E424&lt;201,E424/2,IF(E424&lt;=301,E424/3,E424/4))))</f>
        <v>2351.0029140000001</v>
      </c>
      <c r="G424" s="118"/>
      <c r="H424" s="119"/>
      <c r="I424" s="33"/>
      <c r="L424" s="91"/>
      <c r="M424" s="91"/>
      <c r="N424" s="33"/>
    </row>
    <row r="425" spans="1:14" s="34" customFormat="1" ht="15.75" customHeight="1" x14ac:dyDescent="0.3">
      <c r="A425" s="94" t="s">
        <v>383</v>
      </c>
      <c r="B425" s="95"/>
      <c r="C425" s="95"/>
      <c r="D425" s="95"/>
      <c r="E425" s="95"/>
      <c r="F425" s="95"/>
      <c r="G425" s="95"/>
      <c r="H425" s="96"/>
      <c r="I425" s="33"/>
      <c r="L425" s="91"/>
      <c r="M425" s="91"/>
      <c r="N425" s="33"/>
    </row>
    <row r="426" spans="1:14" s="34" customFormat="1" ht="15.75" customHeight="1" x14ac:dyDescent="0.3">
      <c r="A426" s="92">
        <v>1</v>
      </c>
      <c r="B426" s="93"/>
      <c r="C426" s="39" t="s">
        <v>246</v>
      </c>
      <c r="D426" s="50">
        <f>(6.95*5.04+3.51*3.65+3.65*(4.67+4.43)+3.35*4.57+1.83*(2.75*2)+2.6*(1.68+1.78)+1.66*1.82+1.83*1.87+6.03*1.89+1.93*1.22+3.35*4.67+0.45*(1.75+1.65)+(4.1*0.58)*2+1.97*1.95+1.52*1.5+3.51*1.23+6.85*1.68)*10.764</f>
        <v>1932.1046315999997</v>
      </c>
      <c r="E426" s="39">
        <v>0</v>
      </c>
      <c r="F426" s="39">
        <f>D426*(($F$140)+1)+(IF(E426&lt;101,E426,IF(E426&lt;201,E426/2,IF(E426&lt;=301,E426/3,E426/4))))</f>
        <v>2898.1569473999998</v>
      </c>
      <c r="G426" s="114" t="str">
        <f>A425</f>
        <v>43rd Floor</v>
      </c>
      <c r="H426" s="115"/>
      <c r="I426" s="33"/>
      <c r="L426" s="91"/>
      <c r="M426" s="91"/>
      <c r="N426" s="33"/>
    </row>
    <row r="427" spans="1:14" s="34" customFormat="1" ht="15.75" customHeight="1" x14ac:dyDescent="0.3">
      <c r="A427" s="92">
        <f t="shared" ref="A427:A429" si="57">A426+1</f>
        <v>2</v>
      </c>
      <c r="B427" s="93"/>
      <c r="C427" s="39" t="s">
        <v>246</v>
      </c>
      <c r="D427" s="50">
        <f>(7.01*5.32+3.35*3.81+3.65*4.57+3.35*4.57+3.05*4.32+1.52*1.83+1.83*(2.75*2)+1.52*(2.59*2)+1.84+3.81+1.05*(2.82+2.4+3.15+1.92+3.95+4.25)+2.07*2.5+1.92*1.21+6.36*1.57+3.46*1.22)*10.764</f>
        <v>1751.4319680000001</v>
      </c>
      <c r="E427" s="39">
        <v>0</v>
      </c>
      <c r="F427" s="39">
        <f>D427*(($F$140)+1)+(IF(E427&lt;101,E427,IF(E427&lt;201,E427/2,IF(E427&lt;=301,E427/3,E427/4))))</f>
        <v>2627.1479520000003</v>
      </c>
      <c r="G427" s="116"/>
      <c r="H427" s="117"/>
      <c r="I427" s="33"/>
      <c r="L427" s="91"/>
      <c r="M427" s="91"/>
      <c r="N427" s="33"/>
    </row>
    <row r="428" spans="1:14" s="34" customFormat="1" x14ac:dyDescent="0.3">
      <c r="A428" s="92">
        <f t="shared" si="57"/>
        <v>3</v>
      </c>
      <c r="B428" s="93"/>
      <c r="C428" s="39" t="s">
        <v>246</v>
      </c>
      <c r="D428" s="50">
        <f>(6.95*5.04+3.51*3.65+3.65*(4.67+4.43)+(3.35*4.57)*2+1.68*1.82+(1.83*2.75)*2+1.78*2.6+1.83*1.87+2.75*2.13+6.03*1.89+1.93*1.22+0.45*(1.67+1.75)+(4.1*0.58)*2+3.35*4.67+3.35*1.23+1.97*1.95+1.52*1.5+6.85*1.68)*10.764</f>
        <v>2111.2993979999997</v>
      </c>
      <c r="E428" s="39">
        <v>0</v>
      </c>
      <c r="F428" s="39">
        <f>D428*(($F$140)+1)+(IF(E428&lt;101,E428,IF(E428&lt;201,E428/2,IF(E428&lt;=301,E428/3,E428/4))))</f>
        <v>3166.9490969999997</v>
      </c>
      <c r="G428" s="116"/>
      <c r="H428" s="117"/>
      <c r="I428" s="34">
        <v>1</v>
      </c>
      <c r="J428" s="33"/>
    </row>
    <row r="429" spans="1:14" s="34" customFormat="1" ht="15.75" customHeight="1" x14ac:dyDescent="0.3">
      <c r="A429" s="92">
        <f t="shared" si="57"/>
        <v>4</v>
      </c>
      <c r="B429" s="93"/>
      <c r="C429" s="39" t="s">
        <v>370</v>
      </c>
      <c r="D429" s="50">
        <f>(6.85*4.87+3.65*2.75+3.65*3.97+3.35*(4.32+3.97)+1.78*1.42+(1.83*2.75)*2+1.52*2.6+1.52*3.3+1.05*(3.45+1.72+2.03+4.15+3.85)+0.6*(4.16+2.02)+1.52*2.75+1.78*1.23+2.4*1.22+6.2*1.52)*10.764</f>
        <v>1567.335276</v>
      </c>
      <c r="E429" s="39">
        <v>0</v>
      </c>
      <c r="F429" s="39">
        <f>D429*(($F$140)+1)+(IF(E429&lt;101,E429,IF(E429&lt;201,E429/2,IF(E429&lt;=301,E429/3,E429/4))))</f>
        <v>2351.0029140000001</v>
      </c>
      <c r="G429" s="118"/>
      <c r="H429" s="119"/>
      <c r="I429" s="33"/>
      <c r="L429" s="91"/>
      <c r="M429" s="91"/>
      <c r="N429" s="33"/>
    </row>
    <row r="430" spans="1:14" s="34" customFormat="1" ht="15.75" customHeight="1" x14ac:dyDescent="0.3">
      <c r="A430" s="94" t="s">
        <v>255</v>
      </c>
      <c r="B430" s="95"/>
      <c r="C430" s="95"/>
      <c r="D430" s="95"/>
      <c r="E430" s="95"/>
      <c r="F430" s="95"/>
      <c r="G430" s="95"/>
      <c r="H430" s="96"/>
      <c r="I430" s="33"/>
      <c r="L430" s="91"/>
      <c r="M430" s="91"/>
      <c r="N430" s="33"/>
    </row>
    <row r="431" spans="1:14" s="34" customFormat="1" ht="15.75" customHeight="1" x14ac:dyDescent="0.3">
      <c r="A431" s="92">
        <v>1</v>
      </c>
      <c r="B431" s="93"/>
      <c r="C431" s="39" t="s">
        <v>246</v>
      </c>
      <c r="D431" s="50">
        <f>(6.95*5.04+3.51*3.65+3.65*(4.67+4.43)+3.35*4.57+1.83*(2.75*2)+2.6*(1.68+1.78)+1.66*1.82+1.83*1.87+6.03*1.89+1.93*1.22+3.35*4.67+0.45*(1.75+1.65)+(4.1*0.58)*2+1.97*1.95+1.52*1.5+3.51*1.23+6.85*1.68)*10.764</f>
        <v>1932.1046315999997</v>
      </c>
      <c r="E431" s="39">
        <v>0</v>
      </c>
      <c r="F431" s="39">
        <f>D431*(($F$140)+1)+(IF(E431&lt;101,E431,IF(E431&lt;201,E431/2,IF(E431&lt;=301,E431/3,E431/4))))</f>
        <v>2898.1569473999998</v>
      </c>
      <c r="G431" s="114" t="str">
        <f>A430</f>
        <v>44th Floor (Part Refuge Area)</v>
      </c>
      <c r="H431" s="115"/>
      <c r="I431" s="33"/>
      <c r="L431" s="91"/>
      <c r="M431" s="91"/>
      <c r="N431" s="33"/>
    </row>
    <row r="432" spans="1:14" s="34" customFormat="1" ht="15.75" customHeight="1" x14ac:dyDescent="0.3">
      <c r="A432" s="92">
        <f t="shared" ref="A432:A434" si="58">A431+1</f>
        <v>2</v>
      </c>
      <c r="B432" s="93"/>
      <c r="C432" s="39" t="s">
        <v>246</v>
      </c>
      <c r="D432" s="50">
        <f>(7.01*5.32+3.35*3.81+3.65*4.57+3.35*4.57+3.05*4.32+1.52*1.83+1.83*(2.75*2)+1.52*(2.59*2)+1.84+3.81+1.05*(2.82+2.4+3.15+1.92+3.95+4.25)+2.07*2.5+1.92*1.21+6.36*1.57+3.46*1.22)*10.764</f>
        <v>1751.4319680000001</v>
      </c>
      <c r="E432" s="39">
        <v>0</v>
      </c>
      <c r="F432" s="39">
        <f>D432*(($F$140)+1)+(IF(E432&lt;101,E432,IF(E432&lt;201,E432/2,IF(E432&lt;=301,E432/3,E432/4))))</f>
        <v>2627.1479520000003</v>
      </c>
      <c r="G432" s="116"/>
      <c r="H432" s="117"/>
      <c r="I432" s="33"/>
      <c r="L432" s="91"/>
      <c r="M432" s="91"/>
      <c r="N432" s="33"/>
    </row>
    <row r="433" spans="1:14" s="34" customFormat="1" x14ac:dyDescent="0.3">
      <c r="A433" s="92">
        <f t="shared" si="58"/>
        <v>3</v>
      </c>
      <c r="B433" s="93"/>
      <c r="C433" s="92" t="s">
        <v>245</v>
      </c>
      <c r="D433" s="113"/>
      <c r="E433" s="93"/>
      <c r="F433" s="39">
        <f>D433*(($F$140)+1)+(IF(E433&lt;101,E433,IF(E433&lt;201,E433/2,IF(E433&lt;=301,E433/3,E433/4))))</f>
        <v>0</v>
      </c>
      <c r="G433" s="116"/>
      <c r="H433" s="117"/>
      <c r="I433" s="34">
        <v>1</v>
      </c>
      <c r="J433" s="33"/>
    </row>
    <row r="434" spans="1:14" s="34" customFormat="1" ht="15.75" customHeight="1" x14ac:dyDescent="0.3">
      <c r="A434" s="92">
        <f t="shared" si="58"/>
        <v>4</v>
      </c>
      <c r="B434" s="93"/>
      <c r="C434" s="39" t="s">
        <v>370</v>
      </c>
      <c r="D434" s="50">
        <f>(6.85*4.87+3.65*2.75+3.65*3.97+3.35*(4.32+3.97)+1.78*1.42+(1.83*2.75)*2+1.52*2.6+1.52*3.3+1.05*(3.45+1.72+2.03+4.15+3.85)+0.6*(4.16+2.02)+1.52*2.75+1.78*1.23+2.4*1.22+6.2*1.52)*10.764</f>
        <v>1567.335276</v>
      </c>
      <c r="E434" s="39">
        <v>0</v>
      </c>
      <c r="F434" s="39">
        <f>D434*(($F$140)+1)+(IF(E434&lt;101,E434,IF(E434&lt;201,E434/2,IF(E434&lt;=301,E434/3,E434/4))))</f>
        <v>2351.0029140000001</v>
      </c>
      <c r="G434" s="118"/>
      <c r="H434" s="119"/>
      <c r="I434" s="33"/>
      <c r="L434" s="91"/>
      <c r="M434" s="91"/>
      <c r="N434" s="33"/>
    </row>
    <row r="435" spans="1:14" s="34" customFormat="1" ht="15.75" customHeight="1" x14ac:dyDescent="0.3">
      <c r="A435" s="94" t="s">
        <v>361</v>
      </c>
      <c r="B435" s="95"/>
      <c r="C435" s="95"/>
      <c r="D435" s="95"/>
      <c r="E435" s="95"/>
      <c r="F435" s="95"/>
      <c r="G435" s="95"/>
      <c r="H435" s="96"/>
      <c r="I435" s="33"/>
      <c r="L435" s="91"/>
      <c r="M435" s="91"/>
      <c r="N435" s="33"/>
    </row>
    <row r="436" spans="1:14" s="34" customFormat="1" ht="15.75" customHeight="1" x14ac:dyDescent="0.3">
      <c r="A436" s="92">
        <v>1</v>
      </c>
      <c r="B436" s="93"/>
      <c r="C436" s="39" t="s">
        <v>246</v>
      </c>
      <c r="D436" s="50">
        <f>(6.95*5.04+3.51*3.65+3.65*(4.67+4.43)+3.35*4.57+1.83*(2.75*2)+2.6*(1.68+1.78)+1.66*1.82+1.83*1.87+6.03*1.89+1.93*1.22+3.35*4.67+0.45*(1.75+1.65)+(4.1*0.58)*2+1.97*1.95+1.52*1.5+3.51*1.23+6.85*1.68)*10.764</f>
        <v>1932.1046315999997</v>
      </c>
      <c r="E436" s="39">
        <v>0</v>
      </c>
      <c r="F436" s="39">
        <f>D436*(($F$140)+1)+(IF(E436&lt;101,E436,IF(E436&lt;201,E436/2,IF(E436&lt;=301,E436/3,E436/4))))</f>
        <v>2898.1569473999998</v>
      </c>
      <c r="G436" s="114" t="str">
        <f>A435</f>
        <v>45th Floor</v>
      </c>
      <c r="H436" s="115"/>
      <c r="I436" s="33"/>
      <c r="L436" s="91"/>
      <c r="M436" s="91"/>
      <c r="N436" s="33"/>
    </row>
    <row r="437" spans="1:14" s="34" customFormat="1" ht="15.75" customHeight="1" x14ac:dyDescent="0.3">
      <c r="A437" s="92">
        <f t="shared" ref="A437:A439" si="59">A436+1</f>
        <v>2</v>
      </c>
      <c r="B437" s="93"/>
      <c r="C437" s="39" t="s">
        <v>246</v>
      </c>
      <c r="D437" s="50">
        <f>(7.01*5.32+3.35*3.81+3.65*4.57+3.35*4.57+3.05*4.32+1.52*1.83+1.83*(2.75*2)+1.52*(2.59*2)+1.84+3.81+1.05*(2.82+2.4+3.15+1.92+3.95+4.25)+2.07*2.5+1.92*1.21+6.36*1.57+3.46*1.22)*10.764</f>
        <v>1751.4319680000001</v>
      </c>
      <c r="E437" s="39">
        <v>0</v>
      </c>
      <c r="F437" s="39">
        <f>D437*(($F$140)+1)+(IF(E437&lt;101,E437,IF(E437&lt;201,E437/2,IF(E437&lt;=301,E437/3,E437/4))))</f>
        <v>2627.1479520000003</v>
      </c>
      <c r="G437" s="116"/>
      <c r="H437" s="117"/>
      <c r="I437" s="33"/>
      <c r="L437" s="91"/>
      <c r="M437" s="91"/>
      <c r="N437" s="33"/>
    </row>
    <row r="438" spans="1:14" s="34" customFormat="1" x14ac:dyDescent="0.3">
      <c r="A438" s="92">
        <f t="shared" si="59"/>
        <v>3</v>
      </c>
      <c r="B438" s="93"/>
      <c r="C438" s="39" t="s">
        <v>246</v>
      </c>
      <c r="D438" s="50">
        <f>(6.95*5.04+3.51*3.65+3.65*(4.67+4.43)+(3.35*4.57)*2+1.68*1.82+(1.83*2.75)*2+1.78*2.6+1.83*1.87+2.75*2.13+6.03*1.89+1.93*1.22+0.45*(1.67+1.75)+(4.1*0.58)*2+3.35*4.67+3.35*1.23+1.97*1.95+1.52*1.5+6.85*1.68)*10.764</f>
        <v>2111.2993979999997</v>
      </c>
      <c r="E438" s="39">
        <v>0</v>
      </c>
      <c r="F438" s="39">
        <f>D438*(($F$140)+1)+(IF(E438&lt;101,E438,IF(E438&lt;201,E438/2,IF(E438&lt;=301,E438/3,E438/4))))</f>
        <v>3166.9490969999997</v>
      </c>
      <c r="G438" s="116"/>
      <c r="H438" s="117"/>
      <c r="I438" s="34">
        <v>3</v>
      </c>
      <c r="J438" s="33"/>
    </row>
    <row r="439" spans="1:14" s="34" customFormat="1" ht="15.75" customHeight="1" x14ac:dyDescent="0.3">
      <c r="A439" s="92">
        <f t="shared" si="59"/>
        <v>4</v>
      </c>
      <c r="B439" s="93"/>
      <c r="C439" s="39" t="s">
        <v>370</v>
      </c>
      <c r="D439" s="50">
        <f>(6.85*4.87+3.65*2.75+3.65*3.97+3.35*(4.32+3.97)+1.78*1.42+(1.83*2.75)*2+1.52*2.6+1.52*3.3+1.05*(3.45+1.72+2.03+4.15+3.85)+0.6*(4.16+2.02)+1.52*2.75+1.78*1.23+2.4*1.22+6.2*1.52)*10.764</f>
        <v>1567.335276</v>
      </c>
      <c r="E439" s="39">
        <v>0</v>
      </c>
      <c r="F439" s="39">
        <f>D439*(($F$140)+1)+(IF(E439&lt;101,E439,IF(E439&lt;201,E439/2,IF(E439&lt;=301,E439/3,E439/4))))</f>
        <v>2351.0029140000001</v>
      </c>
      <c r="G439" s="118"/>
      <c r="H439" s="119"/>
      <c r="I439" s="33"/>
      <c r="L439" s="91"/>
      <c r="M439" s="91"/>
      <c r="N439" s="33"/>
    </row>
    <row r="440" spans="1:14" s="34" customFormat="1" ht="15.75" customHeight="1" x14ac:dyDescent="0.3">
      <c r="A440" s="94" t="s">
        <v>385</v>
      </c>
      <c r="B440" s="95"/>
      <c r="C440" s="95"/>
      <c r="D440" s="95"/>
      <c r="E440" s="95"/>
      <c r="F440" s="95"/>
      <c r="G440" s="95"/>
      <c r="H440" s="96"/>
      <c r="I440" s="33"/>
      <c r="L440" s="91"/>
      <c r="M440" s="91"/>
      <c r="N440" s="33"/>
    </row>
    <row r="441" spans="1:14" s="34" customFormat="1" ht="15.75" customHeight="1" x14ac:dyDescent="0.3">
      <c r="A441" s="92">
        <v>1</v>
      </c>
      <c r="B441" s="93"/>
      <c r="C441" s="39" t="s">
        <v>246</v>
      </c>
      <c r="D441" s="50">
        <f>(6.95*5.04+3.51*3.65+3.65*(4.67+4.43)+3.35*4.57+1.83*(2.75*2)+2.6*(1.68+1.78)+1.66*1.82+1.83*1.87+6.03*1.89+1.93*1.22+3.35*4.67+0.45*(1.75+1.65)+(4.1*0.58)*2+1.97*1.95+1.52*1.5+3.51*1.23+6.85*1.68)*10.764</f>
        <v>1932.1046315999997</v>
      </c>
      <c r="E441" s="39">
        <v>0</v>
      </c>
      <c r="F441" s="39">
        <f>D441*(($F$140)+1)+(IF(E441&lt;101,E441,IF(E441&lt;201,E441/2,IF(E441&lt;=301,E441/3,E441/4))))</f>
        <v>2898.1569473999998</v>
      </c>
      <c r="G441" s="114" t="str">
        <f>A440</f>
        <v>46th, 47th &amp; 49th Floor</v>
      </c>
      <c r="H441" s="115"/>
      <c r="I441" s="33"/>
      <c r="L441" s="91"/>
      <c r="M441" s="91"/>
      <c r="N441" s="33"/>
    </row>
    <row r="442" spans="1:14" s="34" customFormat="1" ht="15.75" customHeight="1" x14ac:dyDescent="0.3">
      <c r="A442" s="92">
        <f t="shared" ref="A442:A444" si="60">A441+1</f>
        <v>2</v>
      </c>
      <c r="B442" s="93"/>
      <c r="C442" s="39" t="s">
        <v>246</v>
      </c>
      <c r="D442" s="50">
        <f>(7.01*5.32+3.35*3.81+3.65*4.57+3.35*4.57+3.05*4.32+1.52*1.83+1.83*(2.75*2)+1.52*(2.59*2)+1.84+3.81+1.05*(2.82+2.4+3.15+1.92+3.95+4.25)+2.07*2.5+1.92*1.21+6.36*1.57+3.46*1.22)*10.764</f>
        <v>1751.4319680000001</v>
      </c>
      <c r="E442" s="39">
        <v>0</v>
      </c>
      <c r="F442" s="39">
        <f>D442*(($F$140)+1)+(IF(E442&lt;101,E442,IF(E442&lt;201,E442/2,IF(E442&lt;=301,E442/3,E442/4))))</f>
        <v>2627.1479520000003</v>
      </c>
      <c r="G442" s="116"/>
      <c r="H442" s="117"/>
      <c r="I442" s="33"/>
      <c r="L442" s="91"/>
      <c r="M442" s="91"/>
      <c r="N442" s="33"/>
    </row>
    <row r="443" spans="1:14" s="34" customFormat="1" x14ac:dyDescent="0.3">
      <c r="A443" s="92">
        <f t="shared" si="60"/>
        <v>3</v>
      </c>
      <c r="B443" s="93"/>
      <c r="C443" s="39" t="s">
        <v>246</v>
      </c>
      <c r="D443" s="50">
        <f>(6.95*5.04+3.51*3.65+3.65*(4.67+4.43)+(3.35*4.57)*2+1.68*1.82+(1.83*2.75)*2+1.78*2.6+1.83*1.87+2.75*2.13+6.03*1.89+1.93*1.22+0.45*(1.67+1.75)+(4.1*0.58)*2+3.35*4.67+3.35*1.23+1.97*1.95+1.52*1.5+6.85*1.68)*10.764</f>
        <v>2111.2993979999997</v>
      </c>
      <c r="E443" s="39">
        <v>0</v>
      </c>
      <c r="F443" s="39">
        <f>D443*(($F$140)+1)+(IF(E443&lt;101,E443,IF(E443&lt;201,E443/2,IF(E443&lt;=301,E443/3,E443/4))))</f>
        <v>3166.9490969999997</v>
      </c>
      <c r="G443" s="116"/>
      <c r="H443" s="117"/>
      <c r="I443" s="34">
        <v>1</v>
      </c>
      <c r="J443" s="33"/>
    </row>
    <row r="444" spans="1:14" s="34" customFormat="1" ht="15.75" customHeight="1" x14ac:dyDescent="0.3">
      <c r="A444" s="92">
        <f t="shared" si="60"/>
        <v>4</v>
      </c>
      <c r="B444" s="93"/>
      <c r="C444" s="39" t="s">
        <v>370</v>
      </c>
      <c r="D444" s="50">
        <f>(6.85*4.87+3.65*2.75+3.65*3.97+3.35*(4.32+3.97)+1.78*1.42+(1.83*2.75)*2+1.52*2.6+1.52*3.3+1.05*(3.45+1.72+2.03+4.15+3.85)+0.6*(4.16+2.02)+1.52*2.75+1.78*1.23+2.4*1.22+6.2*1.52)*10.764</f>
        <v>1567.335276</v>
      </c>
      <c r="E444" s="39">
        <v>0</v>
      </c>
      <c r="F444" s="39">
        <f>D444*(($F$140)+1)+(IF(E444&lt;101,E444,IF(E444&lt;201,E444/2,IF(E444&lt;=301,E444/3,E444/4))))</f>
        <v>2351.0029140000001</v>
      </c>
      <c r="G444" s="118"/>
      <c r="H444" s="119"/>
      <c r="I444" s="33"/>
      <c r="L444" s="91"/>
      <c r="M444" s="91"/>
      <c r="N444" s="33"/>
    </row>
    <row r="445" spans="1:14" s="34" customFormat="1" ht="15.75" customHeight="1" x14ac:dyDescent="0.3">
      <c r="A445" s="94" t="s">
        <v>386</v>
      </c>
      <c r="B445" s="95"/>
      <c r="C445" s="95"/>
      <c r="D445" s="95"/>
      <c r="E445" s="95"/>
      <c r="F445" s="95"/>
      <c r="G445" s="95"/>
      <c r="H445" s="96"/>
      <c r="I445" s="33"/>
      <c r="L445" s="91"/>
      <c r="M445" s="91"/>
      <c r="N445" s="33"/>
    </row>
    <row r="446" spans="1:14" s="34" customFormat="1" ht="15.75" customHeight="1" x14ac:dyDescent="0.3">
      <c r="A446" s="92">
        <v>1</v>
      </c>
      <c r="B446" s="93"/>
      <c r="C446" s="39" t="s">
        <v>246</v>
      </c>
      <c r="D446" s="50">
        <f>(6.95*5.04+3.51*3.65+3.65*(4.67+4.43)+3.35*4.57+1.83*(2.75*2)+2.6*(1.68+1.78)+1.66*1.82+1.83*1.87+6.03*1.89+1.93*1.22+3.35*4.67+0.45*(1.75+1.65)+(4.1*0.58)*2+1.97*1.95+1.52*1.5+3.51*1.23+6.85*1.68)*10.764</f>
        <v>1932.1046315999997</v>
      </c>
      <c r="E446" s="39">
        <v>0</v>
      </c>
      <c r="F446" s="39">
        <f>D446*(($F$140)+1)+(IF(E446&lt;101,E446,IF(E446&lt;201,E446/2,IF(E446&lt;=301,E446/3,E446/4))))</f>
        <v>2898.1569473999998</v>
      </c>
      <c r="G446" s="114" t="str">
        <f>A445</f>
        <v>48th Floor</v>
      </c>
      <c r="H446" s="115"/>
      <c r="I446" s="33"/>
      <c r="L446" s="91"/>
      <c r="M446" s="91"/>
      <c r="N446" s="33"/>
    </row>
    <row r="447" spans="1:14" s="34" customFormat="1" ht="15.75" customHeight="1" x14ac:dyDescent="0.3">
      <c r="A447" s="92">
        <f t="shared" ref="A447:A449" si="61">A446+1</f>
        <v>2</v>
      </c>
      <c r="B447" s="93"/>
      <c r="C447" s="39" t="s">
        <v>246</v>
      </c>
      <c r="D447" s="50">
        <f>(7.01*5.32+3.35*3.81+3.65*4.57+3.35*4.57+3.05*4.32+1.52*1.83+1.83*(2.75*2)+1.52*(2.59*2)+1.84+3.81+1.05*(2.82+2.4+3.15+1.92+3.95+4.25)+2.07*2.5+1.92*1.21+6.36*1.57+3.46*1.22)*10.764</f>
        <v>1751.4319680000001</v>
      </c>
      <c r="E447" s="39">
        <v>0</v>
      </c>
      <c r="F447" s="39">
        <f>D447*(($F$140)+1)+(IF(E447&lt;101,E447,IF(E447&lt;201,E447/2,IF(E447&lt;=301,E447/3,E447/4))))</f>
        <v>2627.1479520000003</v>
      </c>
      <c r="G447" s="116"/>
      <c r="H447" s="117"/>
      <c r="I447" s="33"/>
      <c r="L447" s="91"/>
      <c r="M447" s="91"/>
      <c r="N447" s="33"/>
    </row>
    <row r="448" spans="1:14" s="34" customFormat="1" x14ac:dyDescent="0.3">
      <c r="A448" s="92">
        <f t="shared" si="61"/>
        <v>3</v>
      </c>
      <c r="B448" s="93"/>
      <c r="C448" s="39" t="s">
        <v>246</v>
      </c>
      <c r="D448" s="50">
        <f>(6.95*5.04+3.51*3.65+3.65*(4.67+4.43)+(3.35*4.57)*2+1.68*1.82+(1.83*2.75)*2+1.78*2.6+1.83*1.87+2.75*2.13+6.03*1.89+1.93*1.22+0.45*(1.67+1.75)+(4.1*0.58)*2+3.35*4.67+3.35*1.23+1.97*1.95+1.52*1.5+6.85*1.68)*10.764</f>
        <v>2111.2993979999997</v>
      </c>
      <c r="E448" s="39">
        <v>0</v>
      </c>
      <c r="F448" s="39">
        <f>D448*(($F$140)+1)+(IF(E448&lt;101,E448,IF(E448&lt;201,E448/2,IF(E448&lt;=301,E448/3,E448/4))))</f>
        <v>3166.9490969999997</v>
      </c>
      <c r="G448" s="116"/>
      <c r="H448" s="117"/>
      <c r="J448" s="33"/>
    </row>
    <row r="449" spans="1:14" s="34" customFormat="1" ht="15.75" customHeight="1" x14ac:dyDescent="0.3">
      <c r="A449" s="92">
        <f t="shared" si="61"/>
        <v>4</v>
      </c>
      <c r="B449" s="93"/>
      <c r="C449" s="39" t="s">
        <v>370</v>
      </c>
      <c r="D449" s="50">
        <f>(6.85*4.87+3.65*2.75+3.65*3.97+3.35*(4.32+3.97)+1.78*1.42+(1.83*2.75)*2+1.52*2.6+1.52*3.3+1.05*(3.45+1.72+2.03+4.15+3.85)+0.6*(4.16+2.02)+1.52*2.75+1.78*1.23+2.4*1.22+6.2*1.52)*10.764</f>
        <v>1567.335276</v>
      </c>
      <c r="E449" s="39">
        <v>0</v>
      </c>
      <c r="F449" s="39">
        <f>D449*(($F$140)+1)+(IF(E449&lt;101,E449,IF(E449&lt;201,E449/2,IF(E449&lt;=301,E449/3,E449/4))))</f>
        <v>2351.0029140000001</v>
      </c>
      <c r="G449" s="118"/>
      <c r="H449" s="119"/>
      <c r="I449" s="33"/>
      <c r="L449" s="91"/>
      <c r="M449" s="91"/>
      <c r="N449" s="33"/>
    </row>
    <row r="450" spans="1:14" s="34" customFormat="1" ht="15.75" customHeight="1" x14ac:dyDescent="0.3">
      <c r="A450" s="94" t="s">
        <v>384</v>
      </c>
      <c r="B450" s="95"/>
      <c r="C450" s="95"/>
      <c r="D450" s="95"/>
      <c r="E450" s="95"/>
      <c r="F450" s="95"/>
      <c r="G450" s="95"/>
      <c r="H450" s="96"/>
      <c r="I450" s="33"/>
      <c r="L450" s="91"/>
      <c r="M450" s="91"/>
      <c r="N450" s="33"/>
    </row>
    <row r="451" spans="1:14" s="34" customFormat="1" ht="15.75" customHeight="1" x14ac:dyDescent="0.3">
      <c r="A451" s="92">
        <v>1</v>
      </c>
      <c r="B451" s="93"/>
      <c r="C451" s="39" t="s">
        <v>246</v>
      </c>
      <c r="D451" s="50">
        <f>(6.8*5.04+3.51*3.65+3.65*(4.67+4.43)+3.35*4.57+1.83*(2.75*2)+2.6*(1.68+1.78)+1.66*1.82+1.83*1.87+6.03*1.89+1.93*1.22+3.35*4.67+0.45*(1.75+1.65)+(4.1*0.58)*2+1.97*1.95+1.52*1.5+3.51*1.23+6.85*1.68)*10.764</f>
        <v>1923.9670475999997</v>
      </c>
      <c r="E451" s="39">
        <v>0</v>
      </c>
      <c r="F451" s="39">
        <f>D451*(($F$140)+1)+(IF(E451&lt;101,E451,IF(E451&lt;201,E451/2,IF(E451&lt;=301,E451/3,E451/4))))</f>
        <v>2885.9505713999997</v>
      </c>
      <c r="G451" s="114" t="str">
        <f>A450</f>
        <v>4th Floor</v>
      </c>
      <c r="H451" s="115"/>
      <c r="I451" s="33"/>
      <c r="L451" s="91"/>
      <c r="M451" s="91"/>
      <c r="N451" s="33"/>
    </row>
    <row r="452" spans="1:14" s="34" customFormat="1" ht="15.75" customHeight="1" x14ac:dyDescent="0.3">
      <c r="A452" s="92">
        <f t="shared" ref="A452:A454" si="62">A451+1</f>
        <v>2</v>
      </c>
      <c r="B452" s="93"/>
      <c r="C452" s="39" t="s">
        <v>246</v>
      </c>
      <c r="D452" s="50">
        <f>(7.01*5.32+3.35*3.81+3.65*4.57+3.35*4.57+3.05*4.32+1.52*1.83+1.83*(2.75*2)+1.52*(2.59*2)+1.84+3.81+1.05*(2.82+2.4+3.15+1.92+3.95+4.25)+2.07*2.5+1.92*1.21+6.36*1.57+3.46*1.22)*10.764</f>
        <v>1751.4319680000001</v>
      </c>
      <c r="E452" s="39">
        <v>0</v>
      </c>
      <c r="F452" s="39">
        <f>D452*(($F$140)+1)+(IF(E452&lt;101,E452,IF(E452&lt;201,E452/2,IF(E452&lt;=301,E452/3,E452/4))))</f>
        <v>2627.1479520000003</v>
      </c>
      <c r="G452" s="116"/>
      <c r="H452" s="117"/>
      <c r="I452" s="33"/>
      <c r="L452" s="91"/>
      <c r="M452" s="91"/>
      <c r="N452" s="33"/>
    </row>
    <row r="453" spans="1:14" s="34" customFormat="1" x14ac:dyDescent="0.3">
      <c r="A453" s="92">
        <f t="shared" si="62"/>
        <v>3</v>
      </c>
      <c r="B453" s="93"/>
      <c r="C453" s="39" t="s">
        <v>246</v>
      </c>
      <c r="D453" s="50">
        <f>(6.8*5.04+3.51*3.65+3.65*(4.67+4.43)+(3.35*4.57)*2+1.68*1.82+(1.83*2.75)*2+1.78*2.6+1.83*1.87+2.75*2.13+6.03*1.89+1.93*1.22+0.45*(1.67+1.75)+(4.1*0.58)*2+3.35*4.67+3.35*1.23+1.97*1.95+1.52*1.5+6.85*1.68)*10.764</f>
        <v>2103.1618139999996</v>
      </c>
      <c r="E453" s="39">
        <v>0</v>
      </c>
      <c r="F453" s="39">
        <f>D453*(($F$140)+1)+(IF(E453&lt;101,E453,IF(E453&lt;201,E453/2,IF(E453&lt;=301,E453/3,E453/4))))</f>
        <v>3154.7427209999996</v>
      </c>
      <c r="G453" s="116"/>
      <c r="H453" s="117"/>
      <c r="J453" s="33"/>
    </row>
    <row r="454" spans="1:14" s="34" customFormat="1" x14ac:dyDescent="0.3">
      <c r="A454" s="92">
        <f t="shared" si="62"/>
        <v>4</v>
      </c>
      <c r="B454" s="93"/>
      <c r="C454" s="39" t="s">
        <v>370</v>
      </c>
      <c r="D454" s="50">
        <v>1557.5185079999999</v>
      </c>
      <c r="E454" s="39">
        <v>0</v>
      </c>
      <c r="F454" s="39">
        <f>D454*(($F$140)+1)+(IF(E454&lt;101,E454,IF(E454&lt;201,E454/2,IF(E454&lt;=301,E454/3,E454/4))))</f>
        <v>2336.2777619999997</v>
      </c>
      <c r="G454" s="118"/>
      <c r="H454" s="119"/>
      <c r="I454" s="33"/>
      <c r="L454" s="91"/>
      <c r="M454" s="91"/>
      <c r="N454" s="33"/>
    </row>
    <row r="455" spans="1:14" s="34" customFormat="1" hidden="1" x14ac:dyDescent="0.3">
      <c r="A455" s="94" t="s">
        <v>114</v>
      </c>
      <c r="B455" s="95"/>
      <c r="C455" s="95"/>
      <c r="D455" s="95"/>
      <c r="E455" s="95"/>
      <c r="F455" s="95"/>
      <c r="G455" s="95"/>
      <c r="H455" s="96"/>
      <c r="I455" s="33"/>
      <c r="L455" s="91"/>
      <c r="M455" s="91"/>
      <c r="N455" s="33"/>
    </row>
    <row r="456" spans="1:14" s="34" customFormat="1" hidden="1" x14ac:dyDescent="0.3">
      <c r="A456" s="92">
        <v>1</v>
      </c>
      <c r="B456" s="93"/>
      <c r="C456" s="39"/>
      <c r="D456" s="39"/>
      <c r="E456" s="39">
        <v>0</v>
      </c>
      <c r="F456" s="39">
        <f>D456*(($F$140)+1)+(IF(E456&lt;101,E456,IF(E456&lt;201,E456/2,IF(E456&lt;=301,E456/3,E456/4))))</f>
        <v>0</v>
      </c>
      <c r="G456" s="92" t="str">
        <f>A455</f>
        <v>Ground Floor</v>
      </c>
      <c r="H456" s="93"/>
      <c r="I456" s="33"/>
      <c r="L456" s="91"/>
      <c r="M456" s="91"/>
      <c r="N456" s="33"/>
    </row>
    <row r="457" spans="1:14" s="34" customFormat="1" hidden="1" x14ac:dyDescent="0.3">
      <c r="A457" s="92">
        <f t="shared" ref="A457:A459" si="63">A456+1</f>
        <v>2</v>
      </c>
      <c r="B457" s="93"/>
      <c r="C457" s="39"/>
      <c r="D457" s="39"/>
      <c r="E457" s="39">
        <v>0</v>
      </c>
      <c r="F457" s="39">
        <f>D457*(($F$140)+1)+(IF(E457&lt;101,E457,IF(E457&lt;201,E457/2,IF(E457&lt;=301,E457/3,E457/4))))</f>
        <v>0</v>
      </c>
      <c r="G457" s="92" t="str">
        <f t="shared" ref="G457:G459" si="64">G456</f>
        <v>Ground Floor</v>
      </c>
      <c r="H457" s="93"/>
      <c r="I457" s="33"/>
      <c r="L457" s="91"/>
      <c r="M457" s="91"/>
      <c r="N457" s="33"/>
    </row>
    <row r="458" spans="1:14" s="34" customFormat="1" hidden="1" x14ac:dyDescent="0.3">
      <c r="A458" s="92">
        <f t="shared" si="63"/>
        <v>3</v>
      </c>
      <c r="B458" s="93"/>
      <c r="C458" s="39"/>
      <c r="D458" s="39"/>
      <c r="E458" s="39">
        <v>0</v>
      </c>
      <c r="F458" s="39">
        <f>D458*(($F$140)+1)+(IF(E458&lt;101,E458,IF(E458&lt;201,E458/2,IF(E458&lt;=301,E458/3,E458/4))))</f>
        <v>0</v>
      </c>
      <c r="G458" s="92" t="str">
        <f t="shared" si="64"/>
        <v>Ground Floor</v>
      </c>
      <c r="H458" s="93"/>
      <c r="J458" s="33"/>
    </row>
    <row r="459" spans="1:14" s="34" customFormat="1" hidden="1" x14ac:dyDescent="0.3">
      <c r="A459" s="92">
        <f t="shared" si="63"/>
        <v>4</v>
      </c>
      <c r="B459" s="93"/>
      <c r="C459" s="39"/>
      <c r="D459" s="39"/>
      <c r="E459" s="39">
        <v>0</v>
      </c>
      <c r="F459" s="39">
        <f>D459*(($F$140)+1)+(IF(E459&lt;101,E459,IF(E459&lt;201,E459/2,IF(E459&lt;=301,E459/3,E459/4))))</f>
        <v>0</v>
      </c>
      <c r="G459" s="92" t="str">
        <f t="shared" si="64"/>
        <v>Ground Floor</v>
      </c>
      <c r="H459" s="93"/>
      <c r="I459" s="33"/>
      <c r="L459" s="91"/>
      <c r="M459" s="91"/>
      <c r="N459" s="33"/>
    </row>
    <row r="460" spans="1:14" s="34" customFormat="1" hidden="1" x14ac:dyDescent="0.3">
      <c r="A460" s="94" t="s">
        <v>114</v>
      </c>
      <c r="B460" s="95"/>
      <c r="C460" s="95"/>
      <c r="D460" s="95"/>
      <c r="E460" s="95"/>
      <c r="F460" s="95"/>
      <c r="G460" s="95"/>
      <c r="H460" s="96"/>
      <c r="I460" s="33"/>
      <c r="L460" s="91"/>
      <c r="M460" s="91"/>
      <c r="N460" s="33"/>
    </row>
    <row r="461" spans="1:14" s="34" customFormat="1" hidden="1" x14ac:dyDescent="0.3">
      <c r="A461" s="92">
        <v>1</v>
      </c>
      <c r="B461" s="93"/>
      <c r="C461" s="39"/>
      <c r="D461" s="39"/>
      <c r="E461" s="39">
        <v>0</v>
      </c>
      <c r="F461" s="39">
        <f>D461*(($F$140)+1)+(IF(E461&lt;101,E461,IF(E461&lt;201,E461/2,IF(E461&lt;=301,E461/3,E461/4))))</f>
        <v>0</v>
      </c>
      <c r="G461" s="92" t="str">
        <f>A460</f>
        <v>Ground Floor</v>
      </c>
      <c r="H461" s="93"/>
      <c r="I461" s="33"/>
      <c r="L461" s="91"/>
      <c r="M461" s="91"/>
      <c r="N461" s="33"/>
    </row>
    <row r="462" spans="1:14" s="34" customFormat="1" hidden="1" x14ac:dyDescent="0.3">
      <c r="A462" s="92">
        <f t="shared" ref="A462:A464" si="65">A461+1</f>
        <v>2</v>
      </c>
      <c r="B462" s="93"/>
      <c r="C462" s="39"/>
      <c r="D462" s="39"/>
      <c r="E462" s="39">
        <v>0</v>
      </c>
      <c r="F462" s="39">
        <f>D462*(($F$140)+1)+(IF(E462&lt;101,E462,IF(E462&lt;201,E462/2,IF(E462&lt;=301,E462/3,E462/4))))</f>
        <v>0</v>
      </c>
      <c r="G462" s="92" t="str">
        <f t="shared" ref="G462:G464" si="66">G461</f>
        <v>Ground Floor</v>
      </c>
      <c r="H462" s="93"/>
      <c r="I462" s="33"/>
      <c r="L462" s="91"/>
      <c r="M462" s="91"/>
      <c r="N462" s="33"/>
    </row>
    <row r="463" spans="1:14" s="34" customFormat="1" hidden="1" x14ac:dyDescent="0.3">
      <c r="A463" s="92">
        <f t="shared" si="65"/>
        <v>3</v>
      </c>
      <c r="B463" s="93"/>
      <c r="C463" s="39"/>
      <c r="D463" s="39"/>
      <c r="E463" s="39">
        <v>0</v>
      </c>
      <c r="F463" s="39">
        <f>D463*(($F$140)+1)+(IF(E463&lt;101,E463,IF(E463&lt;201,E463/2,IF(E463&lt;=301,E463/3,E463/4))))</f>
        <v>0</v>
      </c>
      <c r="G463" s="92" t="str">
        <f t="shared" si="66"/>
        <v>Ground Floor</v>
      </c>
      <c r="H463" s="93"/>
      <c r="I463" s="33"/>
      <c r="L463" s="91"/>
      <c r="M463" s="91"/>
    </row>
    <row r="464" spans="1:14" s="34" customFormat="1" hidden="1" x14ac:dyDescent="0.3">
      <c r="A464" s="92">
        <f t="shared" si="65"/>
        <v>4</v>
      </c>
      <c r="B464" s="93"/>
      <c r="C464" s="39"/>
      <c r="D464" s="39"/>
      <c r="E464" s="39">
        <v>0</v>
      </c>
      <c r="F464" s="39">
        <f>D464*(($F$140)+1)+(IF(E464&lt;101,E464,IF(E464&lt;201,E464/2,IF(E464&lt;=301,E464/3,E464/4))))</f>
        <v>0</v>
      </c>
      <c r="G464" s="92" t="str">
        <f t="shared" si="66"/>
        <v>Ground Floor</v>
      </c>
      <c r="H464" s="93"/>
      <c r="I464" s="33"/>
      <c r="N464" s="33"/>
    </row>
    <row r="465" spans="1:14" s="34" customFormat="1" hidden="1" x14ac:dyDescent="0.3">
      <c r="A465" s="120" t="s">
        <v>115</v>
      </c>
      <c r="B465" s="120"/>
      <c r="C465" s="120"/>
      <c r="D465" s="120"/>
      <c r="E465" s="120"/>
      <c r="F465" s="120"/>
      <c r="G465" s="120"/>
      <c r="H465" s="120"/>
      <c r="I465" s="33"/>
      <c r="N465" s="33"/>
    </row>
    <row r="466" spans="1:14" s="34" customFormat="1" hidden="1" x14ac:dyDescent="0.3">
      <c r="A466" s="121">
        <f>LEFT(A465,SUM(LEN(A465)-LEN(SUBSTITUTE(A465,{"0","1","2","3","4","5","6","7","8","9"},""))))*100+1</f>
        <v>201</v>
      </c>
      <c r="B466" s="121"/>
      <c r="C466" s="39"/>
      <c r="D466" s="39"/>
      <c r="E466" s="39">
        <v>0</v>
      </c>
      <c r="F466" s="39">
        <f t="shared" ref="F466:F467" si="67">D466*(($F$140)+1)+(IF(E466&lt;101,E466,IF(E466&lt;201,E466/2,IF(E466&lt;=301,E466/3,E466/4))))</f>
        <v>0</v>
      </c>
      <c r="G466" s="121" t="str">
        <f>A465</f>
        <v>2nd Floor</v>
      </c>
      <c r="H466" s="121"/>
      <c r="I466" s="33"/>
      <c r="N466" s="33"/>
    </row>
    <row r="467" spans="1:14" s="34" customFormat="1" hidden="1" x14ac:dyDescent="0.3">
      <c r="A467" s="121">
        <f>A466+1</f>
        <v>202</v>
      </c>
      <c r="B467" s="121"/>
      <c r="C467" s="39"/>
      <c r="D467" s="39"/>
      <c r="E467" s="39">
        <v>0</v>
      </c>
      <c r="F467" s="39">
        <f t="shared" si="67"/>
        <v>0</v>
      </c>
      <c r="G467" s="121" t="str">
        <f>G466</f>
        <v>2nd Floor</v>
      </c>
      <c r="H467" s="121"/>
      <c r="I467" s="33"/>
      <c r="N467" s="33"/>
    </row>
    <row r="468" spans="1:14" s="34" customFormat="1" hidden="1" x14ac:dyDescent="0.3">
      <c r="A468" s="121">
        <f>A467+1</f>
        <v>203</v>
      </c>
      <c r="B468" s="121"/>
      <c r="C468" s="39"/>
      <c r="D468" s="39"/>
      <c r="E468" s="39">
        <v>0</v>
      </c>
      <c r="F468" s="39">
        <f>D468*(($F$140)+1)+(IF(E468&lt;101,E468,IF(E468&lt;201,E468/2,IF(E468&lt;=301,E468/3,E468/4))))</f>
        <v>0</v>
      </c>
      <c r="G468" s="121" t="str">
        <f>G467</f>
        <v>2nd Floor</v>
      </c>
      <c r="H468" s="121"/>
      <c r="I468" s="33"/>
      <c r="N468" s="33"/>
    </row>
    <row r="469" spans="1:14" s="34" customFormat="1" ht="15.75" hidden="1" customHeight="1" x14ac:dyDescent="0.3">
      <c r="A469" s="121">
        <f>A468+1</f>
        <v>204</v>
      </c>
      <c r="B469" s="121"/>
      <c r="C469" s="39"/>
      <c r="D469" s="39"/>
      <c r="E469" s="39">
        <v>0</v>
      </c>
      <c r="F469" s="39">
        <f>D469*(($F$140)+1)+(IF(E469&lt;101,E469,IF(E469&lt;201,E469/2,IF(E469&lt;=301,E469/3,E469/4))))</f>
        <v>0</v>
      </c>
      <c r="G469" s="121" t="str">
        <f>G468</f>
        <v>2nd Floor</v>
      </c>
      <c r="H469" s="121"/>
      <c r="I469" s="33"/>
    </row>
    <row r="470" spans="1:14" s="34" customFormat="1" hidden="1" x14ac:dyDescent="0.3">
      <c r="A470" s="121">
        <f>A469+1</f>
        <v>205</v>
      </c>
      <c r="B470" s="121"/>
      <c r="C470" s="39"/>
      <c r="D470" s="39"/>
      <c r="E470" s="39">
        <v>0</v>
      </c>
      <c r="F470" s="39">
        <f>D470*(($F$140)+1)+(IF(E470&lt;101,E470,IF(E470&lt;201,E470/2,IF(E470&lt;=301,E470/3,E470/4))))</f>
        <v>0</v>
      </c>
      <c r="G470" s="121" t="str">
        <f>G469</f>
        <v>2nd Floor</v>
      </c>
      <c r="H470" s="121"/>
      <c r="I470" s="33"/>
    </row>
    <row r="471" spans="1:14" s="34" customFormat="1" hidden="1" x14ac:dyDescent="0.3">
      <c r="A471" s="94" t="s">
        <v>149</v>
      </c>
      <c r="B471" s="95"/>
      <c r="C471" s="95"/>
      <c r="D471" s="95"/>
      <c r="E471" s="95"/>
      <c r="F471" s="95"/>
      <c r="G471" s="95"/>
      <c r="H471" s="96"/>
      <c r="I471" s="33"/>
    </row>
    <row r="472" spans="1:14" s="34" customFormat="1" ht="15.75" hidden="1" customHeight="1" x14ac:dyDescent="0.3">
      <c r="A472" s="92" t="str">
        <f ca="1">(SUMPRODUCT(MID(0&amp;(LEFT(A471,SUM(LEN(A471)-LEN(SUBSTITUTE(A471,{"0","1","2"},""))))), LARGE(INDEX(ISNUMBER(--MID((LEFT(A471,SUM(LEN(A471)-LEN(SUBSTITUTE(A471,{"0","1","2"},""))))), ROW(INDIRECT("1:"&amp;LEN((LEFT(A471,SUM(LEN(A471)-LEN(SUBSTITUTE(A471,{"0","1","2"},"")))))))), 1)) * ROW(INDIRECT("1:"&amp;LEN((LEFT(A471,SUM(LEN(A471)-LEN(SUBSTITUTE(A471,{"0","1","2"},"")))))))), 0), ROW(INDIRECT("1:"&amp;LEN((LEFT(A471,SUM(LEN(A471)-LEN(SUBSTITUTE(A471,{"0","1","2"},"")))))))))+1, 1) * 10^ROW(INDIRECT("1:"&amp;LEN((LEFT(A471,SUM(LEN(A471)-LEN(SUBSTITUTE(A471,{"0","1","2"},""))))))))/10))*100+1&amp;""&amp;" ,.., "&amp;""&amp;(SUMPRODUCT(MID(0&amp;(--TRIM(RIGHT(SUBSTITUTE(LEFT(A471,_xlfn.AGGREGATE(16,6,FIND({0,1,2,3,4,5,6,7,8,9},A471,ROW(INDIRECT("1:"&amp;LEN(A471)))),1))," ",REPT(" ",LEN(A471))),LEN(A471)))), LARGE(INDEX(ISNUMBER(--MID((--TRIM(RIGHT(SUBSTITUTE(LEFT(A471,_xlfn.AGGREGATE(16,6,FIND({0,1,2,3,4,5,6,7,8,9},A471,ROW(INDIRECT("1:"&amp;LEN(A471)))),1))," ",REPT(" ",LEN(A471))),LEN(A471)))), ROW(INDIRECT("1:"&amp;LEN((--TRIM(RIGHT(SUBSTITUTE(LEFT(A471,_xlfn.AGGREGATE(16,6,FIND({0,1,2,3,4,5,6,7,8,9},A471,ROW(INDIRECT("1:"&amp;LEN(A471)))),1))," ",REPT(" ",LEN(A471))),LEN(A471))))))), 1)) * ROW(INDIRECT("1:"&amp;LEN((--TRIM(RIGHT(SUBSTITUTE(LEFT(A471,_xlfn.AGGREGATE(16,6,FIND({0,1,2,3,4,5,6,7,8,9},A471,ROW(INDIRECT("1:"&amp;LEN(A471)))),1))," ",REPT(" ",LEN(A471))),LEN(A471))))))), 0), ROW(INDIRECT("1:"&amp;LEN((--TRIM(RIGHT(SUBSTITUTE(LEFT(A471,_xlfn.AGGREGATE(16,6,FIND({0,1,2,3,4,5,6,7,8,9},A471,ROW(INDIRECT("1:"&amp;LEN(A471)))),1))," ",REPT(" ",LEN(A471))),LEN(A471))))))))+1, 1) * 10^ROW(INDIRECT("1:"&amp;LEN((--TRIM(RIGHT(SUBSTITUTE(LEFT(A471,_xlfn.AGGREGATE(16,6,FIND({0,1,2,3,4,5,6,7,8,9},A471,ROW(INDIRECT("1:"&amp;LEN(A471)))),1))," ",REPT(" ",LEN(A471))),LEN(A471)))))))/10))*100+1</f>
        <v>301 ,.., 1501</v>
      </c>
      <c r="B472" s="93"/>
      <c r="C472" s="39"/>
      <c r="D472" s="39"/>
      <c r="E472" s="39">
        <v>0</v>
      </c>
      <c r="F472" s="39">
        <f>D472*(($F$140)+1)+(IF(E472&lt;101,E472,IF(E472&lt;201,E472/2,IF(E472&lt;=301,E472/3,E472/4))))</f>
        <v>0</v>
      </c>
      <c r="G472" s="92" t="str">
        <f>A471</f>
        <v>3rd, 5th, 7th, 9th, 11th, 13th, 15th Floor</v>
      </c>
      <c r="H472" s="93"/>
      <c r="I472" s="33"/>
    </row>
    <row r="473" spans="1:14" s="34" customFormat="1" ht="15.75" hidden="1" customHeight="1" x14ac:dyDescent="0.3">
      <c r="A473" s="92" t="str">
        <f ca="1">(SUMPRODUCT(MID(0&amp;(LEFT(A472,SUM(LEN(A472)-LEN(SUBSTITUTE(A472,{"0","1","2"},""))))), LARGE(INDEX(ISNUMBER(--MID((LEFT(A472,SUM(LEN(A472)-LEN(SUBSTITUTE(A472,{"0","1","2"},""))))), ROW(INDIRECT("1:"&amp;LEN((LEFT(A472,SUM(LEN(A472)-LEN(SUBSTITUTE(A472,{"0","1","2"},"")))))))), 1)) * ROW(INDIRECT("1:"&amp;LEN((LEFT(A472,SUM(LEN(A472)-LEN(SUBSTITUTE(A472,{"0","1","2"},"")))))))), 0), ROW(INDIRECT("1:"&amp;LEN((LEFT(A472,SUM(LEN(A472)-LEN(SUBSTITUTE(A472,{"0","1","2"},"")))))))))+1, 1) * 10^ROW(INDIRECT("1:"&amp;LEN((LEFT(A472,SUM(LEN(A472)-LEN(SUBSTITUTE(A472,{"0","1","2"},""))))))))/10))*1+1&amp;""&amp;" ,.., "&amp;""&amp;(SUMPRODUCT(MID(0&amp;(--TRIM(RIGHT(SUBSTITUTE(LEFT(A472,_xlfn.AGGREGATE(16,6,FIND({0,1,2,3,4,5,6,7,8,9},A472,ROW(INDIRECT("1:"&amp;LEN(A472)))),1))," ",REPT(" ",LEN(A472))),LEN(A472)))), LARGE(INDEX(ISNUMBER(--MID((--TRIM(RIGHT(SUBSTITUTE(LEFT(A472,_xlfn.AGGREGATE(16,6,FIND({0,1,2,3,4,5,6,7,8,9},A472,ROW(INDIRECT("1:"&amp;LEN(A472)))),1))," ",REPT(" ",LEN(A472))),LEN(A472)))), ROW(INDIRECT("1:"&amp;LEN((--TRIM(RIGHT(SUBSTITUTE(LEFT(A472,_xlfn.AGGREGATE(16,6,FIND({0,1,2,3,4,5,6,7,8,9},A472,ROW(INDIRECT("1:"&amp;LEN(A472)))),1))," ",REPT(" ",LEN(A472))),LEN(A472))))))), 1)) * ROW(INDIRECT("1:"&amp;LEN((--TRIM(RIGHT(SUBSTITUTE(LEFT(A472,_xlfn.AGGREGATE(16,6,FIND({0,1,2,3,4,5,6,7,8,9},A472,ROW(INDIRECT("1:"&amp;LEN(A472)))),1))," ",REPT(" ",LEN(A472))),LEN(A472))))))), 0), ROW(INDIRECT("1:"&amp;LEN((--TRIM(RIGHT(SUBSTITUTE(LEFT(A472,_xlfn.AGGREGATE(16,6,FIND({0,1,2,3,4,5,6,7,8,9},A472,ROW(INDIRECT("1:"&amp;LEN(A472)))),1))," ",REPT(" ",LEN(A472))),LEN(A472))))))))+1, 1) * 10^ROW(INDIRECT("1:"&amp;LEN((--TRIM(RIGHT(SUBSTITUTE(LEFT(A472,_xlfn.AGGREGATE(16,6,FIND({0,1,2,3,4,5,6,7,8,9},A472,ROW(INDIRECT("1:"&amp;LEN(A472)))),1))," ",REPT(" ",LEN(A472))),LEN(A472)))))))/10))*1+1</f>
        <v>302 ,.., 1502</v>
      </c>
      <c r="B473" s="93"/>
      <c r="C473" s="39"/>
      <c r="D473" s="39"/>
      <c r="E473" s="39">
        <v>0</v>
      </c>
      <c r="F473" s="39">
        <f>D473*(($F$140)+1)+(IF(E473&lt;101,E473,IF(E473&lt;201,E473/2,IF(E473&lt;=301,E473/3,E473/4))))</f>
        <v>0</v>
      </c>
      <c r="G473" s="92" t="str">
        <f>G472</f>
        <v>3rd, 5th, 7th, 9th, 11th, 13th, 15th Floor</v>
      </c>
      <c r="H473" s="93"/>
      <c r="I473" s="33"/>
    </row>
    <row r="474" spans="1:14" s="34" customFormat="1" ht="15.75" hidden="1" customHeight="1" x14ac:dyDescent="0.3">
      <c r="A474" s="92" t="str">
        <f ca="1">(SUMPRODUCT(MID(0&amp;(LEFT(A473,SUM(LEN(A473)-LEN(SUBSTITUTE(A473,{"0","1","2"},""))))), LARGE(INDEX(ISNUMBER(--MID((LEFT(A473,SUM(LEN(A473)-LEN(SUBSTITUTE(A473,{"0","1","2"},""))))), ROW(INDIRECT("1:"&amp;LEN((LEFT(A473,SUM(LEN(A473)-LEN(SUBSTITUTE(A473,{"0","1","2"},"")))))))), 1)) * ROW(INDIRECT("1:"&amp;LEN((LEFT(A473,SUM(LEN(A473)-LEN(SUBSTITUTE(A473,{"0","1","2"},"")))))))), 0), ROW(INDIRECT("1:"&amp;LEN((LEFT(A473,SUM(LEN(A473)-LEN(SUBSTITUTE(A473,{"0","1","2"},"")))))))))+1, 1) * 10^ROW(INDIRECT("1:"&amp;LEN((LEFT(A473,SUM(LEN(A473)-LEN(SUBSTITUTE(A473,{"0","1","2"},""))))))))/10))*1+1&amp;""&amp;" ,.., "&amp;""&amp;(SUMPRODUCT(MID(0&amp;(--TRIM(RIGHT(SUBSTITUTE(LEFT(A473,_xlfn.AGGREGATE(16,6,FIND({0,1,2,3,4,5,6,7,8,9},A473,ROW(INDIRECT("1:"&amp;LEN(A473)))),1))," ",REPT(" ",LEN(A473))),LEN(A473)))), LARGE(INDEX(ISNUMBER(--MID((--TRIM(RIGHT(SUBSTITUTE(LEFT(A473,_xlfn.AGGREGATE(16,6,FIND({0,1,2,3,4,5,6,7,8,9},A473,ROW(INDIRECT("1:"&amp;LEN(A473)))),1))," ",REPT(" ",LEN(A473))),LEN(A473)))), ROW(INDIRECT("1:"&amp;LEN((--TRIM(RIGHT(SUBSTITUTE(LEFT(A473,_xlfn.AGGREGATE(16,6,FIND({0,1,2,3,4,5,6,7,8,9},A473,ROW(INDIRECT("1:"&amp;LEN(A473)))),1))," ",REPT(" ",LEN(A473))),LEN(A473))))))), 1)) * ROW(INDIRECT("1:"&amp;LEN((--TRIM(RIGHT(SUBSTITUTE(LEFT(A473,_xlfn.AGGREGATE(16,6,FIND({0,1,2,3,4,5,6,7,8,9},A473,ROW(INDIRECT("1:"&amp;LEN(A473)))),1))," ",REPT(" ",LEN(A473))),LEN(A473))))))), 0), ROW(INDIRECT("1:"&amp;LEN((--TRIM(RIGHT(SUBSTITUTE(LEFT(A473,_xlfn.AGGREGATE(16,6,FIND({0,1,2,3,4,5,6,7,8,9},A473,ROW(INDIRECT("1:"&amp;LEN(A473)))),1))," ",REPT(" ",LEN(A473))),LEN(A473))))))))+1, 1) * 10^ROW(INDIRECT("1:"&amp;LEN((--TRIM(RIGHT(SUBSTITUTE(LEFT(A473,_xlfn.AGGREGATE(16,6,FIND({0,1,2,3,4,5,6,7,8,9},A473,ROW(INDIRECT("1:"&amp;LEN(A473)))),1))," ",REPT(" ",LEN(A473))),LEN(A473)))))))/10))*1+1</f>
        <v>303 ,.., 1503</v>
      </c>
      <c r="B474" s="93"/>
      <c r="C474" s="39"/>
      <c r="D474" s="39"/>
      <c r="E474" s="39">
        <v>0</v>
      </c>
      <c r="F474" s="39">
        <f>D474*(($F$140)+1)+(IF(E474&lt;101,E474,IF(E474&lt;201,E474/2,IF(E474&lt;=301,E474/3,E474/4))))</f>
        <v>0</v>
      </c>
      <c r="G474" s="92" t="str">
        <f>G473</f>
        <v>3rd, 5th, 7th, 9th, 11th, 13th, 15th Floor</v>
      </c>
      <c r="H474" s="93"/>
      <c r="I474" s="33"/>
    </row>
    <row r="475" spans="1:14" s="34" customFormat="1" hidden="1" x14ac:dyDescent="0.3">
      <c r="A475" s="92" t="str">
        <f ca="1">(SUMPRODUCT(MID(0&amp;(LEFT(A474,SUM(LEN(A474)-LEN(SUBSTITUTE(A474,{"0","1","2"},""))))), LARGE(INDEX(ISNUMBER(--MID((LEFT(A474,SUM(LEN(A474)-LEN(SUBSTITUTE(A474,{"0","1","2"},""))))), ROW(INDIRECT("1:"&amp;LEN((LEFT(A474,SUM(LEN(A474)-LEN(SUBSTITUTE(A474,{"0","1","2"},"")))))))), 1)) * ROW(INDIRECT("1:"&amp;LEN((LEFT(A474,SUM(LEN(A474)-LEN(SUBSTITUTE(A474,{"0","1","2"},"")))))))), 0), ROW(INDIRECT("1:"&amp;LEN((LEFT(A474,SUM(LEN(A474)-LEN(SUBSTITUTE(A474,{"0","1","2"},"")))))))))+1, 1) * 10^ROW(INDIRECT("1:"&amp;LEN((LEFT(A474,SUM(LEN(A474)-LEN(SUBSTITUTE(A474,{"0","1","2"},""))))))))/10))*1+1&amp;""&amp;" ,.., "&amp;""&amp;(SUMPRODUCT(MID(0&amp;(--TRIM(RIGHT(SUBSTITUTE(LEFT(A474,_xlfn.AGGREGATE(16,6,FIND({0,1,2,3,4,5,6,7,8,9},A474,ROW(INDIRECT("1:"&amp;LEN(A474)))),1))," ",REPT(" ",LEN(A474))),LEN(A474)))), LARGE(INDEX(ISNUMBER(--MID((--TRIM(RIGHT(SUBSTITUTE(LEFT(A474,_xlfn.AGGREGATE(16,6,FIND({0,1,2,3,4,5,6,7,8,9},A474,ROW(INDIRECT("1:"&amp;LEN(A474)))),1))," ",REPT(" ",LEN(A474))),LEN(A474)))), ROW(INDIRECT("1:"&amp;LEN((--TRIM(RIGHT(SUBSTITUTE(LEFT(A474,_xlfn.AGGREGATE(16,6,FIND({0,1,2,3,4,5,6,7,8,9},A474,ROW(INDIRECT("1:"&amp;LEN(A474)))),1))," ",REPT(" ",LEN(A474))),LEN(A474))))))), 1)) * ROW(INDIRECT("1:"&amp;LEN((--TRIM(RIGHT(SUBSTITUTE(LEFT(A474,_xlfn.AGGREGATE(16,6,FIND({0,1,2,3,4,5,6,7,8,9},A474,ROW(INDIRECT("1:"&amp;LEN(A474)))),1))," ",REPT(" ",LEN(A474))),LEN(A474))))))), 0), ROW(INDIRECT("1:"&amp;LEN((--TRIM(RIGHT(SUBSTITUTE(LEFT(A474,_xlfn.AGGREGATE(16,6,FIND({0,1,2,3,4,5,6,7,8,9},A474,ROW(INDIRECT("1:"&amp;LEN(A474)))),1))," ",REPT(" ",LEN(A474))),LEN(A474))))))))+1, 1) * 10^ROW(INDIRECT("1:"&amp;LEN((--TRIM(RIGHT(SUBSTITUTE(LEFT(A474,_xlfn.AGGREGATE(16,6,FIND({0,1,2,3,4,5,6,7,8,9},A474,ROW(INDIRECT("1:"&amp;LEN(A474)))),1))," ",REPT(" ",LEN(A474))),LEN(A474)))))))/10))*1+1</f>
        <v>304 ,.., 1504</v>
      </c>
      <c r="B475" s="93"/>
      <c r="C475" s="39"/>
      <c r="D475" s="39"/>
      <c r="E475" s="39">
        <v>0</v>
      </c>
      <c r="F475" s="39">
        <f>D475*(($F$140)+1)+(IF(E475&lt;101,E475,IF(E475&lt;201,E475/2,IF(E475&lt;=301,E475/3,E475/4))))</f>
        <v>0</v>
      </c>
      <c r="G475" s="92" t="str">
        <f>G474</f>
        <v>3rd, 5th, 7th, 9th, 11th, 13th, 15th Floor</v>
      </c>
      <c r="H475" s="93"/>
      <c r="I475" s="33"/>
    </row>
    <row r="476" spans="1:14" s="34" customFormat="1" hidden="1" x14ac:dyDescent="0.3">
      <c r="A476" s="92" t="str">
        <f ca="1">(SUMPRODUCT(MID(0&amp;(LEFT(A475,SUM(LEN(A475)-LEN(SUBSTITUTE(A475,{"0","1","2"},""))))), LARGE(INDEX(ISNUMBER(--MID((LEFT(A475,SUM(LEN(A475)-LEN(SUBSTITUTE(A475,{"0","1","2"},""))))), ROW(INDIRECT("1:"&amp;LEN((LEFT(A475,SUM(LEN(A475)-LEN(SUBSTITUTE(A475,{"0","1","2"},"")))))))), 1)) * ROW(INDIRECT("1:"&amp;LEN((LEFT(A475,SUM(LEN(A475)-LEN(SUBSTITUTE(A475,{"0","1","2"},"")))))))), 0), ROW(INDIRECT("1:"&amp;LEN((LEFT(A475,SUM(LEN(A475)-LEN(SUBSTITUTE(A475,{"0","1","2"},"")))))))))+1, 1) * 10^ROW(INDIRECT("1:"&amp;LEN((LEFT(A475,SUM(LEN(A475)-LEN(SUBSTITUTE(A475,{"0","1","2"},""))))))))/10))*1+1&amp;""&amp;" ,.., "&amp;""&amp;(SUMPRODUCT(MID(0&amp;(--TRIM(RIGHT(SUBSTITUTE(LEFT(A475,_xlfn.AGGREGATE(16,6,FIND({0,1,2,3,4,5,6,7,8,9},A475,ROW(INDIRECT("1:"&amp;LEN(A475)))),1))," ",REPT(" ",LEN(A475))),LEN(A475)))), LARGE(INDEX(ISNUMBER(--MID((--TRIM(RIGHT(SUBSTITUTE(LEFT(A475,_xlfn.AGGREGATE(16,6,FIND({0,1,2,3,4,5,6,7,8,9},A475,ROW(INDIRECT("1:"&amp;LEN(A475)))),1))," ",REPT(" ",LEN(A475))),LEN(A475)))), ROW(INDIRECT("1:"&amp;LEN((--TRIM(RIGHT(SUBSTITUTE(LEFT(A475,_xlfn.AGGREGATE(16,6,FIND({0,1,2,3,4,5,6,7,8,9},A475,ROW(INDIRECT("1:"&amp;LEN(A475)))),1))," ",REPT(" ",LEN(A475))),LEN(A475))))))), 1)) * ROW(INDIRECT("1:"&amp;LEN((--TRIM(RIGHT(SUBSTITUTE(LEFT(A475,_xlfn.AGGREGATE(16,6,FIND({0,1,2,3,4,5,6,7,8,9},A475,ROW(INDIRECT("1:"&amp;LEN(A475)))),1))," ",REPT(" ",LEN(A475))),LEN(A475))))))), 0), ROW(INDIRECT("1:"&amp;LEN((--TRIM(RIGHT(SUBSTITUTE(LEFT(A475,_xlfn.AGGREGATE(16,6,FIND({0,1,2,3,4,5,6,7,8,9},A475,ROW(INDIRECT("1:"&amp;LEN(A475)))),1))," ",REPT(" ",LEN(A475))),LEN(A475))))))))+1, 1) * 10^ROW(INDIRECT("1:"&amp;LEN((--TRIM(RIGHT(SUBSTITUTE(LEFT(A475,_xlfn.AGGREGATE(16,6,FIND({0,1,2,3,4,5,6,7,8,9},A475,ROW(INDIRECT("1:"&amp;LEN(A475)))),1))," ",REPT(" ",LEN(A475))),LEN(A475)))))))/10))*1+1</f>
        <v>305 ,.., 1505</v>
      </c>
      <c r="B476" s="93"/>
      <c r="C476" s="39"/>
      <c r="D476" s="39"/>
      <c r="E476" s="39">
        <v>0</v>
      </c>
      <c r="F476" s="39">
        <f>D476*(($F$140)+1)+(IF(E476&lt;101,E476,IF(E476&lt;201,E476/2,IF(E476&lt;=301,E476/3,E476/4))))</f>
        <v>0</v>
      </c>
      <c r="G476" s="92" t="str">
        <f>G475</f>
        <v>3rd, 5th, 7th, 9th, 11th, 13th, 15th Floor</v>
      </c>
      <c r="H476" s="93"/>
      <c r="I476" s="33"/>
    </row>
    <row r="477" spans="1:14" s="34" customFormat="1" hidden="1" x14ac:dyDescent="0.3">
      <c r="A477" s="94" t="s">
        <v>143</v>
      </c>
      <c r="B477" s="95"/>
      <c r="C477" s="95"/>
      <c r="D477" s="95"/>
      <c r="E477" s="95"/>
      <c r="F477" s="95"/>
      <c r="G477" s="95"/>
      <c r="H477" s="96"/>
      <c r="I477" s="33"/>
    </row>
    <row r="478" spans="1:14" s="34" customFormat="1" hidden="1" x14ac:dyDescent="0.3">
      <c r="A478" s="92" t="str">
        <f ca="1">(SUMPRODUCT(MID(0&amp;(LEFT(A477,SUM(LEN(A477)-LEN(SUBSTITUTE(A477,{"0","1","2"},""))))), LARGE(INDEX(ISNUMBER(--MID((LEFT(A477,SUM(LEN(A477)-LEN(SUBSTITUTE(A477,{"0","1","2"},""))))), ROW(INDIRECT("1:"&amp;LEN((LEFT(A477,SUM(LEN(A477)-LEN(SUBSTITUTE(A477,{"0","1","2"},"")))))))), 1)) * ROW(INDIRECT("1:"&amp;LEN((LEFT(A477,SUM(LEN(A477)-LEN(SUBSTITUTE(A477,{"0","1","2"},"")))))))), 0), ROW(INDIRECT("1:"&amp;LEN((LEFT(A477,SUM(LEN(A477)-LEN(SUBSTITUTE(A477,{"0","1","2"},"")))))))))+1, 1) * 10^ROW(INDIRECT("1:"&amp;LEN((LEFT(A477,SUM(LEN(A477)-LEN(SUBSTITUTE(A477,{"0","1","2"},""))))))))/10))*100+1&amp;""&amp;" to "&amp;""&amp;(SUMPRODUCT(MID(0&amp;(--TRIM(RIGHT(SUBSTITUTE(LEFT(A477,_xlfn.AGGREGATE(16,6,FIND({0,1,2,3,4,5,6,7,8,9},A477,ROW(INDIRECT("1:"&amp;LEN(A477)))),1))," ",REPT(" ",LEN(A477))),LEN(A477)))), LARGE(INDEX(ISNUMBER(--MID((--TRIM(RIGHT(SUBSTITUTE(LEFT(A477,_xlfn.AGGREGATE(16,6,FIND({0,1,2,3,4,5,6,7,8,9},A477,ROW(INDIRECT("1:"&amp;LEN(A477)))),1))," ",REPT(" ",LEN(A477))),LEN(A477)))), ROW(INDIRECT("1:"&amp;LEN((--TRIM(RIGHT(SUBSTITUTE(LEFT(A477,_xlfn.AGGREGATE(16,6,FIND({0,1,2,3,4,5,6,7,8,9},A477,ROW(INDIRECT("1:"&amp;LEN(A477)))),1))," ",REPT(" ",LEN(A477))),LEN(A477))))))), 1)) * ROW(INDIRECT("1:"&amp;LEN((--TRIM(RIGHT(SUBSTITUTE(LEFT(A477,_xlfn.AGGREGATE(16,6,FIND({0,1,2,3,4,5,6,7,8,9},A477,ROW(INDIRECT("1:"&amp;LEN(A477)))),1))," ",REPT(" ",LEN(A477))),LEN(A477))))))), 0), ROW(INDIRECT("1:"&amp;LEN((--TRIM(RIGHT(SUBSTITUTE(LEFT(A477,_xlfn.AGGREGATE(16,6,FIND({0,1,2,3,4,5,6,7,8,9},A477,ROW(INDIRECT("1:"&amp;LEN(A477)))),1))," ",REPT(" ",LEN(A477))),LEN(A477))))))))+1, 1) * 10^ROW(INDIRECT("1:"&amp;LEN((--TRIM(RIGHT(SUBSTITUTE(LEFT(A477,_xlfn.AGGREGATE(16,6,FIND({0,1,2,3,4,5,6,7,8,9},A477,ROW(INDIRECT("1:"&amp;LEN(A477)))),1))," ",REPT(" ",LEN(A477))),LEN(A477)))))))/10))*100+1</f>
        <v>201 to 501</v>
      </c>
      <c r="B478" s="93"/>
      <c r="C478" s="39"/>
      <c r="D478" s="39"/>
      <c r="E478" s="39">
        <v>0</v>
      </c>
      <c r="F478" s="39">
        <f>D478*(($F$140)+1)+(IF(E478&lt;101,E478,IF(E478&lt;201,E478/2,IF(E478&lt;=301,E478/3,E478/4))))</f>
        <v>0</v>
      </c>
      <c r="G478" s="92" t="str">
        <f>A477</f>
        <v>2nd to 5th Floor</v>
      </c>
      <c r="H478" s="93"/>
      <c r="I478" s="33"/>
    </row>
    <row r="479" spans="1:14" s="34" customFormat="1" hidden="1" x14ac:dyDescent="0.3">
      <c r="A479" s="92" t="str">
        <f ca="1">(SUMPRODUCT(MID(0&amp;(LEFT(A478,SUM(LEN(A478)-LEN(SUBSTITUTE(A478,{"0","1","2"},""))))), LARGE(INDEX(ISNUMBER(--MID((LEFT(A478,SUM(LEN(A478)-LEN(SUBSTITUTE(A478,{"0","1","2"},""))))), ROW(INDIRECT("1:"&amp;LEN((LEFT(A478,SUM(LEN(A478)-LEN(SUBSTITUTE(A478,{"0","1","2"},"")))))))), 1)) * ROW(INDIRECT("1:"&amp;LEN((LEFT(A478,SUM(LEN(A478)-LEN(SUBSTITUTE(A478,{"0","1","2"},"")))))))), 0), ROW(INDIRECT("1:"&amp;LEN((LEFT(A478,SUM(LEN(A478)-LEN(SUBSTITUTE(A478,{"0","1","2"},"")))))))))+1, 1) * 10^ROW(INDIRECT("1:"&amp;LEN((LEFT(A478,SUM(LEN(A478)-LEN(SUBSTITUTE(A478,{"0","1","2"},""))))))))/10))*1+1&amp;""&amp;" to "&amp;""&amp;(SUMPRODUCT(MID(0&amp;(--TRIM(RIGHT(SUBSTITUTE(LEFT(A478,_xlfn.AGGREGATE(16,6,FIND({0,1,2,3,4,5,6,7,8,9},A478,ROW(INDIRECT("1:"&amp;LEN(A478)))),1))," ",REPT(" ",LEN(A478))),LEN(A478)))), LARGE(INDEX(ISNUMBER(--MID((--TRIM(RIGHT(SUBSTITUTE(LEFT(A478,_xlfn.AGGREGATE(16,6,FIND({0,1,2,3,4,5,6,7,8,9},A478,ROW(INDIRECT("1:"&amp;LEN(A478)))),1))," ",REPT(" ",LEN(A478))),LEN(A478)))), ROW(INDIRECT("1:"&amp;LEN((--TRIM(RIGHT(SUBSTITUTE(LEFT(A478,_xlfn.AGGREGATE(16,6,FIND({0,1,2,3,4,5,6,7,8,9},A478,ROW(INDIRECT("1:"&amp;LEN(A478)))),1))," ",REPT(" ",LEN(A478))),LEN(A478))))))), 1)) * ROW(INDIRECT("1:"&amp;LEN((--TRIM(RIGHT(SUBSTITUTE(LEFT(A478,_xlfn.AGGREGATE(16,6,FIND({0,1,2,3,4,5,6,7,8,9},A478,ROW(INDIRECT("1:"&amp;LEN(A478)))),1))," ",REPT(" ",LEN(A478))),LEN(A478))))))), 0), ROW(INDIRECT("1:"&amp;LEN((--TRIM(RIGHT(SUBSTITUTE(LEFT(A478,_xlfn.AGGREGATE(16,6,FIND({0,1,2,3,4,5,6,7,8,9},A478,ROW(INDIRECT("1:"&amp;LEN(A478)))),1))," ",REPT(" ",LEN(A478))),LEN(A478))))))))+1, 1) * 10^ROW(INDIRECT("1:"&amp;LEN((--TRIM(RIGHT(SUBSTITUTE(LEFT(A478,_xlfn.AGGREGATE(16,6,FIND({0,1,2,3,4,5,6,7,8,9},A478,ROW(INDIRECT("1:"&amp;LEN(A478)))),1))," ",REPT(" ",LEN(A478))),LEN(A478)))))))/10))*1+1</f>
        <v>202 to 502</v>
      </c>
      <c r="B479" s="93"/>
      <c r="C479" s="39"/>
      <c r="D479" s="39"/>
      <c r="E479" s="39">
        <v>0</v>
      </c>
      <c r="F479" s="39">
        <f>D479*(($F$140)+1)+(IF(E479&lt;101,E479,IF(E479&lt;201,E479/2,IF(E479&lt;=301,E479/3,E479/4))))</f>
        <v>0</v>
      </c>
      <c r="G479" s="92" t="str">
        <f>G478</f>
        <v>2nd to 5th Floor</v>
      </c>
      <c r="H479" s="93"/>
      <c r="I479" s="33"/>
    </row>
    <row r="480" spans="1:14" s="34" customFormat="1" hidden="1" x14ac:dyDescent="0.3">
      <c r="A480" s="92" t="str">
        <f ca="1">(SUMPRODUCT(MID(0&amp;(LEFT(A479,SUM(LEN(A479)-LEN(SUBSTITUTE(A479,{"0","1","2"},""))))), LARGE(INDEX(ISNUMBER(--MID((LEFT(A479,SUM(LEN(A479)-LEN(SUBSTITUTE(A479,{"0","1","2"},""))))), ROW(INDIRECT("1:"&amp;LEN((LEFT(A479,SUM(LEN(A479)-LEN(SUBSTITUTE(A479,{"0","1","2"},"")))))))), 1)) * ROW(INDIRECT("1:"&amp;LEN((LEFT(A479,SUM(LEN(A479)-LEN(SUBSTITUTE(A479,{"0","1","2"},"")))))))), 0), ROW(INDIRECT("1:"&amp;LEN((LEFT(A479,SUM(LEN(A479)-LEN(SUBSTITUTE(A479,{"0","1","2"},"")))))))))+1, 1) * 10^ROW(INDIRECT("1:"&amp;LEN((LEFT(A479,SUM(LEN(A479)-LEN(SUBSTITUTE(A479,{"0","1","2"},""))))))))/10))*1+1&amp;""&amp;" to "&amp;""&amp;(SUMPRODUCT(MID(0&amp;(--TRIM(RIGHT(SUBSTITUTE(LEFT(A479,_xlfn.AGGREGATE(16,6,FIND({0,1,2,3,4,5,6,7,8,9},A479,ROW(INDIRECT("1:"&amp;LEN(A479)))),1))," ",REPT(" ",LEN(A479))),LEN(A479)))), LARGE(INDEX(ISNUMBER(--MID((--TRIM(RIGHT(SUBSTITUTE(LEFT(A479,_xlfn.AGGREGATE(16,6,FIND({0,1,2,3,4,5,6,7,8,9},A479,ROW(INDIRECT("1:"&amp;LEN(A479)))),1))," ",REPT(" ",LEN(A479))),LEN(A479)))), ROW(INDIRECT("1:"&amp;LEN((--TRIM(RIGHT(SUBSTITUTE(LEFT(A479,_xlfn.AGGREGATE(16,6,FIND({0,1,2,3,4,5,6,7,8,9},A479,ROW(INDIRECT("1:"&amp;LEN(A479)))),1))," ",REPT(" ",LEN(A479))),LEN(A479))))))), 1)) * ROW(INDIRECT("1:"&amp;LEN((--TRIM(RIGHT(SUBSTITUTE(LEFT(A479,_xlfn.AGGREGATE(16,6,FIND({0,1,2,3,4,5,6,7,8,9},A479,ROW(INDIRECT("1:"&amp;LEN(A479)))),1))," ",REPT(" ",LEN(A479))),LEN(A479))))))), 0), ROW(INDIRECT("1:"&amp;LEN((--TRIM(RIGHT(SUBSTITUTE(LEFT(A479,_xlfn.AGGREGATE(16,6,FIND({0,1,2,3,4,5,6,7,8,9},A479,ROW(INDIRECT("1:"&amp;LEN(A479)))),1))," ",REPT(" ",LEN(A479))),LEN(A479))))))))+1, 1) * 10^ROW(INDIRECT("1:"&amp;LEN((--TRIM(RIGHT(SUBSTITUTE(LEFT(A479,_xlfn.AGGREGATE(16,6,FIND({0,1,2,3,4,5,6,7,8,9},A479,ROW(INDIRECT("1:"&amp;LEN(A479)))),1))," ",REPT(" ",LEN(A479))),LEN(A479)))))))/10))*1+1</f>
        <v>203 to 503</v>
      </c>
      <c r="B480" s="93"/>
      <c r="C480" s="39"/>
      <c r="D480" s="39"/>
      <c r="E480" s="39">
        <v>0</v>
      </c>
      <c r="F480" s="39">
        <f>D480*(($F$140)+1)+(IF(E480&lt;101,E480,IF(E480&lt;201,E480/2,IF(E480&lt;=301,E480/3,E480/4))))</f>
        <v>0</v>
      </c>
      <c r="G480" s="92" t="str">
        <f>G479</f>
        <v>2nd to 5th Floor</v>
      </c>
      <c r="H480" s="93"/>
      <c r="I480" s="33"/>
    </row>
    <row r="481" spans="1:9" s="34" customFormat="1" hidden="1" x14ac:dyDescent="0.3">
      <c r="A481" s="92" t="str">
        <f ca="1">(SUMPRODUCT(MID(0&amp;(LEFT(A480,SUM(LEN(A480)-LEN(SUBSTITUTE(A480,{"0","1","2"},""))))), LARGE(INDEX(ISNUMBER(--MID((LEFT(A480,SUM(LEN(A480)-LEN(SUBSTITUTE(A480,{"0","1","2"},""))))), ROW(INDIRECT("1:"&amp;LEN((LEFT(A480,SUM(LEN(A480)-LEN(SUBSTITUTE(A480,{"0","1","2"},"")))))))), 1)) * ROW(INDIRECT("1:"&amp;LEN((LEFT(A480,SUM(LEN(A480)-LEN(SUBSTITUTE(A480,{"0","1","2"},"")))))))), 0), ROW(INDIRECT("1:"&amp;LEN((LEFT(A480,SUM(LEN(A480)-LEN(SUBSTITUTE(A480,{"0","1","2"},"")))))))))+1, 1) * 10^ROW(INDIRECT("1:"&amp;LEN((LEFT(A480,SUM(LEN(A480)-LEN(SUBSTITUTE(A480,{"0","1","2"},""))))))))/10))*1+1&amp;""&amp;" to "&amp;""&amp;(SUMPRODUCT(MID(0&amp;(--TRIM(RIGHT(SUBSTITUTE(LEFT(A480,_xlfn.AGGREGATE(16,6,FIND({0,1,2,3,4,5,6,7,8,9},A480,ROW(INDIRECT("1:"&amp;LEN(A480)))),1))," ",REPT(" ",LEN(A480))),LEN(A480)))), LARGE(INDEX(ISNUMBER(--MID((--TRIM(RIGHT(SUBSTITUTE(LEFT(A480,_xlfn.AGGREGATE(16,6,FIND({0,1,2,3,4,5,6,7,8,9},A480,ROW(INDIRECT("1:"&amp;LEN(A480)))),1))," ",REPT(" ",LEN(A480))),LEN(A480)))), ROW(INDIRECT("1:"&amp;LEN((--TRIM(RIGHT(SUBSTITUTE(LEFT(A480,_xlfn.AGGREGATE(16,6,FIND({0,1,2,3,4,5,6,7,8,9},A480,ROW(INDIRECT("1:"&amp;LEN(A480)))),1))," ",REPT(" ",LEN(A480))),LEN(A480))))))), 1)) * ROW(INDIRECT("1:"&amp;LEN((--TRIM(RIGHT(SUBSTITUTE(LEFT(A480,_xlfn.AGGREGATE(16,6,FIND({0,1,2,3,4,5,6,7,8,9},A480,ROW(INDIRECT("1:"&amp;LEN(A480)))),1))," ",REPT(" ",LEN(A480))),LEN(A480))))))), 0), ROW(INDIRECT("1:"&amp;LEN((--TRIM(RIGHT(SUBSTITUTE(LEFT(A480,_xlfn.AGGREGATE(16,6,FIND({0,1,2,3,4,5,6,7,8,9},A480,ROW(INDIRECT("1:"&amp;LEN(A480)))),1))," ",REPT(" ",LEN(A480))),LEN(A480))))))))+1, 1) * 10^ROW(INDIRECT("1:"&amp;LEN((--TRIM(RIGHT(SUBSTITUTE(LEFT(A480,_xlfn.AGGREGATE(16,6,FIND({0,1,2,3,4,5,6,7,8,9},A480,ROW(INDIRECT("1:"&amp;LEN(A480)))),1))," ",REPT(" ",LEN(A480))),LEN(A480)))))))/10))*1+1</f>
        <v>204 to 504</v>
      </c>
      <c r="B481" s="93"/>
      <c r="C481" s="39"/>
      <c r="D481" s="39"/>
      <c r="E481" s="39">
        <v>0</v>
      </c>
      <c r="F481" s="39">
        <f>D481*(($F$140)+1)+(IF(E481&lt;101,E481,IF(E481&lt;201,E481/2,IF(E481&lt;=301,E481/3,E481/4))))</f>
        <v>0</v>
      </c>
      <c r="G481" s="92" t="str">
        <f>G480</f>
        <v>2nd to 5th Floor</v>
      </c>
      <c r="H481" s="93"/>
      <c r="I481" s="33"/>
    </row>
    <row r="482" spans="1:9" s="34" customFormat="1" hidden="1" x14ac:dyDescent="0.3">
      <c r="A482" s="92" t="str">
        <f ca="1">(SUMPRODUCT(MID(0&amp;(LEFT(A481,SUM(LEN(A481)-LEN(SUBSTITUTE(A481,{"0","1","2"},""))))), LARGE(INDEX(ISNUMBER(--MID((LEFT(A481,SUM(LEN(A481)-LEN(SUBSTITUTE(A481,{"0","1","2"},""))))), ROW(INDIRECT("1:"&amp;LEN((LEFT(A481,SUM(LEN(A481)-LEN(SUBSTITUTE(A481,{"0","1","2"},"")))))))), 1)) * ROW(INDIRECT("1:"&amp;LEN((LEFT(A481,SUM(LEN(A481)-LEN(SUBSTITUTE(A481,{"0","1","2"},"")))))))), 0), ROW(INDIRECT("1:"&amp;LEN((LEFT(A481,SUM(LEN(A481)-LEN(SUBSTITUTE(A481,{"0","1","2"},"")))))))))+1, 1) * 10^ROW(INDIRECT("1:"&amp;LEN((LEFT(A481,SUM(LEN(A481)-LEN(SUBSTITUTE(A481,{"0","1","2"},""))))))))/10))*1+1&amp;""&amp;" to "&amp;""&amp;(SUMPRODUCT(MID(0&amp;(--TRIM(RIGHT(SUBSTITUTE(LEFT(A481,_xlfn.AGGREGATE(16,6,FIND({0,1,2,3,4,5,6,7,8,9},A481,ROW(INDIRECT("1:"&amp;LEN(A481)))),1))," ",REPT(" ",LEN(A481))),LEN(A481)))), LARGE(INDEX(ISNUMBER(--MID((--TRIM(RIGHT(SUBSTITUTE(LEFT(A481,_xlfn.AGGREGATE(16,6,FIND({0,1,2,3,4,5,6,7,8,9},A481,ROW(INDIRECT("1:"&amp;LEN(A481)))),1))," ",REPT(" ",LEN(A481))),LEN(A481)))), ROW(INDIRECT("1:"&amp;LEN((--TRIM(RIGHT(SUBSTITUTE(LEFT(A481,_xlfn.AGGREGATE(16,6,FIND({0,1,2,3,4,5,6,7,8,9},A481,ROW(INDIRECT("1:"&amp;LEN(A481)))),1))," ",REPT(" ",LEN(A481))),LEN(A481))))))), 1)) * ROW(INDIRECT("1:"&amp;LEN((--TRIM(RIGHT(SUBSTITUTE(LEFT(A481,_xlfn.AGGREGATE(16,6,FIND({0,1,2,3,4,5,6,7,8,9},A481,ROW(INDIRECT("1:"&amp;LEN(A481)))),1))," ",REPT(" ",LEN(A481))),LEN(A481))))))), 0), ROW(INDIRECT("1:"&amp;LEN((--TRIM(RIGHT(SUBSTITUTE(LEFT(A481,_xlfn.AGGREGATE(16,6,FIND({0,1,2,3,4,5,6,7,8,9},A481,ROW(INDIRECT("1:"&amp;LEN(A481)))),1))," ",REPT(" ",LEN(A481))),LEN(A481))))))))+1, 1) * 10^ROW(INDIRECT("1:"&amp;LEN((--TRIM(RIGHT(SUBSTITUTE(LEFT(A481,_xlfn.AGGREGATE(16,6,FIND({0,1,2,3,4,5,6,7,8,9},A481,ROW(INDIRECT("1:"&amp;LEN(A481)))),1))," ",REPT(" ",LEN(A481))),LEN(A481)))))))/10))*1+1</f>
        <v>205 to 505</v>
      </c>
      <c r="B482" s="93"/>
      <c r="C482" s="39"/>
      <c r="D482" s="39"/>
      <c r="E482" s="39">
        <v>0</v>
      </c>
      <c r="F482" s="39">
        <f>D482*(($F$140)+1)+(IF(E482&lt;101,E482,IF(E482&lt;201,E482/2,IF(E482&lt;=301,E482/3,E482/4))))</f>
        <v>0</v>
      </c>
      <c r="G482" s="92" t="str">
        <f>G481</f>
        <v>2nd to 5th Floor</v>
      </c>
      <c r="H482" s="93"/>
      <c r="I482" s="33"/>
    </row>
    <row r="483" spans="1:9" s="34" customFormat="1" hidden="1" x14ac:dyDescent="0.3">
      <c r="A483" s="94" t="s">
        <v>144</v>
      </c>
      <c r="B483" s="95"/>
      <c r="C483" s="95"/>
      <c r="D483" s="95"/>
      <c r="E483" s="95"/>
      <c r="F483" s="95"/>
      <c r="G483" s="95"/>
      <c r="H483" s="96"/>
      <c r="I483" s="33"/>
    </row>
    <row r="484" spans="1:9" s="34" customFormat="1" hidden="1" x14ac:dyDescent="0.3">
      <c r="A484" s="92" t="str">
        <f ca="1">(SUMPRODUCT(MID(0&amp;(LEFT(A483,SUM(LEN(A483)-LEN(SUBSTITUTE(A483,{"0","1","2"},""))))), LARGE(INDEX(ISNUMBER(--MID((LEFT(A483,SUM(LEN(A483)-LEN(SUBSTITUTE(A483,{"0","1","2"},""))))), ROW(INDIRECT("1:"&amp;LEN((LEFT(A483,SUM(LEN(A483)-LEN(SUBSTITUTE(A483,{"0","1","2"},"")))))))), 1)) * ROW(INDIRECT("1:"&amp;LEN((LEFT(A483,SUM(LEN(A483)-LEN(SUBSTITUTE(A483,{"0","1","2"},"")))))))), 0), ROW(INDIRECT("1:"&amp;LEN((LEFT(A483,SUM(LEN(A483)-LEN(SUBSTITUTE(A483,{"0","1","2"},"")))))))))+1, 1) * 10^ROW(INDIRECT("1:"&amp;LEN((LEFT(A483,SUM(LEN(A483)-LEN(SUBSTITUTE(A483,{"0","1","2"},""))))))))/10))*100+1&amp;""&amp;" &amp; "&amp;""&amp;(SUMPRODUCT(MID(0&amp;(--TRIM(RIGHT(SUBSTITUTE(LEFT(A483,_xlfn.AGGREGATE(16,6,FIND({0,1,2,3,4,5,6,7,8,9},A483,ROW(INDIRECT("1:"&amp;LEN(A483)))),1))," ",REPT(" ",LEN(A483))),LEN(A483)))), LARGE(INDEX(ISNUMBER(--MID((--TRIM(RIGHT(SUBSTITUTE(LEFT(A483,_xlfn.AGGREGATE(16,6,FIND({0,1,2,3,4,5,6,7,8,9},A483,ROW(INDIRECT("1:"&amp;LEN(A483)))),1))," ",REPT(" ",LEN(A483))),LEN(A483)))), ROW(INDIRECT("1:"&amp;LEN((--TRIM(RIGHT(SUBSTITUTE(LEFT(A483,_xlfn.AGGREGATE(16,6,FIND({0,1,2,3,4,5,6,7,8,9},A483,ROW(INDIRECT("1:"&amp;LEN(A483)))),1))," ",REPT(" ",LEN(A483))),LEN(A483))))))), 1)) * ROW(INDIRECT("1:"&amp;LEN((--TRIM(RIGHT(SUBSTITUTE(LEFT(A483,_xlfn.AGGREGATE(16,6,FIND({0,1,2,3,4,5,6,7,8,9},A483,ROW(INDIRECT("1:"&amp;LEN(A483)))),1))," ",REPT(" ",LEN(A483))),LEN(A483))))))), 0), ROW(INDIRECT("1:"&amp;LEN((--TRIM(RIGHT(SUBSTITUTE(LEFT(A483,_xlfn.AGGREGATE(16,6,FIND({0,1,2,3,4,5,6,7,8,9},A483,ROW(INDIRECT("1:"&amp;LEN(A483)))),1))," ",REPT(" ",LEN(A483))),LEN(A483))))))))+1, 1) * 10^ROW(INDIRECT("1:"&amp;LEN((--TRIM(RIGHT(SUBSTITUTE(LEFT(A483,_xlfn.AGGREGATE(16,6,FIND({0,1,2,3,4,5,6,7,8,9},A483,ROW(INDIRECT("1:"&amp;LEN(A483)))),1))," ",REPT(" ",LEN(A483))),LEN(A483)))))))/10))*100+1</f>
        <v>201 &amp; 501</v>
      </c>
      <c r="B484" s="93"/>
      <c r="C484" s="39"/>
      <c r="D484" s="39"/>
      <c r="E484" s="39">
        <v>0</v>
      </c>
      <c r="F484" s="39">
        <f>D484*(($F$140)+1)+(IF(E484&lt;101,E484,IF(E484&lt;201,E484/2,IF(E484&lt;=301,E484/3,E484/4))))</f>
        <v>0</v>
      </c>
      <c r="G484" s="92" t="str">
        <f>A483</f>
        <v>2nd &amp; 5th Floor</v>
      </c>
      <c r="H484" s="93"/>
      <c r="I484" s="33"/>
    </row>
    <row r="485" spans="1:9" s="34" customFormat="1" hidden="1" x14ac:dyDescent="0.3">
      <c r="A485" s="92" t="str">
        <f ca="1">(SUMPRODUCT(MID(0&amp;(LEFT(A484,SUM(LEN(A484)-LEN(SUBSTITUTE(A484,{"0","1","2"},""))))), LARGE(INDEX(ISNUMBER(--MID((LEFT(A484,SUM(LEN(A484)-LEN(SUBSTITUTE(A484,{"0","1","2"},""))))), ROW(INDIRECT("1:"&amp;LEN((LEFT(A484,SUM(LEN(A484)-LEN(SUBSTITUTE(A484,{"0","1","2"},"")))))))), 1)) * ROW(INDIRECT("1:"&amp;LEN((LEFT(A484,SUM(LEN(A484)-LEN(SUBSTITUTE(A484,{"0","1","2"},"")))))))), 0), ROW(INDIRECT("1:"&amp;LEN((LEFT(A484,SUM(LEN(A484)-LEN(SUBSTITUTE(A484,{"0","1","2"},"")))))))))+1, 1) * 10^ROW(INDIRECT("1:"&amp;LEN((LEFT(A484,SUM(LEN(A484)-LEN(SUBSTITUTE(A484,{"0","1","2"},""))))))))/10))*1+1&amp;""&amp;" &amp; "&amp;""&amp;(SUMPRODUCT(MID(0&amp;(--TRIM(RIGHT(SUBSTITUTE(LEFT(A484,_xlfn.AGGREGATE(16,6,FIND({0,1,2,3,4,5,6,7,8,9},A484,ROW(INDIRECT("1:"&amp;LEN(A484)))),1))," ",REPT(" ",LEN(A484))),LEN(A484)))), LARGE(INDEX(ISNUMBER(--MID((--TRIM(RIGHT(SUBSTITUTE(LEFT(A484,_xlfn.AGGREGATE(16,6,FIND({0,1,2,3,4,5,6,7,8,9},A484,ROW(INDIRECT("1:"&amp;LEN(A484)))),1))," ",REPT(" ",LEN(A484))),LEN(A484)))), ROW(INDIRECT("1:"&amp;LEN((--TRIM(RIGHT(SUBSTITUTE(LEFT(A484,_xlfn.AGGREGATE(16,6,FIND({0,1,2,3,4,5,6,7,8,9},A484,ROW(INDIRECT("1:"&amp;LEN(A484)))),1))," ",REPT(" ",LEN(A484))),LEN(A484))))))), 1)) * ROW(INDIRECT("1:"&amp;LEN((--TRIM(RIGHT(SUBSTITUTE(LEFT(A484,_xlfn.AGGREGATE(16,6,FIND({0,1,2,3,4,5,6,7,8,9},A484,ROW(INDIRECT("1:"&amp;LEN(A484)))),1))," ",REPT(" ",LEN(A484))),LEN(A484))))))), 0), ROW(INDIRECT("1:"&amp;LEN((--TRIM(RIGHT(SUBSTITUTE(LEFT(A484,_xlfn.AGGREGATE(16,6,FIND({0,1,2,3,4,5,6,7,8,9},A484,ROW(INDIRECT("1:"&amp;LEN(A484)))),1))," ",REPT(" ",LEN(A484))),LEN(A484))))))))+1, 1) * 10^ROW(INDIRECT("1:"&amp;LEN((--TRIM(RIGHT(SUBSTITUTE(LEFT(A484,_xlfn.AGGREGATE(16,6,FIND({0,1,2,3,4,5,6,7,8,9},A484,ROW(INDIRECT("1:"&amp;LEN(A484)))),1))," ",REPT(" ",LEN(A484))),LEN(A484)))))))/10))*1+1</f>
        <v>202 &amp; 502</v>
      </c>
      <c r="B485" s="93"/>
      <c r="C485" s="39"/>
      <c r="D485" s="39"/>
      <c r="E485" s="39">
        <v>0</v>
      </c>
      <c r="F485" s="39">
        <f>D485*(($F$140)+1)+(IF(E485&lt;101,E485,IF(E485&lt;201,E485/2,IF(E485&lt;=301,E485/3,E485/4))))</f>
        <v>0</v>
      </c>
      <c r="G485" s="92" t="str">
        <f t="shared" ref="G485:G488" si="68">G484</f>
        <v>2nd &amp; 5th Floor</v>
      </c>
      <c r="H485" s="93"/>
      <c r="I485" s="33"/>
    </row>
    <row r="486" spans="1:9" s="34" customFormat="1" hidden="1" x14ac:dyDescent="0.3">
      <c r="A486" s="92" t="str">
        <f ca="1">(SUMPRODUCT(MID(0&amp;(LEFT(A485,SUM(LEN(A485)-LEN(SUBSTITUTE(A485,{"0","1","2"},""))))), LARGE(INDEX(ISNUMBER(--MID((LEFT(A485,SUM(LEN(A485)-LEN(SUBSTITUTE(A485,{"0","1","2"},""))))), ROW(INDIRECT("1:"&amp;LEN((LEFT(A485,SUM(LEN(A485)-LEN(SUBSTITUTE(A485,{"0","1","2"},"")))))))), 1)) * ROW(INDIRECT("1:"&amp;LEN((LEFT(A485,SUM(LEN(A485)-LEN(SUBSTITUTE(A485,{"0","1","2"},"")))))))), 0), ROW(INDIRECT("1:"&amp;LEN((LEFT(A485,SUM(LEN(A485)-LEN(SUBSTITUTE(A485,{"0","1","2"},"")))))))))+1, 1) * 10^ROW(INDIRECT("1:"&amp;LEN((LEFT(A485,SUM(LEN(A485)-LEN(SUBSTITUTE(A485,{"0","1","2"},""))))))))/10))*1+1&amp;""&amp;" &amp; "&amp;""&amp;(SUMPRODUCT(MID(0&amp;(--TRIM(RIGHT(SUBSTITUTE(LEFT(A485,_xlfn.AGGREGATE(16,6,FIND({0,1,2,3,4,5,6,7,8,9},A485,ROW(INDIRECT("1:"&amp;LEN(A485)))),1))," ",REPT(" ",LEN(A485))),LEN(A485)))), LARGE(INDEX(ISNUMBER(--MID((--TRIM(RIGHT(SUBSTITUTE(LEFT(A485,_xlfn.AGGREGATE(16,6,FIND({0,1,2,3,4,5,6,7,8,9},A485,ROW(INDIRECT("1:"&amp;LEN(A485)))),1))," ",REPT(" ",LEN(A485))),LEN(A485)))), ROW(INDIRECT("1:"&amp;LEN((--TRIM(RIGHT(SUBSTITUTE(LEFT(A485,_xlfn.AGGREGATE(16,6,FIND({0,1,2,3,4,5,6,7,8,9},A485,ROW(INDIRECT("1:"&amp;LEN(A485)))),1))," ",REPT(" ",LEN(A485))),LEN(A485))))))), 1)) * ROW(INDIRECT("1:"&amp;LEN((--TRIM(RIGHT(SUBSTITUTE(LEFT(A485,_xlfn.AGGREGATE(16,6,FIND({0,1,2,3,4,5,6,7,8,9},A485,ROW(INDIRECT("1:"&amp;LEN(A485)))),1))," ",REPT(" ",LEN(A485))),LEN(A485))))))), 0), ROW(INDIRECT("1:"&amp;LEN((--TRIM(RIGHT(SUBSTITUTE(LEFT(A485,_xlfn.AGGREGATE(16,6,FIND({0,1,2,3,4,5,6,7,8,9},A485,ROW(INDIRECT("1:"&amp;LEN(A485)))),1))," ",REPT(" ",LEN(A485))),LEN(A485))))))))+1, 1) * 10^ROW(INDIRECT("1:"&amp;LEN((--TRIM(RIGHT(SUBSTITUTE(LEFT(A485,_xlfn.AGGREGATE(16,6,FIND({0,1,2,3,4,5,6,7,8,9},A485,ROW(INDIRECT("1:"&amp;LEN(A485)))),1))," ",REPT(" ",LEN(A485))),LEN(A485)))))))/10))*1+1</f>
        <v>203 &amp; 503</v>
      </c>
      <c r="B486" s="93"/>
      <c r="C486" s="39"/>
      <c r="D486" s="39"/>
      <c r="E486" s="39">
        <v>0</v>
      </c>
      <c r="F486" s="39">
        <f>D486*(($F$140)+1)+(IF(E486&lt;101,E486,IF(E486&lt;201,E486/2,IF(E486&lt;=301,E486/3,E486/4))))</f>
        <v>0</v>
      </c>
      <c r="G486" s="92" t="str">
        <f t="shared" si="68"/>
        <v>2nd &amp; 5th Floor</v>
      </c>
      <c r="H486" s="93"/>
      <c r="I486" s="33"/>
    </row>
    <row r="487" spans="1:9" s="32" customFormat="1" hidden="1" x14ac:dyDescent="0.3">
      <c r="A487" s="92" t="str">
        <f ca="1">(SUMPRODUCT(MID(0&amp;(LEFT(A486,SUM(LEN(A486)-LEN(SUBSTITUTE(A486,{"0","1","2"},""))))), LARGE(INDEX(ISNUMBER(--MID((LEFT(A486,SUM(LEN(A486)-LEN(SUBSTITUTE(A486,{"0","1","2"},""))))), ROW(INDIRECT("1:"&amp;LEN((LEFT(A486,SUM(LEN(A486)-LEN(SUBSTITUTE(A486,{"0","1","2"},"")))))))), 1)) * ROW(INDIRECT("1:"&amp;LEN((LEFT(A486,SUM(LEN(A486)-LEN(SUBSTITUTE(A486,{"0","1","2"},"")))))))), 0), ROW(INDIRECT("1:"&amp;LEN((LEFT(A486,SUM(LEN(A486)-LEN(SUBSTITUTE(A486,{"0","1","2"},"")))))))))+1, 1) * 10^ROW(INDIRECT("1:"&amp;LEN((LEFT(A486,SUM(LEN(A486)-LEN(SUBSTITUTE(A486,{"0","1","2"},""))))))))/10))*1+1&amp;""&amp;" &amp; "&amp;""&amp;(SUMPRODUCT(MID(0&amp;(--TRIM(RIGHT(SUBSTITUTE(LEFT(A486,_xlfn.AGGREGATE(16,6,FIND({0,1,2,3,4,5,6,7,8,9},A486,ROW(INDIRECT("1:"&amp;LEN(A486)))),1))," ",REPT(" ",LEN(A486))),LEN(A486)))), LARGE(INDEX(ISNUMBER(--MID((--TRIM(RIGHT(SUBSTITUTE(LEFT(A486,_xlfn.AGGREGATE(16,6,FIND({0,1,2,3,4,5,6,7,8,9},A486,ROW(INDIRECT("1:"&amp;LEN(A486)))),1))," ",REPT(" ",LEN(A486))),LEN(A486)))), ROW(INDIRECT("1:"&amp;LEN((--TRIM(RIGHT(SUBSTITUTE(LEFT(A486,_xlfn.AGGREGATE(16,6,FIND({0,1,2,3,4,5,6,7,8,9},A486,ROW(INDIRECT("1:"&amp;LEN(A486)))),1))," ",REPT(" ",LEN(A486))),LEN(A486))))))), 1)) * ROW(INDIRECT("1:"&amp;LEN((--TRIM(RIGHT(SUBSTITUTE(LEFT(A486,_xlfn.AGGREGATE(16,6,FIND({0,1,2,3,4,5,6,7,8,9},A486,ROW(INDIRECT("1:"&amp;LEN(A486)))),1))," ",REPT(" ",LEN(A486))),LEN(A486))))))), 0), ROW(INDIRECT("1:"&amp;LEN((--TRIM(RIGHT(SUBSTITUTE(LEFT(A486,_xlfn.AGGREGATE(16,6,FIND({0,1,2,3,4,5,6,7,8,9},A486,ROW(INDIRECT("1:"&amp;LEN(A486)))),1))," ",REPT(" ",LEN(A486))),LEN(A486))))))))+1, 1) * 10^ROW(INDIRECT("1:"&amp;LEN((--TRIM(RIGHT(SUBSTITUTE(LEFT(A486,_xlfn.AGGREGATE(16,6,FIND({0,1,2,3,4,5,6,7,8,9},A486,ROW(INDIRECT("1:"&amp;LEN(A486)))),1))," ",REPT(" ",LEN(A486))),LEN(A486)))))))/10))*1+1</f>
        <v>204 &amp; 504</v>
      </c>
      <c r="B487" s="93"/>
      <c r="C487" s="39"/>
      <c r="D487" s="39"/>
      <c r="E487" s="39">
        <v>0</v>
      </c>
      <c r="F487" s="39">
        <f>D487*(($F$140)+1)+(IF(E487&lt;101,E487,IF(E487&lt;201,E487/2,IF(E487&lt;=301,E487/3,E487/4))))</f>
        <v>0</v>
      </c>
      <c r="G487" s="92" t="str">
        <f t="shared" si="68"/>
        <v>2nd &amp; 5th Floor</v>
      </c>
      <c r="H487" s="93"/>
    </row>
    <row r="488" spans="1:9" s="32" customFormat="1" hidden="1" x14ac:dyDescent="0.3">
      <c r="A488" s="92" t="str">
        <f ca="1">(SUMPRODUCT(MID(0&amp;(LEFT(A487,SUM(LEN(A487)-LEN(SUBSTITUTE(A487,{"0","1","2"},""))))), LARGE(INDEX(ISNUMBER(--MID((LEFT(A487,SUM(LEN(A487)-LEN(SUBSTITUTE(A487,{"0","1","2"},""))))), ROW(INDIRECT("1:"&amp;LEN((LEFT(A487,SUM(LEN(A487)-LEN(SUBSTITUTE(A487,{"0","1","2"},"")))))))), 1)) * ROW(INDIRECT("1:"&amp;LEN((LEFT(A487,SUM(LEN(A487)-LEN(SUBSTITUTE(A487,{"0","1","2"},"")))))))), 0), ROW(INDIRECT("1:"&amp;LEN((LEFT(A487,SUM(LEN(A487)-LEN(SUBSTITUTE(A487,{"0","1","2"},"")))))))))+1, 1) * 10^ROW(INDIRECT("1:"&amp;LEN((LEFT(A487,SUM(LEN(A487)-LEN(SUBSTITUTE(A487,{"0","1","2"},""))))))))/10))*1+1&amp;""&amp;" &amp; "&amp;""&amp;(SUMPRODUCT(MID(0&amp;(--TRIM(RIGHT(SUBSTITUTE(LEFT(A487,_xlfn.AGGREGATE(16,6,FIND({0,1,2,3,4,5,6,7,8,9},A487,ROW(INDIRECT("1:"&amp;LEN(A487)))),1))," ",REPT(" ",LEN(A487))),LEN(A487)))), LARGE(INDEX(ISNUMBER(--MID((--TRIM(RIGHT(SUBSTITUTE(LEFT(A487,_xlfn.AGGREGATE(16,6,FIND({0,1,2,3,4,5,6,7,8,9},A487,ROW(INDIRECT("1:"&amp;LEN(A487)))),1))," ",REPT(" ",LEN(A487))),LEN(A487)))), ROW(INDIRECT("1:"&amp;LEN((--TRIM(RIGHT(SUBSTITUTE(LEFT(A487,_xlfn.AGGREGATE(16,6,FIND({0,1,2,3,4,5,6,7,8,9},A487,ROW(INDIRECT("1:"&amp;LEN(A487)))),1))," ",REPT(" ",LEN(A487))),LEN(A487))))))), 1)) * ROW(INDIRECT("1:"&amp;LEN((--TRIM(RIGHT(SUBSTITUTE(LEFT(A487,_xlfn.AGGREGATE(16,6,FIND({0,1,2,3,4,5,6,7,8,9},A487,ROW(INDIRECT("1:"&amp;LEN(A487)))),1))," ",REPT(" ",LEN(A487))),LEN(A487))))))), 0), ROW(INDIRECT("1:"&amp;LEN((--TRIM(RIGHT(SUBSTITUTE(LEFT(A487,_xlfn.AGGREGATE(16,6,FIND({0,1,2,3,4,5,6,7,8,9},A487,ROW(INDIRECT("1:"&amp;LEN(A487)))),1))," ",REPT(" ",LEN(A487))),LEN(A487))))))))+1, 1) * 10^ROW(INDIRECT("1:"&amp;LEN((--TRIM(RIGHT(SUBSTITUTE(LEFT(A487,_xlfn.AGGREGATE(16,6,FIND({0,1,2,3,4,5,6,7,8,9},A487,ROW(INDIRECT("1:"&amp;LEN(A487)))),1))," ",REPT(" ",LEN(A487))),LEN(A487)))))))/10))*1+1</f>
        <v>205 &amp; 505</v>
      </c>
      <c r="B488" s="93"/>
      <c r="C488" s="39"/>
      <c r="D488" s="39"/>
      <c r="E488" s="39">
        <v>0</v>
      </c>
      <c r="F488" s="39">
        <f>D488*(($F$140)+1)+(IF(E488&lt;101,E488,IF(E488&lt;201,E488/2,IF(E488&lt;=301,E488/3,E488/4))))</f>
        <v>0</v>
      </c>
      <c r="G488" s="92" t="str">
        <f t="shared" si="68"/>
        <v>2nd &amp; 5th Floor</v>
      </c>
      <c r="H488" s="93"/>
    </row>
    <row r="489" spans="1:9" s="32" customFormat="1" x14ac:dyDescent="0.3">
      <c r="A489" s="200" t="s">
        <v>65</v>
      </c>
      <c r="B489" s="200"/>
      <c r="C489" s="200"/>
      <c r="D489" s="200"/>
      <c r="E489" s="200"/>
      <c r="F489" s="200"/>
      <c r="G489" s="200"/>
      <c r="H489" s="200"/>
    </row>
    <row r="490" spans="1:9" s="32" customFormat="1" x14ac:dyDescent="0.3">
      <c r="A490" s="41" t="s">
        <v>153</v>
      </c>
      <c r="B490" s="88" t="s">
        <v>298</v>
      </c>
      <c r="C490" s="89"/>
      <c r="D490" s="89"/>
      <c r="E490" s="89"/>
      <c r="F490" s="89"/>
      <c r="G490" s="89"/>
      <c r="H490" s="90"/>
      <c r="I490" s="87" t="s">
        <v>413</v>
      </c>
    </row>
    <row r="491" spans="1:9" s="32" customFormat="1" x14ac:dyDescent="0.3">
      <c r="A491" s="41" t="s">
        <v>153</v>
      </c>
      <c r="B491" s="88" t="str">
        <f>(IF(F139="Saleable area Loading :","We have considered Saleable area of Flats as per our Calculation.","We considered Saleable area of Flat as per Builder area Sheet."))</f>
        <v>We have considered Saleable area of Flats as per our Calculation.</v>
      </c>
      <c r="C491" s="89"/>
      <c r="D491" s="89"/>
      <c r="E491" s="89"/>
      <c r="F491" s="89"/>
      <c r="G491" s="89"/>
      <c r="H491" s="90"/>
    </row>
    <row r="492" spans="1:9" s="32" customFormat="1" x14ac:dyDescent="0.3">
      <c r="A492" s="41" t="s">
        <v>153</v>
      </c>
      <c r="B492" s="88" t="str">
        <f>(IF(F131="Saleable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492" s="89"/>
      <c r="D492" s="89"/>
      <c r="E492" s="89"/>
      <c r="F492" s="89"/>
      <c r="G492" s="89"/>
      <c r="H492" s="90"/>
    </row>
    <row r="493" spans="1:9" s="32" customFormat="1" x14ac:dyDescent="0.3">
      <c r="A493" s="41" t="s">
        <v>153</v>
      </c>
      <c r="B493" s="88" t="s">
        <v>120</v>
      </c>
      <c r="C493" s="89"/>
      <c r="D493" s="89"/>
      <c r="E493" s="89"/>
      <c r="F493" s="89"/>
      <c r="G493" s="89"/>
      <c r="H493" s="90"/>
    </row>
    <row r="494" spans="1:9" s="32" customFormat="1" x14ac:dyDescent="0.3">
      <c r="A494" s="41" t="s">
        <v>153</v>
      </c>
      <c r="B494" s="88" t="s">
        <v>395</v>
      </c>
      <c r="C494" s="89"/>
      <c r="D494" s="89"/>
      <c r="E494" s="89"/>
      <c r="F494" s="89"/>
      <c r="G494" s="89"/>
      <c r="H494" s="90"/>
    </row>
    <row r="495" spans="1:9" s="32" customFormat="1" x14ac:dyDescent="0.3">
      <c r="A495" s="41" t="s">
        <v>153</v>
      </c>
      <c r="B495" s="124" t="s">
        <v>152</v>
      </c>
      <c r="C495" s="125"/>
      <c r="D495" s="125"/>
      <c r="E495" s="125"/>
      <c r="F495" s="125"/>
      <c r="G495" s="125"/>
      <c r="H495" s="126"/>
    </row>
    <row r="496" spans="1:9" s="32" customFormat="1" x14ac:dyDescent="0.3">
      <c r="A496" s="41" t="s">
        <v>153</v>
      </c>
      <c r="B496" s="124" t="s">
        <v>121</v>
      </c>
      <c r="C496" s="125"/>
      <c r="D496" s="125"/>
      <c r="E496" s="125"/>
      <c r="F496" s="125"/>
      <c r="G496" s="125"/>
      <c r="H496" s="126"/>
    </row>
    <row r="497" spans="1:8" s="32" customFormat="1" ht="33.75" hidden="1" customHeight="1" x14ac:dyDescent="0.3">
      <c r="A497" s="41" t="s">
        <v>153</v>
      </c>
      <c r="B497" s="124" t="s">
        <v>154</v>
      </c>
      <c r="C497" s="125"/>
      <c r="D497" s="125"/>
      <c r="E497" s="125"/>
      <c r="F497" s="125"/>
      <c r="G497" s="125"/>
      <c r="H497" s="126"/>
    </row>
    <row r="498" spans="1:8" s="32" customFormat="1" ht="49.5" hidden="1" customHeight="1" x14ac:dyDescent="0.3">
      <c r="A498" s="41" t="s">
        <v>153</v>
      </c>
      <c r="B498" s="124" t="s">
        <v>122</v>
      </c>
      <c r="C498" s="125"/>
      <c r="D498" s="125"/>
      <c r="E498" s="125"/>
      <c r="F498" s="125"/>
      <c r="G498" s="125"/>
      <c r="H498" s="126"/>
    </row>
    <row r="499" spans="1:8" s="32" customFormat="1" hidden="1" x14ac:dyDescent="0.3">
      <c r="A499" s="41" t="s">
        <v>153</v>
      </c>
      <c r="B499" s="88" t="s">
        <v>273</v>
      </c>
      <c r="C499" s="89"/>
      <c r="D499" s="89"/>
      <c r="E499" s="89"/>
      <c r="F499" s="89"/>
      <c r="G499" s="89"/>
      <c r="H499" s="90"/>
    </row>
    <row r="500" spans="1:8" s="32" customFormat="1" ht="15.75" customHeight="1" x14ac:dyDescent="0.3">
      <c r="A500" s="41" t="s">
        <v>153</v>
      </c>
      <c r="B500" s="88" t="s">
        <v>296</v>
      </c>
      <c r="C500" s="89"/>
      <c r="D500" s="89"/>
      <c r="E500" s="89"/>
      <c r="F500" s="89"/>
      <c r="G500" s="89"/>
      <c r="H500" s="90"/>
    </row>
    <row r="501" spans="1:8" s="32" customFormat="1" ht="15.75" hidden="1" customHeight="1" x14ac:dyDescent="0.3">
      <c r="A501" s="41" t="s">
        <v>153</v>
      </c>
      <c r="B501" s="88" t="s">
        <v>387</v>
      </c>
      <c r="C501" s="89"/>
      <c r="D501" s="89"/>
      <c r="E501" s="89"/>
      <c r="F501" s="89"/>
      <c r="G501" s="89"/>
      <c r="H501" s="90"/>
    </row>
    <row r="502" spans="1:8" s="32" customFormat="1" x14ac:dyDescent="0.3">
      <c r="A502" s="41" t="s">
        <v>153</v>
      </c>
      <c r="B502" s="88" t="s">
        <v>406</v>
      </c>
      <c r="C502" s="89"/>
      <c r="D502" s="89"/>
      <c r="E502" s="89"/>
      <c r="F502" s="89"/>
      <c r="G502" s="89"/>
      <c r="H502" s="90"/>
    </row>
    <row r="503" spans="1:8" x14ac:dyDescent="0.3">
      <c r="A503" s="41" t="s">
        <v>153</v>
      </c>
      <c r="B503" s="88" t="s">
        <v>403</v>
      </c>
      <c r="C503" s="89"/>
      <c r="D503" s="89"/>
      <c r="E503" s="89"/>
      <c r="F503" s="89"/>
      <c r="G503" s="89"/>
      <c r="H503" s="90"/>
    </row>
    <row r="504" spans="1:8" ht="34.200000000000003" customHeight="1" x14ac:dyDescent="0.3">
      <c r="A504" s="41" t="s">
        <v>153</v>
      </c>
      <c r="B504" s="88" t="s">
        <v>405</v>
      </c>
      <c r="C504" s="89"/>
      <c r="D504" s="89"/>
      <c r="E504" s="89"/>
      <c r="F504" s="89"/>
      <c r="G504" s="89"/>
      <c r="H504" s="90"/>
    </row>
    <row r="505" spans="1:8" x14ac:dyDescent="0.3">
      <c r="A505" s="41" t="s">
        <v>153</v>
      </c>
      <c r="B505" s="88" t="s">
        <v>411</v>
      </c>
      <c r="C505" s="89"/>
      <c r="D505" s="89"/>
      <c r="E505" s="89"/>
      <c r="F505" s="89"/>
      <c r="G505" s="89"/>
      <c r="H505" s="90"/>
    </row>
    <row r="506" spans="1:8" ht="15.75" customHeight="1" x14ac:dyDescent="0.3">
      <c r="A506" s="198" t="s">
        <v>58</v>
      </c>
      <c r="B506" s="198"/>
      <c r="C506" s="198"/>
      <c r="D506" s="198"/>
      <c r="E506" s="198"/>
      <c r="F506" s="198"/>
      <c r="G506" s="198"/>
      <c r="H506" s="198"/>
    </row>
    <row r="507" spans="1:8" x14ac:dyDescent="0.3">
      <c r="A507" s="111" t="s">
        <v>59</v>
      </c>
      <c r="B507" s="111"/>
      <c r="C507" s="111"/>
      <c r="D507" s="111"/>
      <c r="E507" s="111"/>
      <c r="F507" s="111"/>
      <c r="G507" s="111"/>
      <c r="H507" s="111"/>
    </row>
    <row r="508" spans="1:8" x14ac:dyDescent="0.3">
      <c r="A508" s="201" t="s">
        <v>60</v>
      </c>
      <c r="B508" s="201"/>
      <c r="C508" s="201"/>
      <c r="D508" s="201"/>
      <c r="E508" s="201"/>
      <c r="F508" s="201"/>
      <c r="G508" s="201"/>
      <c r="H508" s="201"/>
    </row>
    <row r="509" spans="1:8" x14ac:dyDescent="0.3">
      <c r="A509" s="111" t="s">
        <v>61</v>
      </c>
      <c r="B509" s="111"/>
      <c r="C509" s="111"/>
      <c r="D509" s="111"/>
      <c r="E509" s="111"/>
      <c r="F509" s="111"/>
      <c r="G509" s="111"/>
      <c r="H509" s="111"/>
    </row>
    <row r="510" spans="1:8" x14ac:dyDescent="0.3">
      <c r="A510" s="111" t="s">
        <v>62</v>
      </c>
      <c r="B510" s="111"/>
      <c r="C510" s="111"/>
      <c r="D510" s="111"/>
      <c r="E510" s="111"/>
      <c r="F510" s="111"/>
      <c r="G510" s="111"/>
      <c r="H510" s="111"/>
    </row>
    <row r="511" spans="1:8" x14ac:dyDescent="0.3">
      <c r="A511" s="111" t="s">
        <v>123</v>
      </c>
      <c r="B511" s="111"/>
      <c r="C511" s="111"/>
      <c r="D511" s="111"/>
      <c r="E511" s="111"/>
      <c r="F511" s="111"/>
      <c r="G511" s="111"/>
      <c r="H511" s="111"/>
    </row>
    <row r="512" spans="1:8" x14ac:dyDescent="0.3">
      <c r="A512" s="177" t="s">
        <v>124</v>
      </c>
      <c r="B512" s="177"/>
      <c r="C512" s="177"/>
      <c r="D512" s="177"/>
      <c r="E512" s="177"/>
      <c r="F512" s="177"/>
      <c r="G512" s="177"/>
      <c r="H512" s="177"/>
    </row>
    <row r="513" spans="1:8" x14ac:dyDescent="0.3">
      <c r="A513" s="197" t="s">
        <v>74</v>
      </c>
      <c r="B513" s="197"/>
      <c r="C513" s="197" t="s">
        <v>286</v>
      </c>
      <c r="D513" s="197"/>
      <c r="E513" s="197" t="s">
        <v>101</v>
      </c>
      <c r="F513" s="197"/>
      <c r="G513" s="197" t="s">
        <v>410</v>
      </c>
      <c r="H513" s="197"/>
    </row>
    <row r="514" spans="1:8" x14ac:dyDescent="0.3">
      <c r="A514" s="196" t="s">
        <v>76</v>
      </c>
      <c r="B514" s="196"/>
      <c r="C514" s="196"/>
      <c r="D514" s="196"/>
      <c r="E514" s="196"/>
      <c r="F514" s="196"/>
      <c r="G514" s="196"/>
      <c r="H514" s="196"/>
    </row>
    <row r="515" spans="1:8" x14ac:dyDescent="0.3">
      <c r="A515" s="196"/>
      <c r="B515" s="196"/>
      <c r="C515" s="196"/>
      <c r="D515" s="196"/>
      <c r="E515" s="196"/>
      <c r="F515" s="196"/>
      <c r="G515" s="196"/>
      <c r="H515" s="196"/>
    </row>
    <row r="516" spans="1:8" x14ac:dyDescent="0.3">
      <c r="A516" s="196"/>
      <c r="B516" s="196"/>
      <c r="C516" s="196"/>
      <c r="D516" s="196"/>
      <c r="E516" s="196"/>
      <c r="F516" s="196"/>
      <c r="G516" s="196"/>
      <c r="H516" s="196"/>
    </row>
    <row r="517" spans="1:8" x14ac:dyDescent="0.3">
      <c r="A517" s="196"/>
      <c r="B517" s="196"/>
      <c r="C517" s="196"/>
      <c r="D517" s="196"/>
      <c r="E517" s="196"/>
      <c r="F517" s="196"/>
      <c r="G517" s="196"/>
      <c r="H517" s="196"/>
    </row>
    <row r="518" spans="1:8" x14ac:dyDescent="0.3">
      <c r="A518" s="35" t="s">
        <v>63</v>
      </c>
      <c r="B518" s="36"/>
      <c r="C518" s="36"/>
      <c r="D518" s="35" t="str">
        <f>E10</f>
        <v>Godrej Avenue Eleven - Tower A &amp; B</v>
      </c>
      <c r="F518" s="36"/>
      <c r="G518" s="36"/>
      <c r="H518" s="36"/>
    </row>
    <row r="519" spans="1:8" ht="15" customHeight="1" x14ac:dyDescent="0.3">
      <c r="A519" s="36"/>
      <c r="B519" s="36"/>
      <c r="C519" s="36"/>
      <c r="D519" s="36"/>
      <c r="E519" s="36"/>
      <c r="F519" s="36"/>
      <c r="G519" s="36"/>
      <c r="H519" s="36"/>
    </row>
    <row r="520" spans="1:8" x14ac:dyDescent="0.3">
      <c r="A520" s="36"/>
      <c r="B520" s="36"/>
      <c r="C520" s="36"/>
      <c r="D520" s="36"/>
      <c r="E520" s="36"/>
      <c r="F520" s="36"/>
      <c r="G520" s="36"/>
      <c r="H520" s="36"/>
    </row>
    <row r="561" spans="1:1" x14ac:dyDescent="0.3">
      <c r="A561" s="38" t="s">
        <v>165</v>
      </c>
    </row>
    <row r="604" spans="1:1" x14ac:dyDescent="0.3">
      <c r="A604" s="38" t="s">
        <v>64</v>
      </c>
    </row>
  </sheetData>
  <mergeCells count="1018">
    <mergeCell ref="G355:H358"/>
    <mergeCell ref="G350:H353"/>
    <mergeCell ref="G340:H343"/>
    <mergeCell ref="B502:H502"/>
    <mergeCell ref="B501:H501"/>
    <mergeCell ref="A55:B56"/>
    <mergeCell ref="C55:E55"/>
    <mergeCell ref="G55:H55"/>
    <mergeCell ref="C56:E56"/>
    <mergeCell ref="G56:H56"/>
    <mergeCell ref="A450:H450"/>
    <mergeCell ref="A451:B451"/>
    <mergeCell ref="G451:H454"/>
    <mergeCell ref="L449:M449"/>
    <mergeCell ref="A452:B452"/>
    <mergeCell ref="L450:M450"/>
    <mergeCell ref="A453:B453"/>
    <mergeCell ref="L451:M451"/>
    <mergeCell ref="A454:B454"/>
    <mergeCell ref="L452:M452"/>
    <mergeCell ref="A404:H404"/>
    <mergeCell ref="A445:H445"/>
    <mergeCell ref="A446:B446"/>
    <mergeCell ref="G446:H449"/>
    <mergeCell ref="L444:M444"/>
    <mergeCell ref="A447:B447"/>
    <mergeCell ref="L445:M445"/>
    <mergeCell ref="A448:B448"/>
    <mergeCell ref="L446:M446"/>
    <mergeCell ref="A449:B449"/>
    <mergeCell ref="L447:M447"/>
    <mergeCell ref="A440:H440"/>
    <mergeCell ref="A441:B441"/>
    <mergeCell ref="G441:H444"/>
    <mergeCell ref="L439:M439"/>
    <mergeCell ref="A442:B442"/>
    <mergeCell ref="L440:M440"/>
    <mergeCell ref="A443:B443"/>
    <mergeCell ref="L441:M441"/>
    <mergeCell ref="A444:B444"/>
    <mergeCell ref="L442:M442"/>
    <mergeCell ref="A430:H430"/>
    <mergeCell ref="A436:B436"/>
    <mergeCell ref="G436:H439"/>
    <mergeCell ref="L434:M434"/>
    <mergeCell ref="A437:B437"/>
    <mergeCell ref="L435:M435"/>
    <mergeCell ref="A438:B438"/>
    <mergeCell ref="L436:M436"/>
    <mergeCell ref="A439:B439"/>
    <mergeCell ref="L437:M437"/>
    <mergeCell ref="A432:B432"/>
    <mergeCell ref="L430:M430"/>
    <mergeCell ref="A433:B433"/>
    <mergeCell ref="L431:M431"/>
    <mergeCell ref="A434:B434"/>
    <mergeCell ref="L432:M432"/>
    <mergeCell ref="C433:E433"/>
    <mergeCell ref="A435:H435"/>
    <mergeCell ref="A431:B431"/>
    <mergeCell ref="G431:H434"/>
    <mergeCell ref="A420:H420"/>
    <mergeCell ref="A421:B421"/>
    <mergeCell ref="G421:H424"/>
    <mergeCell ref="L419:M419"/>
    <mergeCell ref="A422:B422"/>
    <mergeCell ref="L420:M420"/>
    <mergeCell ref="A423:B423"/>
    <mergeCell ref="L421:M421"/>
    <mergeCell ref="A424:B424"/>
    <mergeCell ref="L422:M422"/>
    <mergeCell ref="A425:H425"/>
    <mergeCell ref="A426:B426"/>
    <mergeCell ref="G426:H429"/>
    <mergeCell ref="L424:M424"/>
    <mergeCell ref="A427:B427"/>
    <mergeCell ref="L425:M425"/>
    <mergeCell ref="A428:B428"/>
    <mergeCell ref="L426:M426"/>
    <mergeCell ref="A429:B429"/>
    <mergeCell ref="L427:M427"/>
    <mergeCell ref="L429:M429"/>
    <mergeCell ref="A410:H410"/>
    <mergeCell ref="A411:B411"/>
    <mergeCell ref="G411:H414"/>
    <mergeCell ref="L409:M409"/>
    <mergeCell ref="A412:B412"/>
    <mergeCell ref="L410:M410"/>
    <mergeCell ref="A413:B413"/>
    <mergeCell ref="L411:M411"/>
    <mergeCell ref="A414:B414"/>
    <mergeCell ref="L412:M412"/>
    <mergeCell ref="A415:H415"/>
    <mergeCell ref="A416:B416"/>
    <mergeCell ref="G416:H419"/>
    <mergeCell ref="L414:M414"/>
    <mergeCell ref="A417:B417"/>
    <mergeCell ref="L415:M415"/>
    <mergeCell ref="A418:B418"/>
    <mergeCell ref="L416:M416"/>
    <mergeCell ref="A419:B419"/>
    <mergeCell ref="L417:M417"/>
    <mergeCell ref="A399:H399"/>
    <mergeCell ref="A400:B400"/>
    <mergeCell ref="G400:H403"/>
    <mergeCell ref="L398:M398"/>
    <mergeCell ref="A401:B401"/>
    <mergeCell ref="L399:M399"/>
    <mergeCell ref="A402:B402"/>
    <mergeCell ref="L400:M400"/>
    <mergeCell ref="A403:B403"/>
    <mergeCell ref="L401:M401"/>
    <mergeCell ref="A405:H405"/>
    <mergeCell ref="A406:B406"/>
    <mergeCell ref="G406:H409"/>
    <mergeCell ref="L404:M404"/>
    <mergeCell ref="A407:B407"/>
    <mergeCell ref="L405:M405"/>
    <mergeCell ref="A408:B408"/>
    <mergeCell ref="C408:F408"/>
    <mergeCell ref="L406:M406"/>
    <mergeCell ref="A409:B409"/>
    <mergeCell ref="L407:M407"/>
    <mergeCell ref="A389:H389"/>
    <mergeCell ref="A390:B390"/>
    <mergeCell ref="G390:H393"/>
    <mergeCell ref="L388:M388"/>
    <mergeCell ref="A391:B391"/>
    <mergeCell ref="L389:M389"/>
    <mergeCell ref="A392:B392"/>
    <mergeCell ref="L390:M390"/>
    <mergeCell ref="A393:B393"/>
    <mergeCell ref="L391:M391"/>
    <mergeCell ref="A394:H394"/>
    <mergeCell ref="A395:B395"/>
    <mergeCell ref="G395:H398"/>
    <mergeCell ref="L393:M393"/>
    <mergeCell ref="A396:B396"/>
    <mergeCell ref="L394:M394"/>
    <mergeCell ref="A397:B397"/>
    <mergeCell ref="L395:M395"/>
    <mergeCell ref="A398:B398"/>
    <mergeCell ref="L396:M396"/>
    <mergeCell ref="L365:M365"/>
    <mergeCell ref="A368:B368"/>
    <mergeCell ref="A379:H379"/>
    <mergeCell ref="A380:B380"/>
    <mergeCell ref="G380:H383"/>
    <mergeCell ref="L378:M378"/>
    <mergeCell ref="A381:B381"/>
    <mergeCell ref="L379:M379"/>
    <mergeCell ref="A382:B382"/>
    <mergeCell ref="L380:M380"/>
    <mergeCell ref="A383:B383"/>
    <mergeCell ref="L381:M381"/>
    <mergeCell ref="A384:H384"/>
    <mergeCell ref="A385:B385"/>
    <mergeCell ref="G385:H388"/>
    <mergeCell ref="L383:M383"/>
    <mergeCell ref="A386:B386"/>
    <mergeCell ref="L384:M384"/>
    <mergeCell ref="A387:B387"/>
    <mergeCell ref="L385:M385"/>
    <mergeCell ref="A388:B388"/>
    <mergeCell ref="L386:M386"/>
    <mergeCell ref="C387:F387"/>
    <mergeCell ref="G370:H373"/>
    <mergeCell ref="G375:H378"/>
    <mergeCell ref="A373:B373"/>
    <mergeCell ref="L371:M371"/>
    <mergeCell ref="A374:H374"/>
    <mergeCell ref="A375:B375"/>
    <mergeCell ref="L373:M373"/>
    <mergeCell ref="A376:B376"/>
    <mergeCell ref="L374:M374"/>
    <mergeCell ref="A369:H369"/>
    <mergeCell ref="A370:B370"/>
    <mergeCell ref="L368:M368"/>
    <mergeCell ref="A371:B371"/>
    <mergeCell ref="L369:M369"/>
    <mergeCell ref="A372:B372"/>
    <mergeCell ref="L370:M370"/>
    <mergeCell ref="A367:B367"/>
    <mergeCell ref="L456:M456"/>
    <mergeCell ref="A354:H354"/>
    <mergeCell ref="A355:B355"/>
    <mergeCell ref="L353:M353"/>
    <mergeCell ref="A356:B356"/>
    <mergeCell ref="L354:M354"/>
    <mergeCell ref="A357:B357"/>
    <mergeCell ref="L355:M355"/>
    <mergeCell ref="L366:M366"/>
    <mergeCell ref="A358:B358"/>
    <mergeCell ref="L356:M356"/>
    <mergeCell ref="A364:H364"/>
    <mergeCell ref="A365:B365"/>
    <mergeCell ref="L363:M363"/>
    <mergeCell ref="A366:B366"/>
    <mergeCell ref="L364:M364"/>
    <mergeCell ref="A359:H359"/>
    <mergeCell ref="A360:B360"/>
    <mergeCell ref="G360:H363"/>
    <mergeCell ref="L358:M358"/>
    <mergeCell ref="A361:B361"/>
    <mergeCell ref="L359:M359"/>
    <mergeCell ref="A362:B362"/>
    <mergeCell ref="C362:F362"/>
    <mergeCell ref="L360:M360"/>
    <mergeCell ref="A363:B363"/>
    <mergeCell ref="L361:M361"/>
    <mergeCell ref="A377:B377"/>
    <mergeCell ref="L375:M375"/>
    <mergeCell ref="A378:B378"/>
    <mergeCell ref="L376:M376"/>
    <mergeCell ref="G365:H368"/>
    <mergeCell ref="A351:B351"/>
    <mergeCell ref="L349:M349"/>
    <mergeCell ref="A352:B352"/>
    <mergeCell ref="L350:M350"/>
    <mergeCell ref="A353:B353"/>
    <mergeCell ref="L351:M351"/>
    <mergeCell ref="A459:B459"/>
    <mergeCell ref="G459:H459"/>
    <mergeCell ref="L457:M457"/>
    <mergeCell ref="A344:H344"/>
    <mergeCell ref="A345:B345"/>
    <mergeCell ref="G345:H348"/>
    <mergeCell ref="L343:M343"/>
    <mergeCell ref="A346:B346"/>
    <mergeCell ref="L344:M344"/>
    <mergeCell ref="A347:B347"/>
    <mergeCell ref="C347:F347"/>
    <mergeCell ref="L345:M345"/>
    <mergeCell ref="A348:B348"/>
    <mergeCell ref="L346:M346"/>
    <mergeCell ref="A455:H455"/>
    <mergeCell ref="A456:B456"/>
    <mergeCell ref="G456:H456"/>
    <mergeCell ref="L454:M454"/>
    <mergeCell ref="A457:B457"/>
    <mergeCell ref="G457:H457"/>
    <mergeCell ref="L455:M455"/>
    <mergeCell ref="A458:B458"/>
    <mergeCell ref="G458:H458"/>
    <mergeCell ref="A349:H349"/>
    <mergeCell ref="A350:B350"/>
    <mergeCell ref="L348:M348"/>
    <mergeCell ref="A340:B340"/>
    <mergeCell ref="L338:M338"/>
    <mergeCell ref="A341:B341"/>
    <mergeCell ref="L339:M339"/>
    <mergeCell ref="A342:B342"/>
    <mergeCell ref="L340:M340"/>
    <mergeCell ref="A343:B343"/>
    <mergeCell ref="L341:M341"/>
    <mergeCell ref="A336:B336"/>
    <mergeCell ref="L334:M334"/>
    <mergeCell ref="A337:B337"/>
    <mergeCell ref="L335:M335"/>
    <mergeCell ref="A329:H329"/>
    <mergeCell ref="A330:B330"/>
    <mergeCell ref="G330:H333"/>
    <mergeCell ref="L328:M328"/>
    <mergeCell ref="A331:B331"/>
    <mergeCell ref="L329:M329"/>
    <mergeCell ref="A332:B332"/>
    <mergeCell ref="L330:M330"/>
    <mergeCell ref="A333:B333"/>
    <mergeCell ref="L331:M331"/>
    <mergeCell ref="A338:B338"/>
    <mergeCell ref="L336:M336"/>
    <mergeCell ref="G335:H338"/>
    <mergeCell ref="C332:F332"/>
    <mergeCell ref="A334:H334"/>
    <mergeCell ref="A335:B335"/>
    <mergeCell ref="L333:M333"/>
    <mergeCell ref="A284:B284"/>
    <mergeCell ref="G284:H287"/>
    <mergeCell ref="L282:M282"/>
    <mergeCell ref="A285:B285"/>
    <mergeCell ref="L283:M283"/>
    <mergeCell ref="A286:B286"/>
    <mergeCell ref="L284:M284"/>
    <mergeCell ref="A287:B287"/>
    <mergeCell ref="L285:M285"/>
    <mergeCell ref="A273:H273"/>
    <mergeCell ref="A274:B274"/>
    <mergeCell ref="G274:H277"/>
    <mergeCell ref="L272:M272"/>
    <mergeCell ref="A275:B275"/>
    <mergeCell ref="L273:M273"/>
    <mergeCell ref="A276:B276"/>
    <mergeCell ref="A339:H339"/>
    <mergeCell ref="E91:F91"/>
    <mergeCell ref="G91:H91"/>
    <mergeCell ref="E92:F101"/>
    <mergeCell ref="B503:H503"/>
    <mergeCell ref="C52:E52"/>
    <mergeCell ref="I16:P16"/>
    <mergeCell ref="G479:H479"/>
    <mergeCell ref="F115:H115"/>
    <mergeCell ref="F112:H112"/>
    <mergeCell ref="A473:B473"/>
    <mergeCell ref="A130:H130"/>
    <mergeCell ref="G120:H120"/>
    <mergeCell ref="A114:E114"/>
    <mergeCell ref="A135:B135"/>
    <mergeCell ref="A61:B61"/>
    <mergeCell ref="C61:E61"/>
    <mergeCell ref="D63:H63"/>
    <mergeCell ref="F114:H114"/>
    <mergeCell ref="E120:F120"/>
    <mergeCell ref="A120:B120"/>
    <mergeCell ref="A122:B122"/>
    <mergeCell ref="C125:D125"/>
    <mergeCell ref="D71:H71"/>
    <mergeCell ref="A72:C72"/>
    <mergeCell ref="F36:H36"/>
    <mergeCell ref="A162:H162"/>
    <mergeCell ref="A163:B163"/>
    <mergeCell ref="G163:H166"/>
    <mergeCell ref="L161:M161"/>
    <mergeCell ref="A164:B164"/>
    <mergeCell ref="A70:C70"/>
    <mergeCell ref="D70:H70"/>
    <mergeCell ref="A73:C73"/>
    <mergeCell ref="D73:H73"/>
    <mergeCell ref="A71:C71"/>
    <mergeCell ref="D72:H72"/>
    <mergeCell ref="A57:B58"/>
    <mergeCell ref="C57:E57"/>
    <mergeCell ref="G57:H57"/>
    <mergeCell ref="C58:E58"/>
    <mergeCell ref="G58:H58"/>
    <mergeCell ref="A78:B78"/>
    <mergeCell ref="G77:H77"/>
    <mergeCell ref="G78:H87"/>
    <mergeCell ref="A86:B86"/>
    <mergeCell ref="A87:B87"/>
    <mergeCell ref="A74:B74"/>
    <mergeCell ref="C74:H74"/>
    <mergeCell ref="A82:B82"/>
    <mergeCell ref="A511:H511"/>
    <mergeCell ref="A508:H508"/>
    <mergeCell ref="G481:H481"/>
    <mergeCell ref="A466:B466"/>
    <mergeCell ref="A125:B125"/>
    <mergeCell ref="D139:D140"/>
    <mergeCell ref="E139:E140"/>
    <mergeCell ref="G139:H140"/>
    <mergeCell ref="A96:B96"/>
    <mergeCell ref="A97:B97"/>
    <mergeCell ref="A98:B98"/>
    <mergeCell ref="F103:H103"/>
    <mergeCell ref="G121:H121"/>
    <mergeCell ref="F113:H113"/>
    <mergeCell ref="C120:D120"/>
    <mergeCell ref="C128:D128"/>
    <mergeCell ref="A152:H152"/>
    <mergeCell ref="A475:B475"/>
    <mergeCell ref="A472:B472"/>
    <mergeCell ref="G468:H468"/>
    <mergeCell ref="A134:B134"/>
    <mergeCell ref="B499:H499"/>
    <mergeCell ref="A507:H507"/>
    <mergeCell ref="B498:H498"/>
    <mergeCell ref="A165:B165"/>
    <mergeCell ref="A166:B166"/>
    <mergeCell ref="A227:H227"/>
    <mergeCell ref="A228:B228"/>
    <mergeCell ref="G228:H231"/>
    <mergeCell ref="A229:B229"/>
    <mergeCell ref="B492:H492"/>
    <mergeCell ref="A486:B486"/>
    <mergeCell ref="G486:H486"/>
    <mergeCell ref="G485:H485"/>
    <mergeCell ref="A483:H483"/>
    <mergeCell ref="A484:B484"/>
    <mergeCell ref="A485:B485"/>
    <mergeCell ref="A488:B488"/>
    <mergeCell ref="G488:H488"/>
    <mergeCell ref="A487:B487"/>
    <mergeCell ref="A141:H141"/>
    <mergeCell ref="A142:H142"/>
    <mergeCell ref="B493:H493"/>
    <mergeCell ref="B494:H494"/>
    <mergeCell ref="G484:H484"/>
    <mergeCell ref="G482:H482"/>
    <mergeCell ref="A489:H489"/>
    <mergeCell ref="A481:B481"/>
    <mergeCell ref="A482:B482"/>
    <mergeCell ref="A230:B230"/>
    <mergeCell ref="A231:B231"/>
    <mergeCell ref="G223:H226"/>
    <mergeCell ref="A224:B224"/>
    <mergeCell ref="A225:B225"/>
    <mergeCell ref="A226:B226"/>
    <mergeCell ref="A238:B238"/>
    <mergeCell ref="G238:H241"/>
    <mergeCell ref="A239:B239"/>
    <mergeCell ref="A240:B240"/>
    <mergeCell ref="A241:B241"/>
    <mergeCell ref="A242:H242"/>
    <mergeCell ref="A243:B243"/>
    <mergeCell ref="A506:H506"/>
    <mergeCell ref="G125:H125"/>
    <mergeCell ref="G478:H478"/>
    <mergeCell ref="A129:H129"/>
    <mergeCell ref="G487:H487"/>
    <mergeCell ref="B490:H490"/>
    <mergeCell ref="B491:H491"/>
    <mergeCell ref="A478:B478"/>
    <mergeCell ref="A139:A140"/>
    <mergeCell ref="F102:H102"/>
    <mergeCell ref="F107:H107"/>
    <mergeCell ref="A153:B153"/>
    <mergeCell ref="A137:B137"/>
    <mergeCell ref="A136:B136"/>
    <mergeCell ref="A109:E109"/>
    <mergeCell ref="F109:H109"/>
    <mergeCell ref="A110:E110"/>
    <mergeCell ref="A112:E112"/>
    <mergeCell ref="F105:H105"/>
    <mergeCell ref="A113:E113"/>
    <mergeCell ref="A476:B476"/>
    <mergeCell ref="C131:C132"/>
    <mergeCell ref="B139:B140"/>
    <mergeCell ref="G467:H467"/>
    <mergeCell ref="B131:B132"/>
    <mergeCell ref="A131:A132"/>
    <mergeCell ref="C139:C140"/>
    <mergeCell ref="G136:H136"/>
    <mergeCell ref="G134:H134"/>
    <mergeCell ref="G135:H135"/>
    <mergeCell ref="G137:H137"/>
    <mergeCell ref="B496:H496"/>
    <mergeCell ref="A99:B99"/>
    <mergeCell ref="A100:B100"/>
    <mergeCell ref="A138:H138"/>
    <mergeCell ref="A514:H517"/>
    <mergeCell ref="A513:B513"/>
    <mergeCell ref="E513:F513"/>
    <mergeCell ref="C513:D513"/>
    <mergeCell ref="G513:H513"/>
    <mergeCell ref="A119:H119"/>
    <mergeCell ref="A117:E117"/>
    <mergeCell ref="F117:H117"/>
    <mergeCell ref="A118:E118"/>
    <mergeCell ref="F118:H118"/>
    <mergeCell ref="A465:H465"/>
    <mergeCell ref="A126:B126"/>
    <mergeCell ref="A474:B474"/>
    <mergeCell ref="A121:B121"/>
    <mergeCell ref="A509:H509"/>
    <mergeCell ref="A124:H124"/>
    <mergeCell ref="A512:H512"/>
    <mergeCell ref="A510:H510"/>
    <mergeCell ref="G475:H475"/>
    <mergeCell ref="A233:B233"/>
    <mergeCell ref="C233:F233"/>
    <mergeCell ref="G233:H236"/>
    <mergeCell ref="A170:B170"/>
    <mergeCell ref="A194:B194"/>
    <mergeCell ref="A253:H253"/>
    <mergeCell ref="A254:B254"/>
    <mergeCell ref="G254:H257"/>
    <mergeCell ref="A255:B255"/>
    <mergeCell ref="A263:H263"/>
    <mergeCell ref="A12:D12"/>
    <mergeCell ref="E21:F21"/>
    <mergeCell ref="G21:H21"/>
    <mergeCell ref="A22:B22"/>
    <mergeCell ref="C22:D22"/>
    <mergeCell ref="E22:F22"/>
    <mergeCell ref="G22:H22"/>
    <mergeCell ref="A23:B23"/>
    <mergeCell ref="C23:D23"/>
    <mergeCell ref="A1:H1"/>
    <mergeCell ref="A2:H2"/>
    <mergeCell ref="A3:D3"/>
    <mergeCell ref="E3:H3"/>
    <mergeCell ref="A4:D4"/>
    <mergeCell ref="A9:D9"/>
    <mergeCell ref="E9:H9"/>
    <mergeCell ref="A11:D11"/>
    <mergeCell ref="E11:H11"/>
    <mergeCell ref="E4:H4"/>
    <mergeCell ref="A5:D5"/>
    <mergeCell ref="E5:H5"/>
    <mergeCell ref="A7:D7"/>
    <mergeCell ref="E7:H7"/>
    <mergeCell ref="A8:D8"/>
    <mergeCell ref="E8:H8"/>
    <mergeCell ref="A10:D10"/>
    <mergeCell ref="E10:H10"/>
    <mergeCell ref="A6:D6"/>
    <mergeCell ref="E6:H6"/>
    <mergeCell ref="E26:H26"/>
    <mergeCell ref="A65:C65"/>
    <mergeCell ref="G52:H52"/>
    <mergeCell ref="A53:B54"/>
    <mergeCell ref="E44:H44"/>
    <mergeCell ref="A44:D44"/>
    <mergeCell ref="A77:B77"/>
    <mergeCell ref="A80:B80"/>
    <mergeCell ref="A76:B76"/>
    <mergeCell ref="E12:H12"/>
    <mergeCell ref="A24:D25"/>
    <mergeCell ref="E24:H25"/>
    <mergeCell ref="E16:H16"/>
    <mergeCell ref="A17:B17"/>
    <mergeCell ref="C17:H17"/>
    <mergeCell ref="C18:H18"/>
    <mergeCell ref="A19:B19"/>
    <mergeCell ref="C19:H19"/>
    <mergeCell ref="A14:D14"/>
    <mergeCell ref="E14:H14"/>
    <mergeCell ref="A13:D13"/>
    <mergeCell ref="E13:H13"/>
    <mergeCell ref="A18:B18"/>
    <mergeCell ref="A15:D15"/>
    <mergeCell ref="A20:B20"/>
    <mergeCell ref="C20:D20"/>
    <mergeCell ref="E20:F20"/>
    <mergeCell ref="G20:H20"/>
    <mergeCell ref="A21:B21"/>
    <mergeCell ref="C21:D21"/>
    <mergeCell ref="E15:H15"/>
    <mergeCell ref="A16:D16"/>
    <mergeCell ref="A33:D33"/>
    <mergeCell ref="E33:H33"/>
    <mergeCell ref="A69:C69"/>
    <mergeCell ref="A88:B88"/>
    <mergeCell ref="C88:H88"/>
    <mergeCell ref="A83:B83"/>
    <mergeCell ref="A51:B51"/>
    <mergeCell ref="C51:E51"/>
    <mergeCell ref="C54:E54"/>
    <mergeCell ref="E23:F23"/>
    <mergeCell ref="G23:H23"/>
    <mergeCell ref="A31:D31"/>
    <mergeCell ref="E31:H31"/>
    <mergeCell ref="A28:D28"/>
    <mergeCell ref="A37:B37"/>
    <mergeCell ref="C37:E37"/>
    <mergeCell ref="A32:D32"/>
    <mergeCell ref="E32:H32"/>
    <mergeCell ref="E28:H28"/>
    <mergeCell ref="D69:H69"/>
    <mergeCell ref="C76:H76"/>
    <mergeCell ref="A79:B79"/>
    <mergeCell ref="A81:B81"/>
    <mergeCell ref="E77:F77"/>
    <mergeCell ref="A34:B34"/>
    <mergeCell ref="C35:E35"/>
    <mergeCell ref="A36:B36"/>
    <mergeCell ref="C36:E36"/>
    <mergeCell ref="F35:H35"/>
    <mergeCell ref="A27:D27"/>
    <mergeCell ref="E27:H27"/>
    <mergeCell ref="A26:D26"/>
    <mergeCell ref="C38:E38"/>
    <mergeCell ref="A43:D43"/>
    <mergeCell ref="E43:H43"/>
    <mergeCell ref="A42:H42"/>
    <mergeCell ref="A67:C67"/>
    <mergeCell ref="A68:C68"/>
    <mergeCell ref="D67:H67"/>
    <mergeCell ref="D68:H68"/>
    <mergeCell ref="A45:D45"/>
    <mergeCell ref="E45:H45"/>
    <mergeCell ref="E46:H46"/>
    <mergeCell ref="E47:H47"/>
    <mergeCell ref="E48:H48"/>
    <mergeCell ref="A46:D46"/>
    <mergeCell ref="F38:H38"/>
    <mergeCell ref="A48:D48"/>
    <mergeCell ref="A49:H49"/>
    <mergeCell ref="G54:H54"/>
    <mergeCell ref="G51:H51"/>
    <mergeCell ref="G53:H53"/>
    <mergeCell ref="A52:B52"/>
    <mergeCell ref="A62:H62"/>
    <mergeCell ref="A63:C63"/>
    <mergeCell ref="A64:C64"/>
    <mergeCell ref="D64:H64"/>
    <mergeCell ref="G61:H61"/>
    <mergeCell ref="C53:E53"/>
    <mergeCell ref="A66:C66"/>
    <mergeCell ref="A29:D29"/>
    <mergeCell ref="E29:H29"/>
    <mergeCell ref="C34:E34"/>
    <mergeCell ref="F37:H37"/>
    <mergeCell ref="F34:H34"/>
    <mergeCell ref="A35:B35"/>
    <mergeCell ref="A40:B40"/>
    <mergeCell ref="C40:H40"/>
    <mergeCell ref="A47:D47"/>
    <mergeCell ref="L135:M135"/>
    <mergeCell ref="L134:M134"/>
    <mergeCell ref="L133:M133"/>
    <mergeCell ref="L132:M132"/>
    <mergeCell ref="A85:B85"/>
    <mergeCell ref="C126:D126"/>
    <mergeCell ref="E126:F126"/>
    <mergeCell ref="G126:H126"/>
    <mergeCell ref="F110:H110"/>
    <mergeCell ref="A103:E103"/>
    <mergeCell ref="A133:H133"/>
    <mergeCell ref="E131:E132"/>
    <mergeCell ref="G131:H132"/>
    <mergeCell ref="A92:B92"/>
    <mergeCell ref="E78:F87"/>
    <mergeCell ref="A91:B91"/>
    <mergeCell ref="A84:B84"/>
    <mergeCell ref="A30:D30"/>
    <mergeCell ref="E30:H30"/>
    <mergeCell ref="A90:B90"/>
    <mergeCell ref="C90:H90"/>
    <mergeCell ref="A39:H39"/>
    <mergeCell ref="A38:B38"/>
    <mergeCell ref="L146:M146"/>
    <mergeCell ref="A115:E115"/>
    <mergeCell ref="G128:H128"/>
    <mergeCell ref="C122:D122"/>
    <mergeCell ref="E122:F122"/>
    <mergeCell ref="G122:H122"/>
    <mergeCell ref="A123:B123"/>
    <mergeCell ref="C123:D123"/>
    <mergeCell ref="E123:F123"/>
    <mergeCell ref="G123:H123"/>
    <mergeCell ref="A127:B127"/>
    <mergeCell ref="C127:D127"/>
    <mergeCell ref="E127:F127"/>
    <mergeCell ref="G127:H127"/>
    <mergeCell ref="C121:D121"/>
    <mergeCell ref="E121:F121"/>
    <mergeCell ref="A116:E116"/>
    <mergeCell ref="F116:H116"/>
    <mergeCell ref="E125:F125"/>
    <mergeCell ref="A146:H146"/>
    <mergeCell ref="A470:B470"/>
    <mergeCell ref="A467:B467"/>
    <mergeCell ref="A468:B468"/>
    <mergeCell ref="A107:E107"/>
    <mergeCell ref="A101:B101"/>
    <mergeCell ref="A128:B128"/>
    <mergeCell ref="E128:F128"/>
    <mergeCell ref="A41:B41"/>
    <mergeCell ref="C41:H41"/>
    <mergeCell ref="A326:H326"/>
    <mergeCell ref="A327:H327"/>
    <mergeCell ref="A460:H460"/>
    <mergeCell ref="A172:H172"/>
    <mergeCell ref="A173:B173"/>
    <mergeCell ref="G173:H176"/>
    <mergeCell ref="A193:B193"/>
    <mergeCell ref="G193:H196"/>
    <mergeCell ref="A212:H212"/>
    <mergeCell ref="A213:B213"/>
    <mergeCell ref="G213:H216"/>
    <mergeCell ref="A202:H202"/>
    <mergeCell ref="A203:B203"/>
    <mergeCell ref="G203:H206"/>
    <mergeCell ref="A156:B156"/>
    <mergeCell ref="A469:B469"/>
    <mergeCell ref="G470:H470"/>
    <mergeCell ref="D65:H65"/>
    <mergeCell ref="D66:H66"/>
    <mergeCell ref="A147:H147"/>
    <mergeCell ref="A148:B148"/>
    <mergeCell ref="A149:B149"/>
    <mergeCell ref="A207:H207"/>
    <mergeCell ref="B497:H497"/>
    <mergeCell ref="A50:B50"/>
    <mergeCell ref="C50:H50"/>
    <mergeCell ref="B495:H495"/>
    <mergeCell ref="G92:H101"/>
    <mergeCell ref="A93:B93"/>
    <mergeCell ref="A94:B94"/>
    <mergeCell ref="A95:B95"/>
    <mergeCell ref="F104:H104"/>
    <mergeCell ref="A104:E104"/>
    <mergeCell ref="G473:H473"/>
    <mergeCell ref="G469:H469"/>
    <mergeCell ref="G466:H466"/>
    <mergeCell ref="D131:D132"/>
    <mergeCell ref="A106:E106"/>
    <mergeCell ref="A105:E105"/>
    <mergeCell ref="A102:E102"/>
    <mergeCell ref="F106:H106"/>
    <mergeCell ref="A143:H143"/>
    <mergeCell ref="A144:H144"/>
    <mergeCell ref="A145:H145"/>
    <mergeCell ref="A323:H323"/>
    <mergeCell ref="A324:H324"/>
    <mergeCell ref="A325:H325"/>
    <mergeCell ref="G480:H480"/>
    <mergeCell ref="A477:H477"/>
    <mergeCell ref="A471:H471"/>
    <mergeCell ref="G474:H474"/>
    <mergeCell ref="G472:H472"/>
    <mergeCell ref="A479:B479"/>
    <mergeCell ref="A480:B480"/>
    <mergeCell ref="G476:H476"/>
    <mergeCell ref="L152:M152"/>
    <mergeCell ref="L171:M171"/>
    <mergeCell ref="A174:B174"/>
    <mergeCell ref="L219:M219"/>
    <mergeCell ref="L226:M226"/>
    <mergeCell ref="L147:M147"/>
    <mergeCell ref="A150:B150"/>
    <mergeCell ref="L148:M148"/>
    <mergeCell ref="A151:B151"/>
    <mergeCell ref="L149:M149"/>
    <mergeCell ref="C148:F148"/>
    <mergeCell ref="G148:H151"/>
    <mergeCell ref="L167:M167"/>
    <mergeCell ref="L154:M154"/>
    <mergeCell ref="L151:M151"/>
    <mergeCell ref="A154:B154"/>
    <mergeCell ref="L153:M153"/>
    <mergeCell ref="A155:B155"/>
    <mergeCell ref="A157:H157"/>
    <mergeCell ref="A158:B158"/>
    <mergeCell ref="G158:H161"/>
    <mergeCell ref="L156:M156"/>
    <mergeCell ref="A159:B159"/>
    <mergeCell ref="L157:M157"/>
    <mergeCell ref="A160:B160"/>
    <mergeCell ref="L158:M158"/>
    <mergeCell ref="A161:B161"/>
    <mergeCell ref="L159:M159"/>
    <mergeCell ref="L162:M162"/>
    <mergeCell ref="L163:M163"/>
    <mergeCell ref="L164:M164"/>
    <mergeCell ref="A208:B208"/>
    <mergeCell ref="L168:M168"/>
    <mergeCell ref="A171:B171"/>
    <mergeCell ref="L169:M169"/>
    <mergeCell ref="G153:H156"/>
    <mergeCell ref="G168:H171"/>
    <mergeCell ref="A464:B464"/>
    <mergeCell ref="G464:H464"/>
    <mergeCell ref="L462:M462"/>
    <mergeCell ref="A167:H167"/>
    <mergeCell ref="A168:B168"/>
    <mergeCell ref="L166:M166"/>
    <mergeCell ref="A169:B169"/>
    <mergeCell ref="A461:B461"/>
    <mergeCell ref="G461:H461"/>
    <mergeCell ref="L459:M459"/>
    <mergeCell ref="A462:B462"/>
    <mergeCell ref="G462:H462"/>
    <mergeCell ref="L460:M460"/>
    <mergeCell ref="A463:B463"/>
    <mergeCell ref="G463:H463"/>
    <mergeCell ref="L461:M461"/>
    <mergeCell ref="L463:M463"/>
    <mergeCell ref="G208:H211"/>
    <mergeCell ref="A177:H177"/>
    <mergeCell ref="L241:M241"/>
    <mergeCell ref="A244:B244"/>
    <mergeCell ref="L242:M242"/>
    <mergeCell ref="A245:B245"/>
    <mergeCell ref="L243:M243"/>
    <mergeCell ref="A246:B246"/>
    <mergeCell ref="L244:M244"/>
    <mergeCell ref="A283:H283"/>
    <mergeCell ref="L172:M172"/>
    <mergeCell ref="A175:B175"/>
    <mergeCell ref="L173:M173"/>
    <mergeCell ref="A176:B176"/>
    <mergeCell ref="L174:M174"/>
    <mergeCell ref="C173:F173"/>
    <mergeCell ref="A192:H192"/>
    <mergeCell ref="L191:M191"/>
    <mergeCell ref="A222:H222"/>
    <mergeCell ref="L192:M192"/>
    <mergeCell ref="A195:B195"/>
    <mergeCell ref="L193:M193"/>
    <mergeCell ref="A196:B196"/>
    <mergeCell ref="L194:M194"/>
    <mergeCell ref="A197:H197"/>
    <mergeCell ref="A198:B198"/>
    <mergeCell ref="G198:H201"/>
    <mergeCell ref="L196:M196"/>
    <mergeCell ref="A199:B199"/>
    <mergeCell ref="L197:M197"/>
    <mergeCell ref="A200:B200"/>
    <mergeCell ref="L198:M198"/>
    <mergeCell ref="A201:B201"/>
    <mergeCell ref="L199:M199"/>
    <mergeCell ref="L201:M201"/>
    <mergeCell ref="A204:B204"/>
    <mergeCell ref="L202:M202"/>
    <mergeCell ref="A205:B205"/>
    <mergeCell ref="L203:M203"/>
    <mergeCell ref="A206:B206"/>
    <mergeCell ref="L204:M204"/>
    <mergeCell ref="C203:F203"/>
    <mergeCell ref="L211:M211"/>
    <mergeCell ref="A214:B214"/>
    <mergeCell ref="L212:M212"/>
    <mergeCell ref="A215:B215"/>
    <mergeCell ref="L213:M213"/>
    <mergeCell ref="A216:B216"/>
    <mergeCell ref="L214:M214"/>
    <mergeCell ref="A217:H217"/>
    <mergeCell ref="L227:M227"/>
    <mergeCell ref="L228:M228"/>
    <mergeCell ref="L229:M229"/>
    <mergeCell ref="L221:M221"/>
    <mergeCell ref="L222:M222"/>
    <mergeCell ref="L223:M223"/>
    <mergeCell ref="A223:B223"/>
    <mergeCell ref="A252:B252"/>
    <mergeCell ref="L250:M250"/>
    <mergeCell ref="L237:M237"/>
    <mergeCell ref="L238:M238"/>
    <mergeCell ref="L239:M239"/>
    <mergeCell ref="G243:H246"/>
    <mergeCell ref="L231:M231"/>
    <mergeCell ref="A234:B234"/>
    <mergeCell ref="L232:M232"/>
    <mergeCell ref="A235:B235"/>
    <mergeCell ref="L233:M233"/>
    <mergeCell ref="A236:B236"/>
    <mergeCell ref="L234:M234"/>
    <mergeCell ref="A248:H248"/>
    <mergeCell ref="A249:B249"/>
    <mergeCell ref="C249:F249"/>
    <mergeCell ref="G249:H252"/>
    <mergeCell ref="L247:M247"/>
    <mergeCell ref="A250:B250"/>
    <mergeCell ref="L248:M248"/>
    <mergeCell ref="A251:B251"/>
    <mergeCell ref="L206:M206"/>
    <mergeCell ref="A209:B209"/>
    <mergeCell ref="L207:M207"/>
    <mergeCell ref="A210:B210"/>
    <mergeCell ref="L208:M208"/>
    <mergeCell ref="A211:B211"/>
    <mergeCell ref="L209:M209"/>
    <mergeCell ref="A218:B218"/>
    <mergeCell ref="G218:H221"/>
    <mergeCell ref="L216:M216"/>
    <mergeCell ref="A219:B219"/>
    <mergeCell ref="L217:M217"/>
    <mergeCell ref="A220:B220"/>
    <mergeCell ref="L218:M218"/>
    <mergeCell ref="A221:B221"/>
    <mergeCell ref="L224:M224"/>
    <mergeCell ref="L236:M236"/>
    <mergeCell ref="G279:H282"/>
    <mergeCell ref="L277:M277"/>
    <mergeCell ref="A232:H232"/>
    <mergeCell ref="L253:M253"/>
    <mergeCell ref="A256:B256"/>
    <mergeCell ref="L254:M254"/>
    <mergeCell ref="A257:B257"/>
    <mergeCell ref="L255:M255"/>
    <mergeCell ref="A258:H258"/>
    <mergeCell ref="A259:B259"/>
    <mergeCell ref="G259:H262"/>
    <mergeCell ref="L257:M257"/>
    <mergeCell ref="A260:B260"/>
    <mergeCell ref="L258:M258"/>
    <mergeCell ref="A261:B261"/>
    <mergeCell ref="A262:B262"/>
    <mergeCell ref="L260:M260"/>
    <mergeCell ref="A247:H247"/>
    <mergeCell ref="A237:H237"/>
    <mergeCell ref="A291:B291"/>
    <mergeCell ref="L289:M289"/>
    <mergeCell ref="A292:B292"/>
    <mergeCell ref="L290:M290"/>
    <mergeCell ref="G264:H267"/>
    <mergeCell ref="L262:M262"/>
    <mergeCell ref="A265:B265"/>
    <mergeCell ref="L263:M263"/>
    <mergeCell ref="A266:B266"/>
    <mergeCell ref="L264:M264"/>
    <mergeCell ref="A267:B267"/>
    <mergeCell ref="L265:M265"/>
    <mergeCell ref="A288:H288"/>
    <mergeCell ref="A268:H268"/>
    <mergeCell ref="A269:B269"/>
    <mergeCell ref="G269:H272"/>
    <mergeCell ref="L267:M267"/>
    <mergeCell ref="A270:B270"/>
    <mergeCell ref="L268:M268"/>
    <mergeCell ref="A271:B271"/>
    <mergeCell ref="L269:M269"/>
    <mergeCell ref="A280:B280"/>
    <mergeCell ref="L278:M278"/>
    <mergeCell ref="C279:F279"/>
    <mergeCell ref="A278:H278"/>
    <mergeCell ref="A279:B279"/>
    <mergeCell ref="A277:B277"/>
    <mergeCell ref="L275:M275"/>
    <mergeCell ref="A264:B264"/>
    <mergeCell ref="A272:B272"/>
    <mergeCell ref="L270:M270"/>
    <mergeCell ref="C269:F269"/>
    <mergeCell ref="A320:B320"/>
    <mergeCell ref="L318:M318"/>
    <mergeCell ref="A321:B321"/>
    <mergeCell ref="L319:M319"/>
    <mergeCell ref="A322:B322"/>
    <mergeCell ref="L320:M320"/>
    <mergeCell ref="A308:H308"/>
    <mergeCell ref="A309:B309"/>
    <mergeCell ref="G309:H312"/>
    <mergeCell ref="L307:M307"/>
    <mergeCell ref="A310:B310"/>
    <mergeCell ref="L308:M308"/>
    <mergeCell ref="A311:B311"/>
    <mergeCell ref="L309:M309"/>
    <mergeCell ref="A312:B312"/>
    <mergeCell ref="L310:M310"/>
    <mergeCell ref="C309:F309"/>
    <mergeCell ref="L176:M176"/>
    <mergeCell ref="A179:B179"/>
    <mergeCell ref="L177:M177"/>
    <mergeCell ref="A180:B180"/>
    <mergeCell ref="L178:M178"/>
    <mergeCell ref="A181:B181"/>
    <mergeCell ref="L179:M179"/>
    <mergeCell ref="L302:M302"/>
    <mergeCell ref="A305:B305"/>
    <mergeCell ref="L303:M303"/>
    <mergeCell ref="A306:B306"/>
    <mergeCell ref="L304:M304"/>
    <mergeCell ref="L186:M186"/>
    <mergeCell ref="L187:M187"/>
    <mergeCell ref="L188:M188"/>
    <mergeCell ref="L189:M189"/>
    <mergeCell ref="L181:M181"/>
    <mergeCell ref="L299:M299"/>
    <mergeCell ref="A302:B302"/>
    <mergeCell ref="L300:M300"/>
    <mergeCell ref="A293:H293"/>
    <mergeCell ref="A294:B294"/>
    <mergeCell ref="G294:H297"/>
    <mergeCell ref="L292:M292"/>
    <mergeCell ref="A295:B295"/>
    <mergeCell ref="L293:M293"/>
    <mergeCell ref="A296:B296"/>
    <mergeCell ref="L294:M294"/>
    <mergeCell ref="A297:B297"/>
    <mergeCell ref="L295:M295"/>
    <mergeCell ref="A298:H298"/>
    <mergeCell ref="A299:B299"/>
    <mergeCell ref="A183:B183"/>
    <mergeCell ref="G183:H186"/>
    <mergeCell ref="A184:B184"/>
    <mergeCell ref="A307:B307"/>
    <mergeCell ref="L305:M305"/>
    <mergeCell ref="A313:H313"/>
    <mergeCell ref="A314:B314"/>
    <mergeCell ref="G314:H317"/>
    <mergeCell ref="L312:M312"/>
    <mergeCell ref="A315:B315"/>
    <mergeCell ref="L313:M313"/>
    <mergeCell ref="A316:B316"/>
    <mergeCell ref="L314:M314"/>
    <mergeCell ref="A317:B317"/>
    <mergeCell ref="L315:M315"/>
    <mergeCell ref="A301:B301"/>
    <mergeCell ref="A178:B178"/>
    <mergeCell ref="G178:H181"/>
    <mergeCell ref="L317:M317"/>
    <mergeCell ref="G299:H302"/>
    <mergeCell ref="A281:B281"/>
    <mergeCell ref="L279:M279"/>
    <mergeCell ref="A282:B282"/>
    <mergeCell ref="L280:M280"/>
    <mergeCell ref="L297:M297"/>
    <mergeCell ref="A300:B300"/>
    <mergeCell ref="L298:M298"/>
    <mergeCell ref="A289:B289"/>
    <mergeCell ref="G289:H292"/>
    <mergeCell ref="L287:M287"/>
    <mergeCell ref="A290:B290"/>
    <mergeCell ref="L288:M288"/>
    <mergeCell ref="B505:H505"/>
    <mergeCell ref="L182:M182"/>
    <mergeCell ref="A185:B185"/>
    <mergeCell ref="L183:M183"/>
    <mergeCell ref="A186:B186"/>
    <mergeCell ref="L184:M184"/>
    <mergeCell ref="B504:H504"/>
    <mergeCell ref="B500:H500"/>
    <mergeCell ref="A328:H328"/>
    <mergeCell ref="A59:B60"/>
    <mergeCell ref="C59:E59"/>
    <mergeCell ref="G59:H59"/>
    <mergeCell ref="C60:E60"/>
    <mergeCell ref="G60:H60"/>
    <mergeCell ref="A111:E111"/>
    <mergeCell ref="F111:H111"/>
    <mergeCell ref="A108:E108"/>
    <mergeCell ref="F108:H108"/>
    <mergeCell ref="A318:H318"/>
    <mergeCell ref="A319:B319"/>
    <mergeCell ref="C319:F319"/>
    <mergeCell ref="G319:H322"/>
    <mergeCell ref="A303:H303"/>
    <mergeCell ref="A304:B304"/>
    <mergeCell ref="G304:H307"/>
    <mergeCell ref="A187:H187"/>
    <mergeCell ref="A188:B188"/>
    <mergeCell ref="G188:H191"/>
    <mergeCell ref="A189:B189"/>
    <mergeCell ref="A190:B190"/>
    <mergeCell ref="A191:B191"/>
    <mergeCell ref="A182:H182"/>
  </mergeCells>
  <dataValidations count="12">
    <dataValidation type="list" allowBlank="1" showInputMessage="1" showErrorMessage="1" sqref="E4:H4" xr:uid="{00000000-0002-0000-0000-000000000000}">
      <formula1>"Axis Goregaon,Axis Thane,Axis Badlapur,Axis Sanpada, PNB Thane"</formula1>
    </dataValidation>
    <dataValidation type="list" allowBlank="1" showInputMessage="1" showErrorMessage="1" sqref="A18:B18" xr:uid="{00000000-0002-0000-0000-000001000000}">
      <formula1>"CTS No,Survey No,Plot No,Gut No,FP No,"</formula1>
    </dataValidation>
    <dataValidation type="list" allowBlank="1" showInputMessage="1" showErrorMessage="1" sqref="G21:H21" xr:uid="{00000000-0002-0000-0000-000002000000}">
      <formula1>$S$14:$W$14</formula1>
    </dataValidation>
    <dataValidation type="list" allowBlank="1" showInputMessage="1" showErrorMessage="1" sqref="E131:E132" xr:uid="{00000000-0002-0000-0000-000003000000}">
      <formula1>"Attached Loft area,Attached Terrace area,Attached Mezzanine area"</formula1>
    </dataValidation>
    <dataValidation type="list" allowBlank="1" showInputMessage="1" showErrorMessage="1" sqref="F132 F140" xr:uid="{00000000-0002-0000-0000-000004000000}">
      <formula1>"45%,50%,55%,60%"</formula1>
    </dataValidation>
    <dataValidation type="list" allowBlank="1" showInputMessage="1" showErrorMessage="1" sqref="G513:H513" xr:uid="{00000000-0002-0000-0000-000005000000}">
      <formula1>"Gaurav Panchal,Kunal Kadam,Pranita Mhatre,Shruti Fule,Pooja Kawale,Mansee Mohite,Anjali Kamble, Hitakshi Mhatre, Sachin Sawant"</formula1>
    </dataValidation>
    <dataValidation type="list" allowBlank="1" showInputMessage="1" showErrorMessage="1" sqref="F102:H102" xr:uid="{00000000-0002-0000-0000-000006000000}">
      <formula1>"On Saleable Area,On Builtup Area,On Carpet Area,On Plot Area"</formula1>
    </dataValidation>
    <dataValidation type="list" allowBlank="1" showInputMessage="1" showErrorMessage="1" sqref="F117:H117" xr:uid="{00000000-0002-0000-0000-000007000000}">
      <formula1>"100000,150000,200000,250000,300000,350000,400000,500000,600000,700000,800000,900000,1000000,1200000,1400000,1500000"</formula1>
    </dataValidation>
    <dataValidation type="list" allowBlank="1" showInputMessage="1" showErrorMessage="1" sqref="F131 F139" xr:uid="{00000000-0002-0000-0000-000008000000}">
      <formula1>"Saleable area Loading :,Builder Saleable area"</formula1>
    </dataValidation>
    <dataValidation type="list" allowBlank="1" showInputMessage="1" showErrorMessage="1" sqref="B131:B132" xr:uid="{00000000-0002-0000-0000-000009000000}">
      <formula1>"Shop No. (Sale Plan),Sale / Rehab,Sale / Mhada"</formula1>
    </dataValidation>
    <dataValidation type="list" allowBlank="1" showInputMessage="1" showErrorMessage="1" sqref="B139:B140" xr:uid="{00000000-0002-0000-0000-00000A000000}">
      <formula1>"Flat No. (Sale Plan),Sale / Rehab,Sale / Mhada"</formula1>
    </dataValidation>
    <dataValidation type="list" allowBlank="1" showInputMessage="1" showErrorMessage="1" sqref="Y14" xr:uid="{00000000-0002-0000-0000-00000B000000}">
      <formula1>$D$4:$H$4</formula1>
    </dataValidation>
  </dataValidations>
  <hyperlinks>
    <hyperlink ref="C41" r:id="rId1" xr:uid="{00000000-0004-0000-0000-000000000000}"/>
    <hyperlink ref="K18" r:id="rId2" display="https://godrejavenueelevens.com/?gclid=Cj0KCQjw2tHABhCiARIsANZzDWq4KZ_LsiF5jUSrIFXfJaFjUdn37LbPhsHidkBrpuPaihJ1JRPaiV0aAtwvEALw_wcB&amp;campaignid=20528094372&amp;adgroupid=158991706211&amp;loc_physicall_ms=9062232&amp;loc_interest_ms=&amp;matchtype=p&amp;network=g&amp;creative=673304234131&amp;keyword=godrej%20avenue%20eleven&amp;placement=&amp;targetid=kwd-2192133699021&amp;sourceid={sourceid}&amp;device=c&amp;gad_source=1&amp;gbraid=0AAAAApNmhKtp0FfMFKMcux8zxHvCMMriI" xr:uid="{00000000-0004-0000-0000-000001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scale="99" orientation="portrait" r:id="rId3"/>
  <headerFooter>
    <oddHeader>&amp;C&amp;G</oddHeader>
    <oddFooter>&amp;L&amp;"Times New Roman,Bold"&amp;12Ref No: &amp;F&amp;C&amp;G&amp;R&amp;"Times New Roman,Bold"&amp;12&amp;P</oddFooter>
  </headerFooter>
  <rowBreaks count="4" manualBreakCount="4">
    <brk id="454" max="7" man="1"/>
    <brk id="517" max="7" man="1"/>
    <brk id="560" max="7" man="1"/>
    <brk id="603" max="7" man="1"/>
  </rowBreaks>
  <drawing r:id="rId4"/>
  <legacyDrawing r:id="rId5"/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G223"/>
  <sheetViews>
    <sheetView topLeftCell="G98" zoomScale="40" zoomScaleNormal="40" workbookViewId="0">
      <selection activeCell="X63" sqref="X63"/>
    </sheetView>
  </sheetViews>
  <sheetFormatPr defaultRowHeight="14.4" x14ac:dyDescent="0.3"/>
  <cols>
    <col min="5" max="5" width="9.109375" customWidth="1"/>
    <col min="6" max="6" width="11.44140625" customWidth="1"/>
  </cols>
  <sheetData>
    <row r="2" spans="1:30" x14ac:dyDescent="0.3">
      <c r="A2" s="220" t="s">
        <v>236</v>
      </c>
      <c r="B2" s="220"/>
    </row>
    <row r="4" spans="1:30" x14ac:dyDescent="0.3">
      <c r="A4" s="226" t="s">
        <v>340</v>
      </c>
      <c r="B4" s="226"/>
      <c r="C4" s="226"/>
      <c r="D4" s="226"/>
      <c r="O4" s="226" t="s">
        <v>336</v>
      </c>
      <c r="P4" s="226"/>
    </row>
    <row r="5" spans="1:30" ht="15" thickBot="1" x14ac:dyDescent="0.35"/>
    <row r="6" spans="1:30" x14ac:dyDescent="0.3">
      <c r="A6" s="63" t="s">
        <v>309</v>
      </c>
      <c r="B6" s="221">
        <v>2</v>
      </c>
      <c r="C6" s="222"/>
      <c r="D6" s="69" t="s">
        <v>329</v>
      </c>
      <c r="G6" s="227">
        <v>3</v>
      </c>
      <c r="H6" s="228"/>
      <c r="I6" s="69" t="s">
        <v>329</v>
      </c>
      <c r="K6" s="221">
        <v>4</v>
      </c>
      <c r="L6" s="222"/>
      <c r="M6" s="69" t="s">
        <v>329</v>
      </c>
      <c r="O6" s="63" t="s">
        <v>309</v>
      </c>
      <c r="P6" s="221">
        <v>1</v>
      </c>
      <c r="Q6" s="222"/>
      <c r="R6" s="69" t="s">
        <v>329</v>
      </c>
      <c r="T6" s="221">
        <v>2</v>
      </c>
      <c r="U6" s="222"/>
      <c r="V6" s="69" t="s">
        <v>329</v>
      </c>
      <c r="X6" s="227">
        <v>3</v>
      </c>
      <c r="Y6" s="228"/>
      <c r="Z6" s="69" t="s">
        <v>329</v>
      </c>
      <c r="AB6" s="221">
        <v>4</v>
      </c>
      <c r="AC6" s="222"/>
      <c r="AD6" s="69" t="s">
        <v>329</v>
      </c>
    </row>
    <row r="7" spans="1:30" x14ac:dyDescent="0.3">
      <c r="A7" s="63" t="s">
        <v>310</v>
      </c>
      <c r="B7" s="70">
        <v>5.3</v>
      </c>
      <c r="C7" s="67">
        <v>5.05</v>
      </c>
      <c r="D7" s="71">
        <f>B7*C7</f>
        <v>26.764999999999997</v>
      </c>
      <c r="G7" s="70">
        <v>8.75</v>
      </c>
      <c r="H7" s="67">
        <v>6.1870000000000003</v>
      </c>
      <c r="I7" s="71">
        <f>G7*H7</f>
        <v>54.136250000000004</v>
      </c>
      <c r="K7" s="70">
        <v>5.3</v>
      </c>
      <c r="L7" s="67">
        <v>7.0750000000000002</v>
      </c>
      <c r="M7" s="71">
        <f>K7*L7</f>
        <v>37.497500000000002</v>
      </c>
      <c r="O7" s="63" t="s">
        <v>310</v>
      </c>
      <c r="P7" s="70">
        <v>8.75</v>
      </c>
      <c r="Q7" s="67">
        <v>5.85</v>
      </c>
      <c r="R7" s="71">
        <f>P7*Q7</f>
        <v>51.1875</v>
      </c>
      <c r="T7" s="70">
        <v>5.3</v>
      </c>
      <c r="U7" s="67">
        <v>5.05</v>
      </c>
      <c r="V7" s="71">
        <f>T7*U7</f>
        <v>26.764999999999997</v>
      </c>
      <c r="X7" s="70">
        <v>8.75</v>
      </c>
      <c r="Y7" s="67">
        <v>6.1870000000000003</v>
      </c>
      <c r="Z7" s="71">
        <f>X7*Y7</f>
        <v>54.136250000000004</v>
      </c>
      <c r="AB7" s="70">
        <v>5.3</v>
      </c>
      <c r="AC7" s="67">
        <v>7.0750000000000002</v>
      </c>
      <c r="AD7" s="71">
        <f>AB7*AC7</f>
        <v>37.497500000000002</v>
      </c>
    </row>
    <row r="8" spans="1:30" x14ac:dyDescent="0.3">
      <c r="A8" s="63" t="s">
        <v>311</v>
      </c>
      <c r="B8" s="70">
        <f>4.3+2+1.6</f>
        <v>7.9</v>
      </c>
      <c r="C8" s="67">
        <f>1.5+1.2+0.5</f>
        <v>3.2</v>
      </c>
      <c r="D8" s="71">
        <f t="shared" ref="D8:D29" si="0">B8*C8</f>
        <v>25.28</v>
      </c>
      <c r="G8" s="70">
        <v>2.74</v>
      </c>
      <c r="H8" s="67">
        <v>3.5150000000000001</v>
      </c>
      <c r="I8" s="71">
        <f t="shared" ref="I8:I29" si="1">G8*H8</f>
        <v>9.6311000000000018</v>
      </c>
      <c r="K8" s="70">
        <v>4.25</v>
      </c>
      <c r="L8" s="67">
        <v>3.43</v>
      </c>
      <c r="M8" s="71">
        <f t="shared" ref="M8:M29" si="2">K8*L8</f>
        <v>14.577500000000001</v>
      </c>
      <c r="O8" s="63" t="s">
        <v>311</v>
      </c>
      <c r="P8" s="70">
        <v>2.74</v>
      </c>
      <c r="Q8" s="67">
        <v>3.73</v>
      </c>
      <c r="R8" s="71">
        <f t="shared" ref="R8:R29" si="3">P8*Q8</f>
        <v>10.2202</v>
      </c>
      <c r="T8" s="70">
        <f>4.3+2+1.6</f>
        <v>7.9</v>
      </c>
      <c r="U8" s="67">
        <f>1.5+1.2+0.5</f>
        <v>3.2</v>
      </c>
      <c r="V8" s="71">
        <f t="shared" ref="V8:V29" si="4">T8*U8</f>
        <v>25.28</v>
      </c>
      <c r="X8" s="70">
        <v>2.74</v>
      </c>
      <c r="Y8" s="67">
        <v>3.5150000000000001</v>
      </c>
      <c r="Z8" s="71">
        <f t="shared" ref="Z8:Z29" si="5">X8*Y8</f>
        <v>9.6311000000000018</v>
      </c>
      <c r="AB8" s="70">
        <v>4.25</v>
      </c>
      <c r="AC8" s="67">
        <v>3.43</v>
      </c>
      <c r="AD8" s="71">
        <f t="shared" ref="AD8:AD29" si="6">AB8*AC8</f>
        <v>14.577500000000001</v>
      </c>
    </row>
    <row r="9" spans="1:30" x14ac:dyDescent="0.3">
      <c r="A9" s="63" t="s">
        <v>312</v>
      </c>
      <c r="B9" s="70">
        <v>3.5</v>
      </c>
      <c r="C9" s="67">
        <v>5.19</v>
      </c>
      <c r="D9" s="71">
        <f t="shared" si="0"/>
        <v>18.165000000000003</v>
      </c>
      <c r="G9" s="70">
        <v>3.35</v>
      </c>
      <c r="H9" s="67">
        <v>4.8869999999999996</v>
      </c>
      <c r="I9" s="71">
        <f t="shared" si="1"/>
        <v>16.371449999999999</v>
      </c>
      <c r="K9" s="70">
        <v>3.5</v>
      </c>
      <c r="L9" s="67">
        <v>5.4249999999999998</v>
      </c>
      <c r="M9" s="71">
        <f t="shared" si="2"/>
        <v>18.987500000000001</v>
      </c>
      <c r="O9" s="63" t="s">
        <v>312</v>
      </c>
      <c r="P9" s="70">
        <v>3.53</v>
      </c>
      <c r="Q9" s="67">
        <v>4.55</v>
      </c>
      <c r="R9" s="71">
        <f t="shared" si="3"/>
        <v>16.061499999999999</v>
      </c>
      <c r="T9" s="70">
        <v>3.5</v>
      </c>
      <c r="U9" s="67">
        <v>5.19</v>
      </c>
      <c r="V9" s="71">
        <f t="shared" si="4"/>
        <v>18.165000000000003</v>
      </c>
      <c r="X9" s="70">
        <v>3.35</v>
      </c>
      <c r="Y9" s="67">
        <v>4.8869999999999996</v>
      </c>
      <c r="Z9" s="71">
        <f t="shared" si="5"/>
        <v>16.371449999999999</v>
      </c>
      <c r="AB9" s="70">
        <v>3.5</v>
      </c>
      <c r="AC9" s="67">
        <v>5.4249999999999998</v>
      </c>
      <c r="AD9" s="71">
        <f t="shared" si="6"/>
        <v>18.987500000000001</v>
      </c>
    </row>
    <row r="10" spans="1:30" x14ac:dyDescent="0.3">
      <c r="A10" s="63" t="s">
        <v>313</v>
      </c>
      <c r="B10" s="70">
        <v>3.4</v>
      </c>
      <c r="C10" s="67">
        <v>3.95</v>
      </c>
      <c r="D10" s="72">
        <f t="shared" si="0"/>
        <v>13.43</v>
      </c>
      <c r="G10" s="70">
        <v>3.35</v>
      </c>
      <c r="H10" s="67">
        <v>4.5549999999999997</v>
      </c>
      <c r="I10" s="72">
        <f t="shared" si="1"/>
        <v>15.25925</v>
      </c>
      <c r="K10" s="70">
        <v>3.38</v>
      </c>
      <c r="L10" s="67">
        <v>5</v>
      </c>
      <c r="M10" s="72">
        <f t="shared" si="2"/>
        <v>16.899999999999999</v>
      </c>
      <c r="O10" s="63" t="s">
        <v>313</v>
      </c>
      <c r="P10" s="70">
        <v>3.95</v>
      </c>
      <c r="Q10" s="67">
        <v>4.5</v>
      </c>
      <c r="R10" s="72">
        <f t="shared" si="3"/>
        <v>17.775000000000002</v>
      </c>
      <c r="T10" s="70">
        <v>3.4</v>
      </c>
      <c r="U10" s="67">
        <v>3.95</v>
      </c>
      <c r="V10" s="72">
        <f t="shared" si="4"/>
        <v>13.43</v>
      </c>
      <c r="X10" s="70">
        <v>3.35</v>
      </c>
      <c r="Y10" s="67">
        <v>4.5549999999999997</v>
      </c>
      <c r="Z10" s="72">
        <f t="shared" si="5"/>
        <v>15.25925</v>
      </c>
      <c r="AB10" s="70">
        <v>3.38</v>
      </c>
      <c r="AC10" s="67">
        <v>5</v>
      </c>
      <c r="AD10" s="72">
        <f t="shared" si="6"/>
        <v>16.899999999999999</v>
      </c>
    </row>
    <row r="11" spans="1:30" x14ac:dyDescent="0.3">
      <c r="A11" s="63" t="s">
        <v>314</v>
      </c>
      <c r="B11" s="70">
        <v>3.37</v>
      </c>
      <c r="C11" s="67">
        <v>4.88</v>
      </c>
      <c r="D11" s="72">
        <f t="shared" si="0"/>
        <v>16.445599999999999</v>
      </c>
      <c r="G11" s="70">
        <v>3.33</v>
      </c>
      <c r="H11" s="67">
        <v>4.4050000000000002</v>
      </c>
      <c r="I11" s="72">
        <f t="shared" si="1"/>
        <v>14.668650000000001</v>
      </c>
      <c r="K11" s="70">
        <v>3.48</v>
      </c>
      <c r="L11" s="67">
        <v>4.4950000000000001</v>
      </c>
      <c r="M11" s="72">
        <f t="shared" si="2"/>
        <v>15.6426</v>
      </c>
      <c r="O11" s="63" t="s">
        <v>314</v>
      </c>
      <c r="P11" s="70">
        <v>3.43</v>
      </c>
      <c r="Q11" s="67">
        <v>4.75</v>
      </c>
      <c r="R11" s="72">
        <f t="shared" si="3"/>
        <v>16.2925</v>
      </c>
      <c r="T11" s="70">
        <v>3.37</v>
      </c>
      <c r="U11" s="67">
        <v>4.88</v>
      </c>
      <c r="V11" s="72">
        <f t="shared" si="4"/>
        <v>16.445599999999999</v>
      </c>
      <c r="X11" s="70">
        <v>3.33</v>
      </c>
      <c r="Y11" s="67">
        <v>4.4050000000000002</v>
      </c>
      <c r="Z11" s="72">
        <f t="shared" si="5"/>
        <v>14.668650000000001</v>
      </c>
      <c r="AB11" s="70">
        <v>3.48</v>
      </c>
      <c r="AC11" s="67">
        <v>4.4950000000000001</v>
      </c>
      <c r="AD11" s="72">
        <f t="shared" si="6"/>
        <v>15.6426</v>
      </c>
    </row>
    <row r="12" spans="1:30" x14ac:dyDescent="0.3">
      <c r="A12" s="63" t="s">
        <v>315</v>
      </c>
      <c r="B12" s="70">
        <v>3.62</v>
      </c>
      <c r="C12" s="67">
        <v>4.97</v>
      </c>
      <c r="D12" s="72">
        <f t="shared" si="0"/>
        <v>17.991399999999999</v>
      </c>
      <c r="G12" s="70">
        <v>3.33</v>
      </c>
      <c r="H12" s="67">
        <v>4.74</v>
      </c>
      <c r="I12" s="72">
        <f t="shared" si="1"/>
        <v>15.7842</v>
      </c>
      <c r="K12" s="70">
        <v>3.38</v>
      </c>
      <c r="L12" s="67">
        <v>4.4950000000000001</v>
      </c>
      <c r="M12" s="72">
        <f t="shared" si="2"/>
        <v>15.193099999999999</v>
      </c>
      <c r="O12" s="63" t="s">
        <v>315</v>
      </c>
      <c r="P12" s="70">
        <v>3.35</v>
      </c>
      <c r="Q12" s="67">
        <v>4.4000000000000004</v>
      </c>
      <c r="R12" s="72">
        <f t="shared" si="3"/>
        <v>14.740000000000002</v>
      </c>
      <c r="T12" s="70">
        <v>3.62</v>
      </c>
      <c r="U12" s="67">
        <v>4.97</v>
      </c>
      <c r="V12" s="72">
        <f t="shared" si="4"/>
        <v>17.991399999999999</v>
      </c>
      <c r="X12" s="70">
        <v>3.33</v>
      </c>
      <c r="Y12" s="67">
        <v>4.74</v>
      </c>
      <c r="Z12" s="72">
        <f t="shared" si="5"/>
        <v>15.7842</v>
      </c>
      <c r="AB12" s="70">
        <v>3.38</v>
      </c>
      <c r="AC12" s="67">
        <v>4.4950000000000001</v>
      </c>
      <c r="AD12" s="72">
        <f t="shared" si="6"/>
        <v>15.193099999999999</v>
      </c>
    </row>
    <row r="13" spans="1:30" x14ac:dyDescent="0.3">
      <c r="A13" s="63" t="s">
        <v>317</v>
      </c>
      <c r="B13" s="70">
        <v>1.38</v>
      </c>
      <c r="C13" s="67">
        <v>1.85</v>
      </c>
      <c r="D13" s="72">
        <f t="shared" si="0"/>
        <v>2.5529999999999999</v>
      </c>
      <c r="G13" s="70">
        <v>1.45</v>
      </c>
      <c r="H13" s="67">
        <v>1.22</v>
      </c>
      <c r="I13" s="72">
        <f t="shared" si="1"/>
        <v>1.7689999999999999</v>
      </c>
      <c r="K13" s="70">
        <v>1.22</v>
      </c>
      <c r="L13" s="67">
        <v>1.85</v>
      </c>
      <c r="M13" s="72">
        <f t="shared" si="2"/>
        <v>2.2570000000000001</v>
      </c>
      <c r="O13" s="63" t="s">
        <v>317</v>
      </c>
      <c r="P13" s="70">
        <v>1.45</v>
      </c>
      <c r="Q13" s="67">
        <v>1.22</v>
      </c>
      <c r="R13" s="72">
        <f t="shared" si="3"/>
        <v>1.7689999999999999</v>
      </c>
      <c r="T13" s="70">
        <v>1.38</v>
      </c>
      <c r="U13" s="67">
        <v>1.85</v>
      </c>
      <c r="V13" s="72">
        <f t="shared" si="4"/>
        <v>2.5529999999999999</v>
      </c>
      <c r="X13" s="70">
        <v>1.45</v>
      </c>
      <c r="Y13" s="67">
        <v>1.22</v>
      </c>
      <c r="Z13" s="72">
        <f t="shared" si="5"/>
        <v>1.7689999999999999</v>
      </c>
      <c r="AB13" s="70">
        <v>1.22</v>
      </c>
      <c r="AC13" s="67">
        <v>1.85</v>
      </c>
      <c r="AD13" s="72">
        <f t="shared" si="6"/>
        <v>2.2570000000000001</v>
      </c>
    </row>
    <row r="14" spans="1:30" x14ac:dyDescent="0.3">
      <c r="A14" s="63" t="s">
        <v>316</v>
      </c>
      <c r="B14" s="70">
        <v>2.73</v>
      </c>
      <c r="C14" s="67">
        <v>1.85</v>
      </c>
      <c r="D14" s="72">
        <f t="shared" si="0"/>
        <v>5.0505000000000004</v>
      </c>
      <c r="G14" s="70">
        <v>3.36</v>
      </c>
      <c r="H14" s="67">
        <v>1.83</v>
      </c>
      <c r="I14" s="72">
        <f t="shared" si="1"/>
        <v>6.1487999999999996</v>
      </c>
      <c r="K14" s="70">
        <v>2.75</v>
      </c>
      <c r="L14" s="67">
        <v>1.85</v>
      </c>
      <c r="M14" s="72">
        <f t="shared" si="2"/>
        <v>5.0875000000000004</v>
      </c>
      <c r="O14" s="63" t="s">
        <v>316</v>
      </c>
      <c r="P14" s="70">
        <v>3.35</v>
      </c>
      <c r="Q14" s="67">
        <v>1.83</v>
      </c>
      <c r="R14" s="72">
        <f t="shared" si="3"/>
        <v>6.1305000000000005</v>
      </c>
      <c r="T14" s="70">
        <v>2.73</v>
      </c>
      <c r="U14" s="67">
        <v>1.85</v>
      </c>
      <c r="V14" s="72">
        <f t="shared" si="4"/>
        <v>5.0505000000000004</v>
      </c>
      <c r="X14" s="70">
        <v>3.36</v>
      </c>
      <c r="Y14" s="67">
        <v>1.83</v>
      </c>
      <c r="Z14" s="72">
        <f t="shared" si="5"/>
        <v>6.1487999999999996</v>
      </c>
      <c r="AB14" s="70">
        <v>2.75</v>
      </c>
      <c r="AC14" s="67">
        <v>1.85</v>
      </c>
      <c r="AD14" s="72">
        <f t="shared" si="6"/>
        <v>5.0875000000000004</v>
      </c>
    </row>
    <row r="15" spans="1:30" x14ac:dyDescent="0.3">
      <c r="A15" s="63" t="s">
        <v>318</v>
      </c>
      <c r="B15" s="70">
        <v>2.44</v>
      </c>
      <c r="C15" s="67">
        <v>1.68</v>
      </c>
      <c r="D15" s="72">
        <f t="shared" si="0"/>
        <v>4.0991999999999997</v>
      </c>
      <c r="G15" s="70">
        <v>2.44</v>
      </c>
      <c r="H15" s="67">
        <v>1.575</v>
      </c>
      <c r="I15" s="72">
        <f t="shared" si="1"/>
        <v>3.843</v>
      </c>
      <c r="K15" s="70">
        <v>1.72</v>
      </c>
      <c r="L15" s="67">
        <v>2.44</v>
      </c>
      <c r="M15" s="72">
        <f t="shared" si="2"/>
        <v>4.1967999999999996</v>
      </c>
      <c r="O15" s="63" t="s">
        <v>318</v>
      </c>
      <c r="P15" s="70">
        <v>2.44</v>
      </c>
      <c r="Q15" s="67">
        <v>1.52</v>
      </c>
      <c r="R15" s="72">
        <f t="shared" si="3"/>
        <v>3.7088000000000001</v>
      </c>
      <c r="T15" s="70">
        <v>2.44</v>
      </c>
      <c r="U15" s="67">
        <v>1.68</v>
      </c>
      <c r="V15" s="72">
        <f t="shared" si="4"/>
        <v>4.0991999999999997</v>
      </c>
      <c r="X15" s="70">
        <v>2.44</v>
      </c>
      <c r="Y15" s="67">
        <v>1.575</v>
      </c>
      <c r="Z15" s="72">
        <f t="shared" si="5"/>
        <v>3.843</v>
      </c>
      <c r="AB15" s="70">
        <v>1.72</v>
      </c>
      <c r="AC15" s="67">
        <v>2.44</v>
      </c>
      <c r="AD15" s="72">
        <f t="shared" si="6"/>
        <v>4.1967999999999996</v>
      </c>
    </row>
    <row r="16" spans="1:30" x14ac:dyDescent="0.3">
      <c r="A16" s="63" t="s">
        <v>319</v>
      </c>
      <c r="B16" s="70">
        <v>1.68</v>
      </c>
      <c r="C16" s="67">
        <v>2.4500000000000002</v>
      </c>
      <c r="D16" s="72">
        <f t="shared" si="0"/>
        <v>4.1160000000000005</v>
      </c>
      <c r="G16" s="70">
        <v>1.52</v>
      </c>
      <c r="H16" s="67">
        <v>2.44</v>
      </c>
      <c r="I16" s="72">
        <f t="shared" si="1"/>
        <v>3.7088000000000001</v>
      </c>
      <c r="K16" s="70">
        <v>1.67</v>
      </c>
      <c r="L16" s="67">
        <v>2.62</v>
      </c>
      <c r="M16" s="72">
        <f t="shared" si="2"/>
        <v>4.3754</v>
      </c>
      <c r="O16" s="63" t="s">
        <v>319</v>
      </c>
      <c r="P16" s="70">
        <v>1.52</v>
      </c>
      <c r="Q16" s="67">
        <v>2.44</v>
      </c>
      <c r="R16" s="72">
        <f t="shared" si="3"/>
        <v>3.7088000000000001</v>
      </c>
      <c r="T16" s="70">
        <v>1.68</v>
      </c>
      <c r="U16" s="67">
        <v>2.4500000000000002</v>
      </c>
      <c r="V16" s="72">
        <f t="shared" si="4"/>
        <v>4.1160000000000005</v>
      </c>
      <c r="X16" s="70">
        <v>1.52</v>
      </c>
      <c r="Y16" s="67">
        <v>2.44</v>
      </c>
      <c r="Z16" s="72">
        <f t="shared" si="5"/>
        <v>3.7088000000000001</v>
      </c>
      <c r="AB16" s="70">
        <v>1.67</v>
      </c>
      <c r="AC16" s="67">
        <v>2.62</v>
      </c>
      <c r="AD16" s="72">
        <f t="shared" si="6"/>
        <v>4.3754</v>
      </c>
    </row>
    <row r="17" spans="1:30" x14ac:dyDescent="0.3">
      <c r="A17" s="63" t="s">
        <v>320</v>
      </c>
      <c r="B17" s="70">
        <v>1.53</v>
      </c>
      <c r="C17" s="67">
        <v>2.4500000000000002</v>
      </c>
      <c r="D17" s="72">
        <f t="shared" si="0"/>
        <v>3.7485000000000004</v>
      </c>
      <c r="G17" s="70">
        <v>1.52</v>
      </c>
      <c r="H17" s="67">
        <v>2.44</v>
      </c>
      <c r="I17" s="72">
        <f t="shared" si="1"/>
        <v>3.7088000000000001</v>
      </c>
      <c r="K17" s="70">
        <v>1.67</v>
      </c>
      <c r="L17" s="67">
        <v>2.62</v>
      </c>
      <c r="M17" s="72">
        <f t="shared" si="2"/>
        <v>4.3754</v>
      </c>
      <c r="O17" s="63" t="s">
        <v>320</v>
      </c>
      <c r="P17" s="70">
        <v>1.52</v>
      </c>
      <c r="Q17" s="67">
        <v>2.44</v>
      </c>
      <c r="R17" s="72">
        <f t="shared" si="3"/>
        <v>3.7088000000000001</v>
      </c>
      <c r="T17" s="70">
        <v>1.53</v>
      </c>
      <c r="U17" s="67">
        <v>2.4500000000000002</v>
      </c>
      <c r="V17" s="72">
        <f t="shared" si="4"/>
        <v>3.7485000000000004</v>
      </c>
      <c r="X17" s="70">
        <v>1.52</v>
      </c>
      <c r="Y17" s="67">
        <v>2.44</v>
      </c>
      <c r="Z17" s="72">
        <f t="shared" si="5"/>
        <v>3.7088000000000001</v>
      </c>
      <c r="AB17" s="70">
        <v>1.67</v>
      </c>
      <c r="AC17" s="67">
        <v>2.62</v>
      </c>
      <c r="AD17" s="72">
        <f t="shared" si="6"/>
        <v>4.3754</v>
      </c>
    </row>
    <row r="18" spans="1:30" ht="28.8" x14ac:dyDescent="0.3">
      <c r="A18" s="63" t="s">
        <v>331</v>
      </c>
      <c r="B18" s="70">
        <v>2.17</v>
      </c>
      <c r="C18" s="67">
        <v>3.2</v>
      </c>
      <c r="D18" s="72">
        <f t="shared" si="0"/>
        <v>6.944</v>
      </c>
      <c r="E18" s="68" t="s">
        <v>335</v>
      </c>
      <c r="G18" s="70">
        <v>4.03</v>
      </c>
      <c r="H18" s="67">
        <v>3.5649999999999999</v>
      </c>
      <c r="I18" s="72">
        <f t="shared" si="1"/>
        <v>14.366950000000001</v>
      </c>
      <c r="J18" s="63" t="s">
        <v>331</v>
      </c>
      <c r="K18" s="70">
        <v>2.12</v>
      </c>
      <c r="L18" s="67">
        <v>3.22</v>
      </c>
      <c r="M18" s="72">
        <f t="shared" si="2"/>
        <v>6.8264000000000005</v>
      </c>
      <c r="N18" s="68"/>
      <c r="O18" s="76" t="s">
        <v>335</v>
      </c>
      <c r="P18" s="70">
        <v>4.05</v>
      </c>
      <c r="Q18" s="67">
        <v>3.5</v>
      </c>
      <c r="R18" s="72">
        <f t="shared" si="3"/>
        <v>14.174999999999999</v>
      </c>
      <c r="T18" s="70">
        <v>2.17</v>
      </c>
      <c r="U18" s="67">
        <v>3.2</v>
      </c>
      <c r="V18" s="72">
        <f t="shared" si="4"/>
        <v>6.944</v>
      </c>
      <c r="X18" s="70">
        <v>4.03</v>
      </c>
      <c r="Y18" s="67">
        <v>3.5649999999999999</v>
      </c>
      <c r="Z18" s="72">
        <f t="shared" si="5"/>
        <v>14.366950000000001</v>
      </c>
      <c r="AB18" s="70">
        <v>2.12</v>
      </c>
      <c r="AC18" s="67">
        <v>3.22</v>
      </c>
      <c r="AD18" s="72">
        <f t="shared" si="6"/>
        <v>6.8264000000000005</v>
      </c>
    </row>
    <row r="19" spans="1:30" x14ac:dyDescent="0.3">
      <c r="A19" s="63" t="s">
        <v>321</v>
      </c>
      <c r="B19" s="70">
        <v>3</v>
      </c>
      <c r="C19" s="67">
        <v>1</v>
      </c>
      <c r="D19" s="72">
        <f t="shared" si="0"/>
        <v>3</v>
      </c>
      <c r="G19" s="70">
        <v>1.91</v>
      </c>
      <c r="H19" s="67">
        <v>3.03</v>
      </c>
      <c r="I19" s="72">
        <f t="shared" si="1"/>
        <v>5.7872999999999992</v>
      </c>
      <c r="K19" s="70">
        <v>6.5</v>
      </c>
      <c r="L19" s="67">
        <v>1</v>
      </c>
      <c r="M19" s="72">
        <f t="shared" si="2"/>
        <v>6.5</v>
      </c>
      <c r="O19" s="63" t="s">
        <v>321</v>
      </c>
      <c r="P19" s="70">
        <v>1.75</v>
      </c>
      <c r="Q19" s="67">
        <v>1.52</v>
      </c>
      <c r="R19" s="72">
        <f t="shared" si="3"/>
        <v>2.66</v>
      </c>
      <c r="T19" s="70">
        <v>3</v>
      </c>
      <c r="U19" s="67">
        <v>1</v>
      </c>
      <c r="V19" s="72">
        <f t="shared" si="4"/>
        <v>3</v>
      </c>
      <c r="X19" s="70">
        <v>1.91</v>
      </c>
      <c r="Y19" s="67">
        <v>3.03</v>
      </c>
      <c r="Z19" s="72">
        <f t="shared" si="5"/>
        <v>5.7872999999999992</v>
      </c>
      <c r="AB19" s="70">
        <v>6.5</v>
      </c>
      <c r="AC19" s="67">
        <v>1</v>
      </c>
      <c r="AD19" s="72">
        <f t="shared" si="6"/>
        <v>6.5</v>
      </c>
    </row>
    <row r="20" spans="1:30" x14ac:dyDescent="0.3">
      <c r="A20" s="63" t="s">
        <v>322</v>
      </c>
      <c r="B20" s="70">
        <v>2.1</v>
      </c>
      <c r="C20" s="67">
        <v>1.35</v>
      </c>
      <c r="D20" s="72">
        <f t="shared" si="0"/>
        <v>2.8350000000000004</v>
      </c>
      <c r="G20" s="70">
        <v>1.75</v>
      </c>
      <c r="H20" s="67">
        <v>1.575</v>
      </c>
      <c r="I20" s="72">
        <f t="shared" si="1"/>
        <v>2.7562500000000001</v>
      </c>
      <c r="K20" s="70">
        <v>0.8</v>
      </c>
      <c r="L20" s="67">
        <v>1</v>
      </c>
      <c r="M20" s="72">
        <f t="shared" si="2"/>
        <v>0.8</v>
      </c>
      <c r="O20" s="63" t="s">
        <v>322</v>
      </c>
      <c r="P20" s="70">
        <v>2.1</v>
      </c>
      <c r="Q20" s="67">
        <v>3.08</v>
      </c>
      <c r="R20" s="72">
        <f t="shared" si="3"/>
        <v>6.4680000000000009</v>
      </c>
      <c r="T20" s="70">
        <v>2.1</v>
      </c>
      <c r="U20" s="67">
        <v>1.35</v>
      </c>
      <c r="V20" s="72">
        <f t="shared" si="4"/>
        <v>2.8350000000000004</v>
      </c>
      <c r="X20" s="70">
        <v>1.75</v>
      </c>
      <c r="Y20" s="67">
        <v>1.575</v>
      </c>
      <c r="Z20" s="72">
        <f t="shared" si="5"/>
        <v>2.7562500000000001</v>
      </c>
      <c r="AB20" s="70">
        <v>0.8</v>
      </c>
      <c r="AC20" s="67">
        <v>1</v>
      </c>
      <c r="AD20" s="72">
        <f t="shared" si="6"/>
        <v>0.8</v>
      </c>
    </row>
    <row r="21" spans="1:30" x14ac:dyDescent="0.3">
      <c r="A21" s="63" t="s">
        <v>323</v>
      </c>
      <c r="B21" s="70">
        <v>3.42</v>
      </c>
      <c r="C21" s="67">
        <v>1.65</v>
      </c>
      <c r="D21" s="72">
        <f t="shared" si="0"/>
        <v>5.6429999999999998</v>
      </c>
      <c r="G21" s="70">
        <v>1.08</v>
      </c>
      <c r="H21" s="67">
        <v>1.575</v>
      </c>
      <c r="I21" s="72">
        <f t="shared" si="1"/>
        <v>1.7010000000000001</v>
      </c>
      <c r="K21" s="70">
        <v>0.8</v>
      </c>
      <c r="L21" s="67">
        <v>1.75</v>
      </c>
      <c r="M21" s="72">
        <f t="shared" si="2"/>
        <v>1.4000000000000001</v>
      </c>
      <c r="O21" s="63" t="s">
        <v>323</v>
      </c>
      <c r="P21" s="70">
        <v>1.26</v>
      </c>
      <c r="Q21" s="67">
        <v>1.62</v>
      </c>
      <c r="R21" s="72">
        <f t="shared" si="3"/>
        <v>2.0412000000000003</v>
      </c>
      <c r="T21" s="70">
        <v>3.42</v>
      </c>
      <c r="U21" s="67">
        <v>1.65</v>
      </c>
      <c r="V21" s="72">
        <f t="shared" si="4"/>
        <v>5.6429999999999998</v>
      </c>
      <c r="X21" s="70">
        <v>1.08</v>
      </c>
      <c r="Y21" s="67">
        <v>1.575</v>
      </c>
      <c r="Z21" s="72">
        <f t="shared" si="5"/>
        <v>1.7010000000000001</v>
      </c>
      <c r="AB21" s="70">
        <v>0.8</v>
      </c>
      <c r="AC21" s="67">
        <v>1.75</v>
      </c>
      <c r="AD21" s="72">
        <f t="shared" si="6"/>
        <v>1.4000000000000001</v>
      </c>
    </row>
    <row r="22" spans="1:30" x14ac:dyDescent="0.3">
      <c r="A22" s="63" t="s">
        <v>324</v>
      </c>
      <c r="B22" s="70">
        <v>1.63</v>
      </c>
      <c r="C22" s="67">
        <v>1.665</v>
      </c>
      <c r="D22" s="72">
        <f t="shared" si="0"/>
        <v>2.7139500000000001</v>
      </c>
      <c r="G22" s="70">
        <v>1.67</v>
      </c>
      <c r="H22" s="67">
        <v>1.05</v>
      </c>
      <c r="I22" s="72">
        <f t="shared" si="1"/>
        <v>1.7535000000000001</v>
      </c>
      <c r="K22" s="70"/>
      <c r="L22" s="67"/>
      <c r="M22" s="72">
        <f t="shared" si="2"/>
        <v>0</v>
      </c>
      <c r="O22" s="63" t="s">
        <v>324</v>
      </c>
      <c r="P22" s="70">
        <v>1.67</v>
      </c>
      <c r="Q22" s="67">
        <v>1.05</v>
      </c>
      <c r="R22" s="72">
        <f t="shared" si="3"/>
        <v>1.7535000000000001</v>
      </c>
      <c r="T22" s="70">
        <v>1.63</v>
      </c>
      <c r="U22" s="67">
        <v>1.665</v>
      </c>
      <c r="V22" s="72">
        <f t="shared" si="4"/>
        <v>2.7139500000000001</v>
      </c>
      <c r="X22" s="70">
        <v>1.67</v>
      </c>
      <c r="Y22" s="67">
        <v>1.05</v>
      </c>
      <c r="Z22" s="72">
        <f t="shared" si="5"/>
        <v>1.7535000000000001</v>
      </c>
      <c r="AB22" s="70"/>
      <c r="AC22" s="67"/>
      <c r="AD22" s="72">
        <f t="shared" si="6"/>
        <v>0</v>
      </c>
    </row>
    <row r="23" spans="1:30" x14ac:dyDescent="0.3">
      <c r="A23" s="63" t="s">
        <v>325</v>
      </c>
      <c r="B23" s="70">
        <v>1.8</v>
      </c>
      <c r="C23" s="67">
        <v>1.2</v>
      </c>
      <c r="D23" s="72">
        <f t="shared" ref="D23:D27" si="7">B23*C23</f>
        <v>2.16</v>
      </c>
      <c r="G23" s="70"/>
      <c r="H23" s="67"/>
      <c r="I23" s="72">
        <f t="shared" si="1"/>
        <v>0</v>
      </c>
      <c r="K23" s="70"/>
      <c r="L23" s="67"/>
      <c r="M23" s="72">
        <f t="shared" si="2"/>
        <v>0</v>
      </c>
      <c r="O23" s="63" t="s">
        <v>325</v>
      </c>
      <c r="P23" s="70"/>
      <c r="Q23" s="67"/>
      <c r="R23" s="72">
        <f t="shared" si="3"/>
        <v>0</v>
      </c>
      <c r="T23" s="70">
        <v>1.8</v>
      </c>
      <c r="U23" s="67">
        <v>1.2</v>
      </c>
      <c r="V23" s="72">
        <f t="shared" si="4"/>
        <v>2.16</v>
      </c>
      <c r="X23" s="70"/>
      <c r="Y23" s="67"/>
      <c r="Z23" s="72">
        <f t="shared" si="5"/>
        <v>0</v>
      </c>
      <c r="AB23" s="70"/>
      <c r="AC23" s="67"/>
      <c r="AD23" s="72">
        <f t="shared" si="6"/>
        <v>0</v>
      </c>
    </row>
    <row r="24" spans="1:30" x14ac:dyDescent="0.3">
      <c r="A24" s="63" t="s">
        <v>330</v>
      </c>
      <c r="B24" s="70">
        <v>1.05</v>
      </c>
      <c r="C24" s="67">
        <v>0.6</v>
      </c>
      <c r="D24" s="72">
        <f t="shared" ref="D24" si="8">B24*C24</f>
        <v>0.63</v>
      </c>
      <c r="G24" s="70"/>
      <c r="H24" s="67"/>
      <c r="I24" s="72">
        <f t="shared" si="1"/>
        <v>0</v>
      </c>
      <c r="K24" s="70"/>
      <c r="L24" s="67"/>
      <c r="M24" s="72">
        <f t="shared" si="2"/>
        <v>0</v>
      </c>
      <c r="O24" s="63" t="s">
        <v>330</v>
      </c>
      <c r="P24" s="70"/>
      <c r="Q24" s="67"/>
      <c r="R24" s="72">
        <f t="shared" si="3"/>
        <v>0</v>
      </c>
      <c r="T24" s="70">
        <v>1.05</v>
      </c>
      <c r="U24" s="67">
        <v>0.6</v>
      </c>
      <c r="V24" s="72">
        <f t="shared" si="4"/>
        <v>0.63</v>
      </c>
      <c r="X24" s="70"/>
      <c r="Y24" s="67"/>
      <c r="Z24" s="72">
        <f t="shared" si="5"/>
        <v>0</v>
      </c>
      <c r="AB24" s="70"/>
      <c r="AC24" s="67"/>
      <c r="AD24" s="72">
        <f t="shared" si="6"/>
        <v>0</v>
      </c>
    </row>
    <row r="25" spans="1:30" x14ac:dyDescent="0.3">
      <c r="A25" s="63" t="s">
        <v>334</v>
      </c>
      <c r="B25" s="70">
        <v>3.8</v>
      </c>
      <c r="C25" s="67">
        <v>2.0499999999999998</v>
      </c>
      <c r="D25" s="72">
        <f t="shared" ref="D25" si="9">B25*C25</f>
        <v>7.7899999999999991</v>
      </c>
      <c r="G25" s="70"/>
      <c r="H25" s="67"/>
      <c r="I25" s="72">
        <f t="shared" si="1"/>
        <v>0</v>
      </c>
      <c r="K25" s="70"/>
      <c r="L25" s="67"/>
      <c r="M25" s="72">
        <f t="shared" si="2"/>
        <v>0</v>
      </c>
      <c r="O25" s="63" t="s">
        <v>334</v>
      </c>
      <c r="P25" s="70"/>
      <c r="Q25" s="67"/>
      <c r="R25" s="72">
        <f t="shared" si="3"/>
        <v>0</v>
      </c>
      <c r="T25" s="70">
        <v>3.8</v>
      </c>
      <c r="U25" s="67">
        <v>2.0499999999999998</v>
      </c>
      <c r="V25" s="72">
        <f t="shared" si="4"/>
        <v>7.7899999999999991</v>
      </c>
      <c r="X25" s="70"/>
      <c r="Y25" s="67"/>
      <c r="Z25" s="72">
        <f t="shared" si="5"/>
        <v>0</v>
      </c>
      <c r="AB25" s="70"/>
      <c r="AC25" s="67"/>
      <c r="AD25" s="72">
        <f t="shared" si="6"/>
        <v>0</v>
      </c>
    </row>
    <row r="26" spans="1:30" x14ac:dyDescent="0.3">
      <c r="A26" s="64" t="s">
        <v>332</v>
      </c>
      <c r="B26" s="70">
        <v>5.75</v>
      </c>
      <c r="C26" s="67">
        <v>2.91</v>
      </c>
      <c r="D26" s="72">
        <f t="shared" si="7"/>
        <v>16.732500000000002</v>
      </c>
      <c r="G26" s="70">
        <v>6.6</v>
      </c>
      <c r="H26" s="67">
        <v>2.2050000000000001</v>
      </c>
      <c r="I26" s="72">
        <f t="shared" si="1"/>
        <v>14.552999999999999</v>
      </c>
      <c r="K26" s="70">
        <v>5.75</v>
      </c>
      <c r="L26" s="67">
        <v>3</v>
      </c>
      <c r="M26" s="72">
        <f t="shared" si="2"/>
        <v>17.25</v>
      </c>
      <c r="O26" s="64" t="s">
        <v>332</v>
      </c>
      <c r="P26" s="70">
        <v>6.6</v>
      </c>
      <c r="Q26" s="67">
        <v>2.15</v>
      </c>
      <c r="R26" s="72">
        <f t="shared" si="3"/>
        <v>14.19</v>
      </c>
      <c r="T26" s="70">
        <v>5.75</v>
      </c>
      <c r="U26" s="67">
        <v>2.91</v>
      </c>
      <c r="V26" s="72">
        <f t="shared" si="4"/>
        <v>16.732500000000002</v>
      </c>
      <c r="X26" s="70">
        <v>6.6</v>
      </c>
      <c r="Y26" s="67">
        <v>2.2050000000000001</v>
      </c>
      <c r="Z26" s="72">
        <f t="shared" si="5"/>
        <v>14.552999999999999</v>
      </c>
      <c r="AB26" s="70">
        <v>5.75</v>
      </c>
      <c r="AC26" s="67">
        <v>3</v>
      </c>
      <c r="AD26" s="72">
        <f t="shared" si="6"/>
        <v>17.25</v>
      </c>
    </row>
    <row r="27" spans="1:30" ht="28.8" x14ac:dyDescent="0.3">
      <c r="A27" s="64" t="s">
        <v>333</v>
      </c>
      <c r="B27" s="70">
        <v>2.0499999999999998</v>
      </c>
      <c r="C27" s="67">
        <v>1.89</v>
      </c>
      <c r="D27" s="72">
        <f t="shared" si="7"/>
        <v>3.8744999999999994</v>
      </c>
      <c r="G27" s="70">
        <f>1.36+0.8</f>
        <v>2.16</v>
      </c>
      <c r="H27" s="67">
        <f>2.195+1.325</f>
        <v>3.5199999999999996</v>
      </c>
      <c r="I27" s="72">
        <f t="shared" si="1"/>
        <v>7.6031999999999993</v>
      </c>
      <c r="K27" s="70">
        <f>1.7+0.7</f>
        <v>2.4</v>
      </c>
      <c r="L27" s="67">
        <f>1.525+1.8</f>
        <v>3.3250000000000002</v>
      </c>
      <c r="M27" s="72">
        <f t="shared" si="2"/>
        <v>7.98</v>
      </c>
      <c r="O27" s="64" t="s">
        <v>333</v>
      </c>
      <c r="P27" s="70">
        <f>1.36+0.8</f>
        <v>2.16</v>
      </c>
      <c r="Q27" s="67">
        <f>2.41+1.38</f>
        <v>3.79</v>
      </c>
      <c r="R27" s="72">
        <f t="shared" si="3"/>
        <v>8.1864000000000008</v>
      </c>
      <c r="T27" s="70">
        <v>2.0499999999999998</v>
      </c>
      <c r="U27" s="67">
        <v>1.89</v>
      </c>
      <c r="V27" s="72">
        <f t="shared" si="4"/>
        <v>3.8744999999999994</v>
      </c>
      <c r="X27" s="70">
        <f>1.36+0.8</f>
        <v>2.16</v>
      </c>
      <c r="Y27" s="67">
        <f>2.195+1.325</f>
        <v>3.5199999999999996</v>
      </c>
      <c r="Z27" s="72">
        <f t="shared" si="5"/>
        <v>7.6031999999999993</v>
      </c>
      <c r="AB27" s="70">
        <f>1.7+0.7</f>
        <v>2.4</v>
      </c>
      <c r="AC27" s="67">
        <f>1.525+1.8</f>
        <v>3.3250000000000002</v>
      </c>
      <c r="AD27" s="72">
        <f t="shared" si="6"/>
        <v>7.98</v>
      </c>
    </row>
    <row r="28" spans="1:30" ht="28.8" x14ac:dyDescent="0.3">
      <c r="A28" s="64" t="s">
        <v>326</v>
      </c>
      <c r="B28" s="70">
        <v>1</v>
      </c>
      <c r="C28" s="67">
        <v>1.37</v>
      </c>
      <c r="D28" s="72">
        <f t="shared" si="0"/>
        <v>1.37</v>
      </c>
      <c r="G28" s="70">
        <v>1.45</v>
      </c>
      <c r="H28" s="67">
        <v>1.22</v>
      </c>
      <c r="I28" s="72">
        <f t="shared" si="1"/>
        <v>1.7689999999999999</v>
      </c>
      <c r="K28" s="70">
        <v>1.635</v>
      </c>
      <c r="L28" s="67">
        <v>1.1140000000000001</v>
      </c>
      <c r="M28" s="72">
        <f t="shared" si="2"/>
        <v>1.8213900000000001</v>
      </c>
      <c r="O28" s="64" t="s">
        <v>326</v>
      </c>
      <c r="P28" s="70">
        <v>1.45</v>
      </c>
      <c r="Q28" s="67">
        <v>1.22</v>
      </c>
      <c r="R28" s="72">
        <f t="shared" si="3"/>
        <v>1.7689999999999999</v>
      </c>
      <c r="T28" s="70">
        <v>1</v>
      </c>
      <c r="U28" s="67">
        <v>1.37</v>
      </c>
      <c r="V28" s="72">
        <f t="shared" si="4"/>
        <v>1.37</v>
      </c>
      <c r="X28" s="70">
        <v>1.45</v>
      </c>
      <c r="Y28" s="67">
        <v>1.22</v>
      </c>
      <c r="Z28" s="72">
        <f t="shared" si="5"/>
        <v>1.7689999999999999</v>
      </c>
      <c r="AB28" s="70">
        <v>1.635</v>
      </c>
      <c r="AC28" s="67">
        <v>1.1140000000000001</v>
      </c>
      <c r="AD28" s="72">
        <f t="shared" si="6"/>
        <v>1.8213900000000001</v>
      </c>
    </row>
    <row r="29" spans="1:30" ht="15" thickBot="1" x14ac:dyDescent="0.35">
      <c r="A29" s="63" t="s">
        <v>327</v>
      </c>
      <c r="B29" s="73">
        <v>1.5</v>
      </c>
      <c r="C29" s="74">
        <v>2.12</v>
      </c>
      <c r="D29" s="75">
        <f t="shared" si="0"/>
        <v>3.18</v>
      </c>
      <c r="G29" s="73">
        <v>1.45</v>
      </c>
      <c r="H29" s="74">
        <v>2.1949999999999998</v>
      </c>
      <c r="I29" s="75">
        <f t="shared" si="1"/>
        <v>3.1827499999999995</v>
      </c>
      <c r="K29" s="73">
        <v>1.7</v>
      </c>
      <c r="L29" s="74">
        <v>1.5249999999999999</v>
      </c>
      <c r="M29" s="75">
        <f t="shared" si="2"/>
        <v>2.5924999999999998</v>
      </c>
      <c r="O29" s="63" t="s">
        <v>327</v>
      </c>
      <c r="P29" s="73">
        <v>1.45</v>
      </c>
      <c r="Q29" s="74">
        <v>2.41</v>
      </c>
      <c r="R29" s="75">
        <f t="shared" si="3"/>
        <v>3.4944999999999999</v>
      </c>
      <c r="T29" s="73">
        <v>1.5</v>
      </c>
      <c r="U29" s="74">
        <v>2.12</v>
      </c>
      <c r="V29" s="75">
        <f t="shared" si="4"/>
        <v>3.18</v>
      </c>
      <c r="X29" s="73">
        <v>1.45</v>
      </c>
      <c r="Y29" s="74">
        <v>2.1949999999999998</v>
      </c>
      <c r="Z29" s="75">
        <f t="shared" si="5"/>
        <v>3.1827499999999995</v>
      </c>
      <c r="AB29" s="73">
        <v>1.7</v>
      </c>
      <c r="AC29" s="74">
        <v>1.5249999999999999</v>
      </c>
      <c r="AD29" s="75">
        <f t="shared" si="6"/>
        <v>2.5924999999999998</v>
      </c>
    </row>
    <row r="30" spans="1:30" s="66" customFormat="1" ht="15" thickBot="1" x14ac:dyDescent="0.35">
      <c r="A30" s="65" t="s">
        <v>328</v>
      </c>
      <c r="B30" s="223">
        <f>SUM(D7:D29)</f>
        <v>194.51715000000007</v>
      </c>
      <c r="C30" s="224"/>
      <c r="D30" s="225"/>
      <c r="G30" s="229">
        <f>SUM(I7:I29)</f>
        <v>198.50224999999995</v>
      </c>
      <c r="H30" s="230"/>
      <c r="I30" s="231"/>
      <c r="K30" s="223">
        <f>SUM(M7:M29)</f>
        <v>184.26059000000006</v>
      </c>
      <c r="L30" s="224"/>
      <c r="M30" s="225"/>
      <c r="O30" s="65" t="s">
        <v>328</v>
      </c>
      <c r="P30" s="223">
        <f>SUM(R7:R29)</f>
        <v>200.0402</v>
      </c>
      <c r="Q30" s="224"/>
      <c r="R30" s="225"/>
      <c r="T30" s="223">
        <f>SUM(V7:V29)</f>
        <v>194.51715000000007</v>
      </c>
      <c r="U30" s="224"/>
      <c r="V30" s="225"/>
      <c r="X30" s="229">
        <f>SUM(Z7:Z29)</f>
        <v>198.50224999999995</v>
      </c>
      <c r="Y30" s="230"/>
      <c r="Z30" s="231"/>
      <c r="AB30" s="223">
        <f>SUM(AD7:AD29)</f>
        <v>184.26059000000006</v>
      </c>
      <c r="AC30" s="224"/>
      <c r="AD30" s="225"/>
    </row>
    <row r="32" spans="1:30" x14ac:dyDescent="0.3">
      <c r="A32" s="226" t="s">
        <v>339</v>
      </c>
      <c r="B32" s="226"/>
      <c r="R32" s="226" t="s">
        <v>344</v>
      </c>
      <c r="S32" s="226"/>
      <c r="T32" s="226"/>
      <c r="U32" s="226"/>
      <c r="V32" s="226"/>
      <c r="W32" s="226"/>
      <c r="X32" s="226"/>
      <c r="Y32" s="226"/>
    </row>
    <row r="33" spans="1:33" ht="15" thickBot="1" x14ac:dyDescent="0.35"/>
    <row r="34" spans="1:33" x14ac:dyDescent="0.3">
      <c r="A34" s="63" t="s">
        <v>309</v>
      </c>
      <c r="B34" s="221">
        <v>1</v>
      </c>
      <c r="C34" s="222"/>
      <c r="D34" s="69" t="s">
        <v>329</v>
      </c>
      <c r="F34" s="80">
        <v>2</v>
      </c>
      <c r="G34" s="81"/>
      <c r="H34" s="69" t="s">
        <v>329</v>
      </c>
      <c r="J34" s="227">
        <v>3</v>
      </c>
      <c r="K34" s="228"/>
      <c r="L34" s="69" t="s">
        <v>329</v>
      </c>
      <c r="N34" s="221">
        <v>4</v>
      </c>
      <c r="O34" s="222"/>
      <c r="P34" s="69" t="s">
        <v>329</v>
      </c>
      <c r="R34" s="63" t="s">
        <v>309</v>
      </c>
      <c r="S34" s="221">
        <v>1</v>
      </c>
      <c r="T34" s="222"/>
      <c r="U34" s="69" t="s">
        <v>329</v>
      </c>
      <c r="W34" s="227">
        <v>2</v>
      </c>
      <c r="X34" s="228"/>
      <c r="Y34" s="69" t="s">
        <v>329</v>
      </c>
      <c r="AA34" s="227">
        <v>3</v>
      </c>
      <c r="AB34" s="228"/>
      <c r="AC34" s="69" t="s">
        <v>329</v>
      </c>
      <c r="AE34" s="221">
        <v>4</v>
      </c>
      <c r="AF34" s="222"/>
      <c r="AG34" s="69" t="s">
        <v>329</v>
      </c>
    </row>
    <row r="35" spans="1:33" x14ac:dyDescent="0.3">
      <c r="A35" s="63" t="s">
        <v>310</v>
      </c>
      <c r="B35" s="70">
        <v>8.75</v>
      </c>
      <c r="C35" s="67">
        <v>5.85</v>
      </c>
      <c r="D35" s="71">
        <f>B35*C35</f>
        <v>51.1875</v>
      </c>
      <c r="F35" s="70">
        <v>5.3</v>
      </c>
      <c r="G35" s="67">
        <v>5.05</v>
      </c>
      <c r="H35" s="71">
        <f t="shared" ref="H35:H57" si="10">F35*G35</f>
        <v>26.764999999999997</v>
      </c>
      <c r="J35" s="70">
        <v>8.75</v>
      </c>
      <c r="K35" s="67">
        <v>6.1870000000000003</v>
      </c>
      <c r="L35" s="71">
        <f>J35*K35</f>
        <v>54.136250000000004</v>
      </c>
      <c r="N35" s="70">
        <v>5.3</v>
      </c>
      <c r="O35" s="67">
        <v>7.0750000000000002</v>
      </c>
      <c r="P35" s="71">
        <f>N35*O35</f>
        <v>37.497500000000002</v>
      </c>
      <c r="R35" s="63" t="s">
        <v>310</v>
      </c>
      <c r="S35" s="70">
        <v>8.75</v>
      </c>
      <c r="T35" s="67">
        <v>5.85</v>
      </c>
      <c r="U35" s="71">
        <f>S35*T35</f>
        <v>51.1875</v>
      </c>
      <c r="W35" s="70">
        <v>5.3</v>
      </c>
      <c r="X35" s="67">
        <v>5.05</v>
      </c>
      <c r="Y35" s="71">
        <f t="shared" ref="Y35:Y57" si="11">W35*X35</f>
        <v>26.764999999999997</v>
      </c>
      <c r="AA35" s="70">
        <v>8.75</v>
      </c>
      <c r="AB35" s="67">
        <v>6.1870000000000003</v>
      </c>
      <c r="AC35" s="71">
        <f>AA35*AB35</f>
        <v>54.136250000000004</v>
      </c>
      <c r="AE35" s="70">
        <v>5.3</v>
      </c>
      <c r="AF35" s="67">
        <v>7.0750000000000002</v>
      </c>
      <c r="AG35" s="71">
        <f>AE35*AF35</f>
        <v>37.497500000000002</v>
      </c>
    </row>
    <row r="36" spans="1:33" x14ac:dyDescent="0.3">
      <c r="A36" s="63" t="s">
        <v>311</v>
      </c>
      <c r="B36" s="70">
        <v>2.74</v>
      </c>
      <c r="C36" s="67">
        <v>3.73</v>
      </c>
      <c r="D36" s="71">
        <f t="shared" ref="D36:D57" si="12">B36*C36</f>
        <v>10.2202</v>
      </c>
      <c r="F36" s="70">
        <f>4.3+2+1.6</f>
        <v>7.9</v>
      </c>
      <c r="G36" s="67">
        <f>1.5+1.2+0.5</f>
        <v>3.2</v>
      </c>
      <c r="H36" s="71">
        <f t="shared" si="10"/>
        <v>25.28</v>
      </c>
      <c r="J36" s="70">
        <v>2.74</v>
      </c>
      <c r="K36" s="67">
        <v>3.5150000000000001</v>
      </c>
      <c r="L36" s="71">
        <f t="shared" ref="L36:L57" si="13">J36*K36</f>
        <v>9.6311000000000018</v>
      </c>
      <c r="N36" s="70">
        <v>4.25</v>
      </c>
      <c r="O36" s="67">
        <v>3.43</v>
      </c>
      <c r="P36" s="71">
        <f t="shared" ref="P36:P57" si="14">N36*O36</f>
        <v>14.577500000000001</v>
      </c>
      <c r="R36" s="63" t="s">
        <v>311</v>
      </c>
      <c r="S36" s="70">
        <v>2.74</v>
      </c>
      <c r="T36" s="67">
        <v>3.73</v>
      </c>
      <c r="U36" s="71">
        <f t="shared" ref="U36:U57" si="15">S36*T36</f>
        <v>10.2202</v>
      </c>
      <c r="W36" s="70">
        <f>4.3+2+1.6</f>
        <v>7.9</v>
      </c>
      <c r="X36" s="67">
        <f>1.5+1.2+0.5</f>
        <v>3.2</v>
      </c>
      <c r="Y36" s="71">
        <f t="shared" si="11"/>
        <v>25.28</v>
      </c>
      <c r="AA36" s="70">
        <v>2.74</v>
      </c>
      <c r="AB36" s="67">
        <v>3.5150000000000001</v>
      </c>
      <c r="AC36" s="71">
        <f t="shared" ref="AC36:AC57" si="16">AA36*AB36</f>
        <v>9.6311000000000018</v>
      </c>
      <c r="AE36" s="70">
        <v>4.25</v>
      </c>
      <c r="AF36" s="67">
        <v>3.43</v>
      </c>
      <c r="AG36" s="71">
        <f t="shared" ref="AG36:AG57" si="17">AE36*AF36</f>
        <v>14.577500000000001</v>
      </c>
    </row>
    <row r="37" spans="1:33" x14ac:dyDescent="0.3">
      <c r="A37" s="63" t="s">
        <v>312</v>
      </c>
      <c r="B37" s="70">
        <v>3.53</v>
      </c>
      <c r="C37" s="67">
        <v>4.55</v>
      </c>
      <c r="D37" s="71">
        <f t="shared" si="12"/>
        <v>16.061499999999999</v>
      </c>
      <c r="F37" s="70">
        <v>3.5</v>
      </c>
      <c r="G37" s="67">
        <v>5.19</v>
      </c>
      <c r="H37" s="71">
        <f t="shared" si="10"/>
        <v>18.165000000000003</v>
      </c>
      <c r="J37" s="70">
        <v>3.35</v>
      </c>
      <c r="K37" s="67">
        <v>4.8869999999999996</v>
      </c>
      <c r="L37" s="71">
        <f t="shared" si="13"/>
        <v>16.371449999999999</v>
      </c>
      <c r="N37" s="70">
        <v>3.5</v>
      </c>
      <c r="O37" s="67">
        <v>5.4249999999999998</v>
      </c>
      <c r="P37" s="71">
        <f t="shared" si="14"/>
        <v>18.987500000000001</v>
      </c>
      <c r="R37" s="63" t="s">
        <v>312</v>
      </c>
      <c r="S37" s="70">
        <v>3.53</v>
      </c>
      <c r="T37" s="67">
        <v>4.55</v>
      </c>
      <c r="U37" s="71">
        <f t="shared" si="15"/>
        <v>16.061499999999999</v>
      </c>
      <c r="W37" s="70">
        <v>3.5</v>
      </c>
      <c r="X37" s="67">
        <v>5.19</v>
      </c>
      <c r="Y37" s="71">
        <f t="shared" si="11"/>
        <v>18.165000000000003</v>
      </c>
      <c r="AA37" s="70">
        <v>3.35</v>
      </c>
      <c r="AB37" s="67">
        <v>4.8869999999999996</v>
      </c>
      <c r="AC37" s="71">
        <f t="shared" si="16"/>
        <v>16.371449999999999</v>
      </c>
      <c r="AE37" s="70">
        <v>3.5</v>
      </c>
      <c r="AF37" s="67">
        <v>5.4249999999999998</v>
      </c>
      <c r="AG37" s="71">
        <f t="shared" si="17"/>
        <v>18.987500000000001</v>
      </c>
    </row>
    <row r="38" spans="1:33" x14ac:dyDescent="0.3">
      <c r="A38" s="63" t="s">
        <v>313</v>
      </c>
      <c r="B38" s="70">
        <v>3.95</v>
      </c>
      <c r="C38" s="67">
        <v>4.5</v>
      </c>
      <c r="D38" s="72">
        <f t="shared" si="12"/>
        <v>17.775000000000002</v>
      </c>
      <c r="F38" s="70">
        <v>3.4</v>
      </c>
      <c r="G38" s="67">
        <v>3.95</v>
      </c>
      <c r="H38" s="72">
        <f t="shared" si="10"/>
        <v>13.43</v>
      </c>
      <c r="J38" s="70">
        <v>3.35</v>
      </c>
      <c r="K38" s="67">
        <v>4.5549999999999997</v>
      </c>
      <c r="L38" s="72">
        <f t="shared" si="13"/>
        <v>15.25925</v>
      </c>
      <c r="N38" s="70">
        <v>3.38</v>
      </c>
      <c r="O38" s="67">
        <v>5</v>
      </c>
      <c r="P38" s="72">
        <f t="shared" si="14"/>
        <v>16.899999999999999</v>
      </c>
      <c r="R38" s="63" t="s">
        <v>313</v>
      </c>
      <c r="S38" s="70">
        <v>3.95</v>
      </c>
      <c r="T38" s="67">
        <v>4.5</v>
      </c>
      <c r="U38" s="72">
        <f t="shared" si="15"/>
        <v>17.775000000000002</v>
      </c>
      <c r="W38" s="70">
        <v>3.4</v>
      </c>
      <c r="X38" s="67">
        <v>3.95</v>
      </c>
      <c r="Y38" s="72">
        <f t="shared" si="11"/>
        <v>13.43</v>
      </c>
      <c r="AA38" s="70">
        <v>3.35</v>
      </c>
      <c r="AB38" s="67">
        <v>4.5549999999999997</v>
      </c>
      <c r="AC38" s="72">
        <f t="shared" si="16"/>
        <v>15.25925</v>
      </c>
      <c r="AE38" s="70">
        <v>3.38</v>
      </c>
      <c r="AF38" s="67">
        <v>5</v>
      </c>
      <c r="AG38" s="72">
        <f t="shared" si="17"/>
        <v>16.899999999999999</v>
      </c>
    </row>
    <row r="39" spans="1:33" x14ac:dyDescent="0.3">
      <c r="A39" s="63" t="s">
        <v>314</v>
      </c>
      <c r="B39" s="70">
        <v>3.43</v>
      </c>
      <c r="C39" s="67">
        <v>4.75</v>
      </c>
      <c r="D39" s="72">
        <f t="shared" si="12"/>
        <v>16.2925</v>
      </c>
      <c r="F39" s="70">
        <v>3.37</v>
      </c>
      <c r="G39" s="67">
        <v>4.88</v>
      </c>
      <c r="H39" s="72">
        <f t="shared" si="10"/>
        <v>16.445599999999999</v>
      </c>
      <c r="J39" s="70">
        <v>3.33</v>
      </c>
      <c r="K39" s="67">
        <v>4.4050000000000002</v>
      </c>
      <c r="L39" s="72">
        <f t="shared" si="13"/>
        <v>14.668650000000001</v>
      </c>
      <c r="N39" s="70">
        <v>3.48</v>
      </c>
      <c r="O39" s="67">
        <v>4.4950000000000001</v>
      </c>
      <c r="P39" s="72">
        <f t="shared" si="14"/>
        <v>15.6426</v>
      </c>
      <c r="R39" s="63" t="s">
        <v>314</v>
      </c>
      <c r="S39" s="70">
        <v>3.43</v>
      </c>
      <c r="T39" s="67">
        <v>4.75</v>
      </c>
      <c r="U39" s="72">
        <f t="shared" si="15"/>
        <v>16.2925</v>
      </c>
      <c r="W39" s="70">
        <v>3.37</v>
      </c>
      <c r="X39" s="67">
        <v>4.88</v>
      </c>
      <c r="Y39" s="72">
        <f t="shared" si="11"/>
        <v>16.445599999999999</v>
      </c>
      <c r="AA39" s="70">
        <v>3.33</v>
      </c>
      <c r="AB39" s="67">
        <v>4.4050000000000002</v>
      </c>
      <c r="AC39" s="72">
        <f t="shared" si="16"/>
        <v>14.668650000000001</v>
      </c>
      <c r="AE39" s="70">
        <v>3.48</v>
      </c>
      <c r="AF39" s="67">
        <v>4.4950000000000001</v>
      </c>
      <c r="AG39" s="72">
        <f t="shared" si="17"/>
        <v>15.6426</v>
      </c>
    </row>
    <row r="40" spans="1:33" x14ac:dyDescent="0.3">
      <c r="A40" s="63" t="s">
        <v>315</v>
      </c>
      <c r="B40" s="70">
        <v>3.35</v>
      </c>
      <c r="C40" s="67">
        <v>4.4000000000000004</v>
      </c>
      <c r="D40" s="72">
        <f t="shared" si="12"/>
        <v>14.740000000000002</v>
      </c>
      <c r="F40" s="70">
        <v>3.62</v>
      </c>
      <c r="G40" s="67">
        <v>4.97</v>
      </c>
      <c r="H40" s="72">
        <f t="shared" si="10"/>
        <v>17.991399999999999</v>
      </c>
      <c r="J40" s="70">
        <v>3.33</v>
      </c>
      <c r="K40" s="67">
        <v>4.74</v>
      </c>
      <c r="L40" s="72">
        <f t="shared" si="13"/>
        <v>15.7842</v>
      </c>
      <c r="N40" s="70">
        <v>3.38</v>
      </c>
      <c r="O40" s="67">
        <v>4.4950000000000001</v>
      </c>
      <c r="P40" s="72">
        <f t="shared" si="14"/>
        <v>15.193099999999999</v>
      </c>
      <c r="R40" s="63" t="s">
        <v>315</v>
      </c>
      <c r="S40" s="70">
        <v>3.35</v>
      </c>
      <c r="T40" s="67">
        <v>4.4000000000000004</v>
      </c>
      <c r="U40" s="72">
        <f t="shared" si="15"/>
        <v>14.740000000000002</v>
      </c>
      <c r="W40" s="70">
        <v>3.62</v>
      </c>
      <c r="X40" s="67">
        <v>4.97</v>
      </c>
      <c r="Y40" s="72">
        <f t="shared" si="11"/>
        <v>17.991399999999999</v>
      </c>
      <c r="AA40" s="70">
        <v>3.33</v>
      </c>
      <c r="AB40" s="67">
        <v>4.74</v>
      </c>
      <c r="AC40" s="72">
        <f t="shared" si="16"/>
        <v>15.7842</v>
      </c>
      <c r="AE40" s="70">
        <v>3.38</v>
      </c>
      <c r="AF40" s="67">
        <v>4.4950000000000001</v>
      </c>
      <c r="AG40" s="72">
        <f t="shared" si="17"/>
        <v>15.193099999999999</v>
      </c>
    </row>
    <row r="41" spans="1:33" x14ac:dyDescent="0.3">
      <c r="A41" s="63" t="s">
        <v>317</v>
      </c>
      <c r="B41" s="70">
        <v>1.45</v>
      </c>
      <c r="C41" s="67">
        <v>1.22</v>
      </c>
      <c r="D41" s="72">
        <f t="shared" si="12"/>
        <v>1.7689999999999999</v>
      </c>
      <c r="F41" s="70">
        <v>1.38</v>
      </c>
      <c r="G41" s="67">
        <v>1.85</v>
      </c>
      <c r="H41" s="72">
        <f t="shared" si="10"/>
        <v>2.5529999999999999</v>
      </c>
      <c r="J41" s="70">
        <v>1.45</v>
      </c>
      <c r="K41" s="67">
        <v>1.22</v>
      </c>
      <c r="L41" s="72">
        <f t="shared" si="13"/>
        <v>1.7689999999999999</v>
      </c>
      <c r="N41" s="70">
        <v>1.22</v>
      </c>
      <c r="O41" s="67">
        <v>1.85</v>
      </c>
      <c r="P41" s="72">
        <f t="shared" si="14"/>
        <v>2.2570000000000001</v>
      </c>
      <c r="R41" s="63" t="s">
        <v>317</v>
      </c>
      <c r="S41" s="70">
        <v>1.45</v>
      </c>
      <c r="T41" s="67">
        <v>1.22</v>
      </c>
      <c r="U41" s="72">
        <f t="shared" si="15"/>
        <v>1.7689999999999999</v>
      </c>
      <c r="W41" s="70">
        <v>1.38</v>
      </c>
      <c r="X41" s="67">
        <v>1.85</v>
      </c>
      <c r="Y41" s="72">
        <f t="shared" si="11"/>
        <v>2.5529999999999999</v>
      </c>
      <c r="AA41" s="70">
        <v>1.45</v>
      </c>
      <c r="AB41" s="67">
        <v>1.22</v>
      </c>
      <c r="AC41" s="72">
        <f t="shared" si="16"/>
        <v>1.7689999999999999</v>
      </c>
      <c r="AE41" s="70">
        <v>1.22</v>
      </c>
      <c r="AF41" s="67">
        <v>1.85</v>
      </c>
      <c r="AG41" s="72">
        <f t="shared" si="17"/>
        <v>2.2570000000000001</v>
      </c>
    </row>
    <row r="42" spans="1:33" x14ac:dyDescent="0.3">
      <c r="A42" s="63" t="s">
        <v>316</v>
      </c>
      <c r="B42" s="70">
        <v>3.35</v>
      </c>
      <c r="C42" s="67">
        <v>1.83</v>
      </c>
      <c r="D42" s="72">
        <f t="shared" si="12"/>
        <v>6.1305000000000005</v>
      </c>
      <c r="F42" s="70">
        <v>2.73</v>
      </c>
      <c r="G42" s="67">
        <v>1.85</v>
      </c>
      <c r="H42" s="72">
        <f t="shared" si="10"/>
        <v>5.0505000000000004</v>
      </c>
      <c r="J42" s="70">
        <v>3.36</v>
      </c>
      <c r="K42" s="67">
        <v>1.83</v>
      </c>
      <c r="L42" s="72">
        <f t="shared" si="13"/>
        <v>6.1487999999999996</v>
      </c>
      <c r="N42" s="70">
        <v>2.75</v>
      </c>
      <c r="O42" s="67">
        <v>1.85</v>
      </c>
      <c r="P42" s="72">
        <f t="shared" si="14"/>
        <v>5.0875000000000004</v>
      </c>
      <c r="R42" s="63" t="s">
        <v>316</v>
      </c>
      <c r="S42" s="70">
        <v>3.35</v>
      </c>
      <c r="T42" s="67">
        <v>1.83</v>
      </c>
      <c r="U42" s="72">
        <f t="shared" si="15"/>
        <v>6.1305000000000005</v>
      </c>
      <c r="W42" s="70">
        <v>2.73</v>
      </c>
      <c r="X42" s="67">
        <v>1.85</v>
      </c>
      <c r="Y42" s="72">
        <f t="shared" si="11"/>
        <v>5.0505000000000004</v>
      </c>
      <c r="AA42" s="70">
        <v>3.36</v>
      </c>
      <c r="AB42" s="67">
        <v>1.83</v>
      </c>
      <c r="AC42" s="72">
        <f t="shared" si="16"/>
        <v>6.1487999999999996</v>
      </c>
      <c r="AE42" s="70">
        <v>2.75</v>
      </c>
      <c r="AF42" s="67">
        <v>1.85</v>
      </c>
      <c r="AG42" s="72">
        <f t="shared" si="17"/>
        <v>5.0875000000000004</v>
      </c>
    </row>
    <row r="43" spans="1:33" x14ac:dyDescent="0.3">
      <c r="A43" s="63" t="s">
        <v>318</v>
      </c>
      <c r="B43" s="70">
        <v>2.44</v>
      </c>
      <c r="C43" s="67">
        <v>1.52</v>
      </c>
      <c r="D43" s="72">
        <f t="shared" si="12"/>
        <v>3.7088000000000001</v>
      </c>
      <c r="F43" s="70">
        <v>2.44</v>
      </c>
      <c r="G43" s="67">
        <v>1.68</v>
      </c>
      <c r="H43" s="72">
        <f t="shared" si="10"/>
        <v>4.0991999999999997</v>
      </c>
      <c r="J43" s="70">
        <v>2.44</v>
      </c>
      <c r="K43" s="67">
        <v>1.575</v>
      </c>
      <c r="L43" s="72">
        <f t="shared" si="13"/>
        <v>3.843</v>
      </c>
      <c r="N43" s="70">
        <v>1.72</v>
      </c>
      <c r="O43" s="67">
        <v>2.44</v>
      </c>
      <c r="P43" s="72">
        <f t="shared" si="14"/>
        <v>4.1967999999999996</v>
      </c>
      <c r="R43" s="63" t="s">
        <v>318</v>
      </c>
      <c r="S43" s="70">
        <v>2.44</v>
      </c>
      <c r="T43" s="67">
        <v>1.52</v>
      </c>
      <c r="U43" s="72">
        <f t="shared" si="15"/>
        <v>3.7088000000000001</v>
      </c>
      <c r="W43" s="70">
        <v>2.44</v>
      </c>
      <c r="X43" s="67">
        <v>1.68</v>
      </c>
      <c r="Y43" s="72">
        <f t="shared" si="11"/>
        <v>4.0991999999999997</v>
      </c>
      <c r="AA43" s="70">
        <v>2.44</v>
      </c>
      <c r="AB43" s="67">
        <v>1.575</v>
      </c>
      <c r="AC43" s="72">
        <f t="shared" si="16"/>
        <v>3.843</v>
      </c>
      <c r="AE43" s="70">
        <v>1.72</v>
      </c>
      <c r="AF43" s="67">
        <v>2.44</v>
      </c>
      <c r="AG43" s="72">
        <f t="shared" si="17"/>
        <v>4.1967999999999996</v>
      </c>
    </row>
    <row r="44" spans="1:33" x14ac:dyDescent="0.3">
      <c r="A44" s="63" t="s">
        <v>319</v>
      </c>
      <c r="B44" s="70">
        <v>1.52</v>
      </c>
      <c r="C44" s="67">
        <v>2.44</v>
      </c>
      <c r="D44" s="72">
        <f t="shared" si="12"/>
        <v>3.7088000000000001</v>
      </c>
      <c r="F44" s="70">
        <v>1.68</v>
      </c>
      <c r="G44" s="67">
        <v>2.4500000000000002</v>
      </c>
      <c r="H44" s="72">
        <f t="shared" si="10"/>
        <v>4.1160000000000005</v>
      </c>
      <c r="J44" s="70">
        <v>1.52</v>
      </c>
      <c r="K44" s="67">
        <v>2.44</v>
      </c>
      <c r="L44" s="72">
        <f t="shared" si="13"/>
        <v>3.7088000000000001</v>
      </c>
      <c r="N44" s="70">
        <v>1.67</v>
      </c>
      <c r="O44" s="67">
        <v>2.62</v>
      </c>
      <c r="P44" s="72">
        <f t="shared" si="14"/>
        <v>4.3754</v>
      </c>
      <c r="R44" s="63" t="s">
        <v>319</v>
      </c>
      <c r="S44" s="70">
        <v>1.52</v>
      </c>
      <c r="T44" s="67">
        <v>2.44</v>
      </c>
      <c r="U44" s="72">
        <f t="shared" si="15"/>
        <v>3.7088000000000001</v>
      </c>
      <c r="W44" s="70">
        <v>1.68</v>
      </c>
      <c r="X44" s="67">
        <v>2.4500000000000002</v>
      </c>
      <c r="Y44" s="72">
        <f t="shared" si="11"/>
        <v>4.1160000000000005</v>
      </c>
      <c r="AA44" s="70">
        <v>1.52</v>
      </c>
      <c r="AB44" s="67">
        <v>2.44</v>
      </c>
      <c r="AC44" s="72">
        <f t="shared" si="16"/>
        <v>3.7088000000000001</v>
      </c>
      <c r="AE44" s="70">
        <v>1.67</v>
      </c>
      <c r="AF44" s="67">
        <v>2.62</v>
      </c>
      <c r="AG44" s="72">
        <f t="shared" si="17"/>
        <v>4.3754</v>
      </c>
    </row>
    <row r="45" spans="1:33" x14ac:dyDescent="0.3">
      <c r="A45" s="63" t="s">
        <v>320</v>
      </c>
      <c r="B45" s="70">
        <v>1.52</v>
      </c>
      <c r="C45" s="67">
        <v>2.44</v>
      </c>
      <c r="D45" s="72">
        <f t="shared" si="12"/>
        <v>3.7088000000000001</v>
      </c>
      <c r="F45" s="70">
        <v>1.53</v>
      </c>
      <c r="G45" s="67">
        <v>2.4500000000000002</v>
      </c>
      <c r="H45" s="72">
        <f t="shared" si="10"/>
        <v>3.7485000000000004</v>
      </c>
      <c r="J45" s="70">
        <v>1.52</v>
      </c>
      <c r="K45" s="67">
        <v>2.44</v>
      </c>
      <c r="L45" s="72">
        <f t="shared" si="13"/>
        <v>3.7088000000000001</v>
      </c>
      <c r="N45" s="70">
        <v>1.67</v>
      </c>
      <c r="O45" s="67">
        <v>2.62</v>
      </c>
      <c r="P45" s="72">
        <f t="shared" si="14"/>
        <v>4.3754</v>
      </c>
      <c r="R45" s="63" t="s">
        <v>320</v>
      </c>
      <c r="S45" s="70">
        <v>1.52</v>
      </c>
      <c r="T45" s="67">
        <v>2.44</v>
      </c>
      <c r="U45" s="72">
        <f t="shared" si="15"/>
        <v>3.7088000000000001</v>
      </c>
      <c r="W45" s="70">
        <v>1.53</v>
      </c>
      <c r="X45" s="67">
        <v>2.4500000000000002</v>
      </c>
      <c r="Y45" s="72">
        <f t="shared" si="11"/>
        <v>3.7485000000000004</v>
      </c>
      <c r="AA45" s="70">
        <v>1.52</v>
      </c>
      <c r="AB45" s="67">
        <v>2.44</v>
      </c>
      <c r="AC45" s="72">
        <f t="shared" si="16"/>
        <v>3.7088000000000001</v>
      </c>
      <c r="AE45" s="70">
        <v>1.67</v>
      </c>
      <c r="AF45" s="67">
        <v>2.62</v>
      </c>
      <c r="AG45" s="72">
        <f t="shared" si="17"/>
        <v>4.3754</v>
      </c>
    </row>
    <row r="46" spans="1:33" ht="28.8" x14ac:dyDescent="0.3">
      <c r="A46" s="76" t="s">
        <v>335</v>
      </c>
      <c r="B46" s="70">
        <v>4.05</v>
      </c>
      <c r="C46" s="67">
        <v>3.5</v>
      </c>
      <c r="D46" s="72">
        <f t="shared" si="12"/>
        <v>14.174999999999999</v>
      </c>
      <c r="F46" s="70">
        <v>2.17</v>
      </c>
      <c r="G46" s="67">
        <v>3.2</v>
      </c>
      <c r="H46" s="72">
        <f t="shared" si="10"/>
        <v>6.944</v>
      </c>
      <c r="J46" s="70">
        <v>4.03</v>
      </c>
      <c r="K46" s="67">
        <v>3.5649999999999999</v>
      </c>
      <c r="L46" s="72">
        <f t="shared" si="13"/>
        <v>14.366950000000001</v>
      </c>
      <c r="N46" s="70">
        <v>2.12</v>
      </c>
      <c r="O46" s="67">
        <v>3.22</v>
      </c>
      <c r="P46" s="72">
        <f t="shared" si="14"/>
        <v>6.8264000000000005</v>
      </c>
      <c r="R46" s="76" t="s">
        <v>335</v>
      </c>
      <c r="S46" s="70">
        <v>4.05</v>
      </c>
      <c r="T46" s="67">
        <v>3.5</v>
      </c>
      <c r="U46" s="72">
        <f t="shared" si="15"/>
        <v>14.174999999999999</v>
      </c>
      <c r="W46" s="70">
        <v>2.17</v>
      </c>
      <c r="X46" s="67">
        <v>3.2</v>
      </c>
      <c r="Y46" s="72">
        <f t="shared" si="11"/>
        <v>6.944</v>
      </c>
      <c r="AA46" s="70">
        <v>4.03</v>
      </c>
      <c r="AB46" s="67">
        <v>3.5649999999999999</v>
      </c>
      <c r="AC46" s="72">
        <f t="shared" si="16"/>
        <v>14.366950000000001</v>
      </c>
      <c r="AE46" s="70">
        <v>2.12</v>
      </c>
      <c r="AF46" s="67">
        <v>3.22</v>
      </c>
      <c r="AG46" s="72">
        <f t="shared" si="17"/>
        <v>6.8264000000000005</v>
      </c>
    </row>
    <row r="47" spans="1:33" x14ac:dyDescent="0.3">
      <c r="A47" s="63" t="s">
        <v>321</v>
      </c>
      <c r="B47" s="70">
        <v>1.75</v>
      </c>
      <c r="C47" s="67">
        <v>1.52</v>
      </c>
      <c r="D47" s="72">
        <f t="shared" si="12"/>
        <v>2.66</v>
      </c>
      <c r="F47" s="70">
        <v>3</v>
      </c>
      <c r="G47" s="67">
        <v>1</v>
      </c>
      <c r="H47" s="72">
        <f t="shared" si="10"/>
        <v>3</v>
      </c>
      <c r="J47" s="70">
        <v>1.91</v>
      </c>
      <c r="K47" s="67">
        <v>3.03</v>
      </c>
      <c r="L47" s="72">
        <f t="shared" si="13"/>
        <v>5.7872999999999992</v>
      </c>
      <c r="N47" s="70">
        <v>6.5</v>
      </c>
      <c r="O47" s="67">
        <v>1</v>
      </c>
      <c r="P47" s="72">
        <f t="shared" si="14"/>
        <v>6.5</v>
      </c>
      <c r="R47" s="63" t="s">
        <v>321</v>
      </c>
      <c r="S47" s="70">
        <v>1.75</v>
      </c>
      <c r="T47" s="67">
        <v>1.52</v>
      </c>
      <c r="U47" s="72">
        <f t="shared" si="15"/>
        <v>2.66</v>
      </c>
      <c r="W47" s="70">
        <v>3</v>
      </c>
      <c r="X47" s="67">
        <v>1</v>
      </c>
      <c r="Y47" s="72">
        <f t="shared" si="11"/>
        <v>3</v>
      </c>
      <c r="AA47" s="70">
        <v>1.91</v>
      </c>
      <c r="AB47" s="67">
        <v>3.03</v>
      </c>
      <c r="AC47" s="72">
        <f t="shared" si="16"/>
        <v>5.7872999999999992</v>
      </c>
      <c r="AE47" s="70">
        <v>6.5</v>
      </c>
      <c r="AF47" s="67">
        <v>1</v>
      </c>
      <c r="AG47" s="72">
        <f t="shared" si="17"/>
        <v>6.5</v>
      </c>
    </row>
    <row r="48" spans="1:33" x14ac:dyDescent="0.3">
      <c r="A48" s="63" t="s">
        <v>322</v>
      </c>
      <c r="B48" s="70">
        <v>2.1</v>
      </c>
      <c r="C48" s="67">
        <v>3.08</v>
      </c>
      <c r="D48" s="72">
        <f t="shared" si="12"/>
        <v>6.4680000000000009</v>
      </c>
      <c r="F48" s="70">
        <v>2.1</v>
      </c>
      <c r="G48" s="67">
        <v>1.35</v>
      </c>
      <c r="H48" s="72">
        <f t="shared" si="10"/>
        <v>2.8350000000000004</v>
      </c>
      <c r="J48" s="70">
        <v>1.75</v>
      </c>
      <c r="K48" s="67">
        <v>1.575</v>
      </c>
      <c r="L48" s="72">
        <f t="shared" si="13"/>
        <v>2.7562500000000001</v>
      </c>
      <c r="N48" s="70">
        <v>0.8</v>
      </c>
      <c r="O48" s="67">
        <v>1</v>
      </c>
      <c r="P48" s="72">
        <f t="shared" si="14"/>
        <v>0.8</v>
      </c>
      <c r="R48" s="63" t="s">
        <v>322</v>
      </c>
      <c r="S48" s="70">
        <v>2.1</v>
      </c>
      <c r="T48" s="67">
        <v>3.08</v>
      </c>
      <c r="U48" s="72">
        <f t="shared" si="15"/>
        <v>6.4680000000000009</v>
      </c>
      <c r="W48" s="70">
        <v>2.1</v>
      </c>
      <c r="X48" s="67">
        <v>1.35</v>
      </c>
      <c r="Y48" s="72">
        <f t="shared" si="11"/>
        <v>2.8350000000000004</v>
      </c>
      <c r="AA48" s="70">
        <v>1.75</v>
      </c>
      <c r="AB48" s="67">
        <v>1.575</v>
      </c>
      <c r="AC48" s="72">
        <f t="shared" si="16"/>
        <v>2.7562500000000001</v>
      </c>
      <c r="AE48" s="70">
        <v>0.8</v>
      </c>
      <c r="AF48" s="67">
        <v>1</v>
      </c>
      <c r="AG48" s="72">
        <f t="shared" si="17"/>
        <v>0.8</v>
      </c>
    </row>
    <row r="49" spans="1:33" x14ac:dyDescent="0.3">
      <c r="A49" s="63" t="s">
        <v>323</v>
      </c>
      <c r="B49" s="70">
        <v>1.26</v>
      </c>
      <c r="C49" s="67">
        <v>1.62</v>
      </c>
      <c r="D49" s="72">
        <f t="shared" si="12"/>
        <v>2.0412000000000003</v>
      </c>
      <c r="F49" s="70">
        <v>3.42</v>
      </c>
      <c r="G49" s="67">
        <v>1.65</v>
      </c>
      <c r="H49" s="72">
        <f t="shared" si="10"/>
        <v>5.6429999999999998</v>
      </c>
      <c r="J49" s="70">
        <v>1.08</v>
      </c>
      <c r="K49" s="67">
        <v>1.575</v>
      </c>
      <c r="L49" s="72">
        <f t="shared" si="13"/>
        <v>1.7010000000000001</v>
      </c>
      <c r="N49" s="70">
        <v>0.8</v>
      </c>
      <c r="O49" s="67">
        <v>1.75</v>
      </c>
      <c r="P49" s="72">
        <f t="shared" si="14"/>
        <v>1.4000000000000001</v>
      </c>
      <c r="R49" s="63" t="s">
        <v>323</v>
      </c>
      <c r="S49" s="70">
        <v>1.26</v>
      </c>
      <c r="T49" s="67">
        <v>1.62</v>
      </c>
      <c r="U49" s="72">
        <f t="shared" si="15"/>
        <v>2.0412000000000003</v>
      </c>
      <c r="W49" s="70">
        <v>3.42</v>
      </c>
      <c r="X49" s="67">
        <v>1.65</v>
      </c>
      <c r="Y49" s="72">
        <f t="shared" si="11"/>
        <v>5.6429999999999998</v>
      </c>
      <c r="AA49" s="70">
        <v>1.08</v>
      </c>
      <c r="AB49" s="67">
        <v>1.575</v>
      </c>
      <c r="AC49" s="72">
        <f t="shared" si="16"/>
        <v>1.7010000000000001</v>
      </c>
      <c r="AE49" s="70">
        <v>0.8</v>
      </c>
      <c r="AF49" s="67">
        <v>1.75</v>
      </c>
      <c r="AG49" s="72">
        <f t="shared" si="17"/>
        <v>1.4000000000000001</v>
      </c>
    </row>
    <row r="50" spans="1:33" x14ac:dyDescent="0.3">
      <c r="A50" s="63" t="s">
        <v>324</v>
      </c>
      <c r="B50" s="70">
        <v>1.67</v>
      </c>
      <c r="C50" s="67">
        <v>1.05</v>
      </c>
      <c r="D50" s="72">
        <f t="shared" si="12"/>
        <v>1.7535000000000001</v>
      </c>
      <c r="F50" s="70">
        <v>1.63</v>
      </c>
      <c r="G50" s="67">
        <v>1.665</v>
      </c>
      <c r="H50" s="72">
        <f t="shared" si="10"/>
        <v>2.7139500000000001</v>
      </c>
      <c r="J50" s="70">
        <v>1.67</v>
      </c>
      <c r="K50" s="67">
        <v>1.05</v>
      </c>
      <c r="L50" s="72">
        <f t="shared" si="13"/>
        <v>1.7535000000000001</v>
      </c>
      <c r="N50" s="70"/>
      <c r="O50" s="67"/>
      <c r="P50" s="72">
        <f t="shared" si="14"/>
        <v>0</v>
      </c>
      <c r="R50" s="63" t="s">
        <v>324</v>
      </c>
      <c r="S50" s="70">
        <v>1.67</v>
      </c>
      <c r="T50" s="67">
        <v>1.05</v>
      </c>
      <c r="U50" s="72">
        <f t="shared" si="15"/>
        <v>1.7535000000000001</v>
      </c>
      <c r="W50" s="70">
        <v>1.63</v>
      </c>
      <c r="X50" s="67">
        <v>1.665</v>
      </c>
      <c r="Y50" s="72">
        <f t="shared" si="11"/>
        <v>2.7139500000000001</v>
      </c>
      <c r="AA50" s="70">
        <v>1.67</v>
      </c>
      <c r="AB50" s="67">
        <v>1.05</v>
      </c>
      <c r="AC50" s="72">
        <f t="shared" si="16"/>
        <v>1.7535000000000001</v>
      </c>
      <c r="AE50" s="70"/>
      <c r="AF50" s="67"/>
      <c r="AG50" s="72">
        <f t="shared" si="17"/>
        <v>0</v>
      </c>
    </row>
    <row r="51" spans="1:33" x14ac:dyDescent="0.3">
      <c r="A51" s="63" t="s">
        <v>325</v>
      </c>
      <c r="B51" s="70"/>
      <c r="C51" s="67"/>
      <c r="D51" s="72">
        <f t="shared" si="12"/>
        <v>0</v>
      </c>
      <c r="F51" s="70">
        <v>1.8</v>
      </c>
      <c r="G51" s="67">
        <v>1.2</v>
      </c>
      <c r="H51" s="72">
        <f t="shared" si="10"/>
        <v>2.16</v>
      </c>
      <c r="J51" s="70"/>
      <c r="K51" s="67"/>
      <c r="L51" s="72">
        <f t="shared" si="13"/>
        <v>0</v>
      </c>
      <c r="N51" s="70"/>
      <c r="O51" s="67"/>
      <c r="P51" s="72">
        <f t="shared" si="14"/>
        <v>0</v>
      </c>
      <c r="R51" s="63" t="s">
        <v>325</v>
      </c>
      <c r="S51" s="70"/>
      <c r="T51" s="67"/>
      <c r="U51" s="72">
        <f t="shared" si="15"/>
        <v>0</v>
      </c>
      <c r="W51" s="70">
        <v>1.8</v>
      </c>
      <c r="X51" s="67">
        <v>1.2</v>
      </c>
      <c r="Y51" s="72">
        <f t="shared" si="11"/>
        <v>2.16</v>
      </c>
      <c r="AA51" s="70"/>
      <c r="AB51" s="67"/>
      <c r="AC51" s="72">
        <f t="shared" si="16"/>
        <v>0</v>
      </c>
      <c r="AE51" s="70"/>
      <c r="AF51" s="67"/>
      <c r="AG51" s="72">
        <f t="shared" si="17"/>
        <v>0</v>
      </c>
    </row>
    <row r="52" spans="1:33" x14ac:dyDescent="0.3">
      <c r="A52" s="63" t="s">
        <v>330</v>
      </c>
      <c r="B52" s="70"/>
      <c r="C52" s="67"/>
      <c r="D52" s="72">
        <f t="shared" si="12"/>
        <v>0</v>
      </c>
      <c r="F52" s="70">
        <v>1.05</v>
      </c>
      <c r="G52" s="67">
        <v>0.6</v>
      </c>
      <c r="H52" s="72">
        <f t="shared" si="10"/>
        <v>0.63</v>
      </c>
      <c r="J52" s="70"/>
      <c r="K52" s="67"/>
      <c r="L52" s="72">
        <f t="shared" si="13"/>
        <v>0</v>
      </c>
      <c r="N52" s="70"/>
      <c r="O52" s="67"/>
      <c r="P52" s="72">
        <f t="shared" si="14"/>
        <v>0</v>
      </c>
      <c r="R52" s="63" t="s">
        <v>330</v>
      </c>
      <c r="S52" s="70"/>
      <c r="T52" s="67"/>
      <c r="U52" s="72">
        <f t="shared" si="15"/>
        <v>0</v>
      </c>
      <c r="W52" s="70">
        <v>1.05</v>
      </c>
      <c r="X52" s="67">
        <v>0.6</v>
      </c>
      <c r="Y52" s="72">
        <f t="shared" si="11"/>
        <v>0.63</v>
      </c>
      <c r="AA52" s="70"/>
      <c r="AB52" s="67"/>
      <c r="AC52" s="72">
        <f t="shared" si="16"/>
        <v>0</v>
      </c>
      <c r="AE52" s="70"/>
      <c r="AF52" s="67"/>
      <c r="AG52" s="72">
        <f t="shared" si="17"/>
        <v>0</v>
      </c>
    </row>
    <row r="53" spans="1:33" x14ac:dyDescent="0.3">
      <c r="A53" s="63" t="s">
        <v>334</v>
      </c>
      <c r="B53" s="70"/>
      <c r="C53" s="67"/>
      <c r="D53" s="72">
        <f t="shared" si="12"/>
        <v>0</v>
      </c>
      <c r="F53" s="70">
        <v>3.8</v>
      </c>
      <c r="G53" s="67">
        <v>2.0499999999999998</v>
      </c>
      <c r="H53" s="72">
        <f t="shared" si="10"/>
        <v>7.7899999999999991</v>
      </c>
      <c r="J53" s="70"/>
      <c r="K53" s="67"/>
      <c r="L53" s="72">
        <f t="shared" si="13"/>
        <v>0</v>
      </c>
      <c r="N53" s="70"/>
      <c r="O53" s="67"/>
      <c r="P53" s="72">
        <f t="shared" si="14"/>
        <v>0</v>
      </c>
      <c r="R53" s="63" t="s">
        <v>334</v>
      </c>
      <c r="S53" s="70"/>
      <c r="T53" s="67"/>
      <c r="U53" s="72">
        <f t="shared" si="15"/>
        <v>0</v>
      </c>
      <c r="W53" s="70">
        <v>3.8</v>
      </c>
      <c r="X53" s="67">
        <v>2.0499999999999998</v>
      </c>
      <c r="Y53" s="72">
        <f t="shared" si="11"/>
        <v>7.7899999999999991</v>
      </c>
      <c r="AA53" s="70"/>
      <c r="AB53" s="67"/>
      <c r="AC53" s="72">
        <f t="shared" si="16"/>
        <v>0</v>
      </c>
      <c r="AE53" s="70"/>
      <c r="AF53" s="67"/>
      <c r="AG53" s="72">
        <f t="shared" si="17"/>
        <v>0</v>
      </c>
    </row>
    <row r="54" spans="1:33" x14ac:dyDescent="0.3">
      <c r="A54" s="64" t="s">
        <v>332</v>
      </c>
      <c r="B54" s="70">
        <v>6.6</v>
      </c>
      <c r="C54" s="67">
        <v>2.15</v>
      </c>
      <c r="D54" s="72">
        <f t="shared" si="12"/>
        <v>14.19</v>
      </c>
      <c r="F54" s="70">
        <v>5.75</v>
      </c>
      <c r="G54" s="67">
        <v>2.91</v>
      </c>
      <c r="H54" s="72">
        <f t="shared" si="10"/>
        <v>16.732500000000002</v>
      </c>
      <c r="J54" s="70">
        <v>6.6</v>
      </c>
      <c r="K54" s="67">
        <v>2.2050000000000001</v>
      </c>
      <c r="L54" s="72">
        <f t="shared" si="13"/>
        <v>14.552999999999999</v>
      </c>
      <c r="N54" s="70">
        <v>5.75</v>
      </c>
      <c r="O54" s="67">
        <v>3</v>
      </c>
      <c r="P54" s="72">
        <f t="shared" si="14"/>
        <v>17.25</v>
      </c>
      <c r="R54" s="64" t="s">
        <v>332</v>
      </c>
      <c r="S54" s="70">
        <v>6.6</v>
      </c>
      <c r="T54" s="67">
        <v>2.15</v>
      </c>
      <c r="U54" s="72">
        <f t="shared" si="15"/>
        <v>14.19</v>
      </c>
      <c r="W54" s="70">
        <v>5.75</v>
      </c>
      <c r="X54" s="67">
        <v>2.91</v>
      </c>
      <c r="Y54" s="72">
        <f t="shared" si="11"/>
        <v>16.732500000000002</v>
      </c>
      <c r="AA54" s="70">
        <v>6.6</v>
      </c>
      <c r="AB54" s="67">
        <v>2.2050000000000001</v>
      </c>
      <c r="AC54" s="72">
        <f t="shared" si="16"/>
        <v>14.552999999999999</v>
      </c>
      <c r="AE54" s="70">
        <v>5.75</v>
      </c>
      <c r="AF54" s="67">
        <v>3</v>
      </c>
      <c r="AG54" s="72">
        <f t="shared" si="17"/>
        <v>17.25</v>
      </c>
    </row>
    <row r="55" spans="1:33" ht="28.8" x14ac:dyDescent="0.3">
      <c r="A55" s="64" t="s">
        <v>333</v>
      </c>
      <c r="B55" s="70">
        <f>1.36+0.8</f>
        <v>2.16</v>
      </c>
      <c r="C55" s="67">
        <f>2.41+1.38</f>
        <v>3.79</v>
      </c>
      <c r="D55" s="72">
        <f t="shared" si="12"/>
        <v>8.1864000000000008</v>
      </c>
      <c r="F55" s="70">
        <v>2.0499999999999998</v>
      </c>
      <c r="G55" s="67">
        <v>1.89</v>
      </c>
      <c r="H55" s="72">
        <f t="shared" si="10"/>
        <v>3.8744999999999994</v>
      </c>
      <c r="J55" s="70">
        <f>1.36+0.8</f>
        <v>2.16</v>
      </c>
      <c r="K55" s="67">
        <f>2.195+1.325</f>
        <v>3.5199999999999996</v>
      </c>
      <c r="L55" s="72">
        <f t="shared" si="13"/>
        <v>7.6031999999999993</v>
      </c>
      <c r="N55" s="70">
        <f>1.7+0.7</f>
        <v>2.4</v>
      </c>
      <c r="O55" s="67">
        <f>1.525+1.8</f>
        <v>3.3250000000000002</v>
      </c>
      <c r="P55" s="72">
        <f t="shared" si="14"/>
        <v>7.98</v>
      </c>
      <c r="R55" s="64" t="s">
        <v>333</v>
      </c>
      <c r="S55" s="70">
        <f>1.36+0.8</f>
        <v>2.16</v>
      </c>
      <c r="T55" s="67">
        <f>2.41+1.38</f>
        <v>3.79</v>
      </c>
      <c r="U55" s="72">
        <f t="shared" si="15"/>
        <v>8.1864000000000008</v>
      </c>
      <c r="W55" s="70">
        <v>2.0499999999999998</v>
      </c>
      <c r="X55" s="67">
        <v>1.89</v>
      </c>
      <c r="Y55" s="72">
        <f t="shared" si="11"/>
        <v>3.8744999999999994</v>
      </c>
      <c r="AA55" s="70">
        <f>1.36+0.8</f>
        <v>2.16</v>
      </c>
      <c r="AB55" s="67">
        <f>2.195+1.325</f>
        <v>3.5199999999999996</v>
      </c>
      <c r="AC55" s="72">
        <f t="shared" si="16"/>
        <v>7.6031999999999993</v>
      </c>
      <c r="AE55" s="70">
        <f>1.7+0.7</f>
        <v>2.4</v>
      </c>
      <c r="AF55" s="67">
        <f>1.525+1.8</f>
        <v>3.3250000000000002</v>
      </c>
      <c r="AG55" s="72">
        <f t="shared" si="17"/>
        <v>7.98</v>
      </c>
    </row>
    <row r="56" spans="1:33" ht="28.8" x14ac:dyDescent="0.3">
      <c r="A56" s="64" t="s">
        <v>326</v>
      </c>
      <c r="B56" s="70">
        <v>1.45</v>
      </c>
      <c r="C56" s="67">
        <v>1.22</v>
      </c>
      <c r="D56" s="72">
        <f t="shared" si="12"/>
        <v>1.7689999999999999</v>
      </c>
      <c r="F56" s="70">
        <v>1</v>
      </c>
      <c r="G56" s="67">
        <v>1.37</v>
      </c>
      <c r="H56" s="72">
        <f t="shared" si="10"/>
        <v>1.37</v>
      </c>
      <c r="J56" s="70">
        <v>1.45</v>
      </c>
      <c r="K56" s="67">
        <v>1.22</v>
      </c>
      <c r="L56" s="72">
        <f t="shared" si="13"/>
        <v>1.7689999999999999</v>
      </c>
      <c r="N56" s="70">
        <v>1.635</v>
      </c>
      <c r="O56" s="67">
        <v>1.1140000000000001</v>
      </c>
      <c r="P56" s="72">
        <f t="shared" si="14"/>
        <v>1.8213900000000001</v>
      </c>
      <c r="R56" s="64" t="s">
        <v>326</v>
      </c>
      <c r="S56" s="70">
        <v>1.45</v>
      </c>
      <c r="T56" s="67">
        <v>1.22</v>
      </c>
      <c r="U56" s="72">
        <f t="shared" si="15"/>
        <v>1.7689999999999999</v>
      </c>
      <c r="W56" s="70">
        <v>1</v>
      </c>
      <c r="X56" s="67">
        <v>1.37</v>
      </c>
      <c r="Y56" s="72">
        <f t="shared" si="11"/>
        <v>1.37</v>
      </c>
      <c r="AA56" s="70">
        <v>1.45</v>
      </c>
      <c r="AB56" s="67">
        <v>1.22</v>
      </c>
      <c r="AC56" s="72">
        <f t="shared" si="16"/>
        <v>1.7689999999999999</v>
      </c>
      <c r="AE56" s="70">
        <v>1.635</v>
      </c>
      <c r="AF56" s="67">
        <v>1.1140000000000001</v>
      </c>
      <c r="AG56" s="72">
        <f t="shared" si="17"/>
        <v>1.8213900000000001</v>
      </c>
    </row>
    <row r="57" spans="1:33" ht="15" thickBot="1" x14ac:dyDescent="0.35">
      <c r="A57" s="63" t="s">
        <v>327</v>
      </c>
      <c r="B57" s="73">
        <v>1.45</v>
      </c>
      <c r="C57" s="74">
        <v>2.41</v>
      </c>
      <c r="D57" s="75">
        <f t="shared" si="12"/>
        <v>3.4944999999999999</v>
      </c>
      <c r="F57" s="73">
        <v>1.5</v>
      </c>
      <c r="G57" s="74">
        <v>2.12</v>
      </c>
      <c r="H57" s="75">
        <f t="shared" si="10"/>
        <v>3.18</v>
      </c>
      <c r="J57" s="73">
        <v>1.45</v>
      </c>
      <c r="K57" s="74">
        <v>2.1949999999999998</v>
      </c>
      <c r="L57" s="75">
        <f t="shared" si="13"/>
        <v>3.1827499999999995</v>
      </c>
      <c r="N57" s="73">
        <v>1.7</v>
      </c>
      <c r="O57" s="74">
        <v>1.5249999999999999</v>
      </c>
      <c r="P57" s="75">
        <f t="shared" si="14"/>
        <v>2.5924999999999998</v>
      </c>
      <c r="R57" s="63" t="s">
        <v>327</v>
      </c>
      <c r="S57" s="73">
        <v>1.45</v>
      </c>
      <c r="T57" s="74">
        <v>2.41</v>
      </c>
      <c r="U57" s="75">
        <f t="shared" si="15"/>
        <v>3.4944999999999999</v>
      </c>
      <c r="W57" s="73">
        <v>1.5</v>
      </c>
      <c r="X57" s="74">
        <v>2.12</v>
      </c>
      <c r="Y57" s="75">
        <f t="shared" si="11"/>
        <v>3.18</v>
      </c>
      <c r="AA57" s="73">
        <v>1.45</v>
      </c>
      <c r="AB57" s="74">
        <v>2.1949999999999998</v>
      </c>
      <c r="AC57" s="75">
        <f t="shared" si="16"/>
        <v>3.1827499999999995</v>
      </c>
      <c r="AE57" s="73">
        <v>1.7</v>
      </c>
      <c r="AF57" s="74">
        <v>1.5249999999999999</v>
      </c>
      <c r="AG57" s="75">
        <f t="shared" si="17"/>
        <v>2.5924999999999998</v>
      </c>
    </row>
    <row r="58" spans="1:33" ht="15" thickBot="1" x14ac:dyDescent="0.35">
      <c r="A58" s="65" t="s">
        <v>328</v>
      </c>
      <c r="B58" s="223">
        <f>SUM(D35:D57)</f>
        <v>200.0402</v>
      </c>
      <c r="C58" s="224"/>
      <c r="D58" s="225"/>
      <c r="E58" s="66"/>
      <c r="F58" s="223">
        <f>SUM(H35:H57)</f>
        <v>194.51715000000007</v>
      </c>
      <c r="G58" s="224"/>
      <c r="H58" s="225"/>
      <c r="I58" s="66"/>
      <c r="J58" s="229">
        <f>SUM(L35:L57)</f>
        <v>198.50224999999995</v>
      </c>
      <c r="K58" s="230"/>
      <c r="L58" s="231"/>
      <c r="M58" s="66"/>
      <c r="N58" s="223">
        <f>SUM(P35:P57)</f>
        <v>184.26059000000006</v>
      </c>
      <c r="O58" s="224"/>
      <c r="P58" s="225"/>
      <c r="R58" s="65" t="s">
        <v>328</v>
      </c>
      <c r="S58" s="223">
        <f>SUM(U35:U57)</f>
        <v>200.0402</v>
      </c>
      <c r="T58" s="224"/>
      <c r="U58" s="225"/>
      <c r="V58" s="66"/>
      <c r="W58" s="223">
        <f>SUM(Y35:Y57)</f>
        <v>194.51715000000007</v>
      </c>
      <c r="X58" s="224"/>
      <c r="Y58" s="225"/>
      <c r="Z58" s="66"/>
      <c r="AA58" s="229">
        <f>SUM(AC35:AC57)</f>
        <v>198.50224999999995</v>
      </c>
      <c r="AB58" s="230"/>
      <c r="AC58" s="231"/>
      <c r="AD58" s="66"/>
      <c r="AE58" s="223">
        <f>SUM(AG35:AG57)</f>
        <v>184.26059000000006</v>
      </c>
      <c r="AF58" s="224"/>
      <c r="AG58" s="225"/>
    </row>
    <row r="60" spans="1:33" ht="15" thickBot="1" x14ac:dyDescent="0.35">
      <c r="F60" s="226" t="s">
        <v>353</v>
      </c>
      <c r="G60" s="226"/>
      <c r="H60" s="226"/>
      <c r="I60" s="226"/>
      <c r="J60" s="226"/>
      <c r="K60" s="226"/>
      <c r="S60" s="226" t="s">
        <v>354</v>
      </c>
      <c r="T60" s="226"/>
    </row>
    <row r="61" spans="1:33" x14ac:dyDescent="0.3">
      <c r="A61" s="63" t="s">
        <v>309</v>
      </c>
      <c r="B61" s="221">
        <v>1</v>
      </c>
      <c r="C61" s="222"/>
      <c r="D61" s="69" t="s">
        <v>329</v>
      </c>
      <c r="F61" s="227">
        <v>2</v>
      </c>
      <c r="G61" s="228"/>
      <c r="H61" s="69" t="s">
        <v>329</v>
      </c>
      <c r="J61" s="227">
        <v>3</v>
      </c>
      <c r="K61" s="228"/>
      <c r="L61" s="69" t="s">
        <v>329</v>
      </c>
      <c r="N61" s="221">
        <v>4</v>
      </c>
      <c r="O61" s="222"/>
      <c r="P61" s="69" t="s">
        <v>329</v>
      </c>
      <c r="R61" s="63" t="s">
        <v>309</v>
      </c>
      <c r="S61" s="221">
        <v>1</v>
      </c>
      <c r="T61" s="222"/>
      <c r="U61" s="69" t="s">
        <v>329</v>
      </c>
      <c r="W61" s="227">
        <v>2</v>
      </c>
      <c r="X61" s="228"/>
      <c r="Y61" s="69" t="s">
        <v>329</v>
      </c>
      <c r="AA61" s="227">
        <v>3</v>
      </c>
      <c r="AB61" s="228"/>
      <c r="AC61" s="69" t="s">
        <v>329</v>
      </c>
      <c r="AE61" s="221">
        <v>4</v>
      </c>
      <c r="AF61" s="222"/>
      <c r="AG61" s="69" t="s">
        <v>329</v>
      </c>
    </row>
    <row r="62" spans="1:33" x14ac:dyDescent="0.3">
      <c r="A62" s="63" t="s">
        <v>310</v>
      </c>
      <c r="B62" s="70">
        <v>8.75</v>
      </c>
      <c r="C62" s="67">
        <v>5.85</v>
      </c>
      <c r="D62" s="71">
        <f>B62*C62</f>
        <v>51.1875</v>
      </c>
      <c r="F62" s="70">
        <v>5.3</v>
      </c>
      <c r="G62" s="67">
        <v>5.05</v>
      </c>
      <c r="H62" s="71">
        <f t="shared" ref="H62:H86" si="18">F62*G62</f>
        <v>26.764999999999997</v>
      </c>
      <c r="J62" s="70">
        <v>8.75</v>
      </c>
      <c r="K62" s="67">
        <v>6.1870000000000003</v>
      </c>
      <c r="L62" s="71">
        <f>J62*K62</f>
        <v>54.136250000000004</v>
      </c>
      <c r="N62" s="70">
        <v>5.3</v>
      </c>
      <c r="O62" s="67">
        <v>7.0750000000000002</v>
      </c>
      <c r="P62" s="71">
        <f>N62*O62</f>
        <v>37.497500000000002</v>
      </c>
      <c r="R62" s="63" t="s">
        <v>310</v>
      </c>
      <c r="S62" s="70">
        <v>8.75</v>
      </c>
      <c r="T62" s="67">
        <v>5.85</v>
      </c>
      <c r="U62" s="71">
        <f>S62*T62</f>
        <v>51.1875</v>
      </c>
      <c r="W62" s="70">
        <v>5.3</v>
      </c>
      <c r="X62" s="67">
        <v>5.05</v>
      </c>
      <c r="Y62" s="71">
        <f t="shared" ref="Y62:Y86" si="19">W62*X62</f>
        <v>26.764999999999997</v>
      </c>
      <c r="AA62" s="70">
        <v>8.75</v>
      </c>
      <c r="AB62" s="67">
        <v>6.1870000000000003</v>
      </c>
      <c r="AC62" s="71">
        <f>AA62*AB62</f>
        <v>54.136250000000004</v>
      </c>
      <c r="AE62" s="70">
        <v>5.3</v>
      </c>
      <c r="AF62" s="67">
        <v>7.0750000000000002</v>
      </c>
      <c r="AG62" s="71">
        <f>AE62*AF62</f>
        <v>37.497500000000002</v>
      </c>
    </row>
    <row r="63" spans="1:33" x14ac:dyDescent="0.3">
      <c r="A63" s="63" t="s">
        <v>311</v>
      </c>
      <c r="B63" s="70">
        <v>2.74</v>
      </c>
      <c r="C63" s="67">
        <v>3.73</v>
      </c>
      <c r="D63" s="71">
        <f t="shared" ref="D63:D86" si="20">B63*C63</f>
        <v>10.2202</v>
      </c>
      <c r="F63" s="70">
        <f>4.3+2+1.6</f>
        <v>7.9</v>
      </c>
      <c r="G63" s="67">
        <f>1.5+1.2+0.5</f>
        <v>3.2</v>
      </c>
      <c r="H63" s="71">
        <f t="shared" si="18"/>
        <v>25.28</v>
      </c>
      <c r="J63" s="70">
        <v>2.74</v>
      </c>
      <c r="K63" s="67">
        <v>3.5150000000000001</v>
      </c>
      <c r="L63" s="71">
        <f t="shared" ref="L63:L86" si="21">J63*K63</f>
        <v>9.6311000000000018</v>
      </c>
      <c r="N63" s="70">
        <v>4.25</v>
      </c>
      <c r="O63" s="67">
        <v>3.43</v>
      </c>
      <c r="P63" s="71">
        <f t="shared" ref="P63:P86" si="22">N63*O63</f>
        <v>14.577500000000001</v>
      </c>
      <c r="R63" s="63" t="s">
        <v>311</v>
      </c>
      <c r="S63" s="70">
        <v>2.74</v>
      </c>
      <c r="T63" s="67">
        <v>3.73</v>
      </c>
      <c r="U63" s="71">
        <f t="shared" ref="U63:U86" si="23">S63*T63</f>
        <v>10.2202</v>
      </c>
      <c r="W63" s="70">
        <f>4.3+2+1.6</f>
        <v>7.9</v>
      </c>
      <c r="X63" s="67">
        <f>1.5+1.2+0.5</f>
        <v>3.2</v>
      </c>
      <c r="Y63" s="71">
        <f t="shared" si="19"/>
        <v>25.28</v>
      </c>
      <c r="AA63" s="70">
        <v>2.74</v>
      </c>
      <c r="AB63" s="67">
        <v>3.5150000000000001</v>
      </c>
      <c r="AC63" s="71">
        <f t="shared" ref="AC63:AC86" si="24">AA63*AB63</f>
        <v>9.6311000000000018</v>
      </c>
      <c r="AE63" s="70">
        <v>4.25</v>
      </c>
      <c r="AF63" s="67">
        <v>3.43</v>
      </c>
      <c r="AG63" s="71">
        <f t="shared" ref="AG63:AG86" si="25">AE63*AF63</f>
        <v>14.577500000000001</v>
      </c>
    </row>
    <row r="64" spans="1:33" x14ac:dyDescent="0.3">
      <c r="A64" s="63" t="s">
        <v>312</v>
      </c>
      <c r="B64" s="70">
        <v>3.53</v>
      </c>
      <c r="C64" s="67">
        <v>4.55</v>
      </c>
      <c r="D64" s="71">
        <f t="shared" si="20"/>
        <v>16.061499999999999</v>
      </c>
      <c r="F64" s="70">
        <v>3.5</v>
      </c>
      <c r="G64" s="67">
        <v>5.19</v>
      </c>
      <c r="H64" s="71">
        <f t="shared" si="18"/>
        <v>18.165000000000003</v>
      </c>
      <c r="J64" s="70">
        <v>3.35</v>
      </c>
      <c r="K64" s="67">
        <v>4.8869999999999996</v>
      </c>
      <c r="L64" s="71">
        <f t="shared" si="21"/>
        <v>16.371449999999999</v>
      </c>
      <c r="N64" s="70">
        <v>3.5</v>
      </c>
      <c r="O64" s="67">
        <v>5.4249999999999998</v>
      </c>
      <c r="P64" s="71">
        <f t="shared" si="22"/>
        <v>18.987500000000001</v>
      </c>
      <c r="R64" s="63" t="s">
        <v>312</v>
      </c>
      <c r="S64" s="70">
        <v>3.53</v>
      </c>
      <c r="T64" s="67">
        <v>4.55</v>
      </c>
      <c r="U64" s="71">
        <f t="shared" si="23"/>
        <v>16.061499999999999</v>
      </c>
      <c r="W64" s="70">
        <v>3.5</v>
      </c>
      <c r="X64" s="67">
        <v>5.19</v>
      </c>
      <c r="Y64" s="71">
        <f t="shared" si="19"/>
        <v>18.165000000000003</v>
      </c>
      <c r="AA64" s="70">
        <v>3.35</v>
      </c>
      <c r="AB64" s="67">
        <v>4.8869999999999996</v>
      </c>
      <c r="AC64" s="71">
        <f t="shared" si="24"/>
        <v>16.371449999999999</v>
      </c>
      <c r="AE64" s="70">
        <v>3.5</v>
      </c>
      <c r="AF64" s="67">
        <v>5.4249999999999998</v>
      </c>
      <c r="AG64" s="71">
        <f t="shared" si="25"/>
        <v>18.987500000000001</v>
      </c>
    </row>
    <row r="65" spans="1:33" x14ac:dyDescent="0.3">
      <c r="A65" s="63" t="s">
        <v>313</v>
      </c>
      <c r="B65" s="70">
        <v>3.95</v>
      </c>
      <c r="C65" s="67">
        <v>4.5</v>
      </c>
      <c r="D65" s="72">
        <f t="shared" si="20"/>
        <v>17.775000000000002</v>
      </c>
      <c r="F65" s="70">
        <v>3.4</v>
      </c>
      <c r="G65" s="67">
        <v>3.95</v>
      </c>
      <c r="H65" s="72">
        <f t="shared" si="18"/>
        <v>13.43</v>
      </c>
      <c r="J65" s="70">
        <v>3.35</v>
      </c>
      <c r="K65" s="67">
        <v>4.5549999999999997</v>
      </c>
      <c r="L65" s="72">
        <f t="shared" si="21"/>
        <v>15.25925</v>
      </c>
      <c r="N65" s="70">
        <v>3.38</v>
      </c>
      <c r="O65" s="67">
        <v>5</v>
      </c>
      <c r="P65" s="72">
        <f t="shared" si="22"/>
        <v>16.899999999999999</v>
      </c>
      <c r="R65" s="63" t="s">
        <v>313</v>
      </c>
      <c r="S65" s="70">
        <v>3.95</v>
      </c>
      <c r="T65" s="67">
        <v>4.5</v>
      </c>
      <c r="U65" s="72">
        <f t="shared" si="23"/>
        <v>17.775000000000002</v>
      </c>
      <c r="W65" s="70">
        <v>3.4</v>
      </c>
      <c r="X65" s="67">
        <v>3.95</v>
      </c>
      <c r="Y65" s="72">
        <f t="shared" si="19"/>
        <v>13.43</v>
      </c>
      <c r="AA65" s="70">
        <v>3.35</v>
      </c>
      <c r="AB65" s="67">
        <v>4.5549999999999997</v>
      </c>
      <c r="AC65" s="72">
        <f t="shared" si="24"/>
        <v>15.25925</v>
      </c>
      <c r="AE65" s="70">
        <v>3.38</v>
      </c>
      <c r="AF65" s="67">
        <v>5</v>
      </c>
      <c r="AG65" s="72">
        <f t="shared" si="25"/>
        <v>16.899999999999999</v>
      </c>
    </row>
    <row r="66" spans="1:33" x14ac:dyDescent="0.3">
      <c r="A66" s="63" t="s">
        <v>314</v>
      </c>
      <c r="B66" s="70">
        <v>3.43</v>
      </c>
      <c r="C66" s="67">
        <v>4.75</v>
      </c>
      <c r="D66" s="72">
        <f t="shared" si="20"/>
        <v>16.2925</v>
      </c>
      <c r="F66" s="70">
        <v>3.37</v>
      </c>
      <c r="G66" s="67">
        <v>4.88</v>
      </c>
      <c r="H66" s="72">
        <f t="shared" si="18"/>
        <v>16.445599999999999</v>
      </c>
      <c r="J66" s="70">
        <v>3.33</v>
      </c>
      <c r="K66" s="67">
        <v>4.4050000000000002</v>
      </c>
      <c r="L66" s="72">
        <f t="shared" si="21"/>
        <v>14.668650000000001</v>
      </c>
      <c r="N66" s="70">
        <v>3.48</v>
      </c>
      <c r="O66" s="67">
        <v>4.4950000000000001</v>
      </c>
      <c r="P66" s="72">
        <f t="shared" si="22"/>
        <v>15.6426</v>
      </c>
      <c r="R66" s="63" t="s">
        <v>314</v>
      </c>
      <c r="S66" s="70">
        <v>3.43</v>
      </c>
      <c r="T66" s="67">
        <v>4.75</v>
      </c>
      <c r="U66" s="72">
        <f t="shared" si="23"/>
        <v>16.2925</v>
      </c>
      <c r="W66" s="70">
        <v>3.37</v>
      </c>
      <c r="X66" s="67">
        <v>4.88</v>
      </c>
      <c r="Y66" s="72">
        <f t="shared" si="19"/>
        <v>16.445599999999999</v>
      </c>
      <c r="AA66" s="70">
        <v>3.33</v>
      </c>
      <c r="AB66" s="67">
        <v>4.4050000000000002</v>
      </c>
      <c r="AC66" s="72">
        <f t="shared" si="24"/>
        <v>14.668650000000001</v>
      </c>
      <c r="AE66" s="70">
        <v>3.48</v>
      </c>
      <c r="AF66" s="67">
        <v>4.4950000000000001</v>
      </c>
      <c r="AG66" s="72">
        <f t="shared" si="25"/>
        <v>15.6426</v>
      </c>
    </row>
    <row r="67" spans="1:33" x14ac:dyDescent="0.3">
      <c r="A67" s="63" t="s">
        <v>315</v>
      </c>
      <c r="B67" s="70">
        <v>3.35</v>
      </c>
      <c r="C67" s="67">
        <v>4.4000000000000004</v>
      </c>
      <c r="D67" s="72">
        <f t="shared" si="20"/>
        <v>14.740000000000002</v>
      </c>
      <c r="F67" s="70">
        <v>3.62</v>
      </c>
      <c r="G67" s="67">
        <v>4.97</v>
      </c>
      <c r="H67" s="72">
        <f t="shared" si="18"/>
        <v>17.991399999999999</v>
      </c>
      <c r="J67" s="70">
        <v>3.33</v>
      </c>
      <c r="K67" s="67">
        <v>4.74</v>
      </c>
      <c r="L67" s="72">
        <f t="shared" si="21"/>
        <v>15.7842</v>
      </c>
      <c r="N67" s="70">
        <v>3.38</v>
      </c>
      <c r="O67" s="67">
        <v>4.4950000000000001</v>
      </c>
      <c r="P67" s="72">
        <f t="shared" si="22"/>
        <v>15.193099999999999</v>
      </c>
      <c r="R67" s="63" t="s">
        <v>315</v>
      </c>
      <c r="S67" s="70">
        <v>3.35</v>
      </c>
      <c r="T67" s="67">
        <v>4.4000000000000004</v>
      </c>
      <c r="U67" s="72">
        <f t="shared" si="23"/>
        <v>14.740000000000002</v>
      </c>
      <c r="W67" s="70">
        <v>3.62</v>
      </c>
      <c r="X67" s="67">
        <v>4.97</v>
      </c>
      <c r="Y67" s="72">
        <f t="shared" si="19"/>
        <v>17.991399999999999</v>
      </c>
      <c r="AA67" s="70">
        <v>3.33</v>
      </c>
      <c r="AB67" s="67">
        <v>4.74</v>
      </c>
      <c r="AC67" s="72">
        <f t="shared" si="24"/>
        <v>15.7842</v>
      </c>
      <c r="AE67" s="70">
        <v>3.38</v>
      </c>
      <c r="AF67" s="67">
        <v>4.4950000000000001</v>
      </c>
      <c r="AG67" s="72">
        <f t="shared" si="25"/>
        <v>15.193099999999999</v>
      </c>
    </row>
    <row r="68" spans="1:33" x14ac:dyDescent="0.3">
      <c r="A68" s="63" t="s">
        <v>317</v>
      </c>
      <c r="B68" s="70">
        <v>1.45</v>
      </c>
      <c r="C68" s="67">
        <v>1.22</v>
      </c>
      <c r="D68" s="72">
        <f t="shared" si="20"/>
        <v>1.7689999999999999</v>
      </c>
      <c r="F68" s="70">
        <v>1.38</v>
      </c>
      <c r="G68" s="67">
        <v>1.85</v>
      </c>
      <c r="H68" s="72">
        <f t="shared" si="18"/>
        <v>2.5529999999999999</v>
      </c>
      <c r="J68" s="70">
        <v>1.45</v>
      </c>
      <c r="K68" s="67">
        <v>1.22</v>
      </c>
      <c r="L68" s="72">
        <f t="shared" si="21"/>
        <v>1.7689999999999999</v>
      </c>
      <c r="N68" s="70">
        <v>1.22</v>
      </c>
      <c r="O68" s="67">
        <v>1.85</v>
      </c>
      <c r="P68" s="72">
        <f t="shared" si="22"/>
        <v>2.2570000000000001</v>
      </c>
      <c r="R68" s="63" t="s">
        <v>317</v>
      </c>
      <c r="S68" s="70">
        <v>1.45</v>
      </c>
      <c r="T68" s="67">
        <v>1.22</v>
      </c>
      <c r="U68" s="72">
        <f t="shared" si="23"/>
        <v>1.7689999999999999</v>
      </c>
      <c r="W68" s="70">
        <v>1.38</v>
      </c>
      <c r="X68" s="67">
        <v>1.85</v>
      </c>
      <c r="Y68" s="72">
        <f t="shared" si="19"/>
        <v>2.5529999999999999</v>
      </c>
      <c r="AA68" s="70">
        <v>1.45</v>
      </c>
      <c r="AB68" s="67">
        <v>1.22</v>
      </c>
      <c r="AC68" s="72">
        <f t="shared" si="24"/>
        <v>1.7689999999999999</v>
      </c>
      <c r="AE68" s="70">
        <v>1.22</v>
      </c>
      <c r="AF68" s="67">
        <v>1.85</v>
      </c>
      <c r="AG68" s="72">
        <f t="shared" si="25"/>
        <v>2.2570000000000001</v>
      </c>
    </row>
    <row r="69" spans="1:33" x14ac:dyDescent="0.3">
      <c r="A69" s="63" t="s">
        <v>316</v>
      </c>
      <c r="B69" s="70">
        <v>3.35</v>
      </c>
      <c r="C69" s="67">
        <v>1.83</v>
      </c>
      <c r="D69" s="72">
        <f t="shared" si="20"/>
        <v>6.1305000000000005</v>
      </c>
      <c r="F69" s="70">
        <v>2.73</v>
      </c>
      <c r="G69" s="67">
        <v>1.85</v>
      </c>
      <c r="H69" s="72">
        <f t="shared" si="18"/>
        <v>5.0505000000000004</v>
      </c>
      <c r="J69" s="70">
        <v>3.36</v>
      </c>
      <c r="K69" s="67">
        <v>1.83</v>
      </c>
      <c r="L69" s="72">
        <f t="shared" si="21"/>
        <v>6.1487999999999996</v>
      </c>
      <c r="N69" s="70">
        <v>2.75</v>
      </c>
      <c r="O69" s="67">
        <v>1.85</v>
      </c>
      <c r="P69" s="72">
        <f t="shared" si="22"/>
        <v>5.0875000000000004</v>
      </c>
      <c r="R69" s="63" t="s">
        <v>316</v>
      </c>
      <c r="S69" s="70">
        <v>3.35</v>
      </c>
      <c r="T69" s="67">
        <v>1.83</v>
      </c>
      <c r="U69" s="72">
        <f t="shared" si="23"/>
        <v>6.1305000000000005</v>
      </c>
      <c r="W69" s="70">
        <v>2.73</v>
      </c>
      <c r="X69" s="67">
        <v>1.85</v>
      </c>
      <c r="Y69" s="72">
        <f t="shared" si="19"/>
        <v>5.0505000000000004</v>
      </c>
      <c r="AA69" s="70">
        <v>3.36</v>
      </c>
      <c r="AB69" s="67">
        <v>1.83</v>
      </c>
      <c r="AC69" s="72">
        <f t="shared" si="24"/>
        <v>6.1487999999999996</v>
      </c>
      <c r="AE69" s="70">
        <v>2.75</v>
      </c>
      <c r="AF69" s="67">
        <v>1.85</v>
      </c>
      <c r="AG69" s="72">
        <f t="shared" si="25"/>
        <v>5.0875000000000004</v>
      </c>
    </row>
    <row r="70" spans="1:33" x14ac:dyDescent="0.3">
      <c r="A70" s="63" t="s">
        <v>318</v>
      </c>
      <c r="B70" s="70">
        <v>2.44</v>
      </c>
      <c r="C70" s="67">
        <v>1.52</v>
      </c>
      <c r="D70" s="72">
        <f t="shared" si="20"/>
        <v>3.7088000000000001</v>
      </c>
      <c r="F70" s="70">
        <v>2.44</v>
      </c>
      <c r="G70" s="67">
        <v>1.68</v>
      </c>
      <c r="H70" s="72">
        <f t="shared" si="18"/>
        <v>4.0991999999999997</v>
      </c>
      <c r="J70" s="70">
        <v>2.44</v>
      </c>
      <c r="K70" s="67">
        <v>1.575</v>
      </c>
      <c r="L70" s="72">
        <f t="shared" si="21"/>
        <v>3.843</v>
      </c>
      <c r="N70" s="70">
        <v>1.72</v>
      </c>
      <c r="O70" s="67">
        <v>2.44</v>
      </c>
      <c r="P70" s="72">
        <f t="shared" si="22"/>
        <v>4.1967999999999996</v>
      </c>
      <c r="R70" s="63" t="s">
        <v>318</v>
      </c>
      <c r="S70" s="70">
        <v>2.44</v>
      </c>
      <c r="T70" s="67">
        <v>1.52</v>
      </c>
      <c r="U70" s="72">
        <f t="shared" si="23"/>
        <v>3.7088000000000001</v>
      </c>
      <c r="W70" s="70">
        <v>2.44</v>
      </c>
      <c r="X70" s="67">
        <v>1.68</v>
      </c>
      <c r="Y70" s="72">
        <f t="shared" si="19"/>
        <v>4.0991999999999997</v>
      </c>
      <c r="AA70" s="70">
        <v>2.44</v>
      </c>
      <c r="AB70" s="67">
        <v>1.575</v>
      </c>
      <c r="AC70" s="72">
        <f t="shared" si="24"/>
        <v>3.843</v>
      </c>
      <c r="AE70" s="70">
        <v>1.72</v>
      </c>
      <c r="AF70" s="67">
        <v>2.44</v>
      </c>
      <c r="AG70" s="72">
        <f t="shared" si="25"/>
        <v>4.1967999999999996</v>
      </c>
    </row>
    <row r="71" spans="1:33" x14ac:dyDescent="0.3">
      <c r="A71" s="63" t="s">
        <v>319</v>
      </c>
      <c r="B71" s="70">
        <v>1.52</v>
      </c>
      <c r="C71" s="67">
        <v>2.44</v>
      </c>
      <c r="D71" s="72">
        <f t="shared" si="20"/>
        <v>3.7088000000000001</v>
      </c>
      <c r="F71" s="70">
        <v>1.68</v>
      </c>
      <c r="G71" s="67">
        <v>2.4500000000000002</v>
      </c>
      <c r="H71" s="72">
        <f t="shared" si="18"/>
        <v>4.1160000000000005</v>
      </c>
      <c r="J71" s="70">
        <v>1.52</v>
      </c>
      <c r="K71" s="67">
        <v>2.44</v>
      </c>
      <c r="L71" s="72">
        <f t="shared" si="21"/>
        <v>3.7088000000000001</v>
      </c>
      <c r="N71" s="70">
        <v>1.67</v>
      </c>
      <c r="O71" s="67">
        <v>2.62</v>
      </c>
      <c r="P71" s="72">
        <f t="shared" si="22"/>
        <v>4.3754</v>
      </c>
      <c r="R71" s="63" t="s">
        <v>319</v>
      </c>
      <c r="S71" s="70">
        <v>1.52</v>
      </c>
      <c r="T71" s="67">
        <v>2.44</v>
      </c>
      <c r="U71" s="72">
        <f t="shared" si="23"/>
        <v>3.7088000000000001</v>
      </c>
      <c r="W71" s="70">
        <v>1.68</v>
      </c>
      <c r="X71" s="67">
        <v>2.4500000000000002</v>
      </c>
      <c r="Y71" s="72">
        <f t="shared" si="19"/>
        <v>4.1160000000000005</v>
      </c>
      <c r="AA71" s="70">
        <v>1.52</v>
      </c>
      <c r="AB71" s="67">
        <v>2.44</v>
      </c>
      <c r="AC71" s="72">
        <f t="shared" si="24"/>
        <v>3.7088000000000001</v>
      </c>
      <c r="AE71" s="70">
        <v>1.67</v>
      </c>
      <c r="AF71" s="67">
        <v>2.62</v>
      </c>
      <c r="AG71" s="72">
        <f t="shared" si="25"/>
        <v>4.3754</v>
      </c>
    </row>
    <row r="72" spans="1:33" x14ac:dyDescent="0.3">
      <c r="A72" s="63" t="s">
        <v>320</v>
      </c>
      <c r="B72" s="70">
        <v>1.52</v>
      </c>
      <c r="C72" s="67">
        <v>2.44</v>
      </c>
      <c r="D72" s="72">
        <f t="shared" si="20"/>
        <v>3.7088000000000001</v>
      </c>
      <c r="F72" s="70">
        <v>1.53</v>
      </c>
      <c r="G72" s="67">
        <v>2.4500000000000002</v>
      </c>
      <c r="H72" s="72">
        <f t="shared" si="18"/>
        <v>3.7485000000000004</v>
      </c>
      <c r="J72" s="70">
        <v>1.52</v>
      </c>
      <c r="K72" s="67">
        <v>2.44</v>
      </c>
      <c r="L72" s="72">
        <f t="shared" si="21"/>
        <v>3.7088000000000001</v>
      </c>
      <c r="N72" s="70">
        <v>1.67</v>
      </c>
      <c r="O72" s="67">
        <v>2.62</v>
      </c>
      <c r="P72" s="72">
        <f t="shared" si="22"/>
        <v>4.3754</v>
      </c>
      <c r="R72" s="63" t="s">
        <v>320</v>
      </c>
      <c r="S72" s="70">
        <v>1.52</v>
      </c>
      <c r="T72" s="67">
        <v>2.44</v>
      </c>
      <c r="U72" s="72">
        <f t="shared" si="23"/>
        <v>3.7088000000000001</v>
      </c>
      <c r="W72" s="70">
        <v>1.53</v>
      </c>
      <c r="X72" s="67">
        <v>2.4500000000000002</v>
      </c>
      <c r="Y72" s="72">
        <f t="shared" si="19"/>
        <v>3.7485000000000004</v>
      </c>
      <c r="AA72" s="70">
        <v>1.52</v>
      </c>
      <c r="AB72" s="67">
        <v>2.44</v>
      </c>
      <c r="AC72" s="72">
        <f t="shared" si="24"/>
        <v>3.7088000000000001</v>
      </c>
      <c r="AE72" s="70">
        <v>1.67</v>
      </c>
      <c r="AF72" s="67">
        <v>2.62</v>
      </c>
      <c r="AG72" s="72">
        <f t="shared" si="25"/>
        <v>4.3754</v>
      </c>
    </row>
    <row r="73" spans="1:33" ht="28.8" x14ac:dyDescent="0.3">
      <c r="A73" s="76" t="s">
        <v>335</v>
      </c>
      <c r="B73" s="70">
        <v>4.05</v>
      </c>
      <c r="C73" s="67">
        <v>3.5</v>
      </c>
      <c r="D73" s="72">
        <f t="shared" si="20"/>
        <v>14.174999999999999</v>
      </c>
      <c r="F73" s="70">
        <v>2.17</v>
      </c>
      <c r="G73" s="67">
        <v>3.2</v>
      </c>
      <c r="H73" s="72">
        <f t="shared" si="18"/>
        <v>6.944</v>
      </c>
      <c r="J73" s="70">
        <v>4.03</v>
      </c>
      <c r="K73" s="67">
        <v>3.5649999999999999</v>
      </c>
      <c r="L73" s="72">
        <f t="shared" si="21"/>
        <v>14.366950000000001</v>
      </c>
      <c r="N73" s="70">
        <v>2.12</v>
      </c>
      <c r="O73" s="67">
        <v>3.22</v>
      </c>
      <c r="P73" s="72">
        <f t="shared" si="22"/>
        <v>6.8264000000000005</v>
      </c>
      <c r="R73" s="76" t="s">
        <v>335</v>
      </c>
      <c r="S73" s="70">
        <v>4.05</v>
      </c>
      <c r="T73" s="67">
        <v>3.5</v>
      </c>
      <c r="U73" s="72">
        <f t="shared" si="23"/>
        <v>14.174999999999999</v>
      </c>
      <c r="W73" s="70">
        <v>2.17</v>
      </c>
      <c r="X73" s="67">
        <v>3.2</v>
      </c>
      <c r="Y73" s="72">
        <f t="shared" si="19"/>
        <v>6.944</v>
      </c>
      <c r="AA73" s="70">
        <v>4.03</v>
      </c>
      <c r="AB73" s="67">
        <v>3.5649999999999999</v>
      </c>
      <c r="AC73" s="72">
        <f t="shared" si="24"/>
        <v>14.366950000000001</v>
      </c>
      <c r="AE73" s="70">
        <v>2.12</v>
      </c>
      <c r="AF73" s="67">
        <v>3.22</v>
      </c>
      <c r="AG73" s="72">
        <f t="shared" si="25"/>
        <v>6.8264000000000005</v>
      </c>
    </row>
    <row r="74" spans="1:33" x14ac:dyDescent="0.3">
      <c r="A74" s="63" t="s">
        <v>321</v>
      </c>
      <c r="B74" s="70">
        <v>1.75</v>
      </c>
      <c r="C74" s="67">
        <v>1.52</v>
      </c>
      <c r="D74" s="72">
        <f t="shared" si="20"/>
        <v>2.66</v>
      </c>
      <c r="F74" s="70">
        <v>3</v>
      </c>
      <c r="G74" s="67">
        <v>1</v>
      </c>
      <c r="H74" s="72">
        <f t="shared" si="18"/>
        <v>3</v>
      </c>
      <c r="J74" s="70">
        <v>1.91</v>
      </c>
      <c r="K74" s="67">
        <v>3.03</v>
      </c>
      <c r="L74" s="72">
        <f t="shared" si="21"/>
        <v>5.7872999999999992</v>
      </c>
      <c r="N74" s="70">
        <v>6.5</v>
      </c>
      <c r="O74" s="67">
        <v>1</v>
      </c>
      <c r="P74" s="72">
        <f t="shared" si="22"/>
        <v>6.5</v>
      </c>
      <c r="R74" s="63" t="s">
        <v>321</v>
      </c>
      <c r="S74" s="70">
        <v>1.75</v>
      </c>
      <c r="T74" s="67">
        <v>1.52</v>
      </c>
      <c r="U74" s="72">
        <f t="shared" si="23"/>
        <v>2.66</v>
      </c>
      <c r="W74" s="70">
        <v>3</v>
      </c>
      <c r="X74" s="67">
        <v>1</v>
      </c>
      <c r="Y74" s="72">
        <f t="shared" si="19"/>
        <v>3</v>
      </c>
      <c r="AA74" s="70">
        <v>1.91</v>
      </c>
      <c r="AB74" s="67">
        <v>3.03</v>
      </c>
      <c r="AC74" s="72">
        <f t="shared" si="24"/>
        <v>5.7872999999999992</v>
      </c>
      <c r="AE74" s="70">
        <v>6.5</v>
      </c>
      <c r="AF74" s="67">
        <v>1</v>
      </c>
      <c r="AG74" s="72">
        <f t="shared" si="25"/>
        <v>6.5</v>
      </c>
    </row>
    <row r="75" spans="1:33" x14ac:dyDescent="0.3">
      <c r="A75" s="63" t="s">
        <v>322</v>
      </c>
      <c r="B75" s="70">
        <v>2.1</v>
      </c>
      <c r="C75" s="67">
        <v>3.08</v>
      </c>
      <c r="D75" s="72">
        <f t="shared" si="20"/>
        <v>6.4680000000000009</v>
      </c>
      <c r="F75" s="70">
        <v>2.1</v>
      </c>
      <c r="G75" s="67">
        <v>1.35</v>
      </c>
      <c r="H75" s="72">
        <f t="shared" si="18"/>
        <v>2.8350000000000004</v>
      </c>
      <c r="J75" s="70">
        <v>1.75</v>
      </c>
      <c r="K75" s="67">
        <v>1.575</v>
      </c>
      <c r="L75" s="72">
        <f t="shared" si="21"/>
        <v>2.7562500000000001</v>
      </c>
      <c r="N75" s="70">
        <v>0.8</v>
      </c>
      <c r="O75" s="67">
        <v>1</v>
      </c>
      <c r="P75" s="72">
        <f t="shared" si="22"/>
        <v>0.8</v>
      </c>
      <c r="R75" s="63" t="s">
        <v>322</v>
      </c>
      <c r="S75" s="70">
        <v>2.1</v>
      </c>
      <c r="T75" s="67">
        <v>3.08</v>
      </c>
      <c r="U75" s="72">
        <f t="shared" si="23"/>
        <v>6.4680000000000009</v>
      </c>
      <c r="W75" s="70">
        <v>2.1</v>
      </c>
      <c r="X75" s="67">
        <v>1.35</v>
      </c>
      <c r="Y75" s="72">
        <f t="shared" si="19"/>
        <v>2.8350000000000004</v>
      </c>
      <c r="AA75" s="70">
        <v>1.75</v>
      </c>
      <c r="AB75" s="67">
        <v>1.575</v>
      </c>
      <c r="AC75" s="72">
        <f t="shared" si="24"/>
        <v>2.7562500000000001</v>
      </c>
      <c r="AE75" s="70">
        <v>0.8</v>
      </c>
      <c r="AF75" s="67">
        <v>1</v>
      </c>
      <c r="AG75" s="72">
        <f t="shared" si="25"/>
        <v>0.8</v>
      </c>
    </row>
    <row r="76" spans="1:33" x14ac:dyDescent="0.3">
      <c r="A76" s="63" t="s">
        <v>323</v>
      </c>
      <c r="B76" s="70">
        <v>1.26</v>
      </c>
      <c r="C76" s="67">
        <v>1.62</v>
      </c>
      <c r="D76" s="72">
        <f t="shared" si="20"/>
        <v>2.0412000000000003</v>
      </c>
      <c r="F76" s="70">
        <v>3.42</v>
      </c>
      <c r="G76" s="67">
        <v>1.65</v>
      </c>
      <c r="H76" s="72">
        <f t="shared" si="18"/>
        <v>5.6429999999999998</v>
      </c>
      <c r="J76" s="70">
        <v>1.08</v>
      </c>
      <c r="K76" s="67">
        <v>1.575</v>
      </c>
      <c r="L76" s="72">
        <f t="shared" si="21"/>
        <v>1.7010000000000001</v>
      </c>
      <c r="N76" s="70">
        <v>0.8</v>
      </c>
      <c r="O76" s="67">
        <v>1.75</v>
      </c>
      <c r="P76" s="72">
        <f t="shared" si="22"/>
        <v>1.4000000000000001</v>
      </c>
      <c r="R76" s="63" t="s">
        <v>323</v>
      </c>
      <c r="S76" s="70">
        <v>1.26</v>
      </c>
      <c r="T76" s="67">
        <v>1.62</v>
      </c>
      <c r="U76" s="72">
        <f t="shared" si="23"/>
        <v>2.0412000000000003</v>
      </c>
      <c r="W76" s="70">
        <v>3.42</v>
      </c>
      <c r="X76" s="67">
        <v>1.65</v>
      </c>
      <c r="Y76" s="72">
        <f t="shared" si="19"/>
        <v>5.6429999999999998</v>
      </c>
      <c r="AA76" s="70">
        <v>1.08</v>
      </c>
      <c r="AB76" s="67">
        <v>1.575</v>
      </c>
      <c r="AC76" s="72">
        <f t="shared" si="24"/>
        <v>1.7010000000000001</v>
      </c>
      <c r="AE76" s="70">
        <v>0.8</v>
      </c>
      <c r="AF76" s="67">
        <v>1.75</v>
      </c>
      <c r="AG76" s="72">
        <f t="shared" si="25"/>
        <v>1.4000000000000001</v>
      </c>
    </row>
    <row r="77" spans="1:33" x14ac:dyDescent="0.3">
      <c r="A77" s="63" t="s">
        <v>324</v>
      </c>
      <c r="B77" s="70">
        <v>1.67</v>
      </c>
      <c r="C77" s="67">
        <v>1.05</v>
      </c>
      <c r="D77" s="72">
        <f t="shared" si="20"/>
        <v>1.7535000000000001</v>
      </c>
      <c r="F77" s="70">
        <v>1.63</v>
      </c>
      <c r="G77" s="67">
        <v>1.665</v>
      </c>
      <c r="H77" s="72">
        <f t="shared" si="18"/>
        <v>2.7139500000000001</v>
      </c>
      <c r="J77" s="70">
        <v>1.67</v>
      </c>
      <c r="K77" s="67">
        <v>1.05</v>
      </c>
      <c r="L77" s="72">
        <f t="shared" si="21"/>
        <v>1.7535000000000001</v>
      </c>
      <c r="N77" s="70"/>
      <c r="O77" s="67"/>
      <c r="P77" s="72">
        <f t="shared" si="22"/>
        <v>0</v>
      </c>
      <c r="R77" s="63" t="s">
        <v>324</v>
      </c>
      <c r="S77" s="70">
        <v>1.67</v>
      </c>
      <c r="T77" s="67">
        <v>1.05</v>
      </c>
      <c r="U77" s="72">
        <f t="shared" si="23"/>
        <v>1.7535000000000001</v>
      </c>
      <c r="W77" s="70">
        <v>1.63</v>
      </c>
      <c r="X77" s="67">
        <v>1.665</v>
      </c>
      <c r="Y77" s="72">
        <f t="shared" si="19"/>
        <v>2.7139500000000001</v>
      </c>
      <c r="AA77" s="70">
        <v>1.67</v>
      </c>
      <c r="AB77" s="67">
        <v>1.05</v>
      </c>
      <c r="AC77" s="72">
        <f t="shared" si="24"/>
        <v>1.7535000000000001</v>
      </c>
      <c r="AE77" s="70"/>
      <c r="AF77" s="67"/>
      <c r="AG77" s="72">
        <f t="shared" si="25"/>
        <v>0</v>
      </c>
    </row>
    <row r="78" spans="1:33" x14ac:dyDescent="0.3">
      <c r="A78" s="63" t="s">
        <v>325</v>
      </c>
      <c r="B78" s="70"/>
      <c r="C78" s="67"/>
      <c r="D78" s="72">
        <f t="shared" si="20"/>
        <v>0</v>
      </c>
      <c r="F78" s="70">
        <v>1.8</v>
      </c>
      <c r="G78" s="67">
        <v>1.2</v>
      </c>
      <c r="H78" s="72">
        <f t="shared" si="18"/>
        <v>2.16</v>
      </c>
      <c r="J78" s="70"/>
      <c r="K78" s="67"/>
      <c r="L78" s="72">
        <f t="shared" si="21"/>
        <v>0</v>
      </c>
      <c r="N78" s="70"/>
      <c r="O78" s="67"/>
      <c r="P78" s="72">
        <f t="shared" si="22"/>
        <v>0</v>
      </c>
      <c r="R78" s="63" t="s">
        <v>325</v>
      </c>
      <c r="S78" s="70"/>
      <c r="T78" s="67"/>
      <c r="U78" s="72">
        <f t="shared" si="23"/>
        <v>0</v>
      </c>
      <c r="W78" s="70">
        <v>1.8</v>
      </c>
      <c r="X78" s="67">
        <v>1.2</v>
      </c>
      <c r="Y78" s="72">
        <f t="shared" si="19"/>
        <v>2.16</v>
      </c>
      <c r="AA78" s="70">
        <v>2</v>
      </c>
      <c r="AB78" s="67">
        <v>4.8</v>
      </c>
      <c r="AC78" s="72">
        <f t="shared" si="24"/>
        <v>9.6</v>
      </c>
      <c r="AE78" s="70"/>
      <c r="AF78" s="67"/>
      <c r="AG78" s="72">
        <f t="shared" si="25"/>
        <v>0</v>
      </c>
    </row>
    <row r="79" spans="1:33" x14ac:dyDescent="0.3">
      <c r="A79" s="63" t="s">
        <v>330</v>
      </c>
      <c r="B79" s="70"/>
      <c r="C79" s="67"/>
      <c r="D79" s="72">
        <f t="shared" si="20"/>
        <v>0</v>
      </c>
      <c r="F79" s="70">
        <v>1.05</v>
      </c>
      <c r="G79" s="67">
        <v>0.6</v>
      </c>
      <c r="H79" s="72">
        <f t="shared" si="18"/>
        <v>0.63</v>
      </c>
      <c r="J79" s="70"/>
      <c r="K79" s="67"/>
      <c r="L79" s="72">
        <f t="shared" si="21"/>
        <v>0</v>
      </c>
      <c r="N79" s="70"/>
      <c r="O79" s="67"/>
      <c r="P79" s="72">
        <f t="shared" si="22"/>
        <v>0</v>
      </c>
      <c r="R79" s="63" t="s">
        <v>330</v>
      </c>
      <c r="S79" s="70"/>
      <c r="T79" s="67"/>
      <c r="U79" s="72">
        <f t="shared" si="23"/>
        <v>0</v>
      </c>
      <c r="W79" s="70">
        <v>1.05</v>
      </c>
      <c r="X79" s="67">
        <v>0.6</v>
      </c>
      <c r="Y79" s="72">
        <f t="shared" si="19"/>
        <v>0.63</v>
      </c>
      <c r="AA79" s="70"/>
      <c r="AB79" s="67"/>
      <c r="AC79" s="72">
        <f t="shared" si="24"/>
        <v>0</v>
      </c>
      <c r="AE79" s="70"/>
      <c r="AF79" s="67"/>
      <c r="AG79" s="72">
        <f t="shared" si="25"/>
        <v>0</v>
      </c>
    </row>
    <row r="80" spans="1:33" x14ac:dyDescent="0.3">
      <c r="A80" s="63" t="s">
        <v>334</v>
      </c>
      <c r="B80" s="70"/>
      <c r="C80" s="67"/>
      <c r="D80" s="72">
        <f t="shared" si="20"/>
        <v>0</v>
      </c>
      <c r="F80" s="70">
        <v>3.8</v>
      </c>
      <c r="G80" s="67">
        <v>2.0499999999999998</v>
      </c>
      <c r="H80" s="72">
        <f t="shared" si="18"/>
        <v>7.7899999999999991</v>
      </c>
      <c r="J80" s="70"/>
      <c r="K80" s="67"/>
      <c r="L80" s="72">
        <f t="shared" si="21"/>
        <v>0</v>
      </c>
      <c r="N80" s="70"/>
      <c r="O80" s="67"/>
      <c r="P80" s="72">
        <f t="shared" si="22"/>
        <v>0</v>
      </c>
      <c r="R80" s="63" t="s">
        <v>334</v>
      </c>
      <c r="S80" s="70"/>
      <c r="T80" s="67"/>
      <c r="U80" s="72">
        <f t="shared" si="23"/>
        <v>0</v>
      </c>
      <c r="W80" s="70">
        <v>3.8</v>
      </c>
      <c r="X80" s="67">
        <v>2.0499999999999998</v>
      </c>
      <c r="Y80" s="72">
        <f t="shared" si="19"/>
        <v>7.7899999999999991</v>
      </c>
      <c r="AA80" s="70"/>
      <c r="AB80" s="67"/>
      <c r="AC80" s="72">
        <f t="shared" si="24"/>
        <v>0</v>
      </c>
      <c r="AE80" s="70"/>
      <c r="AF80" s="67"/>
      <c r="AG80" s="72">
        <f t="shared" si="25"/>
        <v>0</v>
      </c>
    </row>
    <row r="81" spans="1:33" x14ac:dyDescent="0.3">
      <c r="A81" s="64" t="s">
        <v>332</v>
      </c>
      <c r="B81" s="70">
        <v>6.6</v>
      </c>
      <c r="C81" s="67">
        <v>2.15</v>
      </c>
      <c r="D81" s="72">
        <f t="shared" si="20"/>
        <v>14.19</v>
      </c>
      <c r="F81" s="70">
        <v>5.75</v>
      </c>
      <c r="G81" s="67">
        <v>2.91</v>
      </c>
      <c r="H81" s="72">
        <f t="shared" si="18"/>
        <v>16.732500000000002</v>
      </c>
      <c r="J81" s="70">
        <v>6.6</v>
      </c>
      <c r="K81" s="67">
        <v>2.2050000000000001</v>
      </c>
      <c r="L81" s="72">
        <f t="shared" si="21"/>
        <v>14.552999999999999</v>
      </c>
      <c r="N81" s="70">
        <v>5.75</v>
      </c>
      <c r="O81" s="67">
        <v>3</v>
      </c>
      <c r="P81" s="72">
        <f t="shared" si="22"/>
        <v>17.25</v>
      </c>
      <c r="R81" s="64" t="s">
        <v>332</v>
      </c>
      <c r="S81" s="70">
        <v>6.6</v>
      </c>
      <c r="T81" s="67">
        <v>2.15</v>
      </c>
      <c r="U81" s="72">
        <f t="shared" si="23"/>
        <v>14.19</v>
      </c>
      <c r="W81" s="70">
        <v>5.75</v>
      </c>
      <c r="X81" s="67">
        <v>2.91</v>
      </c>
      <c r="Y81" s="72">
        <f t="shared" si="19"/>
        <v>16.732500000000002</v>
      </c>
      <c r="AA81" s="70">
        <v>6.6</v>
      </c>
      <c r="AB81" s="67">
        <v>2.2050000000000001</v>
      </c>
      <c r="AC81" s="72">
        <f t="shared" si="24"/>
        <v>14.552999999999999</v>
      </c>
      <c r="AE81" s="70">
        <v>5.75</v>
      </c>
      <c r="AF81" s="67">
        <v>3</v>
      </c>
      <c r="AG81" s="72">
        <f t="shared" si="25"/>
        <v>17.25</v>
      </c>
    </row>
    <row r="82" spans="1:33" ht="28.8" x14ac:dyDescent="0.3">
      <c r="A82" s="64" t="s">
        <v>333</v>
      </c>
      <c r="B82" s="70">
        <f>1.36+0.8</f>
        <v>2.16</v>
      </c>
      <c r="C82" s="67">
        <f>2.41+1.38</f>
        <v>3.79</v>
      </c>
      <c r="D82" s="72">
        <f t="shared" si="20"/>
        <v>8.1864000000000008</v>
      </c>
      <c r="F82" s="70">
        <v>2.0499999999999998</v>
      </c>
      <c r="G82" s="67">
        <v>1.89</v>
      </c>
      <c r="H82" s="72">
        <f t="shared" si="18"/>
        <v>3.8744999999999994</v>
      </c>
      <c r="J82" s="70">
        <f>1.36+0.8</f>
        <v>2.16</v>
      </c>
      <c r="K82" s="67">
        <f>2.195+1.325</f>
        <v>3.5199999999999996</v>
      </c>
      <c r="L82" s="72">
        <f t="shared" si="21"/>
        <v>7.6031999999999993</v>
      </c>
      <c r="N82" s="70">
        <f>1.7+0.7</f>
        <v>2.4</v>
      </c>
      <c r="O82" s="67">
        <f>1.525+1.8</f>
        <v>3.3250000000000002</v>
      </c>
      <c r="P82" s="72">
        <f t="shared" si="22"/>
        <v>7.98</v>
      </c>
      <c r="R82" s="64" t="s">
        <v>333</v>
      </c>
      <c r="S82" s="70">
        <f>1.36+0.8</f>
        <v>2.16</v>
      </c>
      <c r="T82" s="67">
        <f>2.41+1.38</f>
        <v>3.79</v>
      </c>
      <c r="U82" s="72">
        <f t="shared" si="23"/>
        <v>8.1864000000000008</v>
      </c>
      <c r="W82" s="70">
        <v>2.0499999999999998</v>
      </c>
      <c r="X82" s="67">
        <v>1.89</v>
      </c>
      <c r="Y82" s="72">
        <f t="shared" si="19"/>
        <v>3.8744999999999994</v>
      </c>
      <c r="AA82" s="70">
        <f>1.36+0.8</f>
        <v>2.16</v>
      </c>
      <c r="AB82" s="67">
        <f>2.195+1.325</f>
        <v>3.5199999999999996</v>
      </c>
      <c r="AC82" s="72">
        <f t="shared" si="24"/>
        <v>7.6031999999999993</v>
      </c>
      <c r="AE82" s="70">
        <f>1.7+0.7</f>
        <v>2.4</v>
      </c>
      <c r="AF82" s="67">
        <f>1.525+1.8</f>
        <v>3.3250000000000002</v>
      </c>
      <c r="AG82" s="72">
        <f t="shared" si="25"/>
        <v>7.98</v>
      </c>
    </row>
    <row r="83" spans="1:33" ht="28.8" x14ac:dyDescent="0.3">
      <c r="A83" s="64" t="s">
        <v>326</v>
      </c>
      <c r="B83" s="70">
        <v>1.45</v>
      </c>
      <c r="C83" s="67">
        <v>1.22</v>
      </c>
      <c r="D83" s="72">
        <f t="shared" si="20"/>
        <v>1.7689999999999999</v>
      </c>
      <c r="F83" s="70">
        <v>1</v>
      </c>
      <c r="G83" s="67">
        <v>1.37</v>
      </c>
      <c r="H83" s="72">
        <f t="shared" si="18"/>
        <v>1.37</v>
      </c>
      <c r="J83" s="70">
        <v>1.45</v>
      </c>
      <c r="K83" s="67">
        <v>1.22</v>
      </c>
      <c r="L83" s="72">
        <f t="shared" si="21"/>
        <v>1.7689999999999999</v>
      </c>
      <c r="N83" s="70">
        <v>1.635</v>
      </c>
      <c r="O83" s="67">
        <v>1.1140000000000001</v>
      </c>
      <c r="P83" s="72">
        <f t="shared" si="22"/>
        <v>1.8213900000000001</v>
      </c>
      <c r="R83" s="64" t="s">
        <v>326</v>
      </c>
      <c r="S83" s="70">
        <v>1.45</v>
      </c>
      <c r="T83" s="67">
        <v>1.22</v>
      </c>
      <c r="U83" s="72">
        <f t="shared" si="23"/>
        <v>1.7689999999999999</v>
      </c>
      <c r="W83" s="70">
        <v>1</v>
      </c>
      <c r="X83" s="67">
        <v>1.37</v>
      </c>
      <c r="Y83" s="72">
        <f t="shared" si="19"/>
        <v>1.37</v>
      </c>
      <c r="AA83" s="70">
        <v>1.45</v>
      </c>
      <c r="AB83" s="67">
        <v>1.22</v>
      </c>
      <c r="AC83" s="72">
        <f t="shared" si="24"/>
        <v>1.7689999999999999</v>
      </c>
      <c r="AE83" s="70">
        <v>1.635</v>
      </c>
      <c r="AF83" s="67">
        <v>1.1140000000000001</v>
      </c>
      <c r="AG83" s="72">
        <f t="shared" si="25"/>
        <v>1.8213900000000001</v>
      </c>
    </row>
    <row r="84" spans="1:33" ht="15" thickBot="1" x14ac:dyDescent="0.35">
      <c r="A84" s="63" t="s">
        <v>327</v>
      </c>
      <c r="B84" s="73">
        <v>1.45</v>
      </c>
      <c r="C84" s="74">
        <v>2.41</v>
      </c>
      <c r="D84" s="75">
        <f t="shared" ref="D84:D85" si="26">B84*C84</f>
        <v>3.4944999999999999</v>
      </c>
      <c r="F84" s="73">
        <v>1.5</v>
      </c>
      <c r="G84" s="74">
        <v>2.12</v>
      </c>
      <c r="H84" s="75">
        <f t="shared" si="18"/>
        <v>3.18</v>
      </c>
      <c r="J84" s="73">
        <v>1.45</v>
      </c>
      <c r="K84" s="74">
        <v>2.1949999999999998</v>
      </c>
      <c r="L84" s="75">
        <f t="shared" ref="L84:L85" si="27">J84*K84</f>
        <v>3.1827499999999995</v>
      </c>
      <c r="N84" s="73">
        <v>1.7</v>
      </c>
      <c r="O84" s="74">
        <v>1.5249999999999999</v>
      </c>
      <c r="P84" s="75">
        <f t="shared" ref="P84:P85" si="28">N84*O84</f>
        <v>2.5924999999999998</v>
      </c>
      <c r="R84" s="63" t="s">
        <v>327</v>
      </c>
      <c r="S84" s="73">
        <v>1.45</v>
      </c>
      <c r="T84" s="74">
        <v>2.41</v>
      </c>
      <c r="U84" s="75">
        <f t="shared" si="23"/>
        <v>3.4944999999999999</v>
      </c>
      <c r="W84" s="73">
        <v>1.5</v>
      </c>
      <c r="X84" s="74">
        <v>2.12</v>
      </c>
      <c r="Y84" s="75">
        <f t="shared" si="19"/>
        <v>3.18</v>
      </c>
      <c r="AA84" s="73">
        <v>1.45</v>
      </c>
      <c r="AB84" s="74">
        <v>2.1949999999999998</v>
      </c>
      <c r="AC84" s="75">
        <f t="shared" si="24"/>
        <v>3.1827499999999995</v>
      </c>
      <c r="AE84" s="73">
        <v>1.7</v>
      </c>
      <c r="AF84" s="74">
        <v>1.5249999999999999</v>
      </c>
      <c r="AG84" s="75">
        <f t="shared" si="25"/>
        <v>2.5924999999999998</v>
      </c>
    </row>
    <row r="85" spans="1:33" ht="15" thickBot="1" x14ac:dyDescent="0.35">
      <c r="A85" s="63" t="s">
        <v>345</v>
      </c>
      <c r="B85" s="73">
        <v>8.75</v>
      </c>
      <c r="C85" s="74">
        <v>1.83</v>
      </c>
      <c r="D85" s="75">
        <f t="shared" si="26"/>
        <v>16.012499999999999</v>
      </c>
      <c r="F85" s="73">
        <v>5.3</v>
      </c>
      <c r="G85" s="74">
        <v>1.83</v>
      </c>
      <c r="H85" s="75">
        <f t="shared" si="18"/>
        <v>9.6989999999999998</v>
      </c>
      <c r="J85" s="73">
        <v>8.75</v>
      </c>
      <c r="K85" s="74">
        <v>1.83</v>
      </c>
      <c r="L85" s="75">
        <f t="shared" si="27"/>
        <v>16.012499999999999</v>
      </c>
      <c r="N85" s="73">
        <v>5.3</v>
      </c>
      <c r="O85" s="74">
        <v>1.83</v>
      </c>
      <c r="P85" s="75">
        <f t="shared" si="28"/>
        <v>9.6989999999999998</v>
      </c>
      <c r="R85" s="63" t="s">
        <v>345</v>
      </c>
      <c r="S85" s="73">
        <v>8.75</v>
      </c>
      <c r="T85" s="74">
        <v>1.83</v>
      </c>
      <c r="U85" s="75">
        <f t="shared" si="23"/>
        <v>16.012499999999999</v>
      </c>
      <c r="W85" s="73">
        <v>5.3</v>
      </c>
      <c r="X85" s="74">
        <v>1.83</v>
      </c>
      <c r="Y85" s="75">
        <f t="shared" si="19"/>
        <v>9.6989999999999998</v>
      </c>
      <c r="AA85" s="73">
        <v>8.75</v>
      </c>
      <c r="AB85" s="74">
        <v>1.83</v>
      </c>
      <c r="AC85" s="75">
        <f t="shared" si="24"/>
        <v>16.012499999999999</v>
      </c>
      <c r="AE85" s="73">
        <v>5.3</v>
      </c>
      <c r="AF85" s="74">
        <v>1.83</v>
      </c>
      <c r="AG85" s="75">
        <f t="shared" si="25"/>
        <v>9.6989999999999998</v>
      </c>
    </row>
    <row r="86" spans="1:33" ht="15" thickBot="1" x14ac:dyDescent="0.35">
      <c r="A86" s="63" t="s">
        <v>346</v>
      </c>
      <c r="B86" s="73"/>
      <c r="C86" s="74"/>
      <c r="D86" s="75">
        <f t="shared" si="20"/>
        <v>0</v>
      </c>
      <c r="F86" s="73"/>
      <c r="G86" s="74"/>
      <c r="H86" s="75">
        <f t="shared" si="18"/>
        <v>0</v>
      </c>
      <c r="J86" s="73"/>
      <c r="K86" s="74"/>
      <c r="L86" s="75">
        <f t="shared" si="21"/>
        <v>0</v>
      </c>
      <c r="N86" s="73"/>
      <c r="O86" s="74"/>
      <c r="P86" s="75">
        <f t="shared" si="22"/>
        <v>0</v>
      </c>
      <c r="R86" s="63" t="s">
        <v>346</v>
      </c>
      <c r="S86" s="73"/>
      <c r="T86" s="74"/>
      <c r="U86" s="75">
        <f t="shared" si="23"/>
        <v>0</v>
      </c>
      <c r="W86" s="73"/>
      <c r="X86" s="74"/>
      <c r="Y86" s="75">
        <f t="shared" si="19"/>
        <v>0</v>
      </c>
      <c r="AA86" s="73"/>
      <c r="AB86" s="74"/>
      <c r="AC86" s="75">
        <f t="shared" si="24"/>
        <v>0</v>
      </c>
      <c r="AE86" s="73"/>
      <c r="AF86" s="74"/>
      <c r="AG86" s="75">
        <f t="shared" si="25"/>
        <v>0</v>
      </c>
    </row>
    <row r="87" spans="1:33" ht="15" thickBot="1" x14ac:dyDescent="0.35">
      <c r="A87" s="65" t="s">
        <v>328</v>
      </c>
      <c r="B87" s="223">
        <f>SUM(D62:D86)</f>
        <v>216.05269999999999</v>
      </c>
      <c r="C87" s="224"/>
      <c r="D87" s="225"/>
      <c r="E87" s="66"/>
      <c r="F87" s="223">
        <f>SUM(H62:H86)</f>
        <v>204.21615000000008</v>
      </c>
      <c r="G87" s="224"/>
      <c r="H87" s="225"/>
      <c r="I87" s="66"/>
      <c r="J87" s="229">
        <f>SUM(L62:L86)</f>
        <v>214.51474999999994</v>
      </c>
      <c r="K87" s="230"/>
      <c r="L87" s="231"/>
      <c r="M87" s="66"/>
      <c r="N87" s="223">
        <f>SUM(P62:P86)</f>
        <v>193.95959000000008</v>
      </c>
      <c r="O87" s="224"/>
      <c r="P87" s="225"/>
      <c r="R87" s="65" t="s">
        <v>328</v>
      </c>
      <c r="S87" s="223">
        <f>SUM(U62:U86)</f>
        <v>216.05269999999999</v>
      </c>
      <c r="T87" s="224"/>
      <c r="U87" s="225"/>
      <c r="V87" s="66"/>
      <c r="W87" s="223">
        <f>SUM(Y62:Y86)</f>
        <v>204.21615000000008</v>
      </c>
      <c r="X87" s="224"/>
      <c r="Y87" s="225"/>
      <c r="Z87" s="66"/>
      <c r="AA87" s="229">
        <f>SUM(AC62:AC86)</f>
        <v>224.11474999999993</v>
      </c>
      <c r="AB87" s="230"/>
      <c r="AC87" s="231"/>
      <c r="AD87" s="66"/>
      <c r="AE87" s="223">
        <f>SUM(AG62:AG86)</f>
        <v>193.95959000000008</v>
      </c>
      <c r="AF87" s="224"/>
      <c r="AG87" s="225"/>
    </row>
    <row r="89" spans="1:33" ht="15" thickBot="1" x14ac:dyDescent="0.35">
      <c r="B89" s="226" t="s">
        <v>355</v>
      </c>
      <c r="C89" s="226"/>
      <c r="D89" s="226"/>
      <c r="E89" s="226"/>
      <c r="F89" s="226"/>
      <c r="G89" s="226"/>
      <c r="H89" s="63"/>
      <c r="I89" s="236"/>
      <c r="J89" s="236"/>
      <c r="K89" s="236"/>
      <c r="L89" s="236"/>
      <c r="M89" s="63"/>
      <c r="N89" s="63"/>
      <c r="O89" s="235"/>
      <c r="P89" s="235"/>
      <c r="S89" s="232" t="s">
        <v>348</v>
      </c>
      <c r="T89" s="232"/>
      <c r="W89" s="232" t="s">
        <v>360</v>
      </c>
      <c r="X89" s="232"/>
      <c r="Z89" s="232" t="s">
        <v>362</v>
      </c>
      <c r="AA89" s="232"/>
      <c r="AD89" s="226"/>
      <c r="AE89" s="226"/>
    </row>
    <row r="90" spans="1:33" x14ac:dyDescent="0.3">
      <c r="A90" s="63" t="s">
        <v>309</v>
      </c>
      <c r="B90" s="221">
        <v>1</v>
      </c>
      <c r="C90" s="222"/>
      <c r="D90" s="69" t="s">
        <v>329</v>
      </c>
      <c r="F90" s="227">
        <v>2</v>
      </c>
      <c r="G90" s="228"/>
      <c r="H90" s="69" t="s">
        <v>329</v>
      </c>
      <c r="J90" s="227">
        <v>3</v>
      </c>
      <c r="K90" s="228"/>
      <c r="L90" s="69" t="s">
        <v>329</v>
      </c>
      <c r="N90" s="221">
        <v>4</v>
      </c>
      <c r="O90" s="222"/>
      <c r="P90" s="69" t="s">
        <v>329</v>
      </c>
      <c r="R90" s="227">
        <v>2</v>
      </c>
      <c r="S90" s="228"/>
      <c r="T90" s="69" t="s">
        <v>329</v>
      </c>
      <c r="V90" s="227">
        <v>3</v>
      </c>
      <c r="W90" s="228"/>
      <c r="X90" s="69" t="s">
        <v>329</v>
      </c>
      <c r="Z90" s="221">
        <v>4</v>
      </c>
      <c r="AA90" s="222"/>
      <c r="AB90" s="69" t="s">
        <v>329</v>
      </c>
      <c r="AD90" s="233"/>
      <c r="AE90" s="233"/>
      <c r="AF90" s="77"/>
    </row>
    <row r="91" spans="1:33" x14ac:dyDescent="0.3">
      <c r="A91" s="63" t="s">
        <v>310</v>
      </c>
      <c r="B91" s="70">
        <v>8.75</v>
      </c>
      <c r="C91" s="67">
        <v>5.85</v>
      </c>
      <c r="D91" s="71">
        <f>B91*C91</f>
        <v>51.1875</v>
      </c>
      <c r="F91" s="70">
        <v>5.3</v>
      </c>
      <c r="G91" s="67">
        <v>5.05</v>
      </c>
      <c r="H91" s="71">
        <f t="shared" ref="H91:H113" si="29">F91*G91</f>
        <v>26.764999999999997</v>
      </c>
      <c r="J91" s="70">
        <v>8.75</v>
      </c>
      <c r="K91" s="67">
        <v>6.1870000000000003</v>
      </c>
      <c r="L91" s="71">
        <f>J91*K91</f>
        <v>54.136250000000004</v>
      </c>
      <c r="N91" s="70">
        <v>5.3</v>
      </c>
      <c r="O91" s="67">
        <v>7.0750000000000002</v>
      </c>
      <c r="P91" s="71">
        <f>N91*O91</f>
        <v>37.497500000000002</v>
      </c>
      <c r="R91" s="70">
        <v>5.3</v>
      </c>
      <c r="S91" s="67">
        <v>5.05</v>
      </c>
      <c r="T91" s="71">
        <f t="shared" ref="T91:T113" si="30">R91*S91</f>
        <v>26.764999999999997</v>
      </c>
      <c r="V91" s="70">
        <v>8.75</v>
      </c>
      <c r="W91" s="67">
        <v>6.1870000000000003</v>
      </c>
      <c r="X91" s="71">
        <f>V91*W91</f>
        <v>54.136250000000004</v>
      </c>
      <c r="Z91" s="70">
        <v>5.3</v>
      </c>
      <c r="AA91" s="67">
        <v>7.0750000000000002</v>
      </c>
      <c r="AB91" s="71">
        <f>Z91*AA91</f>
        <v>37.497500000000002</v>
      </c>
      <c r="AF91" s="78"/>
    </row>
    <row r="92" spans="1:33" x14ac:dyDescent="0.3">
      <c r="A92" s="63" t="s">
        <v>311</v>
      </c>
      <c r="B92" s="70">
        <v>2.74</v>
      </c>
      <c r="C92" s="67">
        <v>3.73</v>
      </c>
      <c r="D92" s="71">
        <f t="shared" ref="D92:D113" si="31">B92*C92</f>
        <v>10.2202</v>
      </c>
      <c r="F92" s="70">
        <f>4.3+2+1.6</f>
        <v>7.9</v>
      </c>
      <c r="G92" s="67">
        <f>1.5+1.2+0.5</f>
        <v>3.2</v>
      </c>
      <c r="H92" s="71">
        <f t="shared" si="29"/>
        <v>25.28</v>
      </c>
      <c r="J92" s="70">
        <v>2.74</v>
      </c>
      <c r="K92" s="67">
        <v>3.5150000000000001</v>
      </c>
      <c r="L92" s="71">
        <f t="shared" ref="L92:L113" si="32">J92*K92</f>
        <v>9.6311000000000018</v>
      </c>
      <c r="N92" s="70">
        <v>4.25</v>
      </c>
      <c r="O92" s="67">
        <v>3.43</v>
      </c>
      <c r="P92" s="71">
        <f t="shared" ref="P92:P114" si="33">N92*O92</f>
        <v>14.577500000000001</v>
      </c>
      <c r="R92" s="70">
        <f>4.3+2+1.6</f>
        <v>7.9</v>
      </c>
      <c r="S92" s="67">
        <f>1.5+1.2+0.5</f>
        <v>3.2</v>
      </c>
      <c r="T92" s="71">
        <f t="shared" si="30"/>
        <v>25.28</v>
      </c>
      <c r="V92" s="70">
        <v>2.74</v>
      </c>
      <c r="W92" s="67">
        <v>3.5150000000000001</v>
      </c>
      <c r="X92" s="71">
        <f t="shared" ref="X92:X113" si="34">V92*W92</f>
        <v>9.6311000000000018</v>
      </c>
      <c r="Z92" s="70">
        <v>4.25</v>
      </c>
      <c r="AA92" s="67">
        <v>3.43</v>
      </c>
      <c r="AB92" s="71">
        <f t="shared" ref="AB92:AB114" si="35">Z92*AA92</f>
        <v>14.577500000000001</v>
      </c>
      <c r="AF92" s="78"/>
    </row>
    <row r="93" spans="1:33" x14ac:dyDescent="0.3">
      <c r="A93" s="63" t="s">
        <v>312</v>
      </c>
      <c r="B93" s="70">
        <v>3.53</v>
      </c>
      <c r="C93" s="67">
        <v>4.55</v>
      </c>
      <c r="D93" s="71">
        <f t="shared" si="31"/>
        <v>16.061499999999999</v>
      </c>
      <c r="F93" s="70">
        <v>3.5</v>
      </c>
      <c r="G93" s="67">
        <v>5.19</v>
      </c>
      <c r="H93" s="71">
        <f t="shared" si="29"/>
        <v>18.165000000000003</v>
      </c>
      <c r="J93" s="70">
        <v>3.35</v>
      </c>
      <c r="K93" s="67">
        <v>4.8869999999999996</v>
      </c>
      <c r="L93" s="71">
        <f t="shared" si="32"/>
        <v>16.371449999999999</v>
      </c>
      <c r="N93" s="70">
        <v>3.5</v>
      </c>
      <c r="O93" s="67">
        <v>5.4249999999999998</v>
      </c>
      <c r="P93" s="71">
        <f t="shared" si="33"/>
        <v>18.987500000000001</v>
      </c>
      <c r="R93" s="70">
        <v>3.5</v>
      </c>
      <c r="S93" s="67">
        <v>5.19</v>
      </c>
      <c r="T93" s="71">
        <f t="shared" si="30"/>
        <v>18.165000000000003</v>
      </c>
      <c r="V93" s="70">
        <v>3.35</v>
      </c>
      <c r="W93" s="67">
        <v>4.8869999999999996</v>
      </c>
      <c r="X93" s="71">
        <f t="shared" si="34"/>
        <v>16.371449999999999</v>
      </c>
      <c r="Z93" s="70">
        <v>3.5</v>
      </c>
      <c r="AA93" s="67">
        <v>5.4249999999999998</v>
      </c>
      <c r="AB93" s="71">
        <f t="shared" si="35"/>
        <v>18.987500000000001</v>
      </c>
      <c r="AF93" s="78"/>
    </row>
    <row r="94" spans="1:33" x14ac:dyDescent="0.3">
      <c r="A94" s="63" t="s">
        <v>313</v>
      </c>
      <c r="B94" s="70">
        <v>3.95</v>
      </c>
      <c r="C94" s="67">
        <v>4.5</v>
      </c>
      <c r="D94" s="72">
        <f t="shared" si="31"/>
        <v>17.775000000000002</v>
      </c>
      <c r="F94" s="70">
        <v>3.4</v>
      </c>
      <c r="G94" s="67">
        <v>3.95</v>
      </c>
      <c r="H94" s="72">
        <f t="shared" si="29"/>
        <v>13.43</v>
      </c>
      <c r="J94" s="70">
        <v>3.35</v>
      </c>
      <c r="K94" s="67">
        <v>4.5549999999999997</v>
      </c>
      <c r="L94" s="72">
        <f t="shared" si="32"/>
        <v>15.25925</v>
      </c>
      <c r="N94" s="70">
        <v>3.38</v>
      </c>
      <c r="O94" s="67">
        <v>5</v>
      </c>
      <c r="P94" s="72">
        <f t="shared" si="33"/>
        <v>16.899999999999999</v>
      </c>
      <c r="R94" s="70">
        <v>3.4</v>
      </c>
      <c r="S94" s="67">
        <v>3.95</v>
      </c>
      <c r="T94" s="72">
        <f t="shared" si="30"/>
        <v>13.43</v>
      </c>
      <c r="V94" s="70">
        <v>3.35</v>
      </c>
      <c r="W94" s="67">
        <v>4.5549999999999997</v>
      </c>
      <c r="X94" s="72">
        <f t="shared" si="34"/>
        <v>15.25925</v>
      </c>
      <c r="Z94" s="70">
        <v>3.38</v>
      </c>
      <c r="AA94" s="67">
        <v>5</v>
      </c>
      <c r="AB94" s="72">
        <f t="shared" si="35"/>
        <v>16.899999999999999</v>
      </c>
      <c r="AF94" s="79"/>
    </row>
    <row r="95" spans="1:33" x14ac:dyDescent="0.3">
      <c r="A95" s="63" t="s">
        <v>314</v>
      </c>
      <c r="B95" s="70">
        <v>3.43</v>
      </c>
      <c r="C95" s="67">
        <v>4.75</v>
      </c>
      <c r="D95" s="72">
        <f t="shared" si="31"/>
        <v>16.2925</v>
      </c>
      <c r="F95" s="70">
        <v>3.37</v>
      </c>
      <c r="G95" s="67">
        <v>4.88</v>
      </c>
      <c r="H95" s="72">
        <f t="shared" si="29"/>
        <v>16.445599999999999</v>
      </c>
      <c r="J95" s="70">
        <v>3.33</v>
      </c>
      <c r="K95" s="67">
        <v>4.4050000000000002</v>
      </c>
      <c r="L95" s="72">
        <f t="shared" si="32"/>
        <v>14.668650000000001</v>
      </c>
      <c r="N95" s="70">
        <v>3.48</v>
      </c>
      <c r="O95" s="67">
        <v>4.4950000000000001</v>
      </c>
      <c r="P95" s="72">
        <f t="shared" si="33"/>
        <v>15.6426</v>
      </c>
      <c r="R95" s="70">
        <v>3.37</v>
      </c>
      <c r="S95" s="67">
        <v>4.88</v>
      </c>
      <c r="T95" s="72">
        <f t="shared" si="30"/>
        <v>16.445599999999999</v>
      </c>
      <c r="V95" s="70">
        <v>3.33</v>
      </c>
      <c r="W95" s="67">
        <v>4.4050000000000002</v>
      </c>
      <c r="X95" s="72">
        <f t="shared" si="34"/>
        <v>14.668650000000001</v>
      </c>
      <c r="Z95" s="70">
        <v>3.48</v>
      </c>
      <c r="AA95" s="67">
        <v>4.4950000000000001</v>
      </c>
      <c r="AB95" s="72">
        <f t="shared" si="35"/>
        <v>15.6426</v>
      </c>
      <c r="AF95" s="79"/>
    </row>
    <row r="96" spans="1:33" x14ac:dyDescent="0.3">
      <c r="A96" s="63" t="s">
        <v>315</v>
      </c>
      <c r="B96" s="70">
        <v>3.35</v>
      </c>
      <c r="C96" s="67">
        <v>4.4000000000000004</v>
      </c>
      <c r="D96" s="72">
        <f t="shared" si="31"/>
        <v>14.740000000000002</v>
      </c>
      <c r="F96" s="70">
        <v>3.62</v>
      </c>
      <c r="G96" s="67">
        <v>4.97</v>
      </c>
      <c r="H96" s="72">
        <f t="shared" si="29"/>
        <v>17.991399999999999</v>
      </c>
      <c r="J96" s="70">
        <v>3.33</v>
      </c>
      <c r="K96" s="67">
        <v>4.74</v>
      </c>
      <c r="L96" s="72">
        <f t="shared" si="32"/>
        <v>15.7842</v>
      </c>
      <c r="N96" s="70">
        <v>3.38</v>
      </c>
      <c r="O96" s="67">
        <v>4.4950000000000001</v>
      </c>
      <c r="P96" s="72">
        <f t="shared" si="33"/>
        <v>15.193099999999999</v>
      </c>
      <c r="R96" s="70">
        <v>3.62</v>
      </c>
      <c r="S96" s="67">
        <v>4.97</v>
      </c>
      <c r="T96" s="72">
        <f t="shared" si="30"/>
        <v>17.991399999999999</v>
      </c>
      <c r="V96" s="70">
        <v>3.33</v>
      </c>
      <c r="W96" s="67">
        <v>4.74</v>
      </c>
      <c r="X96" s="72">
        <f t="shared" si="34"/>
        <v>15.7842</v>
      </c>
      <c r="Z96" s="70">
        <v>3.38</v>
      </c>
      <c r="AA96" s="67">
        <v>4.4950000000000001</v>
      </c>
      <c r="AB96" s="72">
        <f t="shared" si="35"/>
        <v>15.193099999999999</v>
      </c>
      <c r="AF96" s="79"/>
    </row>
    <row r="97" spans="1:32" x14ac:dyDescent="0.3">
      <c r="A97" s="63" t="s">
        <v>317</v>
      </c>
      <c r="B97" s="70">
        <v>1.45</v>
      </c>
      <c r="C97" s="67">
        <v>1.22</v>
      </c>
      <c r="D97" s="72">
        <f t="shared" si="31"/>
        <v>1.7689999999999999</v>
      </c>
      <c r="F97" s="70">
        <v>1.38</v>
      </c>
      <c r="G97" s="67">
        <v>1.85</v>
      </c>
      <c r="H97" s="72">
        <f t="shared" si="29"/>
        <v>2.5529999999999999</v>
      </c>
      <c r="J97" s="70">
        <v>1.45</v>
      </c>
      <c r="K97" s="67">
        <v>1.22</v>
      </c>
      <c r="L97" s="72">
        <f t="shared" si="32"/>
        <v>1.7689999999999999</v>
      </c>
      <c r="N97" s="70">
        <v>1.22</v>
      </c>
      <c r="O97" s="67">
        <v>1.85</v>
      </c>
      <c r="P97" s="72">
        <f t="shared" si="33"/>
        <v>2.2570000000000001</v>
      </c>
      <c r="R97" s="70">
        <v>1.38</v>
      </c>
      <c r="S97" s="67">
        <v>1.85</v>
      </c>
      <c r="T97" s="72">
        <f t="shared" si="30"/>
        <v>2.5529999999999999</v>
      </c>
      <c r="V97" s="70">
        <v>1.45</v>
      </c>
      <c r="W97" s="67">
        <v>1.22</v>
      </c>
      <c r="X97" s="72">
        <f t="shared" si="34"/>
        <v>1.7689999999999999</v>
      </c>
      <c r="Z97" s="70">
        <v>1.22</v>
      </c>
      <c r="AA97" s="67">
        <v>1.85</v>
      </c>
      <c r="AB97" s="72">
        <f t="shared" si="35"/>
        <v>2.2570000000000001</v>
      </c>
      <c r="AF97" s="79"/>
    </row>
    <row r="98" spans="1:32" x14ac:dyDescent="0.3">
      <c r="A98" s="63" t="s">
        <v>316</v>
      </c>
      <c r="B98" s="70">
        <v>3.35</v>
      </c>
      <c r="C98" s="67">
        <v>1.83</v>
      </c>
      <c r="D98" s="72">
        <f t="shared" si="31"/>
        <v>6.1305000000000005</v>
      </c>
      <c r="F98" s="70">
        <v>2.73</v>
      </c>
      <c r="G98" s="67">
        <v>1.85</v>
      </c>
      <c r="H98" s="72">
        <f t="shared" si="29"/>
        <v>5.0505000000000004</v>
      </c>
      <c r="J98" s="70">
        <v>3.36</v>
      </c>
      <c r="K98" s="67">
        <v>1.83</v>
      </c>
      <c r="L98" s="72">
        <f t="shared" si="32"/>
        <v>6.1487999999999996</v>
      </c>
      <c r="N98" s="70">
        <v>2.75</v>
      </c>
      <c r="O98" s="67">
        <v>1.85</v>
      </c>
      <c r="P98" s="72">
        <f t="shared" si="33"/>
        <v>5.0875000000000004</v>
      </c>
      <c r="R98" s="70">
        <v>2.73</v>
      </c>
      <c r="S98" s="67">
        <v>1.85</v>
      </c>
      <c r="T98" s="72">
        <f t="shared" si="30"/>
        <v>5.0505000000000004</v>
      </c>
      <c r="V98" s="70">
        <v>3.36</v>
      </c>
      <c r="W98" s="67">
        <v>1.83</v>
      </c>
      <c r="X98" s="72">
        <f t="shared" si="34"/>
        <v>6.1487999999999996</v>
      </c>
      <c r="Z98" s="70">
        <v>2.75</v>
      </c>
      <c r="AA98" s="67">
        <v>1.85</v>
      </c>
      <c r="AB98" s="72">
        <f t="shared" si="35"/>
        <v>5.0875000000000004</v>
      </c>
      <c r="AF98" s="79"/>
    </row>
    <row r="99" spans="1:32" x14ac:dyDescent="0.3">
      <c r="A99" s="63" t="s">
        <v>318</v>
      </c>
      <c r="B99" s="70">
        <v>2.44</v>
      </c>
      <c r="C99" s="67">
        <v>1.52</v>
      </c>
      <c r="D99" s="72">
        <f t="shared" si="31"/>
        <v>3.7088000000000001</v>
      </c>
      <c r="F99" s="70">
        <v>2.44</v>
      </c>
      <c r="G99" s="67">
        <v>1.68</v>
      </c>
      <c r="H99" s="72">
        <f t="shared" si="29"/>
        <v>4.0991999999999997</v>
      </c>
      <c r="J99" s="70">
        <v>2.44</v>
      </c>
      <c r="K99" s="67">
        <v>1.575</v>
      </c>
      <c r="L99" s="72">
        <f t="shared" si="32"/>
        <v>3.843</v>
      </c>
      <c r="N99" s="70">
        <v>1.72</v>
      </c>
      <c r="O99" s="67">
        <v>2.44</v>
      </c>
      <c r="P99" s="72">
        <f t="shared" si="33"/>
        <v>4.1967999999999996</v>
      </c>
      <c r="R99" s="70">
        <v>2.44</v>
      </c>
      <c r="S99" s="67">
        <v>1.68</v>
      </c>
      <c r="T99" s="72">
        <f t="shared" si="30"/>
        <v>4.0991999999999997</v>
      </c>
      <c r="V99" s="70">
        <v>2.44</v>
      </c>
      <c r="W99" s="67">
        <v>1.575</v>
      </c>
      <c r="X99" s="72">
        <f t="shared" si="34"/>
        <v>3.843</v>
      </c>
      <c r="Z99" s="70">
        <v>1.72</v>
      </c>
      <c r="AA99" s="67">
        <v>2.44</v>
      </c>
      <c r="AB99" s="72">
        <f t="shared" si="35"/>
        <v>4.1967999999999996</v>
      </c>
      <c r="AF99" s="79"/>
    </row>
    <row r="100" spans="1:32" x14ac:dyDescent="0.3">
      <c r="A100" s="63" t="s">
        <v>319</v>
      </c>
      <c r="B100" s="70">
        <v>1.52</v>
      </c>
      <c r="C100" s="67">
        <v>2.44</v>
      </c>
      <c r="D100" s="72">
        <f t="shared" si="31"/>
        <v>3.7088000000000001</v>
      </c>
      <c r="F100" s="70">
        <v>1.68</v>
      </c>
      <c r="G100" s="67">
        <v>2.4500000000000002</v>
      </c>
      <c r="H100" s="72">
        <f t="shared" si="29"/>
        <v>4.1160000000000005</v>
      </c>
      <c r="J100" s="70">
        <v>1.52</v>
      </c>
      <c r="K100" s="67">
        <v>2.44</v>
      </c>
      <c r="L100" s="72">
        <f t="shared" si="32"/>
        <v>3.7088000000000001</v>
      </c>
      <c r="N100" s="70">
        <v>1.67</v>
      </c>
      <c r="O100" s="67">
        <v>2.62</v>
      </c>
      <c r="P100" s="72">
        <f t="shared" si="33"/>
        <v>4.3754</v>
      </c>
      <c r="R100" s="70">
        <v>1.68</v>
      </c>
      <c r="S100" s="67">
        <v>2.4500000000000002</v>
      </c>
      <c r="T100" s="72">
        <f t="shared" si="30"/>
        <v>4.1160000000000005</v>
      </c>
      <c r="V100" s="70">
        <v>1.52</v>
      </c>
      <c r="W100" s="67">
        <v>2.44</v>
      </c>
      <c r="X100" s="72">
        <f t="shared" si="34"/>
        <v>3.7088000000000001</v>
      </c>
      <c r="Z100" s="70">
        <v>1.67</v>
      </c>
      <c r="AA100" s="67">
        <v>2.62</v>
      </c>
      <c r="AB100" s="72">
        <f t="shared" si="35"/>
        <v>4.3754</v>
      </c>
      <c r="AF100" s="79"/>
    </row>
    <row r="101" spans="1:32" x14ac:dyDescent="0.3">
      <c r="A101" s="63" t="s">
        <v>320</v>
      </c>
      <c r="B101" s="70">
        <v>1.52</v>
      </c>
      <c r="C101" s="67">
        <v>2.44</v>
      </c>
      <c r="D101" s="72">
        <f t="shared" si="31"/>
        <v>3.7088000000000001</v>
      </c>
      <c r="F101" s="70">
        <v>1.53</v>
      </c>
      <c r="G101" s="67">
        <v>2.4500000000000002</v>
      </c>
      <c r="H101" s="72">
        <f t="shared" si="29"/>
        <v>3.7485000000000004</v>
      </c>
      <c r="J101" s="70">
        <v>1.52</v>
      </c>
      <c r="K101" s="67">
        <v>2.44</v>
      </c>
      <c r="L101" s="72">
        <f t="shared" si="32"/>
        <v>3.7088000000000001</v>
      </c>
      <c r="N101" s="70">
        <v>1.67</v>
      </c>
      <c r="O101" s="67">
        <v>2.62</v>
      </c>
      <c r="P101" s="72">
        <f t="shared" si="33"/>
        <v>4.3754</v>
      </c>
      <c r="R101" s="70">
        <v>1.53</v>
      </c>
      <c r="S101" s="67">
        <v>2.4500000000000002</v>
      </c>
      <c r="T101" s="72">
        <f t="shared" si="30"/>
        <v>3.7485000000000004</v>
      </c>
      <c r="V101" s="70">
        <v>1.52</v>
      </c>
      <c r="W101" s="67">
        <v>2.44</v>
      </c>
      <c r="X101" s="72">
        <f t="shared" si="34"/>
        <v>3.7088000000000001</v>
      </c>
      <c r="Z101" s="70">
        <v>1.67</v>
      </c>
      <c r="AA101" s="67">
        <v>2.62</v>
      </c>
      <c r="AB101" s="72">
        <f t="shared" si="35"/>
        <v>4.3754</v>
      </c>
      <c r="AF101" s="79"/>
    </row>
    <row r="102" spans="1:32" ht="28.8" x14ac:dyDescent="0.3">
      <c r="A102" s="76" t="s">
        <v>335</v>
      </c>
      <c r="B102" s="70">
        <v>4.05</v>
      </c>
      <c r="C102" s="67">
        <v>3.5</v>
      </c>
      <c r="D102" s="72">
        <f t="shared" si="31"/>
        <v>14.174999999999999</v>
      </c>
      <c r="F102" s="70">
        <v>2.17</v>
      </c>
      <c r="G102" s="67">
        <v>3.2</v>
      </c>
      <c r="H102" s="72">
        <f t="shared" si="29"/>
        <v>6.944</v>
      </c>
      <c r="J102" s="70">
        <v>4.03</v>
      </c>
      <c r="K102" s="67">
        <v>3.5649999999999999</v>
      </c>
      <c r="L102" s="72">
        <f t="shared" si="32"/>
        <v>14.366950000000001</v>
      </c>
      <c r="N102" s="70">
        <v>2.12</v>
      </c>
      <c r="O102" s="67">
        <v>3.22</v>
      </c>
      <c r="P102" s="72">
        <f t="shared" si="33"/>
        <v>6.8264000000000005</v>
      </c>
      <c r="R102" s="70">
        <v>2.17</v>
      </c>
      <c r="S102" s="67">
        <v>3.2</v>
      </c>
      <c r="T102" s="72">
        <f t="shared" si="30"/>
        <v>6.944</v>
      </c>
      <c r="V102" s="70">
        <v>4.03</v>
      </c>
      <c r="W102" s="67">
        <v>3.5649999999999999</v>
      </c>
      <c r="X102" s="72">
        <f t="shared" si="34"/>
        <v>14.366950000000001</v>
      </c>
      <c r="Z102" s="70">
        <v>2.12</v>
      </c>
      <c r="AA102" s="67">
        <v>3.22</v>
      </c>
      <c r="AB102" s="72">
        <f t="shared" si="35"/>
        <v>6.8264000000000005</v>
      </c>
      <c r="AF102" s="79"/>
    </row>
    <row r="103" spans="1:32" x14ac:dyDescent="0.3">
      <c r="A103" s="63" t="s">
        <v>321</v>
      </c>
      <c r="B103" s="70">
        <v>1.75</v>
      </c>
      <c r="C103" s="67">
        <v>1.52</v>
      </c>
      <c r="D103" s="72">
        <f t="shared" si="31"/>
        <v>2.66</v>
      </c>
      <c r="F103" s="70">
        <v>3</v>
      </c>
      <c r="G103" s="67">
        <v>1</v>
      </c>
      <c r="H103" s="72">
        <f t="shared" si="29"/>
        <v>3</v>
      </c>
      <c r="J103" s="70">
        <v>1.91</v>
      </c>
      <c r="K103" s="67">
        <v>3.03</v>
      </c>
      <c r="L103" s="72">
        <f t="shared" si="32"/>
        <v>5.7872999999999992</v>
      </c>
      <c r="N103" s="70">
        <v>6.5</v>
      </c>
      <c r="O103" s="67">
        <v>1</v>
      </c>
      <c r="P103" s="72">
        <f t="shared" si="33"/>
        <v>6.5</v>
      </c>
      <c r="R103" s="70">
        <v>3</v>
      </c>
      <c r="S103" s="67">
        <v>1</v>
      </c>
      <c r="T103" s="72">
        <f t="shared" si="30"/>
        <v>3</v>
      </c>
      <c r="V103" s="70">
        <v>1.91</v>
      </c>
      <c r="W103" s="67">
        <v>3.03</v>
      </c>
      <c r="X103" s="72">
        <f t="shared" si="34"/>
        <v>5.7872999999999992</v>
      </c>
      <c r="Z103" s="70">
        <v>6.5</v>
      </c>
      <c r="AA103" s="67">
        <v>1</v>
      </c>
      <c r="AB103" s="72">
        <f t="shared" si="35"/>
        <v>6.5</v>
      </c>
      <c r="AF103" s="79"/>
    </row>
    <row r="104" spans="1:32" x14ac:dyDescent="0.3">
      <c r="A104" s="63" t="s">
        <v>322</v>
      </c>
      <c r="B104" s="70">
        <v>2.1</v>
      </c>
      <c r="C104" s="67">
        <v>3.08</v>
      </c>
      <c r="D104" s="72">
        <f t="shared" si="31"/>
        <v>6.4680000000000009</v>
      </c>
      <c r="F104" s="70">
        <v>2.1</v>
      </c>
      <c r="G104" s="67">
        <v>1.35</v>
      </c>
      <c r="H104" s="72">
        <f t="shared" si="29"/>
        <v>2.8350000000000004</v>
      </c>
      <c r="J104" s="70">
        <v>1.75</v>
      </c>
      <c r="K104" s="67">
        <v>1.575</v>
      </c>
      <c r="L104" s="72">
        <f t="shared" si="32"/>
        <v>2.7562500000000001</v>
      </c>
      <c r="N104" s="70">
        <v>0.8</v>
      </c>
      <c r="O104" s="67">
        <v>1</v>
      </c>
      <c r="P104" s="72">
        <f t="shared" si="33"/>
        <v>0.8</v>
      </c>
      <c r="R104" s="70">
        <v>2.1</v>
      </c>
      <c r="S104" s="67">
        <v>1.35</v>
      </c>
      <c r="T104" s="72">
        <f t="shared" si="30"/>
        <v>2.8350000000000004</v>
      </c>
      <c r="V104" s="70">
        <v>1.75</v>
      </c>
      <c r="W104" s="67">
        <v>1.575</v>
      </c>
      <c r="X104" s="72">
        <f t="shared" si="34"/>
        <v>2.7562500000000001</v>
      </c>
      <c r="Z104" s="70">
        <v>0.8</v>
      </c>
      <c r="AA104" s="67">
        <v>1</v>
      </c>
      <c r="AB104" s="72">
        <f t="shared" si="35"/>
        <v>0.8</v>
      </c>
      <c r="AF104" s="79"/>
    </row>
    <row r="105" spans="1:32" x14ac:dyDescent="0.3">
      <c r="A105" s="63" t="s">
        <v>323</v>
      </c>
      <c r="B105" s="70">
        <v>1.26</v>
      </c>
      <c r="C105" s="67">
        <v>1.62</v>
      </c>
      <c r="D105" s="72">
        <f t="shared" si="31"/>
        <v>2.0412000000000003</v>
      </c>
      <c r="F105" s="70">
        <v>3.42</v>
      </c>
      <c r="G105" s="67">
        <v>1.65</v>
      </c>
      <c r="H105" s="72">
        <f t="shared" si="29"/>
        <v>5.6429999999999998</v>
      </c>
      <c r="J105" s="70">
        <v>1.08</v>
      </c>
      <c r="K105" s="67">
        <v>1.575</v>
      </c>
      <c r="L105" s="72">
        <f t="shared" si="32"/>
        <v>1.7010000000000001</v>
      </c>
      <c r="N105" s="70">
        <v>0.8</v>
      </c>
      <c r="O105" s="67">
        <v>1.75</v>
      </c>
      <c r="P105" s="72">
        <f t="shared" si="33"/>
        <v>1.4000000000000001</v>
      </c>
      <c r="R105" s="70">
        <v>3.42</v>
      </c>
      <c r="S105" s="67">
        <v>1.65</v>
      </c>
      <c r="T105" s="72">
        <f t="shared" si="30"/>
        <v>5.6429999999999998</v>
      </c>
      <c r="V105" s="70">
        <v>1.08</v>
      </c>
      <c r="W105" s="67">
        <v>1.575</v>
      </c>
      <c r="X105" s="72">
        <f t="shared" si="34"/>
        <v>1.7010000000000001</v>
      </c>
      <c r="Z105" s="70">
        <v>0.8</v>
      </c>
      <c r="AA105" s="67">
        <v>1.75</v>
      </c>
      <c r="AB105" s="72">
        <f t="shared" si="35"/>
        <v>1.4000000000000001</v>
      </c>
      <c r="AF105" s="79"/>
    </row>
    <row r="106" spans="1:32" x14ac:dyDescent="0.3">
      <c r="A106" s="63" t="s">
        <v>324</v>
      </c>
      <c r="B106" s="70">
        <v>1.67</v>
      </c>
      <c r="C106" s="67">
        <v>1.05</v>
      </c>
      <c r="D106" s="72">
        <f t="shared" si="31"/>
        <v>1.7535000000000001</v>
      </c>
      <c r="F106" s="70">
        <v>1.63</v>
      </c>
      <c r="G106" s="67">
        <v>1.665</v>
      </c>
      <c r="H106" s="72">
        <f t="shared" si="29"/>
        <v>2.7139500000000001</v>
      </c>
      <c r="J106" s="70">
        <v>1.67</v>
      </c>
      <c r="K106" s="67">
        <v>1.05</v>
      </c>
      <c r="L106" s="72">
        <f t="shared" si="32"/>
        <v>1.7535000000000001</v>
      </c>
      <c r="N106" s="70"/>
      <c r="O106" s="67"/>
      <c r="P106" s="72">
        <f t="shared" si="33"/>
        <v>0</v>
      </c>
      <c r="R106" s="70">
        <v>1.63</v>
      </c>
      <c r="S106" s="67">
        <v>1.665</v>
      </c>
      <c r="T106" s="72">
        <f t="shared" si="30"/>
        <v>2.7139500000000001</v>
      </c>
      <c r="V106" s="70">
        <v>1.67</v>
      </c>
      <c r="W106" s="67">
        <v>1.05</v>
      </c>
      <c r="X106" s="72">
        <f t="shared" si="34"/>
        <v>1.7535000000000001</v>
      </c>
      <c r="Z106" s="70"/>
      <c r="AA106" s="67"/>
      <c r="AB106" s="72">
        <f t="shared" si="35"/>
        <v>0</v>
      </c>
      <c r="AF106" s="79"/>
    </row>
    <row r="107" spans="1:32" x14ac:dyDescent="0.3">
      <c r="A107" s="63" t="s">
        <v>325</v>
      </c>
      <c r="B107" s="70">
        <v>1.8</v>
      </c>
      <c r="C107" s="67">
        <v>4.8</v>
      </c>
      <c r="D107" s="72">
        <f t="shared" si="31"/>
        <v>8.64</v>
      </c>
      <c r="F107" s="70">
        <v>1.8</v>
      </c>
      <c r="G107" s="67">
        <v>1.2</v>
      </c>
      <c r="H107" s="72">
        <f t="shared" si="29"/>
        <v>2.16</v>
      </c>
      <c r="J107" s="70">
        <v>2</v>
      </c>
      <c r="K107" s="67">
        <v>4.8</v>
      </c>
      <c r="L107" s="72">
        <f t="shared" si="32"/>
        <v>9.6</v>
      </c>
      <c r="N107" s="70"/>
      <c r="O107" s="67"/>
      <c r="P107" s="72">
        <f t="shared" si="33"/>
        <v>0</v>
      </c>
      <c r="R107" s="70">
        <v>1.8</v>
      </c>
      <c r="S107" s="67">
        <v>1.2</v>
      </c>
      <c r="T107" s="72">
        <f t="shared" si="30"/>
        <v>2.16</v>
      </c>
      <c r="V107" s="70">
        <v>2</v>
      </c>
      <c r="W107" s="67">
        <v>4.8</v>
      </c>
      <c r="X107" s="72">
        <f t="shared" si="34"/>
        <v>9.6</v>
      </c>
      <c r="Z107" s="70"/>
      <c r="AA107" s="67"/>
      <c r="AB107" s="72">
        <f t="shared" si="35"/>
        <v>0</v>
      </c>
      <c r="AF107" s="79"/>
    </row>
    <row r="108" spans="1:32" x14ac:dyDescent="0.3">
      <c r="A108" s="63" t="s">
        <v>330</v>
      </c>
      <c r="B108" s="70"/>
      <c r="C108" s="67"/>
      <c r="D108" s="72">
        <f t="shared" si="31"/>
        <v>0</v>
      </c>
      <c r="F108" s="70">
        <v>1.05</v>
      </c>
      <c r="G108" s="67">
        <v>0.6</v>
      </c>
      <c r="H108" s="72">
        <f t="shared" si="29"/>
        <v>0.63</v>
      </c>
      <c r="J108" s="70"/>
      <c r="K108" s="67"/>
      <c r="L108" s="72">
        <f t="shared" si="32"/>
        <v>0</v>
      </c>
      <c r="N108" s="70"/>
      <c r="O108" s="67"/>
      <c r="P108" s="72">
        <f t="shared" si="33"/>
        <v>0</v>
      </c>
      <c r="R108" s="70">
        <v>1.05</v>
      </c>
      <c r="S108" s="67">
        <v>0.6</v>
      </c>
      <c r="T108" s="72">
        <f t="shared" si="30"/>
        <v>0.63</v>
      </c>
      <c r="V108" s="70"/>
      <c r="W108" s="67"/>
      <c r="X108" s="72">
        <f t="shared" si="34"/>
        <v>0</v>
      </c>
      <c r="Z108" s="70"/>
      <c r="AA108" s="67"/>
      <c r="AB108" s="72">
        <f t="shared" si="35"/>
        <v>0</v>
      </c>
      <c r="AF108" s="79"/>
    </row>
    <row r="109" spans="1:32" x14ac:dyDescent="0.3">
      <c r="A109" s="63" t="s">
        <v>334</v>
      </c>
      <c r="B109" s="70"/>
      <c r="C109" s="67"/>
      <c r="D109" s="72">
        <f t="shared" si="31"/>
        <v>0</v>
      </c>
      <c r="F109" s="70">
        <v>3.8</v>
      </c>
      <c r="G109" s="67">
        <v>2.0499999999999998</v>
      </c>
      <c r="H109" s="72">
        <f t="shared" si="29"/>
        <v>7.7899999999999991</v>
      </c>
      <c r="J109" s="70"/>
      <c r="K109" s="67"/>
      <c r="L109" s="72">
        <f t="shared" si="32"/>
        <v>0</v>
      </c>
      <c r="N109" s="70"/>
      <c r="O109" s="67"/>
      <c r="P109" s="72">
        <f t="shared" si="33"/>
        <v>0</v>
      </c>
      <c r="R109" s="70">
        <v>3.8</v>
      </c>
      <c r="S109" s="67">
        <v>2.0499999999999998</v>
      </c>
      <c r="T109" s="72">
        <f t="shared" si="30"/>
        <v>7.7899999999999991</v>
      </c>
      <c r="V109" s="70"/>
      <c r="W109" s="67"/>
      <c r="X109" s="72">
        <f t="shared" si="34"/>
        <v>0</v>
      </c>
      <c r="Z109" s="70"/>
      <c r="AA109" s="67"/>
      <c r="AB109" s="72">
        <f t="shared" si="35"/>
        <v>0</v>
      </c>
      <c r="AF109" s="79"/>
    </row>
    <row r="110" spans="1:32" x14ac:dyDescent="0.3">
      <c r="A110" s="64" t="s">
        <v>332</v>
      </c>
      <c r="B110" s="70">
        <v>6.6</v>
      </c>
      <c r="C110" s="67">
        <v>2.15</v>
      </c>
      <c r="D110" s="72">
        <f t="shared" si="31"/>
        <v>14.19</v>
      </c>
      <c r="F110" s="70">
        <v>5.75</v>
      </c>
      <c r="G110" s="67">
        <v>2.91</v>
      </c>
      <c r="H110" s="72">
        <f t="shared" si="29"/>
        <v>16.732500000000002</v>
      </c>
      <c r="J110" s="70">
        <v>6.6</v>
      </c>
      <c r="K110" s="67">
        <v>2.2050000000000001</v>
      </c>
      <c r="L110" s="72">
        <f t="shared" si="32"/>
        <v>14.552999999999999</v>
      </c>
      <c r="N110" s="70">
        <v>5.75</v>
      </c>
      <c r="O110" s="67">
        <v>3</v>
      </c>
      <c r="P110" s="72">
        <f t="shared" si="33"/>
        <v>17.25</v>
      </c>
      <c r="R110" s="70">
        <v>5.75</v>
      </c>
      <c r="S110" s="67">
        <v>2.91</v>
      </c>
      <c r="T110" s="72">
        <f t="shared" si="30"/>
        <v>16.732500000000002</v>
      </c>
      <c r="V110" s="70">
        <v>6.6</v>
      </c>
      <c r="W110" s="67">
        <v>2.2050000000000001</v>
      </c>
      <c r="X110" s="72">
        <f t="shared" si="34"/>
        <v>14.552999999999999</v>
      </c>
      <c r="Z110" s="70">
        <v>5.75</v>
      </c>
      <c r="AA110" s="67">
        <v>3</v>
      </c>
      <c r="AB110" s="72">
        <f t="shared" si="35"/>
        <v>17.25</v>
      </c>
      <c r="AF110" s="79"/>
    </row>
    <row r="111" spans="1:32" ht="28.8" x14ac:dyDescent="0.3">
      <c r="A111" s="64" t="s">
        <v>333</v>
      </c>
      <c r="B111" s="70">
        <f>1.36+0.8</f>
        <v>2.16</v>
      </c>
      <c r="C111" s="67">
        <f>2.41+1.38</f>
        <v>3.79</v>
      </c>
      <c r="D111" s="72">
        <f t="shared" si="31"/>
        <v>8.1864000000000008</v>
      </c>
      <c r="F111" s="70">
        <v>2.0499999999999998</v>
      </c>
      <c r="G111" s="67">
        <v>1.89</v>
      </c>
      <c r="H111" s="72">
        <f t="shared" si="29"/>
        <v>3.8744999999999994</v>
      </c>
      <c r="J111" s="70">
        <f>1.36+0.8</f>
        <v>2.16</v>
      </c>
      <c r="K111" s="67">
        <f>2.195+1.325</f>
        <v>3.5199999999999996</v>
      </c>
      <c r="L111" s="72">
        <f t="shared" si="32"/>
        <v>7.6031999999999993</v>
      </c>
      <c r="N111" s="70">
        <f>1.7+0.7</f>
        <v>2.4</v>
      </c>
      <c r="O111" s="67">
        <f>1.525+1.8</f>
        <v>3.3250000000000002</v>
      </c>
      <c r="P111" s="72">
        <f t="shared" si="33"/>
        <v>7.98</v>
      </c>
      <c r="R111" s="70">
        <v>2.0499999999999998</v>
      </c>
      <c r="S111" s="67">
        <v>1.89</v>
      </c>
      <c r="T111" s="72">
        <f t="shared" si="30"/>
        <v>3.8744999999999994</v>
      </c>
      <c r="V111" s="70">
        <f>1.36+0.8</f>
        <v>2.16</v>
      </c>
      <c r="W111" s="67">
        <f>2.195+1.325</f>
        <v>3.5199999999999996</v>
      </c>
      <c r="X111" s="72">
        <f t="shared" si="34"/>
        <v>7.6031999999999993</v>
      </c>
      <c r="Z111" s="70">
        <f>1.7+0.7</f>
        <v>2.4</v>
      </c>
      <c r="AA111" s="67">
        <f>1.525+1.8</f>
        <v>3.3250000000000002</v>
      </c>
      <c r="AB111" s="72">
        <f t="shared" si="35"/>
        <v>7.98</v>
      </c>
      <c r="AF111" s="79"/>
    </row>
    <row r="112" spans="1:32" ht="28.8" x14ac:dyDescent="0.3">
      <c r="A112" s="64" t="s">
        <v>326</v>
      </c>
      <c r="B112" s="70">
        <v>1.45</v>
      </c>
      <c r="C112" s="67">
        <v>1.22</v>
      </c>
      <c r="D112" s="72">
        <f t="shared" si="31"/>
        <v>1.7689999999999999</v>
      </c>
      <c r="F112" s="70">
        <v>1</v>
      </c>
      <c r="G112" s="67">
        <v>1.37</v>
      </c>
      <c r="H112" s="72">
        <f t="shared" si="29"/>
        <v>1.37</v>
      </c>
      <c r="J112" s="70">
        <v>1.45</v>
      </c>
      <c r="K112" s="67">
        <v>1.22</v>
      </c>
      <c r="L112" s="72">
        <f t="shared" si="32"/>
        <v>1.7689999999999999</v>
      </c>
      <c r="N112" s="70">
        <v>1.635</v>
      </c>
      <c r="O112" s="67">
        <v>1.1140000000000001</v>
      </c>
      <c r="P112" s="72">
        <f t="shared" si="33"/>
        <v>1.8213900000000001</v>
      </c>
      <c r="R112" s="70">
        <v>1</v>
      </c>
      <c r="S112" s="67">
        <v>1.37</v>
      </c>
      <c r="T112" s="72">
        <f t="shared" si="30"/>
        <v>1.37</v>
      </c>
      <c r="V112" s="70">
        <v>1.45</v>
      </c>
      <c r="W112" s="67">
        <v>1.22</v>
      </c>
      <c r="X112" s="72">
        <f t="shared" si="34"/>
        <v>1.7689999999999999</v>
      </c>
      <c r="Z112" s="70">
        <v>1.635</v>
      </c>
      <c r="AA112" s="67">
        <v>1.1140000000000001</v>
      </c>
      <c r="AB112" s="72">
        <f t="shared" si="35"/>
        <v>1.8213900000000001</v>
      </c>
      <c r="AF112" s="79"/>
    </row>
    <row r="113" spans="1:33" ht="15" thickBot="1" x14ac:dyDescent="0.35">
      <c r="A113" s="63" t="s">
        <v>327</v>
      </c>
      <c r="B113" s="73">
        <v>1.45</v>
      </c>
      <c r="C113" s="74">
        <v>2.41</v>
      </c>
      <c r="D113" s="75">
        <f t="shared" si="31"/>
        <v>3.4944999999999999</v>
      </c>
      <c r="F113" s="73">
        <v>1.5</v>
      </c>
      <c r="G113" s="74">
        <v>2.12</v>
      </c>
      <c r="H113" s="75">
        <f t="shared" si="29"/>
        <v>3.18</v>
      </c>
      <c r="J113" s="73">
        <v>1.45</v>
      </c>
      <c r="K113" s="74">
        <v>2.1949999999999998</v>
      </c>
      <c r="L113" s="75">
        <f t="shared" si="32"/>
        <v>3.1827499999999995</v>
      </c>
      <c r="N113" s="73">
        <v>1.7</v>
      </c>
      <c r="O113" s="74">
        <v>1.5249999999999999</v>
      </c>
      <c r="P113" s="75">
        <f t="shared" si="33"/>
        <v>2.5924999999999998</v>
      </c>
      <c r="R113" s="73">
        <v>1.5</v>
      </c>
      <c r="S113" s="74">
        <v>2.12</v>
      </c>
      <c r="T113" s="75">
        <f t="shared" si="30"/>
        <v>3.18</v>
      </c>
      <c r="V113" s="73">
        <v>1.45</v>
      </c>
      <c r="W113" s="74">
        <v>2.1949999999999998</v>
      </c>
      <c r="X113" s="75">
        <f t="shared" si="34"/>
        <v>3.1827499999999995</v>
      </c>
      <c r="Z113" s="73">
        <v>1.7</v>
      </c>
      <c r="AA113" s="74">
        <v>1.5249999999999999</v>
      </c>
      <c r="AB113" s="75">
        <f t="shared" si="35"/>
        <v>2.5924999999999998</v>
      </c>
      <c r="AF113" s="79"/>
    </row>
    <row r="114" spans="1:33" ht="15" thickBot="1" x14ac:dyDescent="0.35">
      <c r="A114" s="65" t="s">
        <v>328</v>
      </c>
      <c r="B114" s="223">
        <f>SUM(D91:D113)</f>
        <v>208.68019999999999</v>
      </c>
      <c r="C114" s="224"/>
      <c r="D114" s="225"/>
      <c r="E114" s="66"/>
      <c r="F114" s="223">
        <f>SUM(H91:H113)</f>
        <v>194.51715000000007</v>
      </c>
      <c r="G114" s="224"/>
      <c r="H114" s="225"/>
      <c r="I114" s="66"/>
      <c r="J114" s="229">
        <f>SUM(L91:L113)</f>
        <v>208.10224999999994</v>
      </c>
      <c r="K114" s="230"/>
      <c r="L114" s="231"/>
      <c r="N114" s="73">
        <v>5.3</v>
      </c>
      <c r="O114" s="74">
        <v>1.83</v>
      </c>
      <c r="P114" s="75">
        <f t="shared" si="33"/>
        <v>9.6989999999999998</v>
      </c>
      <c r="R114" s="223">
        <f>SUM(T91:T113)</f>
        <v>194.51715000000007</v>
      </c>
      <c r="S114" s="224"/>
      <c r="T114" s="225"/>
      <c r="U114" s="66"/>
      <c r="V114" s="229">
        <f>SUM(X91:X113)</f>
        <v>208.10224999999994</v>
      </c>
      <c r="W114" s="230"/>
      <c r="X114" s="231"/>
      <c r="Z114" s="73">
        <v>5.3</v>
      </c>
      <c r="AA114" s="74">
        <v>1.83</v>
      </c>
      <c r="AB114" s="75">
        <f t="shared" si="35"/>
        <v>9.6989999999999998</v>
      </c>
      <c r="AF114" s="79"/>
    </row>
    <row r="115" spans="1:33" ht="15" thickBot="1" x14ac:dyDescent="0.35">
      <c r="N115" s="223">
        <f>SUM(P91:P114)</f>
        <v>193.95959000000008</v>
      </c>
      <c r="O115" s="224"/>
      <c r="P115" s="225"/>
      <c r="Z115" s="223">
        <f>SUM(AB91:AB114)</f>
        <v>193.95959000000008</v>
      </c>
      <c r="AA115" s="224"/>
      <c r="AB115" s="225"/>
      <c r="AD115" s="234"/>
      <c r="AE115" s="234"/>
      <c r="AF115" s="234"/>
    </row>
    <row r="116" spans="1:33" ht="15" thickBot="1" x14ac:dyDescent="0.35">
      <c r="B116" s="226" t="s">
        <v>350</v>
      </c>
      <c r="C116" s="226"/>
      <c r="F116" s="226" t="s">
        <v>357</v>
      </c>
      <c r="G116" s="226"/>
      <c r="H116" s="226" t="s">
        <v>361</v>
      </c>
      <c r="I116" s="226"/>
      <c r="J116" s="226" t="s">
        <v>359</v>
      </c>
      <c r="K116" s="226"/>
      <c r="R116" s="226" t="s">
        <v>253</v>
      </c>
      <c r="S116" s="226"/>
    </row>
    <row r="117" spans="1:33" x14ac:dyDescent="0.3">
      <c r="A117" s="63" t="s">
        <v>309</v>
      </c>
      <c r="B117" s="221">
        <v>1</v>
      </c>
      <c r="C117" s="222"/>
      <c r="D117" s="69" t="s">
        <v>329</v>
      </c>
      <c r="F117" s="227">
        <v>2</v>
      </c>
      <c r="G117" s="228"/>
      <c r="H117" s="69" t="s">
        <v>329</v>
      </c>
      <c r="J117" s="227">
        <v>3</v>
      </c>
      <c r="K117" s="228"/>
      <c r="L117" s="69" t="s">
        <v>329</v>
      </c>
      <c r="N117" s="221">
        <v>4</v>
      </c>
      <c r="O117" s="222"/>
      <c r="P117" s="69" t="s">
        <v>329</v>
      </c>
      <c r="R117" s="63" t="s">
        <v>309</v>
      </c>
      <c r="S117" s="221">
        <v>1</v>
      </c>
      <c r="T117" s="222"/>
      <c r="U117" s="69" t="s">
        <v>329</v>
      </c>
      <c r="W117" s="227">
        <v>2</v>
      </c>
      <c r="X117" s="228"/>
      <c r="Y117" s="69" t="s">
        <v>329</v>
      </c>
      <c r="AA117" s="227">
        <v>3</v>
      </c>
      <c r="AB117" s="228"/>
      <c r="AC117" s="69" t="s">
        <v>329</v>
      </c>
      <c r="AE117" s="221">
        <v>4</v>
      </c>
      <c r="AF117" s="222"/>
      <c r="AG117" s="69" t="s">
        <v>329</v>
      </c>
    </row>
    <row r="118" spans="1:33" x14ac:dyDescent="0.3">
      <c r="A118" s="63" t="s">
        <v>310</v>
      </c>
      <c r="B118" s="70">
        <v>8.75</v>
      </c>
      <c r="C118" s="67">
        <v>5.85</v>
      </c>
      <c r="D118" s="71">
        <f>B118*C118</f>
        <v>51.1875</v>
      </c>
      <c r="F118" s="70">
        <v>5.3</v>
      </c>
      <c r="G118" s="67">
        <v>5.05</v>
      </c>
      <c r="H118" s="71">
        <f t="shared" ref="H118:H140" si="36">F118*G118</f>
        <v>26.764999999999997</v>
      </c>
      <c r="J118" s="70">
        <v>8.75</v>
      </c>
      <c r="K118" s="67">
        <v>6.1870000000000003</v>
      </c>
      <c r="L118" s="71">
        <f>J118*K118</f>
        <v>54.136250000000004</v>
      </c>
      <c r="N118" s="70">
        <v>5.3</v>
      </c>
      <c r="O118" s="67">
        <v>7.0750000000000002</v>
      </c>
      <c r="P118" s="71">
        <f>N118*O118</f>
        <v>37.497500000000002</v>
      </c>
      <c r="R118" s="63" t="s">
        <v>310</v>
      </c>
      <c r="S118" s="70">
        <v>8.75</v>
      </c>
      <c r="T118" s="67">
        <v>5.85</v>
      </c>
      <c r="U118" s="71">
        <f>S118*T118</f>
        <v>51.1875</v>
      </c>
      <c r="W118" s="70">
        <v>5.3</v>
      </c>
      <c r="X118" s="67">
        <v>5.05</v>
      </c>
      <c r="Y118" s="71">
        <f t="shared" ref="Y118:Y142" si="37">W118*X118</f>
        <v>26.764999999999997</v>
      </c>
      <c r="AA118" s="70">
        <v>8.75</v>
      </c>
      <c r="AB118" s="67">
        <v>6.1870000000000003</v>
      </c>
      <c r="AC118" s="71">
        <f>AA118*AB118</f>
        <v>54.136250000000004</v>
      </c>
      <c r="AE118" s="70">
        <v>5.3</v>
      </c>
      <c r="AF118" s="67">
        <v>7.0750000000000002</v>
      </c>
      <c r="AG118" s="71">
        <f>AE118*AF118</f>
        <v>37.497500000000002</v>
      </c>
    </row>
    <row r="119" spans="1:33" x14ac:dyDescent="0.3">
      <c r="A119" s="63" t="s">
        <v>311</v>
      </c>
      <c r="B119" s="70">
        <v>2.74</v>
      </c>
      <c r="C119" s="67">
        <v>3.73</v>
      </c>
      <c r="D119" s="71">
        <f t="shared" ref="D119:D140" si="38">B119*C119</f>
        <v>10.2202</v>
      </c>
      <c r="F119" s="70">
        <f>4.3+2+1.6</f>
        <v>7.9</v>
      </c>
      <c r="G119" s="67">
        <f>1.5+1.2+0.5</f>
        <v>3.2</v>
      </c>
      <c r="H119" s="71">
        <f t="shared" si="36"/>
        <v>25.28</v>
      </c>
      <c r="J119" s="70">
        <v>2.74</v>
      </c>
      <c r="K119" s="67">
        <v>3.5150000000000001</v>
      </c>
      <c r="L119" s="71">
        <f t="shared" ref="L119:L140" si="39">J119*K119</f>
        <v>9.6311000000000018</v>
      </c>
      <c r="N119" s="70">
        <v>4.25</v>
      </c>
      <c r="O119" s="67">
        <v>3.43</v>
      </c>
      <c r="P119" s="71">
        <f t="shared" ref="P119:P141" si="40">N119*O119</f>
        <v>14.577500000000001</v>
      </c>
      <c r="R119" s="63" t="s">
        <v>311</v>
      </c>
      <c r="S119" s="70">
        <v>2.74</v>
      </c>
      <c r="T119" s="67">
        <v>3.73</v>
      </c>
      <c r="U119" s="71">
        <f t="shared" ref="U119:U142" si="41">S119*T119</f>
        <v>10.2202</v>
      </c>
      <c r="W119" s="70">
        <f>4.3+2+1.6</f>
        <v>7.9</v>
      </c>
      <c r="X119" s="67">
        <f>1.5+1.2+0.5</f>
        <v>3.2</v>
      </c>
      <c r="Y119" s="71">
        <f t="shared" si="37"/>
        <v>25.28</v>
      </c>
      <c r="AA119" s="70">
        <v>2.74</v>
      </c>
      <c r="AB119" s="67">
        <v>3.5150000000000001</v>
      </c>
      <c r="AC119" s="71">
        <f t="shared" ref="AC119:AC142" si="42">AA119*AB119</f>
        <v>9.6311000000000018</v>
      </c>
      <c r="AE119" s="70">
        <v>4.25</v>
      </c>
      <c r="AF119" s="67">
        <v>3.43</v>
      </c>
      <c r="AG119" s="71">
        <f t="shared" ref="AG119:AG141" si="43">AE119*AF119</f>
        <v>14.577500000000001</v>
      </c>
    </row>
    <row r="120" spans="1:33" x14ac:dyDescent="0.3">
      <c r="A120" s="63" t="s">
        <v>312</v>
      </c>
      <c r="B120" s="70">
        <v>3.53</v>
      </c>
      <c r="C120" s="67">
        <v>4.55</v>
      </c>
      <c r="D120" s="71">
        <f t="shared" si="38"/>
        <v>16.061499999999999</v>
      </c>
      <c r="F120" s="70">
        <v>3.5</v>
      </c>
      <c r="G120" s="67">
        <v>5.19</v>
      </c>
      <c r="H120" s="71">
        <f t="shared" si="36"/>
        <v>18.165000000000003</v>
      </c>
      <c r="J120" s="70">
        <v>3.35</v>
      </c>
      <c r="K120" s="67">
        <v>4.8869999999999996</v>
      </c>
      <c r="L120" s="71">
        <f t="shared" si="39"/>
        <v>16.371449999999999</v>
      </c>
      <c r="N120" s="70">
        <v>3.5</v>
      </c>
      <c r="O120" s="67">
        <v>5.4249999999999998</v>
      </c>
      <c r="P120" s="71">
        <f t="shared" si="40"/>
        <v>18.987500000000001</v>
      </c>
      <c r="R120" s="63" t="s">
        <v>312</v>
      </c>
      <c r="S120" s="70">
        <v>3.53</v>
      </c>
      <c r="T120" s="67">
        <v>4.55</v>
      </c>
      <c r="U120" s="71">
        <f t="shared" si="41"/>
        <v>16.061499999999999</v>
      </c>
      <c r="W120" s="70">
        <v>3.5</v>
      </c>
      <c r="X120" s="67">
        <v>5.19</v>
      </c>
      <c r="Y120" s="71">
        <f t="shared" si="37"/>
        <v>18.165000000000003</v>
      </c>
      <c r="AA120" s="70">
        <v>3.35</v>
      </c>
      <c r="AB120" s="67">
        <v>4.8869999999999996</v>
      </c>
      <c r="AC120" s="71">
        <f t="shared" si="42"/>
        <v>16.371449999999999</v>
      </c>
      <c r="AE120" s="70">
        <v>3.5</v>
      </c>
      <c r="AF120" s="67">
        <v>5.4249999999999998</v>
      </c>
      <c r="AG120" s="71">
        <f t="shared" si="43"/>
        <v>18.987500000000001</v>
      </c>
    </row>
    <row r="121" spans="1:33" x14ac:dyDescent="0.3">
      <c r="A121" s="63" t="s">
        <v>313</v>
      </c>
      <c r="B121" s="70">
        <v>3.95</v>
      </c>
      <c r="C121" s="67">
        <v>4.5</v>
      </c>
      <c r="D121" s="72">
        <f t="shared" si="38"/>
        <v>17.775000000000002</v>
      </c>
      <c r="F121" s="70">
        <v>3.4</v>
      </c>
      <c r="G121" s="67">
        <v>3.95</v>
      </c>
      <c r="H121" s="72">
        <f t="shared" si="36"/>
        <v>13.43</v>
      </c>
      <c r="J121" s="70">
        <v>3.35</v>
      </c>
      <c r="K121" s="67">
        <v>4.5549999999999997</v>
      </c>
      <c r="L121" s="72">
        <f t="shared" si="39"/>
        <v>15.25925</v>
      </c>
      <c r="N121" s="70">
        <v>3.38</v>
      </c>
      <c r="O121" s="67">
        <v>5</v>
      </c>
      <c r="P121" s="72">
        <f t="shared" si="40"/>
        <v>16.899999999999999</v>
      </c>
      <c r="R121" s="63" t="s">
        <v>313</v>
      </c>
      <c r="S121" s="70">
        <v>3.95</v>
      </c>
      <c r="T121" s="67">
        <v>4.5</v>
      </c>
      <c r="U121" s="72">
        <f t="shared" si="41"/>
        <v>17.775000000000002</v>
      </c>
      <c r="W121" s="70">
        <v>3.4</v>
      </c>
      <c r="X121" s="67">
        <v>3.95</v>
      </c>
      <c r="Y121" s="72">
        <f t="shared" si="37"/>
        <v>13.43</v>
      </c>
      <c r="AA121" s="70">
        <v>3.35</v>
      </c>
      <c r="AB121" s="67">
        <v>4.5549999999999997</v>
      </c>
      <c r="AC121" s="72">
        <f t="shared" si="42"/>
        <v>15.25925</v>
      </c>
      <c r="AE121" s="70">
        <v>3.38</v>
      </c>
      <c r="AF121" s="67">
        <v>5</v>
      </c>
      <c r="AG121" s="72">
        <f t="shared" si="43"/>
        <v>16.899999999999999</v>
      </c>
    </row>
    <row r="122" spans="1:33" x14ac:dyDescent="0.3">
      <c r="A122" s="63" t="s">
        <v>314</v>
      </c>
      <c r="B122" s="70">
        <v>3.43</v>
      </c>
      <c r="C122" s="67">
        <v>4.75</v>
      </c>
      <c r="D122" s="72">
        <f t="shared" si="38"/>
        <v>16.2925</v>
      </c>
      <c r="F122" s="70">
        <v>3.37</v>
      </c>
      <c r="G122" s="67">
        <v>4.88</v>
      </c>
      <c r="H122" s="72">
        <f t="shared" si="36"/>
        <v>16.445599999999999</v>
      </c>
      <c r="J122" s="70">
        <v>3.33</v>
      </c>
      <c r="K122" s="67">
        <v>4.4050000000000002</v>
      </c>
      <c r="L122" s="72">
        <f t="shared" si="39"/>
        <v>14.668650000000001</v>
      </c>
      <c r="N122" s="70">
        <v>3.48</v>
      </c>
      <c r="O122" s="67">
        <v>4.4950000000000001</v>
      </c>
      <c r="P122" s="72">
        <f t="shared" si="40"/>
        <v>15.6426</v>
      </c>
      <c r="R122" s="63" t="s">
        <v>314</v>
      </c>
      <c r="S122" s="70">
        <v>3.43</v>
      </c>
      <c r="T122" s="67">
        <v>4.75</v>
      </c>
      <c r="U122" s="72">
        <f t="shared" si="41"/>
        <v>16.2925</v>
      </c>
      <c r="W122" s="70">
        <v>3.37</v>
      </c>
      <c r="X122" s="67">
        <v>4.88</v>
      </c>
      <c r="Y122" s="72">
        <f t="shared" si="37"/>
        <v>16.445599999999999</v>
      </c>
      <c r="AA122" s="70">
        <v>3.33</v>
      </c>
      <c r="AB122" s="67">
        <v>4.4050000000000002</v>
      </c>
      <c r="AC122" s="72">
        <f t="shared" si="42"/>
        <v>14.668650000000001</v>
      </c>
      <c r="AE122" s="70">
        <v>3.48</v>
      </c>
      <c r="AF122" s="67">
        <v>4.4950000000000001</v>
      </c>
      <c r="AG122" s="72">
        <f t="shared" si="43"/>
        <v>15.6426</v>
      </c>
    </row>
    <row r="123" spans="1:33" x14ac:dyDescent="0.3">
      <c r="A123" s="63" t="s">
        <v>315</v>
      </c>
      <c r="B123" s="70">
        <v>3.35</v>
      </c>
      <c r="C123" s="67">
        <v>4.4000000000000004</v>
      </c>
      <c r="D123" s="72">
        <f t="shared" si="38"/>
        <v>14.740000000000002</v>
      </c>
      <c r="F123" s="70">
        <v>3.62</v>
      </c>
      <c r="G123" s="67">
        <v>4.97</v>
      </c>
      <c r="H123" s="72">
        <f t="shared" si="36"/>
        <v>17.991399999999999</v>
      </c>
      <c r="J123" s="70">
        <v>3.33</v>
      </c>
      <c r="K123" s="67">
        <v>4.74</v>
      </c>
      <c r="L123" s="72">
        <f t="shared" si="39"/>
        <v>15.7842</v>
      </c>
      <c r="N123" s="70">
        <v>3.38</v>
      </c>
      <c r="O123" s="67">
        <v>4.4950000000000001</v>
      </c>
      <c r="P123" s="72">
        <f t="shared" si="40"/>
        <v>15.193099999999999</v>
      </c>
      <c r="R123" s="63" t="s">
        <v>315</v>
      </c>
      <c r="S123" s="70">
        <v>3.35</v>
      </c>
      <c r="T123" s="67">
        <v>4.4000000000000004</v>
      </c>
      <c r="U123" s="72">
        <f t="shared" si="41"/>
        <v>14.740000000000002</v>
      </c>
      <c r="W123" s="70">
        <v>3.62</v>
      </c>
      <c r="X123" s="67">
        <v>4.97</v>
      </c>
      <c r="Y123" s="72">
        <f t="shared" si="37"/>
        <v>17.991399999999999</v>
      </c>
      <c r="AA123" s="70">
        <v>3.33</v>
      </c>
      <c r="AB123" s="67">
        <v>4.74</v>
      </c>
      <c r="AC123" s="72">
        <f t="shared" si="42"/>
        <v>15.7842</v>
      </c>
      <c r="AE123" s="70">
        <v>3.38</v>
      </c>
      <c r="AF123" s="67">
        <v>4.4950000000000001</v>
      </c>
      <c r="AG123" s="72">
        <f t="shared" si="43"/>
        <v>15.193099999999999</v>
      </c>
    </row>
    <row r="124" spans="1:33" x14ac:dyDescent="0.3">
      <c r="A124" s="63" t="s">
        <v>317</v>
      </c>
      <c r="B124" s="70">
        <v>1.45</v>
      </c>
      <c r="C124" s="67">
        <v>1.22</v>
      </c>
      <c r="D124" s="72">
        <f t="shared" si="38"/>
        <v>1.7689999999999999</v>
      </c>
      <c r="F124" s="70">
        <v>1.38</v>
      </c>
      <c r="G124" s="67">
        <v>1.85</v>
      </c>
      <c r="H124" s="72">
        <f t="shared" si="36"/>
        <v>2.5529999999999999</v>
      </c>
      <c r="J124" s="70">
        <v>1.45</v>
      </c>
      <c r="K124" s="67">
        <v>1.22</v>
      </c>
      <c r="L124" s="72">
        <f t="shared" si="39"/>
        <v>1.7689999999999999</v>
      </c>
      <c r="N124" s="70">
        <v>1.22</v>
      </c>
      <c r="O124" s="67">
        <v>1.85</v>
      </c>
      <c r="P124" s="72">
        <f t="shared" si="40"/>
        <v>2.2570000000000001</v>
      </c>
      <c r="R124" s="63" t="s">
        <v>317</v>
      </c>
      <c r="S124" s="70">
        <v>1.45</v>
      </c>
      <c r="T124" s="67">
        <v>1.22</v>
      </c>
      <c r="U124" s="72">
        <f t="shared" si="41"/>
        <v>1.7689999999999999</v>
      </c>
      <c r="W124" s="70">
        <v>1.38</v>
      </c>
      <c r="X124" s="67">
        <v>1.85</v>
      </c>
      <c r="Y124" s="72">
        <f t="shared" si="37"/>
        <v>2.5529999999999999</v>
      </c>
      <c r="AA124" s="70">
        <v>1.45</v>
      </c>
      <c r="AB124" s="67">
        <v>1.22</v>
      </c>
      <c r="AC124" s="72">
        <f t="shared" si="42"/>
        <v>1.7689999999999999</v>
      </c>
      <c r="AE124" s="70">
        <v>1.22</v>
      </c>
      <c r="AF124" s="67">
        <v>1.85</v>
      </c>
      <c r="AG124" s="72">
        <f t="shared" si="43"/>
        <v>2.2570000000000001</v>
      </c>
    </row>
    <row r="125" spans="1:33" x14ac:dyDescent="0.3">
      <c r="A125" s="63" t="s">
        <v>316</v>
      </c>
      <c r="B125" s="70">
        <v>3.35</v>
      </c>
      <c r="C125" s="67">
        <v>1.83</v>
      </c>
      <c r="D125" s="72">
        <f t="shared" si="38"/>
        <v>6.1305000000000005</v>
      </c>
      <c r="F125" s="70">
        <v>2.73</v>
      </c>
      <c r="G125" s="67">
        <v>1.85</v>
      </c>
      <c r="H125" s="72">
        <f t="shared" si="36"/>
        <v>5.0505000000000004</v>
      </c>
      <c r="J125" s="70">
        <v>3.36</v>
      </c>
      <c r="K125" s="67">
        <v>1.83</v>
      </c>
      <c r="L125" s="72">
        <f t="shared" si="39"/>
        <v>6.1487999999999996</v>
      </c>
      <c r="N125" s="70">
        <v>2.75</v>
      </c>
      <c r="O125" s="67">
        <v>1.85</v>
      </c>
      <c r="P125" s="72">
        <f t="shared" si="40"/>
        <v>5.0875000000000004</v>
      </c>
      <c r="R125" s="63" t="s">
        <v>316</v>
      </c>
      <c r="S125" s="70">
        <v>3.35</v>
      </c>
      <c r="T125" s="67">
        <v>1.83</v>
      </c>
      <c r="U125" s="72">
        <f t="shared" si="41"/>
        <v>6.1305000000000005</v>
      </c>
      <c r="W125" s="70">
        <v>2.73</v>
      </c>
      <c r="X125" s="67">
        <v>1.85</v>
      </c>
      <c r="Y125" s="72">
        <f t="shared" si="37"/>
        <v>5.0505000000000004</v>
      </c>
      <c r="AA125" s="70">
        <v>3.36</v>
      </c>
      <c r="AB125" s="67">
        <v>1.83</v>
      </c>
      <c r="AC125" s="72">
        <f t="shared" si="42"/>
        <v>6.1487999999999996</v>
      </c>
      <c r="AE125" s="70">
        <v>2.75</v>
      </c>
      <c r="AF125" s="67">
        <v>1.85</v>
      </c>
      <c r="AG125" s="72">
        <f t="shared" si="43"/>
        <v>5.0875000000000004</v>
      </c>
    </row>
    <row r="126" spans="1:33" x14ac:dyDescent="0.3">
      <c r="A126" s="63" t="s">
        <v>318</v>
      </c>
      <c r="B126" s="70">
        <v>2.44</v>
      </c>
      <c r="C126" s="67">
        <v>1.52</v>
      </c>
      <c r="D126" s="72">
        <f t="shared" si="38"/>
        <v>3.7088000000000001</v>
      </c>
      <c r="F126" s="70">
        <v>2.44</v>
      </c>
      <c r="G126" s="67">
        <v>1.68</v>
      </c>
      <c r="H126" s="72">
        <f t="shared" si="36"/>
        <v>4.0991999999999997</v>
      </c>
      <c r="J126" s="70">
        <v>2.44</v>
      </c>
      <c r="K126" s="67">
        <v>1.575</v>
      </c>
      <c r="L126" s="72">
        <f t="shared" si="39"/>
        <v>3.843</v>
      </c>
      <c r="N126" s="70">
        <v>1.72</v>
      </c>
      <c r="O126" s="67">
        <v>2.44</v>
      </c>
      <c r="P126" s="72">
        <f t="shared" si="40"/>
        <v>4.1967999999999996</v>
      </c>
      <c r="R126" s="63" t="s">
        <v>318</v>
      </c>
      <c r="S126" s="70">
        <v>2.44</v>
      </c>
      <c r="T126" s="67">
        <v>1.52</v>
      </c>
      <c r="U126" s="72">
        <f t="shared" si="41"/>
        <v>3.7088000000000001</v>
      </c>
      <c r="W126" s="70">
        <v>2.44</v>
      </c>
      <c r="X126" s="67">
        <v>1.68</v>
      </c>
      <c r="Y126" s="72">
        <f t="shared" si="37"/>
        <v>4.0991999999999997</v>
      </c>
      <c r="AA126" s="70">
        <v>2.44</v>
      </c>
      <c r="AB126" s="67">
        <v>1.575</v>
      </c>
      <c r="AC126" s="72">
        <f t="shared" si="42"/>
        <v>3.843</v>
      </c>
      <c r="AE126" s="70">
        <v>1.72</v>
      </c>
      <c r="AF126" s="67">
        <v>2.44</v>
      </c>
      <c r="AG126" s="72">
        <f t="shared" si="43"/>
        <v>4.1967999999999996</v>
      </c>
    </row>
    <row r="127" spans="1:33" x14ac:dyDescent="0.3">
      <c r="A127" s="63" t="s">
        <v>319</v>
      </c>
      <c r="B127" s="70">
        <v>1.52</v>
      </c>
      <c r="C127" s="67">
        <v>2.44</v>
      </c>
      <c r="D127" s="72">
        <f t="shared" si="38"/>
        <v>3.7088000000000001</v>
      </c>
      <c r="F127" s="70">
        <v>1.68</v>
      </c>
      <c r="G127" s="67">
        <v>2.4500000000000002</v>
      </c>
      <c r="H127" s="72">
        <f t="shared" si="36"/>
        <v>4.1160000000000005</v>
      </c>
      <c r="J127" s="70">
        <v>1.52</v>
      </c>
      <c r="K127" s="67">
        <v>2.44</v>
      </c>
      <c r="L127" s="72">
        <f t="shared" si="39"/>
        <v>3.7088000000000001</v>
      </c>
      <c r="N127" s="70">
        <v>1.67</v>
      </c>
      <c r="O127" s="67">
        <v>2.62</v>
      </c>
      <c r="P127" s="72">
        <f t="shared" si="40"/>
        <v>4.3754</v>
      </c>
      <c r="R127" s="63" t="s">
        <v>319</v>
      </c>
      <c r="S127" s="70">
        <v>1.52</v>
      </c>
      <c r="T127" s="67">
        <v>2.44</v>
      </c>
      <c r="U127" s="72">
        <f t="shared" si="41"/>
        <v>3.7088000000000001</v>
      </c>
      <c r="W127" s="70">
        <v>1.68</v>
      </c>
      <c r="X127" s="67">
        <v>2.4500000000000002</v>
      </c>
      <c r="Y127" s="72">
        <f t="shared" si="37"/>
        <v>4.1160000000000005</v>
      </c>
      <c r="AA127" s="70">
        <v>1.52</v>
      </c>
      <c r="AB127" s="67">
        <v>2.44</v>
      </c>
      <c r="AC127" s="72">
        <f t="shared" si="42"/>
        <v>3.7088000000000001</v>
      </c>
      <c r="AE127" s="70">
        <v>1.67</v>
      </c>
      <c r="AF127" s="67">
        <v>2.62</v>
      </c>
      <c r="AG127" s="72">
        <f t="shared" si="43"/>
        <v>4.3754</v>
      </c>
    </row>
    <row r="128" spans="1:33" x14ac:dyDescent="0.3">
      <c r="A128" s="63" t="s">
        <v>320</v>
      </c>
      <c r="B128" s="70">
        <v>1.52</v>
      </c>
      <c r="C128" s="67">
        <v>2.44</v>
      </c>
      <c r="D128" s="72">
        <f t="shared" si="38"/>
        <v>3.7088000000000001</v>
      </c>
      <c r="F128" s="70">
        <v>1.53</v>
      </c>
      <c r="G128" s="67">
        <v>2.4500000000000002</v>
      </c>
      <c r="H128" s="72">
        <f t="shared" si="36"/>
        <v>3.7485000000000004</v>
      </c>
      <c r="J128" s="70">
        <v>1.52</v>
      </c>
      <c r="K128" s="67">
        <v>2.44</v>
      </c>
      <c r="L128" s="72">
        <f t="shared" si="39"/>
        <v>3.7088000000000001</v>
      </c>
      <c r="N128" s="70">
        <v>1.67</v>
      </c>
      <c r="O128" s="67">
        <v>2.62</v>
      </c>
      <c r="P128" s="72">
        <f t="shared" si="40"/>
        <v>4.3754</v>
      </c>
      <c r="R128" s="63" t="s">
        <v>320</v>
      </c>
      <c r="S128" s="70">
        <v>1.52</v>
      </c>
      <c r="T128" s="67">
        <v>2.44</v>
      </c>
      <c r="U128" s="72">
        <f t="shared" si="41"/>
        <v>3.7088000000000001</v>
      </c>
      <c r="W128" s="70">
        <v>1.53</v>
      </c>
      <c r="X128" s="67">
        <v>2.4500000000000002</v>
      </c>
      <c r="Y128" s="72">
        <f t="shared" si="37"/>
        <v>3.7485000000000004</v>
      </c>
      <c r="AA128" s="70">
        <v>1.52</v>
      </c>
      <c r="AB128" s="67">
        <v>2.44</v>
      </c>
      <c r="AC128" s="72">
        <f t="shared" si="42"/>
        <v>3.7088000000000001</v>
      </c>
      <c r="AE128" s="70">
        <v>1.67</v>
      </c>
      <c r="AF128" s="67">
        <v>2.62</v>
      </c>
      <c r="AG128" s="72">
        <f t="shared" si="43"/>
        <v>4.3754</v>
      </c>
    </row>
    <row r="129" spans="1:33" ht="28.8" x14ac:dyDescent="0.3">
      <c r="A129" s="76" t="s">
        <v>335</v>
      </c>
      <c r="B129" s="70">
        <v>4.05</v>
      </c>
      <c r="C129" s="67">
        <v>3.5</v>
      </c>
      <c r="D129" s="72">
        <f t="shared" si="38"/>
        <v>14.174999999999999</v>
      </c>
      <c r="F129" s="70">
        <v>2.17</v>
      </c>
      <c r="G129" s="67">
        <v>3.2</v>
      </c>
      <c r="H129" s="72">
        <f t="shared" si="36"/>
        <v>6.944</v>
      </c>
      <c r="J129" s="70">
        <v>4.03</v>
      </c>
      <c r="K129" s="67">
        <v>3.5649999999999999</v>
      </c>
      <c r="L129" s="72">
        <f t="shared" si="39"/>
        <v>14.366950000000001</v>
      </c>
      <c r="N129" s="70">
        <v>2.12</v>
      </c>
      <c r="O129" s="67">
        <v>3.22</v>
      </c>
      <c r="P129" s="72">
        <f t="shared" si="40"/>
        <v>6.8264000000000005</v>
      </c>
      <c r="R129" s="76" t="s">
        <v>335</v>
      </c>
      <c r="S129" s="70">
        <v>4.05</v>
      </c>
      <c r="T129" s="67">
        <v>3.5</v>
      </c>
      <c r="U129" s="72">
        <f t="shared" si="41"/>
        <v>14.174999999999999</v>
      </c>
      <c r="W129" s="70">
        <v>2.17</v>
      </c>
      <c r="X129" s="67">
        <v>3.2</v>
      </c>
      <c r="Y129" s="72">
        <f t="shared" si="37"/>
        <v>6.944</v>
      </c>
      <c r="AA129" s="70">
        <v>4.03</v>
      </c>
      <c r="AB129" s="67">
        <v>3.5649999999999999</v>
      </c>
      <c r="AC129" s="72">
        <f t="shared" si="42"/>
        <v>14.366950000000001</v>
      </c>
      <c r="AE129" s="70">
        <v>2.12</v>
      </c>
      <c r="AF129" s="67">
        <v>3.22</v>
      </c>
      <c r="AG129" s="72">
        <f t="shared" si="43"/>
        <v>6.8264000000000005</v>
      </c>
    </row>
    <row r="130" spans="1:33" x14ac:dyDescent="0.3">
      <c r="A130" s="63" t="s">
        <v>321</v>
      </c>
      <c r="B130" s="70">
        <v>1.75</v>
      </c>
      <c r="C130" s="67">
        <v>1.52</v>
      </c>
      <c r="D130" s="72">
        <f t="shared" si="38"/>
        <v>2.66</v>
      </c>
      <c r="F130" s="70">
        <v>3</v>
      </c>
      <c r="G130" s="67">
        <v>1</v>
      </c>
      <c r="H130" s="72">
        <f t="shared" si="36"/>
        <v>3</v>
      </c>
      <c r="J130" s="70">
        <v>1.91</v>
      </c>
      <c r="K130" s="67">
        <v>3.03</v>
      </c>
      <c r="L130" s="72">
        <f t="shared" si="39"/>
        <v>5.7872999999999992</v>
      </c>
      <c r="N130" s="70">
        <v>6.5</v>
      </c>
      <c r="O130" s="67">
        <v>1</v>
      </c>
      <c r="P130" s="72">
        <f t="shared" si="40"/>
        <v>6.5</v>
      </c>
      <c r="R130" s="63" t="s">
        <v>321</v>
      </c>
      <c r="S130" s="70">
        <v>1.75</v>
      </c>
      <c r="T130" s="67">
        <v>1.52</v>
      </c>
      <c r="U130" s="72">
        <f t="shared" si="41"/>
        <v>2.66</v>
      </c>
      <c r="W130" s="70">
        <v>3</v>
      </c>
      <c r="X130" s="67">
        <v>1</v>
      </c>
      <c r="Y130" s="72">
        <f t="shared" si="37"/>
        <v>3</v>
      </c>
      <c r="AA130" s="70">
        <v>1.91</v>
      </c>
      <c r="AB130" s="67">
        <v>3.03</v>
      </c>
      <c r="AC130" s="72">
        <f t="shared" si="42"/>
        <v>5.7872999999999992</v>
      </c>
      <c r="AE130" s="70">
        <v>6.5</v>
      </c>
      <c r="AF130" s="67">
        <v>1</v>
      </c>
      <c r="AG130" s="72">
        <f t="shared" si="43"/>
        <v>6.5</v>
      </c>
    </row>
    <row r="131" spans="1:33" x14ac:dyDescent="0.3">
      <c r="A131" s="63" t="s">
        <v>322</v>
      </c>
      <c r="B131" s="70">
        <v>2.1</v>
      </c>
      <c r="C131" s="67">
        <v>3.08</v>
      </c>
      <c r="D131" s="72">
        <f t="shared" si="38"/>
        <v>6.4680000000000009</v>
      </c>
      <c r="F131" s="70">
        <v>2.1</v>
      </c>
      <c r="G131" s="67">
        <v>1.35</v>
      </c>
      <c r="H131" s="72">
        <f t="shared" si="36"/>
        <v>2.8350000000000004</v>
      </c>
      <c r="J131" s="70">
        <v>1.75</v>
      </c>
      <c r="K131" s="67">
        <v>1.575</v>
      </c>
      <c r="L131" s="72">
        <f t="shared" si="39"/>
        <v>2.7562500000000001</v>
      </c>
      <c r="N131" s="70">
        <v>0.8</v>
      </c>
      <c r="O131" s="67">
        <v>1</v>
      </c>
      <c r="P131" s="72">
        <f t="shared" si="40"/>
        <v>0.8</v>
      </c>
      <c r="R131" s="63" t="s">
        <v>322</v>
      </c>
      <c r="S131" s="70">
        <v>2.1</v>
      </c>
      <c r="T131" s="67">
        <v>3.08</v>
      </c>
      <c r="U131" s="72">
        <f t="shared" si="41"/>
        <v>6.4680000000000009</v>
      </c>
      <c r="W131" s="70">
        <v>2.1</v>
      </c>
      <c r="X131" s="67">
        <v>1.35</v>
      </c>
      <c r="Y131" s="72">
        <f t="shared" si="37"/>
        <v>2.8350000000000004</v>
      </c>
      <c r="AA131" s="70">
        <v>1.75</v>
      </c>
      <c r="AB131" s="67">
        <v>1.575</v>
      </c>
      <c r="AC131" s="72">
        <f t="shared" si="42"/>
        <v>2.7562500000000001</v>
      </c>
      <c r="AE131" s="70">
        <v>0.8</v>
      </c>
      <c r="AF131" s="67">
        <v>1</v>
      </c>
      <c r="AG131" s="72">
        <f t="shared" si="43"/>
        <v>0.8</v>
      </c>
    </row>
    <row r="132" spans="1:33" x14ac:dyDescent="0.3">
      <c r="A132" s="63" t="s">
        <v>323</v>
      </c>
      <c r="B132" s="70">
        <v>1.26</v>
      </c>
      <c r="C132" s="67">
        <v>1.62</v>
      </c>
      <c r="D132" s="72">
        <f t="shared" si="38"/>
        <v>2.0412000000000003</v>
      </c>
      <c r="F132" s="70">
        <v>3.42</v>
      </c>
      <c r="G132" s="67">
        <v>1.65</v>
      </c>
      <c r="H132" s="72">
        <f t="shared" si="36"/>
        <v>5.6429999999999998</v>
      </c>
      <c r="J132" s="70">
        <v>1.08</v>
      </c>
      <c r="K132" s="67">
        <v>1.575</v>
      </c>
      <c r="L132" s="72">
        <f t="shared" si="39"/>
        <v>1.7010000000000001</v>
      </c>
      <c r="N132" s="70">
        <v>0.8</v>
      </c>
      <c r="O132" s="67">
        <v>1.75</v>
      </c>
      <c r="P132" s="72">
        <f t="shared" si="40"/>
        <v>1.4000000000000001</v>
      </c>
      <c r="R132" s="63" t="s">
        <v>323</v>
      </c>
      <c r="S132" s="70">
        <v>1.26</v>
      </c>
      <c r="T132" s="67">
        <v>1.62</v>
      </c>
      <c r="U132" s="72">
        <f t="shared" si="41"/>
        <v>2.0412000000000003</v>
      </c>
      <c r="W132" s="70">
        <v>3.42</v>
      </c>
      <c r="X132" s="67">
        <v>1.65</v>
      </c>
      <c r="Y132" s="72">
        <f t="shared" si="37"/>
        <v>5.6429999999999998</v>
      </c>
      <c r="AA132" s="70">
        <v>1.08</v>
      </c>
      <c r="AB132" s="67">
        <v>1.575</v>
      </c>
      <c r="AC132" s="72">
        <f t="shared" si="42"/>
        <v>1.7010000000000001</v>
      </c>
      <c r="AE132" s="70">
        <v>0.8</v>
      </c>
      <c r="AF132" s="67">
        <v>1.75</v>
      </c>
      <c r="AG132" s="72">
        <f t="shared" si="43"/>
        <v>1.4000000000000001</v>
      </c>
    </row>
    <row r="133" spans="1:33" x14ac:dyDescent="0.3">
      <c r="A133" s="63" t="s">
        <v>324</v>
      </c>
      <c r="B133" s="70">
        <v>1.67</v>
      </c>
      <c r="C133" s="67">
        <v>1.05</v>
      </c>
      <c r="D133" s="72">
        <f t="shared" si="38"/>
        <v>1.7535000000000001</v>
      </c>
      <c r="F133" s="70">
        <v>1.63</v>
      </c>
      <c r="G133" s="67">
        <v>1.665</v>
      </c>
      <c r="H133" s="72">
        <f t="shared" si="36"/>
        <v>2.7139500000000001</v>
      </c>
      <c r="J133" s="70">
        <v>1.67</v>
      </c>
      <c r="K133" s="67">
        <v>1.05</v>
      </c>
      <c r="L133" s="72">
        <f t="shared" si="39"/>
        <v>1.7535000000000001</v>
      </c>
      <c r="N133" s="70"/>
      <c r="O133" s="67"/>
      <c r="P133" s="72">
        <f t="shared" si="40"/>
        <v>0</v>
      </c>
      <c r="R133" s="63" t="s">
        <v>324</v>
      </c>
      <c r="S133" s="70">
        <v>1.67</v>
      </c>
      <c r="T133" s="67">
        <v>1.05</v>
      </c>
      <c r="U133" s="72">
        <f t="shared" si="41"/>
        <v>1.7535000000000001</v>
      </c>
      <c r="W133" s="70">
        <v>1.63</v>
      </c>
      <c r="X133" s="67">
        <v>1.665</v>
      </c>
      <c r="Y133" s="72">
        <f t="shared" si="37"/>
        <v>2.7139500000000001</v>
      </c>
      <c r="AA133" s="70">
        <v>1.67</v>
      </c>
      <c r="AB133" s="67">
        <v>1.05</v>
      </c>
      <c r="AC133" s="72">
        <f t="shared" si="42"/>
        <v>1.7535000000000001</v>
      </c>
      <c r="AE133" s="70"/>
      <c r="AF133" s="67"/>
      <c r="AG133" s="72">
        <f t="shared" si="43"/>
        <v>0</v>
      </c>
    </row>
    <row r="134" spans="1:33" x14ac:dyDescent="0.3">
      <c r="A134" s="63" t="s">
        <v>325</v>
      </c>
      <c r="B134" s="70">
        <v>1.8</v>
      </c>
      <c r="C134" s="67">
        <v>4.8</v>
      </c>
      <c r="D134" s="72">
        <f t="shared" si="38"/>
        <v>8.64</v>
      </c>
      <c r="F134" s="70">
        <v>1.8</v>
      </c>
      <c r="G134" s="67">
        <v>1.2</v>
      </c>
      <c r="H134" s="72">
        <f t="shared" si="36"/>
        <v>2.16</v>
      </c>
      <c r="J134" s="70"/>
      <c r="K134" s="67"/>
      <c r="L134" s="72">
        <f t="shared" si="39"/>
        <v>0</v>
      </c>
      <c r="N134" s="70"/>
      <c r="O134" s="67"/>
      <c r="P134" s="72">
        <f t="shared" si="40"/>
        <v>0</v>
      </c>
      <c r="R134" s="63" t="s">
        <v>325</v>
      </c>
      <c r="S134" s="70"/>
      <c r="T134" s="67"/>
      <c r="U134" s="72">
        <f t="shared" si="41"/>
        <v>0</v>
      </c>
      <c r="W134" s="70">
        <v>1.8</v>
      </c>
      <c r="X134" s="67">
        <v>1.2</v>
      </c>
      <c r="Y134" s="72">
        <f t="shared" si="37"/>
        <v>2.16</v>
      </c>
      <c r="AA134" s="70">
        <v>2</v>
      </c>
      <c r="AB134" s="67">
        <v>4.8</v>
      </c>
      <c r="AC134" s="72">
        <f t="shared" si="42"/>
        <v>9.6</v>
      </c>
      <c r="AE134" s="70"/>
      <c r="AF134" s="67"/>
      <c r="AG134" s="72">
        <f t="shared" si="43"/>
        <v>0</v>
      </c>
    </row>
    <row r="135" spans="1:33" x14ac:dyDescent="0.3">
      <c r="A135" s="63" t="s">
        <v>330</v>
      </c>
      <c r="B135" s="70"/>
      <c r="C135" s="67"/>
      <c r="D135" s="72">
        <f t="shared" si="38"/>
        <v>0</v>
      </c>
      <c r="F135" s="70">
        <v>1.05</v>
      </c>
      <c r="G135" s="67">
        <v>0.6</v>
      </c>
      <c r="H135" s="72">
        <f t="shared" si="36"/>
        <v>0.63</v>
      </c>
      <c r="J135" s="70"/>
      <c r="K135" s="67"/>
      <c r="L135" s="72">
        <f t="shared" si="39"/>
        <v>0</v>
      </c>
      <c r="N135" s="70"/>
      <c r="O135" s="67"/>
      <c r="P135" s="72">
        <f t="shared" si="40"/>
        <v>0</v>
      </c>
      <c r="R135" s="63" t="s">
        <v>330</v>
      </c>
      <c r="S135" s="70"/>
      <c r="T135" s="67"/>
      <c r="U135" s="72">
        <f t="shared" si="41"/>
        <v>0</v>
      </c>
      <c r="W135" s="70">
        <v>1.05</v>
      </c>
      <c r="X135" s="67">
        <v>0.6</v>
      </c>
      <c r="Y135" s="72">
        <f t="shared" si="37"/>
        <v>0.63</v>
      </c>
      <c r="AA135" s="70"/>
      <c r="AB135" s="67"/>
      <c r="AC135" s="72">
        <f t="shared" si="42"/>
        <v>0</v>
      </c>
      <c r="AE135" s="70"/>
      <c r="AF135" s="67"/>
      <c r="AG135" s="72">
        <f t="shared" si="43"/>
        <v>0</v>
      </c>
    </row>
    <row r="136" spans="1:33" x14ac:dyDescent="0.3">
      <c r="A136" s="63" t="s">
        <v>334</v>
      </c>
      <c r="B136" s="70"/>
      <c r="C136" s="67"/>
      <c r="D136" s="72">
        <f t="shared" si="38"/>
        <v>0</v>
      </c>
      <c r="F136" s="70">
        <v>3.8</v>
      </c>
      <c r="G136" s="67">
        <v>2.0499999999999998</v>
      </c>
      <c r="H136" s="72">
        <f t="shared" si="36"/>
        <v>7.7899999999999991</v>
      </c>
      <c r="J136" s="70"/>
      <c r="K136" s="67"/>
      <c r="L136" s="72">
        <f t="shared" si="39"/>
        <v>0</v>
      </c>
      <c r="N136" s="70"/>
      <c r="O136" s="67"/>
      <c r="P136" s="72">
        <f t="shared" si="40"/>
        <v>0</v>
      </c>
      <c r="R136" s="63" t="s">
        <v>334</v>
      </c>
      <c r="S136" s="70"/>
      <c r="T136" s="67"/>
      <c r="U136" s="72">
        <f t="shared" si="41"/>
        <v>0</v>
      </c>
      <c r="W136" s="70">
        <v>3.8</v>
      </c>
      <c r="X136" s="67">
        <v>2.0499999999999998</v>
      </c>
      <c r="Y136" s="72">
        <f t="shared" si="37"/>
        <v>7.7899999999999991</v>
      </c>
      <c r="AA136" s="70"/>
      <c r="AB136" s="67"/>
      <c r="AC136" s="72">
        <f t="shared" si="42"/>
        <v>0</v>
      </c>
      <c r="AE136" s="70"/>
      <c r="AF136" s="67"/>
      <c r="AG136" s="72">
        <f t="shared" si="43"/>
        <v>0</v>
      </c>
    </row>
    <row r="137" spans="1:33" x14ac:dyDescent="0.3">
      <c r="A137" s="64" t="s">
        <v>332</v>
      </c>
      <c r="B137" s="70">
        <v>6.6</v>
      </c>
      <c r="C137" s="67">
        <v>2.15</v>
      </c>
      <c r="D137" s="72">
        <f t="shared" si="38"/>
        <v>14.19</v>
      </c>
      <c r="F137" s="70">
        <v>5.75</v>
      </c>
      <c r="G137" s="67">
        <v>2.91</v>
      </c>
      <c r="H137" s="72">
        <f t="shared" si="36"/>
        <v>16.732500000000002</v>
      </c>
      <c r="J137" s="70">
        <v>6.6</v>
      </c>
      <c r="K137" s="67">
        <v>2.2050000000000001</v>
      </c>
      <c r="L137" s="72">
        <f t="shared" si="39"/>
        <v>14.552999999999999</v>
      </c>
      <c r="N137" s="70">
        <v>5.75</v>
      </c>
      <c r="O137" s="67">
        <v>3</v>
      </c>
      <c r="P137" s="72">
        <f t="shared" si="40"/>
        <v>17.25</v>
      </c>
      <c r="R137" s="64" t="s">
        <v>332</v>
      </c>
      <c r="S137" s="70">
        <v>6.6</v>
      </c>
      <c r="T137" s="67">
        <v>2.15</v>
      </c>
      <c r="U137" s="72">
        <f t="shared" si="41"/>
        <v>14.19</v>
      </c>
      <c r="W137" s="70">
        <v>5.75</v>
      </c>
      <c r="X137" s="67">
        <v>2.91</v>
      </c>
      <c r="Y137" s="72">
        <f t="shared" si="37"/>
        <v>16.732500000000002</v>
      </c>
      <c r="AA137" s="70">
        <v>6.6</v>
      </c>
      <c r="AB137" s="67">
        <v>2.2050000000000001</v>
      </c>
      <c r="AC137" s="72">
        <f t="shared" si="42"/>
        <v>14.552999999999999</v>
      </c>
      <c r="AE137" s="70">
        <v>5.75</v>
      </c>
      <c r="AF137" s="67">
        <v>3</v>
      </c>
      <c r="AG137" s="72">
        <f t="shared" si="43"/>
        <v>17.25</v>
      </c>
    </row>
    <row r="138" spans="1:33" ht="28.8" x14ac:dyDescent="0.3">
      <c r="A138" s="64" t="s">
        <v>333</v>
      </c>
      <c r="B138" s="70">
        <f>1.36+0.8</f>
        <v>2.16</v>
      </c>
      <c r="C138" s="67">
        <f>2.41+1.38</f>
        <v>3.79</v>
      </c>
      <c r="D138" s="72">
        <f t="shared" si="38"/>
        <v>8.1864000000000008</v>
      </c>
      <c r="F138" s="70">
        <v>2.0499999999999998</v>
      </c>
      <c r="G138" s="67">
        <v>1.89</v>
      </c>
      <c r="H138" s="72">
        <f t="shared" si="36"/>
        <v>3.8744999999999994</v>
      </c>
      <c r="J138" s="70">
        <f>1.36+0.8</f>
        <v>2.16</v>
      </c>
      <c r="K138" s="67">
        <f>2.195+1.325</f>
        <v>3.5199999999999996</v>
      </c>
      <c r="L138" s="72">
        <f t="shared" si="39"/>
        <v>7.6031999999999993</v>
      </c>
      <c r="N138" s="70">
        <f>1.7+0.7</f>
        <v>2.4</v>
      </c>
      <c r="O138" s="67">
        <f>1.525+1.8</f>
        <v>3.3250000000000002</v>
      </c>
      <c r="P138" s="72">
        <f t="shared" si="40"/>
        <v>7.98</v>
      </c>
      <c r="R138" s="64" t="s">
        <v>333</v>
      </c>
      <c r="S138" s="70">
        <f>1.36+0.8</f>
        <v>2.16</v>
      </c>
      <c r="T138" s="67">
        <f>2.41+1.38</f>
        <v>3.79</v>
      </c>
      <c r="U138" s="72">
        <f t="shared" si="41"/>
        <v>8.1864000000000008</v>
      </c>
      <c r="W138" s="70">
        <v>2.0499999999999998</v>
      </c>
      <c r="X138" s="67">
        <v>1.89</v>
      </c>
      <c r="Y138" s="72">
        <f t="shared" si="37"/>
        <v>3.8744999999999994</v>
      </c>
      <c r="AA138" s="70">
        <f>1.36+0.8</f>
        <v>2.16</v>
      </c>
      <c r="AB138" s="67">
        <f>2.195+1.325</f>
        <v>3.5199999999999996</v>
      </c>
      <c r="AC138" s="72">
        <f t="shared" si="42"/>
        <v>7.6031999999999993</v>
      </c>
      <c r="AE138" s="70">
        <f>1.7+0.7</f>
        <v>2.4</v>
      </c>
      <c r="AF138" s="67">
        <f>1.525+1.8</f>
        <v>3.3250000000000002</v>
      </c>
      <c r="AG138" s="72">
        <f t="shared" si="43"/>
        <v>7.98</v>
      </c>
    </row>
    <row r="139" spans="1:33" ht="28.8" x14ac:dyDescent="0.3">
      <c r="A139" s="64" t="s">
        <v>326</v>
      </c>
      <c r="B139" s="70">
        <v>1.45</v>
      </c>
      <c r="C139" s="67">
        <v>1.22</v>
      </c>
      <c r="D139" s="72">
        <f t="shared" si="38"/>
        <v>1.7689999999999999</v>
      </c>
      <c r="F139" s="70">
        <v>1</v>
      </c>
      <c r="G139" s="67">
        <v>1.37</v>
      </c>
      <c r="H139" s="72">
        <f t="shared" si="36"/>
        <v>1.37</v>
      </c>
      <c r="J139" s="70">
        <v>1.45</v>
      </c>
      <c r="K139" s="67">
        <v>1.22</v>
      </c>
      <c r="L139" s="72">
        <f t="shared" si="39"/>
        <v>1.7689999999999999</v>
      </c>
      <c r="N139" s="70">
        <v>1.635</v>
      </c>
      <c r="O139" s="67">
        <v>1.1140000000000001</v>
      </c>
      <c r="P139" s="72">
        <f t="shared" si="40"/>
        <v>1.8213900000000001</v>
      </c>
      <c r="R139" s="64" t="s">
        <v>326</v>
      </c>
      <c r="S139" s="70">
        <v>1.45</v>
      </c>
      <c r="T139" s="67">
        <v>1.22</v>
      </c>
      <c r="U139" s="72">
        <f t="shared" si="41"/>
        <v>1.7689999999999999</v>
      </c>
      <c r="W139" s="70">
        <v>1</v>
      </c>
      <c r="X139" s="67">
        <v>1.37</v>
      </c>
      <c r="Y139" s="72">
        <f t="shared" si="37"/>
        <v>1.37</v>
      </c>
      <c r="AA139" s="70">
        <v>1.45</v>
      </c>
      <c r="AB139" s="67">
        <v>1.22</v>
      </c>
      <c r="AC139" s="72">
        <f t="shared" si="42"/>
        <v>1.7689999999999999</v>
      </c>
      <c r="AE139" s="70">
        <v>1.635</v>
      </c>
      <c r="AF139" s="67">
        <v>1.1140000000000001</v>
      </c>
      <c r="AG139" s="72">
        <f t="shared" si="43"/>
        <v>1.8213900000000001</v>
      </c>
    </row>
    <row r="140" spans="1:33" ht="15" thickBot="1" x14ac:dyDescent="0.35">
      <c r="A140" s="63" t="s">
        <v>327</v>
      </c>
      <c r="B140" s="73">
        <v>1.45</v>
      </c>
      <c r="C140" s="74">
        <v>2.41</v>
      </c>
      <c r="D140" s="75">
        <f t="shared" si="38"/>
        <v>3.4944999999999999</v>
      </c>
      <c r="F140" s="73">
        <v>1.5</v>
      </c>
      <c r="G140" s="74">
        <v>2.12</v>
      </c>
      <c r="H140" s="75">
        <f t="shared" si="36"/>
        <v>3.18</v>
      </c>
      <c r="J140" s="73">
        <v>1.45</v>
      </c>
      <c r="K140" s="74">
        <v>2.1949999999999998</v>
      </c>
      <c r="L140" s="75">
        <f t="shared" si="39"/>
        <v>3.1827499999999995</v>
      </c>
      <c r="N140" s="73">
        <v>1.7</v>
      </c>
      <c r="O140" s="74">
        <v>1.5249999999999999</v>
      </c>
      <c r="P140" s="75">
        <f t="shared" si="40"/>
        <v>2.5924999999999998</v>
      </c>
      <c r="R140" s="63" t="s">
        <v>327</v>
      </c>
      <c r="S140" s="73">
        <v>1.45</v>
      </c>
      <c r="T140" s="74">
        <v>2.41</v>
      </c>
      <c r="U140" s="75">
        <f t="shared" si="41"/>
        <v>3.4944999999999999</v>
      </c>
      <c r="W140" s="73">
        <v>1.5</v>
      </c>
      <c r="X140" s="74">
        <v>2.12</v>
      </c>
      <c r="Y140" s="75">
        <f t="shared" si="37"/>
        <v>3.18</v>
      </c>
      <c r="AA140" s="73">
        <v>1.45</v>
      </c>
      <c r="AB140" s="74">
        <v>2.1949999999999998</v>
      </c>
      <c r="AC140" s="75">
        <f t="shared" si="42"/>
        <v>3.1827499999999995</v>
      </c>
      <c r="AE140" s="73">
        <v>1.7</v>
      </c>
      <c r="AF140" s="74">
        <v>1.5249999999999999</v>
      </c>
      <c r="AG140" s="75">
        <f t="shared" si="43"/>
        <v>2.5924999999999998</v>
      </c>
    </row>
    <row r="141" spans="1:33" ht="15" thickBot="1" x14ac:dyDescent="0.35">
      <c r="A141" s="65" t="s">
        <v>328</v>
      </c>
      <c r="B141" s="223">
        <f>SUM(D118:D140)</f>
        <v>208.68019999999999</v>
      </c>
      <c r="C141" s="224"/>
      <c r="D141" s="225"/>
      <c r="F141" s="223">
        <f>SUM(H118:H140)</f>
        <v>194.51715000000007</v>
      </c>
      <c r="G141" s="224"/>
      <c r="H141" s="225"/>
      <c r="I141" s="66"/>
      <c r="J141" s="229">
        <f>SUM(L118:L140)</f>
        <v>198.50224999999995</v>
      </c>
      <c r="K141" s="230"/>
      <c r="L141" s="231"/>
      <c r="N141" s="73">
        <v>5.3</v>
      </c>
      <c r="O141" s="74">
        <v>1.83</v>
      </c>
      <c r="P141" s="75">
        <f t="shared" si="40"/>
        <v>9.6989999999999998</v>
      </c>
      <c r="R141" s="63" t="s">
        <v>345</v>
      </c>
      <c r="S141" s="73">
        <v>0</v>
      </c>
      <c r="T141" s="74">
        <v>0</v>
      </c>
      <c r="U141" s="75">
        <f t="shared" si="41"/>
        <v>0</v>
      </c>
      <c r="W141" s="73">
        <v>0</v>
      </c>
      <c r="X141" s="74">
        <v>0</v>
      </c>
      <c r="Y141" s="75">
        <f t="shared" si="37"/>
        <v>0</v>
      </c>
      <c r="AA141" s="73">
        <v>0</v>
      </c>
      <c r="AB141" s="74">
        <v>0</v>
      </c>
      <c r="AC141" s="75">
        <f t="shared" si="42"/>
        <v>0</v>
      </c>
      <c r="AE141" s="73">
        <v>5.3</v>
      </c>
      <c r="AF141" s="74">
        <v>1.83</v>
      </c>
      <c r="AG141" s="75">
        <f t="shared" si="43"/>
        <v>9.6989999999999998</v>
      </c>
    </row>
    <row r="142" spans="1:33" ht="15" thickBot="1" x14ac:dyDescent="0.35">
      <c r="N142" s="223">
        <f>SUM(P118:P141)</f>
        <v>193.95959000000008</v>
      </c>
      <c r="O142" s="224"/>
      <c r="P142" s="225"/>
      <c r="R142" s="63" t="s">
        <v>346</v>
      </c>
      <c r="S142" s="73"/>
      <c r="T142" s="74"/>
      <c r="U142" s="75">
        <f t="shared" si="41"/>
        <v>0</v>
      </c>
      <c r="W142" s="73"/>
      <c r="X142" s="74"/>
      <c r="Y142" s="75">
        <f t="shared" si="37"/>
        <v>0</v>
      </c>
      <c r="AA142" s="73"/>
      <c r="AB142" s="74"/>
      <c r="AC142" s="75">
        <f t="shared" si="42"/>
        <v>0</v>
      </c>
      <c r="AE142" s="223">
        <f>SUM(AG118:AG141)</f>
        <v>193.95959000000008</v>
      </c>
      <c r="AF142" s="224"/>
      <c r="AG142" s="225"/>
    </row>
    <row r="143" spans="1:33" ht="15" thickBot="1" x14ac:dyDescent="0.35">
      <c r="A143" s="226" t="s">
        <v>356</v>
      </c>
      <c r="B143" s="226"/>
      <c r="C143" s="226"/>
      <c r="D143" s="226"/>
      <c r="E143" s="226"/>
      <c r="R143" s="65" t="s">
        <v>328</v>
      </c>
      <c r="S143" s="223">
        <f>SUM(U118:U142)</f>
        <v>200.0402</v>
      </c>
      <c r="T143" s="224"/>
      <c r="U143" s="225"/>
      <c r="V143" s="66"/>
      <c r="W143" s="223">
        <f>SUM(Y118:Y142)</f>
        <v>194.51715000000007</v>
      </c>
      <c r="X143" s="224"/>
      <c r="Y143" s="225"/>
      <c r="Z143" s="66"/>
      <c r="AA143" s="229">
        <f>SUM(AC118:AC142)</f>
        <v>208.10224999999994</v>
      </c>
      <c r="AB143" s="230"/>
      <c r="AC143" s="231"/>
    </row>
    <row r="144" spans="1:33" x14ac:dyDescent="0.3">
      <c r="A144" s="63" t="s">
        <v>309</v>
      </c>
      <c r="B144" s="221">
        <v>1</v>
      </c>
      <c r="C144" s="222"/>
      <c r="D144" s="69" t="s">
        <v>329</v>
      </c>
      <c r="F144" s="227">
        <v>2</v>
      </c>
      <c r="G144" s="228"/>
      <c r="H144" s="69" t="s">
        <v>329</v>
      </c>
      <c r="J144" s="227">
        <v>3</v>
      </c>
      <c r="K144" s="228"/>
      <c r="L144" s="69" t="s">
        <v>329</v>
      </c>
      <c r="N144" s="221">
        <v>4</v>
      </c>
      <c r="O144" s="222"/>
      <c r="P144" s="69" t="s">
        <v>329</v>
      </c>
    </row>
    <row r="145" spans="1:16" x14ac:dyDescent="0.3">
      <c r="A145" s="63" t="s">
        <v>310</v>
      </c>
      <c r="B145" s="70">
        <v>8.75</v>
      </c>
      <c r="C145" s="67">
        <v>5.85</v>
      </c>
      <c r="D145" s="71">
        <f>B145*C145</f>
        <v>51.1875</v>
      </c>
      <c r="F145" s="70">
        <v>5.3</v>
      </c>
      <c r="G145" s="67">
        <v>5.05</v>
      </c>
      <c r="H145" s="71">
        <f t="shared" ref="H145:H167" si="44">F145*G145</f>
        <v>26.764999999999997</v>
      </c>
      <c r="J145" s="70">
        <v>8.75</v>
      </c>
      <c r="K145" s="67">
        <v>6.1870000000000003</v>
      </c>
      <c r="L145" s="71">
        <f>J145*K145</f>
        <v>54.136250000000004</v>
      </c>
      <c r="N145" s="70">
        <v>5.3</v>
      </c>
      <c r="O145" s="67">
        <v>7.0750000000000002</v>
      </c>
      <c r="P145" s="71">
        <f>N145*O145</f>
        <v>37.497500000000002</v>
      </c>
    </row>
    <row r="146" spans="1:16" x14ac:dyDescent="0.3">
      <c r="A146" s="63" t="s">
        <v>311</v>
      </c>
      <c r="B146" s="70">
        <v>2.74</v>
      </c>
      <c r="C146" s="67">
        <v>3.73</v>
      </c>
      <c r="D146" s="71">
        <f t="shared" ref="D146:D167" si="45">B146*C146</f>
        <v>10.2202</v>
      </c>
      <c r="F146" s="70">
        <f>4.3+2+1.6</f>
        <v>7.9</v>
      </c>
      <c r="G146" s="67">
        <f>1.5+1.2+0.5</f>
        <v>3.2</v>
      </c>
      <c r="H146" s="71">
        <f t="shared" si="44"/>
        <v>25.28</v>
      </c>
      <c r="J146" s="70">
        <v>2.74</v>
      </c>
      <c r="K146" s="67">
        <v>3.5150000000000001</v>
      </c>
      <c r="L146" s="71">
        <f t="shared" ref="L146:L167" si="46">J146*K146</f>
        <v>9.6311000000000018</v>
      </c>
      <c r="N146" s="70">
        <v>4.25</v>
      </c>
      <c r="O146" s="67">
        <v>3.43</v>
      </c>
      <c r="P146" s="71">
        <f t="shared" ref="P146:P168" si="47">N146*O146</f>
        <v>14.577500000000001</v>
      </c>
    </row>
    <row r="147" spans="1:16" x14ac:dyDescent="0.3">
      <c r="A147" s="63" t="s">
        <v>312</v>
      </c>
      <c r="B147" s="70">
        <v>3.53</v>
      </c>
      <c r="C147" s="67">
        <v>4.55</v>
      </c>
      <c r="D147" s="71">
        <f t="shared" si="45"/>
        <v>16.061499999999999</v>
      </c>
      <c r="F147" s="70">
        <v>3.5</v>
      </c>
      <c r="G147" s="67">
        <v>5.19</v>
      </c>
      <c r="H147" s="71">
        <f t="shared" si="44"/>
        <v>18.165000000000003</v>
      </c>
      <c r="J147" s="70">
        <v>3.35</v>
      </c>
      <c r="K147" s="67">
        <v>4.8869999999999996</v>
      </c>
      <c r="L147" s="71">
        <f t="shared" si="46"/>
        <v>16.371449999999999</v>
      </c>
      <c r="N147" s="70">
        <v>3.5</v>
      </c>
      <c r="O147" s="67">
        <v>5.4249999999999998</v>
      </c>
      <c r="P147" s="71">
        <f t="shared" si="47"/>
        <v>18.987500000000001</v>
      </c>
    </row>
    <row r="148" spans="1:16" x14ac:dyDescent="0.3">
      <c r="A148" s="63" t="s">
        <v>313</v>
      </c>
      <c r="B148" s="70">
        <v>3.95</v>
      </c>
      <c r="C148" s="67">
        <v>4.5</v>
      </c>
      <c r="D148" s="72">
        <f t="shared" si="45"/>
        <v>17.775000000000002</v>
      </c>
      <c r="F148" s="70">
        <v>3.4</v>
      </c>
      <c r="G148" s="67">
        <v>3.95</v>
      </c>
      <c r="H148" s="72">
        <f t="shared" si="44"/>
        <v>13.43</v>
      </c>
      <c r="J148" s="70">
        <v>3.35</v>
      </c>
      <c r="K148" s="67">
        <v>4.5549999999999997</v>
      </c>
      <c r="L148" s="72">
        <f t="shared" si="46"/>
        <v>15.25925</v>
      </c>
      <c r="N148" s="70">
        <v>3.38</v>
      </c>
      <c r="O148" s="67">
        <v>5</v>
      </c>
      <c r="P148" s="72">
        <f t="shared" si="47"/>
        <v>16.899999999999999</v>
      </c>
    </row>
    <row r="149" spans="1:16" x14ac:dyDescent="0.3">
      <c r="A149" s="63" t="s">
        <v>314</v>
      </c>
      <c r="B149" s="70">
        <v>3.43</v>
      </c>
      <c r="C149" s="67">
        <v>4.75</v>
      </c>
      <c r="D149" s="72">
        <f t="shared" si="45"/>
        <v>16.2925</v>
      </c>
      <c r="F149" s="70">
        <v>3.37</v>
      </c>
      <c r="G149" s="67">
        <v>4.88</v>
      </c>
      <c r="H149" s="72">
        <f t="shared" si="44"/>
        <v>16.445599999999999</v>
      </c>
      <c r="J149" s="70">
        <v>3.33</v>
      </c>
      <c r="K149" s="67">
        <v>4.4050000000000002</v>
      </c>
      <c r="L149" s="72">
        <f t="shared" si="46"/>
        <v>14.668650000000001</v>
      </c>
      <c r="N149" s="70">
        <v>3.48</v>
      </c>
      <c r="O149" s="67">
        <v>4.4950000000000001</v>
      </c>
      <c r="P149" s="72">
        <f t="shared" si="47"/>
        <v>15.6426</v>
      </c>
    </row>
    <row r="150" spans="1:16" x14ac:dyDescent="0.3">
      <c r="A150" s="63" t="s">
        <v>315</v>
      </c>
      <c r="B150" s="70">
        <v>3.35</v>
      </c>
      <c r="C150" s="67">
        <v>4.4000000000000004</v>
      </c>
      <c r="D150" s="72">
        <f t="shared" si="45"/>
        <v>14.740000000000002</v>
      </c>
      <c r="F150" s="70">
        <v>3.62</v>
      </c>
      <c r="G150" s="67">
        <v>4.97</v>
      </c>
      <c r="H150" s="72">
        <f t="shared" si="44"/>
        <v>17.991399999999999</v>
      </c>
      <c r="J150" s="70">
        <v>3.33</v>
      </c>
      <c r="K150" s="67">
        <v>4.74</v>
      </c>
      <c r="L150" s="72">
        <f t="shared" si="46"/>
        <v>15.7842</v>
      </c>
      <c r="N150" s="70">
        <v>3.38</v>
      </c>
      <c r="O150" s="67">
        <v>4.4950000000000001</v>
      </c>
      <c r="P150" s="72">
        <f t="shared" si="47"/>
        <v>15.193099999999999</v>
      </c>
    </row>
    <row r="151" spans="1:16" x14ac:dyDescent="0.3">
      <c r="A151" s="63" t="s">
        <v>317</v>
      </c>
      <c r="B151" s="70">
        <v>1.45</v>
      </c>
      <c r="C151" s="67">
        <v>1.22</v>
      </c>
      <c r="D151" s="72">
        <f t="shared" si="45"/>
        <v>1.7689999999999999</v>
      </c>
      <c r="F151" s="70">
        <v>1.38</v>
      </c>
      <c r="G151" s="67">
        <v>1.85</v>
      </c>
      <c r="H151" s="72">
        <f t="shared" si="44"/>
        <v>2.5529999999999999</v>
      </c>
      <c r="J151" s="70">
        <v>1.45</v>
      </c>
      <c r="K151" s="67">
        <v>1.22</v>
      </c>
      <c r="L151" s="72">
        <f t="shared" si="46"/>
        <v>1.7689999999999999</v>
      </c>
      <c r="N151" s="70">
        <v>1.22</v>
      </c>
      <c r="O151" s="67">
        <v>1.85</v>
      </c>
      <c r="P151" s="72">
        <f t="shared" si="47"/>
        <v>2.2570000000000001</v>
      </c>
    </row>
    <row r="152" spans="1:16" x14ac:dyDescent="0.3">
      <c r="A152" s="63" t="s">
        <v>316</v>
      </c>
      <c r="B152" s="70">
        <v>3.35</v>
      </c>
      <c r="C152" s="67">
        <v>1.83</v>
      </c>
      <c r="D152" s="72">
        <f t="shared" si="45"/>
        <v>6.1305000000000005</v>
      </c>
      <c r="F152" s="70">
        <v>2.73</v>
      </c>
      <c r="G152" s="67">
        <v>1.85</v>
      </c>
      <c r="H152" s="72">
        <f t="shared" si="44"/>
        <v>5.0505000000000004</v>
      </c>
      <c r="J152" s="70">
        <v>3.36</v>
      </c>
      <c r="K152" s="67">
        <v>1.83</v>
      </c>
      <c r="L152" s="72">
        <f t="shared" si="46"/>
        <v>6.1487999999999996</v>
      </c>
      <c r="N152" s="70">
        <v>2.75</v>
      </c>
      <c r="O152" s="67">
        <v>1.85</v>
      </c>
      <c r="P152" s="72">
        <f t="shared" si="47"/>
        <v>5.0875000000000004</v>
      </c>
    </row>
    <row r="153" spans="1:16" x14ac:dyDescent="0.3">
      <c r="A153" s="63" t="s">
        <v>318</v>
      </c>
      <c r="B153" s="70">
        <v>2.44</v>
      </c>
      <c r="C153" s="67">
        <v>1.52</v>
      </c>
      <c r="D153" s="72">
        <f t="shared" si="45"/>
        <v>3.7088000000000001</v>
      </c>
      <c r="F153" s="70">
        <v>2.44</v>
      </c>
      <c r="G153" s="67">
        <v>1.68</v>
      </c>
      <c r="H153" s="72">
        <f t="shared" si="44"/>
        <v>4.0991999999999997</v>
      </c>
      <c r="J153" s="70">
        <v>2.44</v>
      </c>
      <c r="K153" s="67">
        <v>1.575</v>
      </c>
      <c r="L153" s="72">
        <f t="shared" si="46"/>
        <v>3.843</v>
      </c>
      <c r="N153" s="70">
        <v>1.72</v>
      </c>
      <c r="O153" s="67">
        <v>2.44</v>
      </c>
      <c r="P153" s="72">
        <f t="shared" si="47"/>
        <v>4.1967999999999996</v>
      </c>
    </row>
    <row r="154" spans="1:16" x14ac:dyDescent="0.3">
      <c r="A154" s="63" t="s">
        <v>319</v>
      </c>
      <c r="B154" s="70">
        <v>1.52</v>
      </c>
      <c r="C154" s="67">
        <v>2.44</v>
      </c>
      <c r="D154" s="72">
        <f t="shared" si="45"/>
        <v>3.7088000000000001</v>
      </c>
      <c r="F154" s="70">
        <v>1.68</v>
      </c>
      <c r="G154" s="67">
        <v>2.4500000000000002</v>
      </c>
      <c r="H154" s="72">
        <f t="shared" si="44"/>
        <v>4.1160000000000005</v>
      </c>
      <c r="J154" s="70">
        <v>1.52</v>
      </c>
      <c r="K154" s="67">
        <v>2.44</v>
      </c>
      <c r="L154" s="72">
        <f t="shared" si="46"/>
        <v>3.7088000000000001</v>
      </c>
      <c r="N154" s="70">
        <v>1.67</v>
      </c>
      <c r="O154" s="67">
        <v>2.62</v>
      </c>
      <c r="P154" s="72">
        <f t="shared" si="47"/>
        <v>4.3754</v>
      </c>
    </row>
    <row r="155" spans="1:16" x14ac:dyDescent="0.3">
      <c r="A155" s="63" t="s">
        <v>320</v>
      </c>
      <c r="B155" s="70">
        <v>1.52</v>
      </c>
      <c r="C155" s="67">
        <v>2.44</v>
      </c>
      <c r="D155" s="72">
        <f t="shared" si="45"/>
        <v>3.7088000000000001</v>
      </c>
      <c r="F155" s="70">
        <v>1.53</v>
      </c>
      <c r="G155" s="67">
        <v>2.4500000000000002</v>
      </c>
      <c r="H155" s="72">
        <f t="shared" si="44"/>
        <v>3.7485000000000004</v>
      </c>
      <c r="J155" s="70">
        <v>1.52</v>
      </c>
      <c r="K155" s="67">
        <v>2.44</v>
      </c>
      <c r="L155" s="72">
        <f t="shared" si="46"/>
        <v>3.7088000000000001</v>
      </c>
      <c r="N155" s="70">
        <v>1.67</v>
      </c>
      <c r="O155" s="67">
        <v>2.62</v>
      </c>
      <c r="P155" s="72">
        <f t="shared" si="47"/>
        <v>4.3754</v>
      </c>
    </row>
    <row r="156" spans="1:16" ht="28.8" x14ac:dyDescent="0.3">
      <c r="A156" s="76" t="s">
        <v>335</v>
      </c>
      <c r="B156" s="70">
        <v>4.05</v>
      </c>
      <c r="C156" s="67">
        <v>3.5</v>
      </c>
      <c r="D156" s="72">
        <f t="shared" si="45"/>
        <v>14.174999999999999</v>
      </c>
      <c r="F156" s="70">
        <v>2.17</v>
      </c>
      <c r="G156" s="67">
        <v>3.2</v>
      </c>
      <c r="H156" s="72">
        <f t="shared" si="44"/>
        <v>6.944</v>
      </c>
      <c r="J156" s="70">
        <v>4.03</v>
      </c>
      <c r="K156" s="67">
        <v>3.5649999999999999</v>
      </c>
      <c r="L156" s="72">
        <f t="shared" si="46"/>
        <v>14.366950000000001</v>
      </c>
      <c r="N156" s="70">
        <v>2.12</v>
      </c>
      <c r="O156" s="67">
        <v>3.22</v>
      </c>
      <c r="P156" s="72">
        <f t="shared" si="47"/>
        <v>6.8264000000000005</v>
      </c>
    </row>
    <row r="157" spans="1:16" x14ac:dyDescent="0.3">
      <c r="A157" s="63" t="s">
        <v>321</v>
      </c>
      <c r="B157" s="70">
        <v>1.75</v>
      </c>
      <c r="C157" s="67">
        <v>1.52</v>
      </c>
      <c r="D157" s="72">
        <f t="shared" si="45"/>
        <v>2.66</v>
      </c>
      <c r="F157" s="70">
        <v>3</v>
      </c>
      <c r="G157" s="67">
        <v>1</v>
      </c>
      <c r="H157" s="72">
        <f t="shared" si="44"/>
        <v>3</v>
      </c>
      <c r="J157" s="70">
        <v>1.91</v>
      </c>
      <c r="K157" s="67">
        <v>3.03</v>
      </c>
      <c r="L157" s="72">
        <f t="shared" si="46"/>
        <v>5.7872999999999992</v>
      </c>
      <c r="N157" s="70">
        <v>6.5</v>
      </c>
      <c r="O157" s="67">
        <v>1</v>
      </c>
      <c r="P157" s="72">
        <f t="shared" si="47"/>
        <v>6.5</v>
      </c>
    </row>
    <row r="158" spans="1:16" x14ac:dyDescent="0.3">
      <c r="A158" s="63" t="s">
        <v>322</v>
      </c>
      <c r="B158" s="70">
        <v>2.1</v>
      </c>
      <c r="C158" s="67">
        <v>3.08</v>
      </c>
      <c r="D158" s="72">
        <f t="shared" si="45"/>
        <v>6.4680000000000009</v>
      </c>
      <c r="F158" s="70">
        <v>2.1</v>
      </c>
      <c r="G158" s="67">
        <v>1.35</v>
      </c>
      <c r="H158" s="72">
        <f t="shared" si="44"/>
        <v>2.8350000000000004</v>
      </c>
      <c r="J158" s="70">
        <v>1.75</v>
      </c>
      <c r="K158" s="67">
        <v>1.575</v>
      </c>
      <c r="L158" s="72">
        <f t="shared" si="46"/>
        <v>2.7562500000000001</v>
      </c>
      <c r="N158" s="70">
        <v>0.8</v>
      </c>
      <c r="O158" s="67">
        <v>1</v>
      </c>
      <c r="P158" s="72">
        <f t="shared" si="47"/>
        <v>0.8</v>
      </c>
    </row>
    <row r="159" spans="1:16" x14ac:dyDescent="0.3">
      <c r="A159" s="63" t="s">
        <v>323</v>
      </c>
      <c r="B159" s="70">
        <v>1.26</v>
      </c>
      <c r="C159" s="67">
        <v>1.62</v>
      </c>
      <c r="D159" s="72">
        <f t="shared" si="45"/>
        <v>2.0412000000000003</v>
      </c>
      <c r="F159" s="70">
        <v>3.42</v>
      </c>
      <c r="G159" s="67">
        <v>1.65</v>
      </c>
      <c r="H159" s="72">
        <f t="shared" si="44"/>
        <v>5.6429999999999998</v>
      </c>
      <c r="J159" s="70">
        <v>1.08</v>
      </c>
      <c r="K159" s="67">
        <v>1.575</v>
      </c>
      <c r="L159" s="72">
        <f t="shared" si="46"/>
        <v>1.7010000000000001</v>
      </c>
      <c r="N159" s="70">
        <v>0.8</v>
      </c>
      <c r="O159" s="67">
        <v>1.75</v>
      </c>
      <c r="P159" s="72">
        <f t="shared" si="47"/>
        <v>1.4000000000000001</v>
      </c>
    </row>
    <row r="160" spans="1:16" x14ac:dyDescent="0.3">
      <c r="A160" s="63" t="s">
        <v>324</v>
      </c>
      <c r="B160" s="70">
        <v>1.67</v>
      </c>
      <c r="C160" s="67">
        <v>1.05</v>
      </c>
      <c r="D160" s="72">
        <f t="shared" si="45"/>
        <v>1.7535000000000001</v>
      </c>
      <c r="F160" s="70">
        <v>1.63</v>
      </c>
      <c r="G160" s="67">
        <v>1.665</v>
      </c>
      <c r="H160" s="72">
        <f t="shared" si="44"/>
        <v>2.7139500000000001</v>
      </c>
      <c r="J160" s="70">
        <v>1.67</v>
      </c>
      <c r="K160" s="67">
        <v>1.05</v>
      </c>
      <c r="L160" s="72">
        <f t="shared" si="46"/>
        <v>1.7535000000000001</v>
      </c>
      <c r="N160" s="70"/>
      <c r="O160" s="67"/>
      <c r="P160" s="72">
        <f t="shared" si="47"/>
        <v>0</v>
      </c>
    </row>
    <row r="161" spans="1:33" x14ac:dyDescent="0.3">
      <c r="A161" s="63" t="s">
        <v>325</v>
      </c>
      <c r="B161" s="70">
        <v>1.8</v>
      </c>
      <c r="C161" s="67">
        <v>4.8</v>
      </c>
      <c r="D161" s="72">
        <f t="shared" si="45"/>
        <v>8.64</v>
      </c>
      <c r="F161" s="70">
        <v>1.8</v>
      </c>
      <c r="G161" s="67">
        <v>1.2</v>
      </c>
      <c r="H161" s="72">
        <f t="shared" si="44"/>
        <v>2.16</v>
      </c>
      <c r="J161" s="70">
        <v>2</v>
      </c>
      <c r="K161" s="67">
        <v>4.8</v>
      </c>
      <c r="L161" s="72">
        <f t="shared" si="46"/>
        <v>9.6</v>
      </c>
      <c r="N161" s="70"/>
      <c r="O161" s="67"/>
      <c r="P161" s="72">
        <f t="shared" si="47"/>
        <v>0</v>
      </c>
    </row>
    <row r="162" spans="1:33" x14ac:dyDescent="0.3">
      <c r="A162" s="63" t="s">
        <v>330</v>
      </c>
      <c r="B162" s="70"/>
      <c r="C162" s="67"/>
      <c r="D162" s="72">
        <f t="shared" si="45"/>
        <v>0</v>
      </c>
      <c r="F162" s="70">
        <v>1.05</v>
      </c>
      <c r="G162" s="67">
        <v>0.6</v>
      </c>
      <c r="H162" s="72">
        <f t="shared" si="44"/>
        <v>0.63</v>
      </c>
      <c r="J162" s="70"/>
      <c r="K162" s="67"/>
      <c r="L162" s="72">
        <f t="shared" si="46"/>
        <v>0</v>
      </c>
      <c r="N162" s="70"/>
      <c r="O162" s="67"/>
      <c r="P162" s="72">
        <f t="shared" si="47"/>
        <v>0</v>
      </c>
    </row>
    <row r="163" spans="1:33" x14ac:dyDescent="0.3">
      <c r="A163" s="63" t="s">
        <v>334</v>
      </c>
      <c r="B163" s="70"/>
      <c r="C163" s="67"/>
      <c r="D163" s="72">
        <f t="shared" si="45"/>
        <v>0</v>
      </c>
      <c r="F163" s="70">
        <v>3.8</v>
      </c>
      <c r="G163" s="67">
        <v>2.0499999999999998</v>
      </c>
      <c r="H163" s="72">
        <f t="shared" si="44"/>
        <v>7.7899999999999991</v>
      </c>
      <c r="J163" s="70"/>
      <c r="K163" s="67"/>
      <c r="L163" s="72">
        <f t="shared" si="46"/>
        <v>0</v>
      </c>
      <c r="N163" s="70"/>
      <c r="O163" s="67"/>
      <c r="P163" s="72">
        <f t="shared" si="47"/>
        <v>0</v>
      </c>
    </row>
    <row r="164" spans="1:33" x14ac:dyDescent="0.3">
      <c r="A164" s="64" t="s">
        <v>332</v>
      </c>
      <c r="B164" s="70">
        <v>6.6</v>
      </c>
      <c r="C164" s="67">
        <v>2.15</v>
      </c>
      <c r="D164" s="72">
        <f t="shared" si="45"/>
        <v>14.19</v>
      </c>
      <c r="F164" s="70">
        <v>5.75</v>
      </c>
      <c r="G164" s="67">
        <v>2.91</v>
      </c>
      <c r="H164" s="72">
        <f t="shared" si="44"/>
        <v>16.732500000000002</v>
      </c>
      <c r="J164" s="70">
        <v>6.6</v>
      </c>
      <c r="K164" s="67">
        <v>2.2050000000000001</v>
      </c>
      <c r="L164" s="72">
        <f t="shared" si="46"/>
        <v>14.552999999999999</v>
      </c>
      <c r="N164" s="70">
        <v>5.75</v>
      </c>
      <c r="O164" s="67">
        <v>3</v>
      </c>
      <c r="P164" s="72">
        <f t="shared" si="47"/>
        <v>17.25</v>
      </c>
    </row>
    <row r="165" spans="1:33" ht="28.8" x14ac:dyDescent="0.3">
      <c r="A165" s="64" t="s">
        <v>333</v>
      </c>
      <c r="B165" s="70">
        <f>1.36+0.8</f>
        <v>2.16</v>
      </c>
      <c r="C165" s="67">
        <f>2.41+1.38</f>
        <v>3.79</v>
      </c>
      <c r="D165" s="72">
        <f t="shared" si="45"/>
        <v>8.1864000000000008</v>
      </c>
      <c r="F165" s="70">
        <v>2.0499999999999998</v>
      </c>
      <c r="G165" s="67">
        <v>1.89</v>
      </c>
      <c r="H165" s="72">
        <f t="shared" si="44"/>
        <v>3.8744999999999994</v>
      </c>
      <c r="J165" s="70">
        <f>1.36+0.8</f>
        <v>2.16</v>
      </c>
      <c r="K165" s="67">
        <f>2.195+1.325</f>
        <v>3.5199999999999996</v>
      </c>
      <c r="L165" s="72">
        <f t="shared" si="46"/>
        <v>7.6031999999999993</v>
      </c>
      <c r="N165" s="70">
        <f>1.7+0.7</f>
        <v>2.4</v>
      </c>
      <c r="O165" s="67">
        <f>1.525+1.8</f>
        <v>3.3250000000000002</v>
      </c>
      <c r="P165" s="72">
        <f t="shared" si="47"/>
        <v>7.98</v>
      </c>
    </row>
    <row r="166" spans="1:33" ht="28.8" x14ac:dyDescent="0.3">
      <c r="A166" s="64" t="s">
        <v>326</v>
      </c>
      <c r="B166" s="70">
        <v>1.45</v>
      </c>
      <c r="C166" s="67">
        <v>1.22</v>
      </c>
      <c r="D166" s="72">
        <f t="shared" si="45"/>
        <v>1.7689999999999999</v>
      </c>
      <c r="F166" s="70">
        <v>1</v>
      </c>
      <c r="G166" s="67">
        <v>1.37</v>
      </c>
      <c r="H166" s="72">
        <f t="shared" si="44"/>
        <v>1.37</v>
      </c>
      <c r="J166" s="70">
        <v>1.45</v>
      </c>
      <c r="K166" s="67">
        <v>1.22</v>
      </c>
      <c r="L166" s="72">
        <f t="shared" si="46"/>
        <v>1.7689999999999999</v>
      </c>
      <c r="N166" s="70">
        <v>1.635</v>
      </c>
      <c r="O166" s="67">
        <v>1.1140000000000001</v>
      </c>
      <c r="P166" s="72">
        <f t="shared" si="47"/>
        <v>1.8213900000000001</v>
      </c>
    </row>
    <row r="167" spans="1:33" ht="15" thickBot="1" x14ac:dyDescent="0.35">
      <c r="A167" s="63" t="s">
        <v>327</v>
      </c>
      <c r="B167" s="73">
        <v>1.45</v>
      </c>
      <c r="C167" s="74">
        <v>2.41</v>
      </c>
      <c r="D167" s="75">
        <f t="shared" si="45"/>
        <v>3.4944999999999999</v>
      </c>
      <c r="F167" s="73">
        <v>1.5</v>
      </c>
      <c r="G167" s="74">
        <v>2.12</v>
      </c>
      <c r="H167" s="75">
        <f t="shared" si="44"/>
        <v>3.18</v>
      </c>
      <c r="J167" s="73">
        <v>1.45</v>
      </c>
      <c r="K167" s="74">
        <v>2.1949999999999998</v>
      </c>
      <c r="L167" s="75">
        <f t="shared" si="46"/>
        <v>3.1827499999999995</v>
      </c>
      <c r="N167" s="73">
        <v>1.7</v>
      </c>
      <c r="O167" s="74">
        <v>1.5249999999999999</v>
      </c>
      <c r="P167" s="75">
        <f t="shared" si="47"/>
        <v>2.5924999999999998</v>
      </c>
    </row>
    <row r="168" spans="1:33" ht="15" thickBot="1" x14ac:dyDescent="0.35">
      <c r="A168" s="65" t="s">
        <v>328</v>
      </c>
      <c r="B168" s="223">
        <f>SUM(D145:D167)</f>
        <v>208.68019999999999</v>
      </c>
      <c r="C168" s="224"/>
      <c r="D168" s="225"/>
      <c r="F168" s="223">
        <f>SUM(H145:H167)</f>
        <v>194.51715000000007</v>
      </c>
      <c r="G168" s="224"/>
      <c r="H168" s="225"/>
      <c r="I168" s="66"/>
      <c r="J168" s="229">
        <f>SUM(L145:L167)</f>
        <v>208.10224999999994</v>
      </c>
      <c r="K168" s="230"/>
      <c r="L168" s="231"/>
      <c r="N168" s="73">
        <v>5.3</v>
      </c>
      <c r="O168" s="74">
        <v>1.83</v>
      </c>
      <c r="P168" s="75">
        <f t="shared" si="47"/>
        <v>9.6989999999999998</v>
      </c>
    </row>
    <row r="169" spans="1:33" ht="15" thickBot="1" x14ac:dyDescent="0.35">
      <c r="N169" s="223">
        <f>SUM(P145:P168)</f>
        <v>193.95959000000008</v>
      </c>
      <c r="O169" s="224"/>
      <c r="P169" s="225"/>
    </row>
    <row r="170" spans="1:33" ht="15" thickBot="1" x14ac:dyDescent="0.35">
      <c r="A170" s="226" t="s">
        <v>363</v>
      </c>
      <c r="B170" s="226"/>
      <c r="R170" s="226" t="s">
        <v>254</v>
      </c>
      <c r="S170" s="226"/>
    </row>
    <row r="171" spans="1:33" x14ac:dyDescent="0.3">
      <c r="A171" s="63" t="s">
        <v>309</v>
      </c>
      <c r="B171" s="221">
        <v>1</v>
      </c>
      <c r="C171" s="222"/>
      <c r="D171" s="69" t="s">
        <v>329</v>
      </c>
      <c r="F171" s="227">
        <v>2</v>
      </c>
      <c r="G171" s="228"/>
      <c r="H171" s="69" t="s">
        <v>329</v>
      </c>
      <c r="J171" s="227">
        <v>3</v>
      </c>
      <c r="K171" s="228"/>
      <c r="L171" s="69" t="s">
        <v>329</v>
      </c>
      <c r="N171" s="221">
        <v>4</v>
      </c>
      <c r="O171" s="222"/>
      <c r="P171" s="69" t="s">
        <v>329</v>
      </c>
      <c r="R171" s="63" t="s">
        <v>309</v>
      </c>
      <c r="S171" s="221">
        <v>1</v>
      </c>
      <c r="T171" s="222"/>
      <c r="U171" s="69" t="s">
        <v>329</v>
      </c>
      <c r="W171" s="227">
        <v>2</v>
      </c>
      <c r="X171" s="228"/>
      <c r="Y171" s="69" t="s">
        <v>329</v>
      </c>
      <c r="AA171" s="227">
        <v>3</v>
      </c>
      <c r="AB171" s="228"/>
      <c r="AC171" s="69" t="s">
        <v>329</v>
      </c>
      <c r="AE171" s="221">
        <v>4</v>
      </c>
      <c r="AF171" s="222"/>
      <c r="AG171" s="69" t="s">
        <v>329</v>
      </c>
    </row>
    <row r="172" spans="1:33" x14ac:dyDescent="0.3">
      <c r="A172" s="63" t="s">
        <v>310</v>
      </c>
      <c r="B172" s="70">
        <v>8.75</v>
      </c>
      <c r="C172" s="67">
        <v>5.85</v>
      </c>
      <c r="D172" s="71">
        <f>B172*C172</f>
        <v>51.1875</v>
      </c>
      <c r="F172" s="70">
        <v>5.3</v>
      </c>
      <c r="G172" s="67">
        <v>5.05</v>
      </c>
      <c r="H172" s="71">
        <f t="shared" ref="H172:H194" si="48">F172*G172</f>
        <v>26.764999999999997</v>
      </c>
      <c r="J172" s="70">
        <v>8.75</v>
      </c>
      <c r="K172" s="67">
        <v>6.1870000000000003</v>
      </c>
      <c r="L172" s="71">
        <f>J172*K172</f>
        <v>54.136250000000004</v>
      </c>
      <c r="N172" s="70">
        <v>5.3</v>
      </c>
      <c r="O172" s="67">
        <v>7.0750000000000002</v>
      </c>
      <c r="P172" s="71">
        <f>N172*O172</f>
        <v>37.497500000000002</v>
      </c>
      <c r="R172" s="63" t="s">
        <v>310</v>
      </c>
      <c r="S172" s="70">
        <v>8.75</v>
      </c>
      <c r="T172" s="67">
        <v>5.85</v>
      </c>
      <c r="U172" s="71">
        <f>S172*T172</f>
        <v>51.1875</v>
      </c>
      <c r="W172" s="70">
        <v>5.3</v>
      </c>
      <c r="X172" s="67">
        <v>5.05</v>
      </c>
      <c r="Y172" s="71">
        <f t="shared" ref="Y172:Y194" si="49">W172*X172</f>
        <v>26.764999999999997</v>
      </c>
      <c r="AA172" s="70">
        <v>8.75</v>
      </c>
      <c r="AB172" s="67">
        <v>6.1870000000000003</v>
      </c>
      <c r="AC172" s="71">
        <f>AA172*AB172</f>
        <v>54.136250000000004</v>
      </c>
      <c r="AE172" s="70">
        <v>5.3</v>
      </c>
      <c r="AF172" s="67">
        <v>7.0750000000000002</v>
      </c>
      <c r="AG172" s="71">
        <f>AE172*AF172</f>
        <v>37.497500000000002</v>
      </c>
    </row>
    <row r="173" spans="1:33" x14ac:dyDescent="0.3">
      <c r="A173" s="63" t="s">
        <v>311</v>
      </c>
      <c r="B173" s="70">
        <v>2.74</v>
      </c>
      <c r="C173" s="67">
        <v>3.73</v>
      </c>
      <c r="D173" s="71">
        <f t="shared" ref="D173:D194" si="50">B173*C173</f>
        <v>10.2202</v>
      </c>
      <c r="F173" s="70">
        <f>4.3+2+1.6</f>
        <v>7.9</v>
      </c>
      <c r="G173" s="67">
        <f>1.5+1.2+0.5</f>
        <v>3.2</v>
      </c>
      <c r="H173" s="71">
        <f t="shared" si="48"/>
        <v>25.28</v>
      </c>
      <c r="J173" s="70">
        <v>2.74</v>
      </c>
      <c r="K173" s="67">
        <v>3.5150000000000001</v>
      </c>
      <c r="L173" s="71">
        <f t="shared" ref="L173:L194" si="51">J173*K173</f>
        <v>9.6311000000000018</v>
      </c>
      <c r="N173" s="70">
        <v>4.25</v>
      </c>
      <c r="O173" s="67">
        <v>3.43</v>
      </c>
      <c r="P173" s="71">
        <f t="shared" ref="P173:P195" si="52">N173*O173</f>
        <v>14.577500000000001</v>
      </c>
      <c r="R173" s="63" t="s">
        <v>311</v>
      </c>
      <c r="S173" s="70">
        <v>2.74</v>
      </c>
      <c r="T173" s="67">
        <v>3.73</v>
      </c>
      <c r="U173" s="71">
        <f t="shared" ref="U173:U194" si="53">S173*T173</f>
        <v>10.2202</v>
      </c>
      <c r="W173" s="70">
        <f>4.3+2+1.6</f>
        <v>7.9</v>
      </c>
      <c r="X173" s="67">
        <f>1.5+1.2+0.5</f>
        <v>3.2</v>
      </c>
      <c r="Y173" s="71">
        <f t="shared" si="49"/>
        <v>25.28</v>
      </c>
      <c r="AA173" s="70">
        <v>2.74</v>
      </c>
      <c r="AB173" s="67">
        <v>3.5150000000000001</v>
      </c>
      <c r="AC173" s="71">
        <f t="shared" ref="AC173:AC194" si="54">AA173*AB173</f>
        <v>9.6311000000000018</v>
      </c>
      <c r="AE173" s="70">
        <v>4.25</v>
      </c>
      <c r="AF173" s="67">
        <v>3.43</v>
      </c>
      <c r="AG173" s="71">
        <f t="shared" ref="AG173:AG195" si="55">AE173*AF173</f>
        <v>14.577500000000001</v>
      </c>
    </row>
    <row r="174" spans="1:33" x14ac:dyDescent="0.3">
      <c r="A174" s="63" t="s">
        <v>312</v>
      </c>
      <c r="B174" s="70">
        <v>3.53</v>
      </c>
      <c r="C174" s="67">
        <v>4.55</v>
      </c>
      <c r="D174" s="71">
        <f t="shared" si="50"/>
        <v>16.061499999999999</v>
      </c>
      <c r="F174" s="70">
        <v>3.5</v>
      </c>
      <c r="G174" s="67">
        <v>5.19</v>
      </c>
      <c r="H174" s="71">
        <f t="shared" si="48"/>
        <v>18.165000000000003</v>
      </c>
      <c r="J174" s="70">
        <v>3.35</v>
      </c>
      <c r="K174" s="67">
        <v>4.8869999999999996</v>
      </c>
      <c r="L174" s="71">
        <f t="shared" si="51"/>
        <v>16.371449999999999</v>
      </c>
      <c r="N174" s="70">
        <v>3.5</v>
      </c>
      <c r="O174" s="67">
        <v>5.4249999999999998</v>
      </c>
      <c r="P174" s="71">
        <f t="shared" si="52"/>
        <v>18.987500000000001</v>
      </c>
      <c r="R174" s="63" t="s">
        <v>312</v>
      </c>
      <c r="S174" s="70">
        <v>3.53</v>
      </c>
      <c r="T174" s="67">
        <v>4.55</v>
      </c>
      <c r="U174" s="71">
        <f t="shared" si="53"/>
        <v>16.061499999999999</v>
      </c>
      <c r="W174" s="70">
        <v>3.5</v>
      </c>
      <c r="X174" s="67">
        <v>5.19</v>
      </c>
      <c r="Y174" s="71">
        <f t="shared" si="49"/>
        <v>18.165000000000003</v>
      </c>
      <c r="AA174" s="70">
        <v>3.35</v>
      </c>
      <c r="AB174" s="67">
        <v>4.8869999999999996</v>
      </c>
      <c r="AC174" s="71">
        <f t="shared" si="54"/>
        <v>16.371449999999999</v>
      </c>
      <c r="AE174" s="70">
        <v>3.5</v>
      </c>
      <c r="AF174" s="67">
        <v>5.4249999999999998</v>
      </c>
      <c r="AG174" s="71">
        <f t="shared" si="55"/>
        <v>18.987500000000001</v>
      </c>
    </row>
    <row r="175" spans="1:33" x14ac:dyDescent="0.3">
      <c r="A175" s="63" t="s">
        <v>313</v>
      </c>
      <c r="B175" s="70">
        <v>3.95</v>
      </c>
      <c r="C175" s="67">
        <v>4.5</v>
      </c>
      <c r="D175" s="72">
        <f t="shared" si="50"/>
        <v>17.775000000000002</v>
      </c>
      <c r="F175" s="70">
        <v>3.4</v>
      </c>
      <c r="G175" s="67">
        <v>3.95</v>
      </c>
      <c r="H175" s="72">
        <f t="shared" si="48"/>
        <v>13.43</v>
      </c>
      <c r="J175" s="70">
        <v>3.35</v>
      </c>
      <c r="K175" s="67">
        <v>4.5549999999999997</v>
      </c>
      <c r="L175" s="72">
        <f t="shared" si="51"/>
        <v>15.25925</v>
      </c>
      <c r="N175" s="70">
        <v>3.38</v>
      </c>
      <c r="O175" s="67">
        <v>5</v>
      </c>
      <c r="P175" s="72">
        <f t="shared" si="52"/>
        <v>16.899999999999999</v>
      </c>
      <c r="R175" s="63" t="s">
        <v>313</v>
      </c>
      <c r="S175" s="70">
        <v>3.95</v>
      </c>
      <c r="T175" s="67">
        <v>4.5</v>
      </c>
      <c r="U175" s="72">
        <f t="shared" si="53"/>
        <v>17.775000000000002</v>
      </c>
      <c r="W175" s="70">
        <v>3.4</v>
      </c>
      <c r="X175" s="67">
        <v>3.95</v>
      </c>
      <c r="Y175" s="72">
        <f t="shared" si="49"/>
        <v>13.43</v>
      </c>
      <c r="AA175" s="70">
        <v>3.35</v>
      </c>
      <c r="AB175" s="67">
        <v>4.5549999999999997</v>
      </c>
      <c r="AC175" s="72">
        <f t="shared" si="54"/>
        <v>15.25925</v>
      </c>
      <c r="AE175" s="70">
        <v>3.38</v>
      </c>
      <c r="AF175" s="67">
        <v>5</v>
      </c>
      <c r="AG175" s="72">
        <f t="shared" si="55"/>
        <v>16.899999999999999</v>
      </c>
    </row>
    <row r="176" spans="1:33" x14ac:dyDescent="0.3">
      <c r="A176" s="63" t="s">
        <v>314</v>
      </c>
      <c r="B176" s="70">
        <v>3.43</v>
      </c>
      <c r="C176" s="67">
        <v>4.75</v>
      </c>
      <c r="D176" s="72">
        <f t="shared" si="50"/>
        <v>16.2925</v>
      </c>
      <c r="F176" s="70">
        <v>3.37</v>
      </c>
      <c r="G176" s="67">
        <v>4.88</v>
      </c>
      <c r="H176" s="72">
        <f t="shared" si="48"/>
        <v>16.445599999999999</v>
      </c>
      <c r="J176" s="70">
        <v>3.33</v>
      </c>
      <c r="K176" s="67">
        <v>4.4050000000000002</v>
      </c>
      <c r="L176" s="72">
        <f t="shared" si="51"/>
        <v>14.668650000000001</v>
      </c>
      <c r="N176" s="70">
        <v>3.48</v>
      </c>
      <c r="O176" s="67">
        <v>4.4950000000000001</v>
      </c>
      <c r="P176" s="72">
        <f t="shared" si="52"/>
        <v>15.6426</v>
      </c>
      <c r="R176" s="63" t="s">
        <v>314</v>
      </c>
      <c r="S176" s="70">
        <v>3.43</v>
      </c>
      <c r="T176" s="67">
        <v>4.75</v>
      </c>
      <c r="U176" s="72">
        <f t="shared" si="53"/>
        <v>16.2925</v>
      </c>
      <c r="W176" s="70">
        <v>3.37</v>
      </c>
      <c r="X176" s="67">
        <v>4.88</v>
      </c>
      <c r="Y176" s="72">
        <f t="shared" si="49"/>
        <v>16.445599999999999</v>
      </c>
      <c r="AA176" s="70">
        <v>3.33</v>
      </c>
      <c r="AB176" s="67">
        <v>4.4050000000000002</v>
      </c>
      <c r="AC176" s="72">
        <f t="shared" si="54"/>
        <v>14.668650000000001</v>
      </c>
      <c r="AE176" s="70">
        <v>3.48</v>
      </c>
      <c r="AF176" s="67">
        <v>4.4950000000000001</v>
      </c>
      <c r="AG176" s="72">
        <f t="shared" si="55"/>
        <v>15.6426</v>
      </c>
    </row>
    <row r="177" spans="1:33" x14ac:dyDescent="0.3">
      <c r="A177" s="63" t="s">
        <v>315</v>
      </c>
      <c r="B177" s="70">
        <v>3.35</v>
      </c>
      <c r="C177" s="67">
        <v>4.4000000000000004</v>
      </c>
      <c r="D177" s="72">
        <f t="shared" si="50"/>
        <v>14.740000000000002</v>
      </c>
      <c r="F177" s="70">
        <v>3.62</v>
      </c>
      <c r="G177" s="67">
        <v>4.97</v>
      </c>
      <c r="H177" s="72">
        <f t="shared" si="48"/>
        <v>17.991399999999999</v>
      </c>
      <c r="J177" s="70">
        <v>3.33</v>
      </c>
      <c r="K177" s="67">
        <v>4.74</v>
      </c>
      <c r="L177" s="72">
        <f t="shared" si="51"/>
        <v>15.7842</v>
      </c>
      <c r="N177" s="70">
        <v>3.38</v>
      </c>
      <c r="O177" s="67">
        <v>4.4950000000000001</v>
      </c>
      <c r="P177" s="72">
        <f t="shared" si="52"/>
        <v>15.193099999999999</v>
      </c>
      <c r="R177" s="63" t="s">
        <v>315</v>
      </c>
      <c r="S177" s="70">
        <v>3.35</v>
      </c>
      <c r="T177" s="67">
        <v>4.4000000000000004</v>
      </c>
      <c r="U177" s="72">
        <f t="shared" si="53"/>
        <v>14.740000000000002</v>
      </c>
      <c r="W177" s="70">
        <v>3.62</v>
      </c>
      <c r="X177" s="67">
        <v>4.97</v>
      </c>
      <c r="Y177" s="72">
        <f t="shared" si="49"/>
        <v>17.991399999999999</v>
      </c>
      <c r="AA177" s="70">
        <v>3.33</v>
      </c>
      <c r="AB177" s="67">
        <v>4.74</v>
      </c>
      <c r="AC177" s="72">
        <f t="shared" si="54"/>
        <v>15.7842</v>
      </c>
      <c r="AE177" s="70">
        <v>3.38</v>
      </c>
      <c r="AF177" s="67">
        <v>4.4950000000000001</v>
      </c>
      <c r="AG177" s="72">
        <f t="shared" si="55"/>
        <v>15.193099999999999</v>
      </c>
    </row>
    <row r="178" spans="1:33" x14ac:dyDescent="0.3">
      <c r="A178" s="63" t="s">
        <v>317</v>
      </c>
      <c r="B178" s="70">
        <v>1.45</v>
      </c>
      <c r="C178" s="67">
        <v>1.22</v>
      </c>
      <c r="D178" s="72">
        <f t="shared" si="50"/>
        <v>1.7689999999999999</v>
      </c>
      <c r="F178" s="70">
        <v>1.38</v>
      </c>
      <c r="G178" s="67">
        <v>1.85</v>
      </c>
      <c r="H178" s="72">
        <f t="shared" si="48"/>
        <v>2.5529999999999999</v>
      </c>
      <c r="J178" s="70">
        <v>1.45</v>
      </c>
      <c r="K178" s="67">
        <v>1.22</v>
      </c>
      <c r="L178" s="72">
        <f t="shared" si="51"/>
        <v>1.7689999999999999</v>
      </c>
      <c r="N178" s="70">
        <v>1.22</v>
      </c>
      <c r="O178" s="67">
        <v>1.85</v>
      </c>
      <c r="P178" s="72">
        <f t="shared" si="52"/>
        <v>2.2570000000000001</v>
      </c>
      <c r="R178" s="63" t="s">
        <v>317</v>
      </c>
      <c r="S178" s="70">
        <v>1.45</v>
      </c>
      <c r="T178" s="67">
        <v>1.22</v>
      </c>
      <c r="U178" s="72">
        <f t="shared" si="53"/>
        <v>1.7689999999999999</v>
      </c>
      <c r="W178" s="70">
        <v>1.38</v>
      </c>
      <c r="X178" s="67">
        <v>1.85</v>
      </c>
      <c r="Y178" s="72">
        <f t="shared" si="49"/>
        <v>2.5529999999999999</v>
      </c>
      <c r="AA178" s="70">
        <v>1.45</v>
      </c>
      <c r="AB178" s="67">
        <v>1.22</v>
      </c>
      <c r="AC178" s="72">
        <f t="shared" si="54"/>
        <v>1.7689999999999999</v>
      </c>
      <c r="AE178" s="70">
        <v>1.22</v>
      </c>
      <c r="AF178" s="67">
        <v>1.85</v>
      </c>
      <c r="AG178" s="72">
        <f t="shared" si="55"/>
        <v>2.2570000000000001</v>
      </c>
    </row>
    <row r="179" spans="1:33" x14ac:dyDescent="0.3">
      <c r="A179" s="63" t="s">
        <v>316</v>
      </c>
      <c r="B179" s="70">
        <v>3.35</v>
      </c>
      <c r="C179" s="67">
        <v>1.83</v>
      </c>
      <c r="D179" s="72">
        <f t="shared" si="50"/>
        <v>6.1305000000000005</v>
      </c>
      <c r="F179" s="70">
        <v>2.73</v>
      </c>
      <c r="G179" s="67">
        <v>1.85</v>
      </c>
      <c r="H179" s="72">
        <f t="shared" si="48"/>
        <v>5.0505000000000004</v>
      </c>
      <c r="J179" s="70">
        <v>3.36</v>
      </c>
      <c r="K179" s="67">
        <v>1.83</v>
      </c>
      <c r="L179" s="72">
        <f t="shared" si="51"/>
        <v>6.1487999999999996</v>
      </c>
      <c r="N179" s="70">
        <v>2.75</v>
      </c>
      <c r="O179" s="67">
        <v>1.85</v>
      </c>
      <c r="P179" s="72">
        <f t="shared" si="52"/>
        <v>5.0875000000000004</v>
      </c>
      <c r="R179" s="63" t="s">
        <v>316</v>
      </c>
      <c r="S179" s="70">
        <v>3.35</v>
      </c>
      <c r="T179" s="67">
        <v>1.83</v>
      </c>
      <c r="U179" s="72">
        <f t="shared" si="53"/>
        <v>6.1305000000000005</v>
      </c>
      <c r="W179" s="70">
        <v>2.73</v>
      </c>
      <c r="X179" s="67">
        <v>1.85</v>
      </c>
      <c r="Y179" s="72">
        <f t="shared" si="49"/>
        <v>5.0505000000000004</v>
      </c>
      <c r="AA179" s="70">
        <v>3.36</v>
      </c>
      <c r="AB179" s="67">
        <v>1.83</v>
      </c>
      <c r="AC179" s="72">
        <f t="shared" si="54"/>
        <v>6.1487999999999996</v>
      </c>
      <c r="AE179" s="70">
        <v>2.75</v>
      </c>
      <c r="AF179" s="67">
        <v>1.85</v>
      </c>
      <c r="AG179" s="72">
        <f t="shared" si="55"/>
        <v>5.0875000000000004</v>
      </c>
    </row>
    <row r="180" spans="1:33" x14ac:dyDescent="0.3">
      <c r="A180" s="63" t="s">
        <v>318</v>
      </c>
      <c r="B180" s="70">
        <v>2.44</v>
      </c>
      <c r="C180" s="67">
        <v>1.52</v>
      </c>
      <c r="D180" s="72">
        <f t="shared" si="50"/>
        <v>3.7088000000000001</v>
      </c>
      <c r="F180" s="70">
        <v>2.44</v>
      </c>
      <c r="G180" s="67">
        <v>1.68</v>
      </c>
      <c r="H180" s="72">
        <f t="shared" si="48"/>
        <v>4.0991999999999997</v>
      </c>
      <c r="J180" s="70">
        <v>2.44</v>
      </c>
      <c r="K180" s="67">
        <v>1.575</v>
      </c>
      <c r="L180" s="72">
        <f t="shared" si="51"/>
        <v>3.843</v>
      </c>
      <c r="N180" s="70">
        <v>1.72</v>
      </c>
      <c r="O180" s="67">
        <v>2.44</v>
      </c>
      <c r="P180" s="72">
        <f t="shared" si="52"/>
        <v>4.1967999999999996</v>
      </c>
      <c r="R180" s="63" t="s">
        <v>318</v>
      </c>
      <c r="S180" s="70">
        <v>2.44</v>
      </c>
      <c r="T180" s="67">
        <v>1.52</v>
      </c>
      <c r="U180" s="72">
        <f t="shared" si="53"/>
        <v>3.7088000000000001</v>
      </c>
      <c r="W180" s="70">
        <v>2.44</v>
      </c>
      <c r="X180" s="67">
        <v>1.68</v>
      </c>
      <c r="Y180" s="72">
        <f t="shared" si="49"/>
        <v>4.0991999999999997</v>
      </c>
      <c r="AA180" s="70">
        <v>2.44</v>
      </c>
      <c r="AB180" s="67">
        <v>1.575</v>
      </c>
      <c r="AC180" s="72">
        <f t="shared" si="54"/>
        <v>3.843</v>
      </c>
      <c r="AE180" s="70">
        <v>1.72</v>
      </c>
      <c r="AF180" s="67">
        <v>2.44</v>
      </c>
      <c r="AG180" s="72">
        <f t="shared" si="55"/>
        <v>4.1967999999999996</v>
      </c>
    </row>
    <row r="181" spans="1:33" x14ac:dyDescent="0.3">
      <c r="A181" s="63" t="s">
        <v>319</v>
      </c>
      <c r="B181" s="70">
        <v>1.52</v>
      </c>
      <c r="C181" s="67">
        <v>2.44</v>
      </c>
      <c r="D181" s="72">
        <f t="shared" si="50"/>
        <v>3.7088000000000001</v>
      </c>
      <c r="F181" s="70">
        <v>1.68</v>
      </c>
      <c r="G181" s="67">
        <v>2.4500000000000002</v>
      </c>
      <c r="H181" s="72">
        <f t="shared" si="48"/>
        <v>4.1160000000000005</v>
      </c>
      <c r="J181" s="70">
        <v>1.52</v>
      </c>
      <c r="K181" s="67">
        <v>2.44</v>
      </c>
      <c r="L181" s="72">
        <f t="shared" si="51"/>
        <v>3.7088000000000001</v>
      </c>
      <c r="N181" s="70">
        <v>1.67</v>
      </c>
      <c r="O181" s="67">
        <v>2.62</v>
      </c>
      <c r="P181" s="72">
        <f t="shared" si="52"/>
        <v>4.3754</v>
      </c>
      <c r="R181" s="63" t="s">
        <v>319</v>
      </c>
      <c r="S181" s="70">
        <v>1.52</v>
      </c>
      <c r="T181" s="67">
        <v>2.44</v>
      </c>
      <c r="U181" s="72">
        <f t="shared" si="53"/>
        <v>3.7088000000000001</v>
      </c>
      <c r="W181" s="70">
        <v>1.68</v>
      </c>
      <c r="X181" s="67">
        <v>2.4500000000000002</v>
      </c>
      <c r="Y181" s="72">
        <f t="shared" si="49"/>
        <v>4.1160000000000005</v>
      </c>
      <c r="AA181" s="70">
        <v>1.52</v>
      </c>
      <c r="AB181" s="67">
        <v>2.44</v>
      </c>
      <c r="AC181" s="72">
        <f t="shared" si="54"/>
        <v>3.7088000000000001</v>
      </c>
      <c r="AE181" s="70">
        <v>1.67</v>
      </c>
      <c r="AF181" s="67">
        <v>2.62</v>
      </c>
      <c r="AG181" s="72">
        <f t="shared" si="55"/>
        <v>4.3754</v>
      </c>
    </row>
    <row r="182" spans="1:33" x14ac:dyDescent="0.3">
      <c r="A182" s="63" t="s">
        <v>320</v>
      </c>
      <c r="B182" s="70">
        <v>1.52</v>
      </c>
      <c r="C182" s="67">
        <v>2.44</v>
      </c>
      <c r="D182" s="72">
        <f t="shared" si="50"/>
        <v>3.7088000000000001</v>
      </c>
      <c r="F182" s="70">
        <v>1.53</v>
      </c>
      <c r="G182" s="67">
        <v>2.4500000000000002</v>
      </c>
      <c r="H182" s="72">
        <f t="shared" si="48"/>
        <v>3.7485000000000004</v>
      </c>
      <c r="J182" s="70">
        <v>1.52</v>
      </c>
      <c r="K182" s="67">
        <v>2.44</v>
      </c>
      <c r="L182" s="72">
        <f t="shared" si="51"/>
        <v>3.7088000000000001</v>
      </c>
      <c r="N182" s="70">
        <v>1.67</v>
      </c>
      <c r="O182" s="67">
        <v>2.62</v>
      </c>
      <c r="P182" s="72">
        <f t="shared" si="52"/>
        <v>4.3754</v>
      </c>
      <c r="R182" s="63" t="s">
        <v>320</v>
      </c>
      <c r="S182" s="70">
        <v>1.52</v>
      </c>
      <c r="T182" s="67">
        <v>2.44</v>
      </c>
      <c r="U182" s="72">
        <f t="shared" si="53"/>
        <v>3.7088000000000001</v>
      </c>
      <c r="W182" s="70">
        <v>1.53</v>
      </c>
      <c r="X182" s="67">
        <v>2.4500000000000002</v>
      </c>
      <c r="Y182" s="72">
        <f t="shared" si="49"/>
        <v>3.7485000000000004</v>
      </c>
      <c r="AA182" s="70">
        <v>1.52</v>
      </c>
      <c r="AB182" s="67">
        <v>2.44</v>
      </c>
      <c r="AC182" s="72">
        <f t="shared" si="54"/>
        <v>3.7088000000000001</v>
      </c>
      <c r="AE182" s="70">
        <v>1.67</v>
      </c>
      <c r="AF182" s="67">
        <v>2.62</v>
      </c>
      <c r="AG182" s="72">
        <f t="shared" si="55"/>
        <v>4.3754</v>
      </c>
    </row>
    <row r="183" spans="1:33" ht="28.8" x14ac:dyDescent="0.3">
      <c r="A183" s="76" t="s">
        <v>335</v>
      </c>
      <c r="B183" s="70">
        <v>4.05</v>
      </c>
      <c r="C183" s="67">
        <v>3.5</v>
      </c>
      <c r="D183" s="72">
        <f t="shared" si="50"/>
        <v>14.174999999999999</v>
      </c>
      <c r="F183" s="70">
        <v>2.17</v>
      </c>
      <c r="G183" s="67">
        <v>3.2</v>
      </c>
      <c r="H183" s="72">
        <f t="shared" si="48"/>
        <v>6.944</v>
      </c>
      <c r="J183" s="70">
        <v>4.03</v>
      </c>
      <c r="K183" s="67">
        <v>3.5649999999999999</v>
      </c>
      <c r="L183" s="72">
        <f t="shared" si="51"/>
        <v>14.366950000000001</v>
      </c>
      <c r="N183" s="70">
        <v>2.12</v>
      </c>
      <c r="O183" s="67">
        <v>3.22</v>
      </c>
      <c r="P183" s="72">
        <f t="shared" si="52"/>
        <v>6.8264000000000005</v>
      </c>
      <c r="R183" s="76" t="s">
        <v>335</v>
      </c>
      <c r="S183" s="70">
        <v>4.05</v>
      </c>
      <c r="T183" s="67">
        <v>3.5</v>
      </c>
      <c r="U183" s="72">
        <f t="shared" si="53"/>
        <v>14.174999999999999</v>
      </c>
      <c r="W183" s="70">
        <v>2.17</v>
      </c>
      <c r="X183" s="67">
        <v>3.2</v>
      </c>
      <c r="Y183" s="72">
        <f t="shared" si="49"/>
        <v>6.944</v>
      </c>
      <c r="AA183" s="70">
        <v>4.03</v>
      </c>
      <c r="AB183" s="67">
        <v>3.5649999999999999</v>
      </c>
      <c r="AC183" s="72">
        <f t="shared" si="54"/>
        <v>14.366950000000001</v>
      </c>
      <c r="AE183" s="70">
        <v>2.12</v>
      </c>
      <c r="AF183" s="67">
        <v>3.22</v>
      </c>
      <c r="AG183" s="72">
        <f t="shared" si="55"/>
        <v>6.8264000000000005</v>
      </c>
    </row>
    <row r="184" spans="1:33" x14ac:dyDescent="0.3">
      <c r="A184" s="63" t="s">
        <v>321</v>
      </c>
      <c r="B184" s="70">
        <v>1.75</v>
      </c>
      <c r="C184" s="67">
        <v>1.52</v>
      </c>
      <c r="D184" s="72">
        <f t="shared" si="50"/>
        <v>2.66</v>
      </c>
      <c r="F184" s="70">
        <v>3</v>
      </c>
      <c r="G184" s="67">
        <v>1</v>
      </c>
      <c r="H184" s="72">
        <f t="shared" si="48"/>
        <v>3</v>
      </c>
      <c r="J184" s="70">
        <v>1.91</v>
      </c>
      <c r="K184" s="67">
        <v>3.03</v>
      </c>
      <c r="L184" s="72">
        <f t="shared" si="51"/>
        <v>5.7872999999999992</v>
      </c>
      <c r="N184" s="70">
        <v>6.5</v>
      </c>
      <c r="O184" s="67">
        <v>1</v>
      </c>
      <c r="P184" s="72">
        <f t="shared" si="52"/>
        <v>6.5</v>
      </c>
      <c r="R184" s="63" t="s">
        <v>321</v>
      </c>
      <c r="S184" s="70">
        <v>1.75</v>
      </c>
      <c r="T184" s="67">
        <v>1.52</v>
      </c>
      <c r="U184" s="72">
        <f t="shared" si="53"/>
        <v>2.66</v>
      </c>
      <c r="W184" s="70">
        <v>3</v>
      </c>
      <c r="X184" s="67">
        <v>1</v>
      </c>
      <c r="Y184" s="72">
        <f t="shared" si="49"/>
        <v>3</v>
      </c>
      <c r="AA184" s="70">
        <v>1.91</v>
      </c>
      <c r="AB184" s="67">
        <v>3.03</v>
      </c>
      <c r="AC184" s="72">
        <f t="shared" si="54"/>
        <v>5.7872999999999992</v>
      </c>
      <c r="AE184" s="70">
        <v>6.5</v>
      </c>
      <c r="AF184" s="67">
        <v>1</v>
      </c>
      <c r="AG184" s="72">
        <f t="shared" si="55"/>
        <v>6.5</v>
      </c>
    </row>
    <row r="185" spans="1:33" x14ac:dyDescent="0.3">
      <c r="A185" s="63" t="s">
        <v>322</v>
      </c>
      <c r="B185" s="70">
        <v>2.1</v>
      </c>
      <c r="C185" s="67">
        <v>3.08</v>
      </c>
      <c r="D185" s="72">
        <f t="shared" si="50"/>
        <v>6.4680000000000009</v>
      </c>
      <c r="F185" s="70">
        <v>2.1</v>
      </c>
      <c r="G185" s="67">
        <v>1.35</v>
      </c>
      <c r="H185" s="72">
        <f t="shared" si="48"/>
        <v>2.8350000000000004</v>
      </c>
      <c r="J185" s="70">
        <v>1.75</v>
      </c>
      <c r="K185" s="67">
        <v>1.575</v>
      </c>
      <c r="L185" s="72">
        <f t="shared" si="51"/>
        <v>2.7562500000000001</v>
      </c>
      <c r="N185" s="70">
        <v>0.8</v>
      </c>
      <c r="O185" s="67">
        <v>1</v>
      </c>
      <c r="P185" s="72">
        <f t="shared" si="52"/>
        <v>0.8</v>
      </c>
      <c r="R185" s="63" t="s">
        <v>322</v>
      </c>
      <c r="S185" s="70">
        <v>2.1</v>
      </c>
      <c r="T185" s="67">
        <v>3.08</v>
      </c>
      <c r="U185" s="72">
        <f t="shared" si="53"/>
        <v>6.4680000000000009</v>
      </c>
      <c r="W185" s="70">
        <v>2.1</v>
      </c>
      <c r="X185" s="67">
        <v>1.35</v>
      </c>
      <c r="Y185" s="72">
        <f t="shared" si="49"/>
        <v>2.8350000000000004</v>
      </c>
      <c r="AA185" s="70">
        <v>1.75</v>
      </c>
      <c r="AB185" s="67">
        <v>1.575</v>
      </c>
      <c r="AC185" s="72">
        <f t="shared" si="54"/>
        <v>2.7562500000000001</v>
      </c>
      <c r="AE185" s="70">
        <v>0.8</v>
      </c>
      <c r="AF185" s="67">
        <v>1</v>
      </c>
      <c r="AG185" s="72">
        <f t="shared" si="55"/>
        <v>0.8</v>
      </c>
    </row>
    <row r="186" spans="1:33" x14ac:dyDescent="0.3">
      <c r="A186" s="63" t="s">
        <v>323</v>
      </c>
      <c r="B186" s="70">
        <v>1.26</v>
      </c>
      <c r="C186" s="67">
        <v>1.62</v>
      </c>
      <c r="D186" s="72">
        <f t="shared" si="50"/>
        <v>2.0412000000000003</v>
      </c>
      <c r="F186" s="70">
        <v>3.42</v>
      </c>
      <c r="G186" s="67">
        <v>1.65</v>
      </c>
      <c r="H186" s="72">
        <f t="shared" si="48"/>
        <v>5.6429999999999998</v>
      </c>
      <c r="J186" s="70">
        <v>1.08</v>
      </c>
      <c r="K186" s="67">
        <v>1.575</v>
      </c>
      <c r="L186" s="72">
        <f t="shared" si="51"/>
        <v>1.7010000000000001</v>
      </c>
      <c r="N186" s="70">
        <v>0.8</v>
      </c>
      <c r="O186" s="67">
        <v>1.75</v>
      </c>
      <c r="P186" s="72">
        <f t="shared" si="52"/>
        <v>1.4000000000000001</v>
      </c>
      <c r="R186" s="63" t="s">
        <v>323</v>
      </c>
      <c r="S186" s="70">
        <v>1.26</v>
      </c>
      <c r="T186" s="67">
        <v>1.62</v>
      </c>
      <c r="U186" s="72">
        <f t="shared" si="53"/>
        <v>2.0412000000000003</v>
      </c>
      <c r="W186" s="70">
        <v>3.42</v>
      </c>
      <c r="X186" s="67">
        <v>1.65</v>
      </c>
      <c r="Y186" s="72">
        <f t="shared" si="49"/>
        <v>5.6429999999999998</v>
      </c>
      <c r="AA186" s="70">
        <v>1.08</v>
      </c>
      <c r="AB186" s="67">
        <v>1.575</v>
      </c>
      <c r="AC186" s="72">
        <f t="shared" si="54"/>
        <v>1.7010000000000001</v>
      </c>
      <c r="AE186" s="70">
        <v>0.8</v>
      </c>
      <c r="AF186" s="67">
        <v>1.75</v>
      </c>
      <c r="AG186" s="72">
        <f t="shared" si="55"/>
        <v>1.4000000000000001</v>
      </c>
    </row>
    <row r="187" spans="1:33" x14ac:dyDescent="0.3">
      <c r="A187" s="63" t="s">
        <v>324</v>
      </c>
      <c r="B187" s="70">
        <v>1.67</v>
      </c>
      <c r="C187" s="67">
        <v>1.05</v>
      </c>
      <c r="D187" s="72">
        <f t="shared" si="50"/>
        <v>1.7535000000000001</v>
      </c>
      <c r="F187" s="70">
        <v>1.63</v>
      </c>
      <c r="G187" s="67">
        <v>1.665</v>
      </c>
      <c r="H187" s="72">
        <f t="shared" si="48"/>
        <v>2.7139500000000001</v>
      </c>
      <c r="J187" s="70">
        <v>1.67</v>
      </c>
      <c r="K187" s="67">
        <v>1.05</v>
      </c>
      <c r="L187" s="72">
        <f t="shared" si="51"/>
        <v>1.7535000000000001</v>
      </c>
      <c r="N187" s="70"/>
      <c r="O187" s="67"/>
      <c r="P187" s="72">
        <f t="shared" si="52"/>
        <v>0</v>
      </c>
      <c r="R187" s="63" t="s">
        <v>324</v>
      </c>
      <c r="S187" s="70">
        <v>1.67</v>
      </c>
      <c r="T187" s="67">
        <v>1.05</v>
      </c>
      <c r="U187" s="72">
        <f t="shared" si="53"/>
        <v>1.7535000000000001</v>
      </c>
      <c r="W187" s="70">
        <v>1.63</v>
      </c>
      <c r="X187" s="67">
        <v>1.665</v>
      </c>
      <c r="Y187" s="72">
        <f t="shared" si="49"/>
        <v>2.7139500000000001</v>
      </c>
      <c r="AA187" s="70">
        <v>1.67</v>
      </c>
      <c r="AB187" s="67">
        <v>1.05</v>
      </c>
      <c r="AC187" s="72">
        <f t="shared" si="54"/>
        <v>1.7535000000000001</v>
      </c>
      <c r="AE187" s="70"/>
      <c r="AF187" s="67"/>
      <c r="AG187" s="72">
        <f t="shared" si="55"/>
        <v>0</v>
      </c>
    </row>
    <row r="188" spans="1:33" x14ac:dyDescent="0.3">
      <c r="A188" s="63" t="s">
        <v>325</v>
      </c>
      <c r="B188" s="70">
        <v>1.8</v>
      </c>
      <c r="C188" s="67">
        <v>4.8</v>
      </c>
      <c r="D188" s="72">
        <f t="shared" si="50"/>
        <v>8.64</v>
      </c>
      <c r="F188" s="70">
        <v>1.8</v>
      </c>
      <c r="G188" s="67">
        <v>1.2</v>
      </c>
      <c r="H188" s="72">
        <f t="shared" si="48"/>
        <v>2.16</v>
      </c>
      <c r="J188" s="70">
        <v>0</v>
      </c>
      <c r="K188" s="67">
        <v>0</v>
      </c>
      <c r="L188" s="72">
        <f t="shared" si="51"/>
        <v>0</v>
      </c>
      <c r="N188" s="70"/>
      <c r="O188" s="67"/>
      <c r="P188" s="72">
        <f t="shared" si="52"/>
        <v>0</v>
      </c>
      <c r="R188" s="63" t="s">
        <v>325</v>
      </c>
      <c r="S188" s="70">
        <v>1.8</v>
      </c>
      <c r="T188" s="67">
        <v>4.8</v>
      </c>
      <c r="U188" s="72">
        <f t="shared" si="53"/>
        <v>8.64</v>
      </c>
      <c r="W188" s="70">
        <v>1.8</v>
      </c>
      <c r="X188" s="67">
        <v>1.2</v>
      </c>
      <c r="Y188" s="72">
        <f t="shared" si="49"/>
        <v>2.16</v>
      </c>
      <c r="AA188" s="70">
        <v>2</v>
      </c>
      <c r="AB188" s="67">
        <v>4.8</v>
      </c>
      <c r="AC188" s="72">
        <f t="shared" si="54"/>
        <v>9.6</v>
      </c>
      <c r="AE188" s="70"/>
      <c r="AF188" s="67"/>
      <c r="AG188" s="72">
        <f t="shared" si="55"/>
        <v>0</v>
      </c>
    </row>
    <row r="189" spans="1:33" x14ac:dyDescent="0.3">
      <c r="A189" s="63" t="s">
        <v>330</v>
      </c>
      <c r="B189" s="70"/>
      <c r="C189" s="67"/>
      <c r="D189" s="72">
        <f t="shared" si="50"/>
        <v>0</v>
      </c>
      <c r="F189" s="70">
        <v>1.05</v>
      </c>
      <c r="G189" s="67">
        <v>0.6</v>
      </c>
      <c r="H189" s="72">
        <f t="shared" si="48"/>
        <v>0.63</v>
      </c>
      <c r="J189" s="70"/>
      <c r="K189" s="67"/>
      <c r="L189" s="72">
        <f t="shared" si="51"/>
        <v>0</v>
      </c>
      <c r="N189" s="70"/>
      <c r="O189" s="67"/>
      <c r="P189" s="72">
        <f t="shared" si="52"/>
        <v>0</v>
      </c>
      <c r="R189" s="63" t="s">
        <v>330</v>
      </c>
      <c r="S189" s="70"/>
      <c r="T189" s="67"/>
      <c r="U189" s="72">
        <f t="shared" si="53"/>
        <v>0</v>
      </c>
      <c r="W189" s="70">
        <v>1.05</v>
      </c>
      <c r="X189" s="67">
        <v>0.6</v>
      </c>
      <c r="Y189" s="72">
        <f t="shared" si="49"/>
        <v>0.63</v>
      </c>
      <c r="AA189" s="70"/>
      <c r="AB189" s="67"/>
      <c r="AC189" s="72">
        <f t="shared" si="54"/>
        <v>0</v>
      </c>
      <c r="AE189" s="70"/>
      <c r="AF189" s="67"/>
      <c r="AG189" s="72">
        <f t="shared" si="55"/>
        <v>0</v>
      </c>
    </row>
    <row r="190" spans="1:33" x14ac:dyDescent="0.3">
      <c r="A190" s="63" t="s">
        <v>334</v>
      </c>
      <c r="B190" s="70"/>
      <c r="C190" s="67"/>
      <c r="D190" s="72">
        <f t="shared" si="50"/>
        <v>0</v>
      </c>
      <c r="F190" s="70">
        <v>3.8</v>
      </c>
      <c r="G190" s="67">
        <v>2.0499999999999998</v>
      </c>
      <c r="H190" s="72">
        <f t="shared" si="48"/>
        <v>7.7899999999999991</v>
      </c>
      <c r="J190" s="70"/>
      <c r="K190" s="67"/>
      <c r="L190" s="72">
        <f t="shared" si="51"/>
        <v>0</v>
      </c>
      <c r="N190" s="70"/>
      <c r="O190" s="67"/>
      <c r="P190" s="72">
        <f t="shared" si="52"/>
        <v>0</v>
      </c>
      <c r="R190" s="63" t="s">
        <v>334</v>
      </c>
      <c r="S190" s="70"/>
      <c r="T190" s="67"/>
      <c r="U190" s="72">
        <f t="shared" si="53"/>
        <v>0</v>
      </c>
      <c r="W190" s="70">
        <v>3.8</v>
      </c>
      <c r="X190" s="67">
        <v>2.0499999999999998</v>
      </c>
      <c r="Y190" s="72">
        <f t="shared" si="49"/>
        <v>7.7899999999999991</v>
      </c>
      <c r="AA190" s="70"/>
      <c r="AB190" s="67"/>
      <c r="AC190" s="72">
        <f t="shared" si="54"/>
        <v>0</v>
      </c>
      <c r="AE190" s="70"/>
      <c r="AF190" s="67"/>
      <c r="AG190" s="72">
        <f t="shared" si="55"/>
        <v>0</v>
      </c>
    </row>
    <row r="191" spans="1:33" x14ac:dyDescent="0.3">
      <c r="A191" s="64" t="s">
        <v>332</v>
      </c>
      <c r="B191" s="70">
        <v>6.6</v>
      </c>
      <c r="C191" s="67">
        <v>2.15</v>
      </c>
      <c r="D191" s="72">
        <f t="shared" si="50"/>
        <v>14.19</v>
      </c>
      <c r="F191" s="70">
        <v>5.75</v>
      </c>
      <c r="G191" s="67">
        <v>2.91</v>
      </c>
      <c r="H191" s="72">
        <f t="shared" si="48"/>
        <v>16.732500000000002</v>
      </c>
      <c r="J191" s="70">
        <v>6.6</v>
      </c>
      <c r="K191" s="67">
        <v>2.2050000000000001</v>
      </c>
      <c r="L191" s="72">
        <f t="shared" si="51"/>
        <v>14.552999999999999</v>
      </c>
      <c r="N191" s="70">
        <v>5.75</v>
      </c>
      <c r="O191" s="67">
        <v>3</v>
      </c>
      <c r="P191" s="72">
        <f t="shared" si="52"/>
        <v>17.25</v>
      </c>
      <c r="R191" s="64" t="s">
        <v>332</v>
      </c>
      <c r="S191" s="70">
        <v>6.6</v>
      </c>
      <c r="T191" s="67">
        <v>2.15</v>
      </c>
      <c r="U191" s="72">
        <f t="shared" si="53"/>
        <v>14.19</v>
      </c>
      <c r="W191" s="70">
        <v>5.75</v>
      </c>
      <c r="X191" s="67">
        <v>2.91</v>
      </c>
      <c r="Y191" s="72">
        <f t="shared" si="49"/>
        <v>16.732500000000002</v>
      </c>
      <c r="AA191" s="70">
        <v>6.6</v>
      </c>
      <c r="AB191" s="67">
        <v>2.2050000000000001</v>
      </c>
      <c r="AC191" s="72">
        <f t="shared" si="54"/>
        <v>14.552999999999999</v>
      </c>
      <c r="AE191" s="70">
        <v>5.75</v>
      </c>
      <c r="AF191" s="67">
        <v>3</v>
      </c>
      <c r="AG191" s="72">
        <f t="shared" si="55"/>
        <v>17.25</v>
      </c>
    </row>
    <row r="192" spans="1:33" ht="28.8" x14ac:dyDescent="0.3">
      <c r="A192" s="64" t="s">
        <v>333</v>
      </c>
      <c r="B192" s="70">
        <f>1.36+0.8</f>
        <v>2.16</v>
      </c>
      <c r="C192" s="67">
        <f>2.41+1.38</f>
        <v>3.79</v>
      </c>
      <c r="D192" s="72">
        <f t="shared" si="50"/>
        <v>8.1864000000000008</v>
      </c>
      <c r="F192" s="70">
        <v>2.0499999999999998</v>
      </c>
      <c r="G192" s="67">
        <v>1.89</v>
      </c>
      <c r="H192" s="72">
        <f t="shared" si="48"/>
        <v>3.8744999999999994</v>
      </c>
      <c r="J192" s="70">
        <f>1.36+0.8</f>
        <v>2.16</v>
      </c>
      <c r="K192" s="67">
        <f>2.195+1.325</f>
        <v>3.5199999999999996</v>
      </c>
      <c r="L192" s="72">
        <f t="shared" si="51"/>
        <v>7.6031999999999993</v>
      </c>
      <c r="N192" s="70">
        <f>1.7+0.7</f>
        <v>2.4</v>
      </c>
      <c r="O192" s="67">
        <f>1.525+1.8</f>
        <v>3.3250000000000002</v>
      </c>
      <c r="P192" s="72">
        <f t="shared" si="52"/>
        <v>7.98</v>
      </c>
      <c r="R192" s="64" t="s">
        <v>333</v>
      </c>
      <c r="S192" s="70">
        <f>1.36+0.8</f>
        <v>2.16</v>
      </c>
      <c r="T192" s="67">
        <f>2.41+1.38</f>
        <v>3.79</v>
      </c>
      <c r="U192" s="72">
        <f t="shared" si="53"/>
        <v>8.1864000000000008</v>
      </c>
      <c r="W192" s="70">
        <v>2.0499999999999998</v>
      </c>
      <c r="X192" s="67">
        <v>1.89</v>
      </c>
      <c r="Y192" s="72">
        <f t="shared" si="49"/>
        <v>3.8744999999999994</v>
      </c>
      <c r="AA192" s="70">
        <f>1.36+0.8</f>
        <v>2.16</v>
      </c>
      <c r="AB192" s="67">
        <f>2.195+1.325</f>
        <v>3.5199999999999996</v>
      </c>
      <c r="AC192" s="72">
        <f t="shared" si="54"/>
        <v>7.6031999999999993</v>
      </c>
      <c r="AE192" s="70">
        <f>1.7+0.7</f>
        <v>2.4</v>
      </c>
      <c r="AF192" s="67">
        <f>1.525+1.8</f>
        <v>3.3250000000000002</v>
      </c>
      <c r="AG192" s="72">
        <f t="shared" si="55"/>
        <v>7.98</v>
      </c>
    </row>
    <row r="193" spans="1:33" ht="28.8" x14ac:dyDescent="0.3">
      <c r="A193" s="64" t="s">
        <v>326</v>
      </c>
      <c r="B193" s="70">
        <v>1.45</v>
      </c>
      <c r="C193" s="67">
        <v>1.22</v>
      </c>
      <c r="D193" s="72">
        <f t="shared" si="50"/>
        <v>1.7689999999999999</v>
      </c>
      <c r="F193" s="70">
        <v>1</v>
      </c>
      <c r="G193" s="67">
        <v>1.37</v>
      </c>
      <c r="H193" s="72">
        <f t="shared" si="48"/>
        <v>1.37</v>
      </c>
      <c r="J193" s="70">
        <v>1.45</v>
      </c>
      <c r="K193" s="67">
        <v>1.22</v>
      </c>
      <c r="L193" s="72">
        <f t="shared" si="51"/>
        <v>1.7689999999999999</v>
      </c>
      <c r="N193" s="70">
        <v>1.635</v>
      </c>
      <c r="O193" s="67">
        <v>1.1140000000000001</v>
      </c>
      <c r="P193" s="72">
        <f t="shared" si="52"/>
        <v>1.8213900000000001</v>
      </c>
      <c r="R193" s="64" t="s">
        <v>326</v>
      </c>
      <c r="S193" s="70">
        <v>1.45</v>
      </c>
      <c r="T193" s="67">
        <v>1.22</v>
      </c>
      <c r="U193" s="72">
        <f t="shared" si="53"/>
        <v>1.7689999999999999</v>
      </c>
      <c r="W193" s="70">
        <v>1</v>
      </c>
      <c r="X193" s="67">
        <v>1.37</v>
      </c>
      <c r="Y193" s="72">
        <f t="shared" si="49"/>
        <v>1.37</v>
      </c>
      <c r="AA193" s="70">
        <v>1.45</v>
      </c>
      <c r="AB193" s="67">
        <v>1.22</v>
      </c>
      <c r="AC193" s="72">
        <f t="shared" si="54"/>
        <v>1.7689999999999999</v>
      </c>
      <c r="AE193" s="70">
        <v>1.635</v>
      </c>
      <c r="AF193" s="67">
        <v>1.1140000000000001</v>
      </c>
      <c r="AG193" s="72">
        <f t="shared" si="55"/>
        <v>1.8213900000000001</v>
      </c>
    </row>
    <row r="194" spans="1:33" ht="15" thickBot="1" x14ac:dyDescent="0.35">
      <c r="A194" s="63" t="s">
        <v>327</v>
      </c>
      <c r="B194" s="73">
        <v>1.45</v>
      </c>
      <c r="C194" s="74">
        <v>2.41</v>
      </c>
      <c r="D194" s="75">
        <f t="shared" si="50"/>
        <v>3.4944999999999999</v>
      </c>
      <c r="F194" s="73">
        <v>1.5</v>
      </c>
      <c r="G194" s="74">
        <v>2.12</v>
      </c>
      <c r="H194" s="75">
        <f t="shared" si="48"/>
        <v>3.18</v>
      </c>
      <c r="J194" s="73">
        <v>1.45</v>
      </c>
      <c r="K194" s="74">
        <v>2.1949999999999998</v>
      </c>
      <c r="L194" s="75">
        <f t="shared" si="51"/>
        <v>3.1827499999999995</v>
      </c>
      <c r="N194" s="73">
        <v>1.7</v>
      </c>
      <c r="O194" s="74">
        <v>1.5249999999999999</v>
      </c>
      <c r="P194" s="75">
        <f t="shared" si="52"/>
        <v>2.5924999999999998</v>
      </c>
      <c r="R194" s="63" t="s">
        <v>327</v>
      </c>
      <c r="S194" s="73">
        <v>1.45</v>
      </c>
      <c r="T194" s="74">
        <v>2.41</v>
      </c>
      <c r="U194" s="75">
        <f t="shared" si="53"/>
        <v>3.4944999999999999</v>
      </c>
      <c r="W194" s="73">
        <v>1.5</v>
      </c>
      <c r="X194" s="74">
        <v>2.12</v>
      </c>
      <c r="Y194" s="75">
        <f t="shared" si="49"/>
        <v>3.18</v>
      </c>
      <c r="AA194" s="73">
        <v>1.45</v>
      </c>
      <c r="AB194" s="74">
        <v>2.1949999999999998</v>
      </c>
      <c r="AC194" s="75">
        <f t="shared" si="54"/>
        <v>3.1827499999999995</v>
      </c>
      <c r="AE194" s="73">
        <v>1.7</v>
      </c>
      <c r="AF194" s="74">
        <v>1.5249999999999999</v>
      </c>
      <c r="AG194" s="75">
        <f t="shared" si="55"/>
        <v>2.5924999999999998</v>
      </c>
    </row>
    <row r="195" spans="1:33" ht="15" thickBot="1" x14ac:dyDescent="0.35">
      <c r="A195" s="65" t="s">
        <v>328</v>
      </c>
      <c r="B195" s="223">
        <f>SUM(D172:D194)</f>
        <v>208.68019999999999</v>
      </c>
      <c r="C195" s="224"/>
      <c r="D195" s="225"/>
      <c r="F195" s="223">
        <f>SUM(H172:H194)</f>
        <v>194.51715000000007</v>
      </c>
      <c r="G195" s="224"/>
      <c r="H195" s="225"/>
      <c r="I195" s="66"/>
      <c r="J195" s="229">
        <f>SUM(L172:L194)</f>
        <v>198.50224999999995</v>
      </c>
      <c r="K195" s="230"/>
      <c r="L195" s="231"/>
      <c r="N195" s="73">
        <v>5.3</v>
      </c>
      <c r="O195" s="74">
        <v>1.83</v>
      </c>
      <c r="P195" s="75">
        <f t="shared" si="52"/>
        <v>9.6989999999999998</v>
      </c>
      <c r="R195" s="65" t="s">
        <v>328</v>
      </c>
      <c r="S195" s="223">
        <f>SUM(U172:U194)+(8.89*1.83)</f>
        <v>224.94889999999998</v>
      </c>
      <c r="T195" s="224"/>
      <c r="U195" s="225"/>
      <c r="W195" s="223">
        <f>SUM(Y172:Y194)+5.3*1.83</f>
        <v>204.21615000000008</v>
      </c>
      <c r="X195" s="224"/>
      <c r="Y195" s="225"/>
      <c r="Z195" s="66"/>
      <c r="AA195" s="229">
        <f>SUM(AC172:AC194)+8.89*1.83</f>
        <v>224.37094999999994</v>
      </c>
      <c r="AB195" s="230"/>
      <c r="AC195" s="231"/>
      <c r="AE195" s="73">
        <v>5.3</v>
      </c>
      <c r="AF195" s="74">
        <v>1.83</v>
      </c>
      <c r="AG195" s="75">
        <f t="shared" si="55"/>
        <v>9.6989999999999998</v>
      </c>
    </row>
    <row r="196" spans="1:33" ht="15" thickBot="1" x14ac:dyDescent="0.35">
      <c r="N196" s="223">
        <f>SUM(P172:P195)</f>
        <v>193.95959000000008</v>
      </c>
      <c r="O196" s="224"/>
      <c r="P196" s="225"/>
      <c r="AE196" s="223">
        <f>SUM(AG172:AG195)</f>
        <v>193.95959000000008</v>
      </c>
      <c r="AF196" s="224"/>
      <c r="AG196" s="225"/>
    </row>
    <row r="197" spans="1:33" ht="15" thickBot="1" x14ac:dyDescent="0.35">
      <c r="A197" s="226" t="s">
        <v>364</v>
      </c>
      <c r="B197" s="226"/>
      <c r="F197" s="226" t="s">
        <v>365</v>
      </c>
      <c r="G197" s="226"/>
      <c r="J197" s="226" t="s">
        <v>366</v>
      </c>
      <c r="K197" s="226"/>
      <c r="R197" s="226" t="s">
        <v>367</v>
      </c>
      <c r="S197" s="226"/>
      <c r="T197" s="226"/>
      <c r="U197" s="226"/>
      <c r="AA197" s="226" t="s">
        <v>368</v>
      </c>
      <c r="AB197" s="226"/>
      <c r="AC197" s="226"/>
      <c r="AD197" s="226"/>
    </row>
    <row r="198" spans="1:33" x14ac:dyDescent="0.3">
      <c r="A198" s="63" t="s">
        <v>309</v>
      </c>
      <c r="B198" s="221">
        <v>1</v>
      </c>
      <c r="C198" s="222"/>
      <c r="D198" s="69" t="s">
        <v>329</v>
      </c>
      <c r="F198" s="227">
        <v>2</v>
      </c>
      <c r="G198" s="228"/>
      <c r="H198" s="69" t="s">
        <v>329</v>
      </c>
      <c r="J198" s="227">
        <v>3</v>
      </c>
      <c r="K198" s="228"/>
      <c r="L198" s="69" t="s">
        <v>329</v>
      </c>
      <c r="N198" s="221">
        <v>4</v>
      </c>
      <c r="O198" s="222"/>
      <c r="P198" s="69" t="s">
        <v>329</v>
      </c>
      <c r="R198" s="63" t="s">
        <v>309</v>
      </c>
      <c r="S198" s="221">
        <v>1</v>
      </c>
      <c r="T198" s="222"/>
      <c r="U198" s="69" t="s">
        <v>329</v>
      </c>
      <c r="W198" s="227">
        <v>2</v>
      </c>
      <c r="X198" s="228"/>
      <c r="Y198" s="69" t="s">
        <v>329</v>
      </c>
      <c r="AA198" s="227">
        <v>3</v>
      </c>
      <c r="AB198" s="228"/>
      <c r="AC198" s="69" t="s">
        <v>329</v>
      </c>
      <c r="AE198" s="221">
        <v>4</v>
      </c>
      <c r="AF198" s="222"/>
      <c r="AG198" s="69" t="s">
        <v>329</v>
      </c>
    </row>
    <row r="199" spans="1:33" x14ac:dyDescent="0.3">
      <c r="A199" s="63" t="s">
        <v>310</v>
      </c>
      <c r="B199" s="70">
        <v>8.75</v>
      </c>
      <c r="C199" s="67">
        <v>5.85</v>
      </c>
      <c r="D199" s="71">
        <f>B199*C199</f>
        <v>51.1875</v>
      </c>
      <c r="F199" s="70">
        <v>5.3</v>
      </c>
      <c r="G199" s="67">
        <v>5.05</v>
      </c>
      <c r="H199" s="71">
        <f t="shared" ref="H199:H221" si="56">F199*G199</f>
        <v>26.764999999999997</v>
      </c>
      <c r="J199" s="70">
        <v>8.75</v>
      </c>
      <c r="K199" s="67">
        <v>6.1870000000000003</v>
      </c>
      <c r="L199" s="71">
        <f>J199*K199</f>
        <v>54.136250000000004</v>
      </c>
      <c r="N199" s="70">
        <v>5.3</v>
      </c>
      <c r="O199" s="67">
        <v>7.0750000000000002</v>
      </c>
      <c r="P199" s="71">
        <f>N199*O199</f>
        <v>37.497500000000002</v>
      </c>
      <c r="R199" s="63" t="s">
        <v>310</v>
      </c>
      <c r="S199" s="70">
        <v>8.75</v>
      </c>
      <c r="T199" s="67">
        <v>5.85</v>
      </c>
      <c r="U199" s="71">
        <f>S199*T199</f>
        <v>51.1875</v>
      </c>
      <c r="W199" s="70">
        <v>5.3</v>
      </c>
      <c r="X199" s="67">
        <v>5.05</v>
      </c>
      <c r="Y199" s="71">
        <f t="shared" ref="Y199:Y221" si="57">W199*X199</f>
        <v>26.764999999999997</v>
      </c>
      <c r="AA199" s="70">
        <v>8.75</v>
      </c>
      <c r="AB199" s="67">
        <v>6.1870000000000003</v>
      </c>
      <c r="AC199" s="71">
        <f>AA199*AB199</f>
        <v>54.136250000000004</v>
      </c>
      <c r="AE199" s="70">
        <v>5.3</v>
      </c>
      <c r="AF199" s="67">
        <v>7.0750000000000002</v>
      </c>
      <c r="AG199" s="71">
        <f>AE199*AF199</f>
        <v>37.497500000000002</v>
      </c>
    </row>
    <row r="200" spans="1:33" x14ac:dyDescent="0.3">
      <c r="A200" s="63" t="s">
        <v>311</v>
      </c>
      <c r="B200" s="70">
        <v>2.74</v>
      </c>
      <c r="C200" s="67">
        <v>3.73</v>
      </c>
      <c r="D200" s="71">
        <f t="shared" ref="D200:D221" si="58">B200*C200</f>
        <v>10.2202</v>
      </c>
      <c r="F200" s="70">
        <f>4.3+2+1.6</f>
        <v>7.9</v>
      </c>
      <c r="G200" s="67">
        <f>1.5+1.2+0.5</f>
        <v>3.2</v>
      </c>
      <c r="H200" s="71">
        <f t="shared" si="56"/>
        <v>25.28</v>
      </c>
      <c r="J200" s="70">
        <v>2.74</v>
      </c>
      <c r="K200" s="67">
        <v>3.5150000000000001</v>
      </c>
      <c r="L200" s="71">
        <f t="shared" ref="L200:L221" si="59">J200*K200</f>
        <v>9.6311000000000018</v>
      </c>
      <c r="N200" s="70">
        <v>4.25</v>
      </c>
      <c r="O200" s="67">
        <v>3.43</v>
      </c>
      <c r="P200" s="71">
        <f t="shared" ref="P200:P222" si="60">N200*O200</f>
        <v>14.577500000000001</v>
      </c>
      <c r="R200" s="63" t="s">
        <v>311</v>
      </c>
      <c r="S200" s="70">
        <v>2.74</v>
      </c>
      <c r="T200" s="67">
        <v>3.73</v>
      </c>
      <c r="U200" s="71">
        <f t="shared" ref="U200:U221" si="61">S200*T200</f>
        <v>10.2202</v>
      </c>
      <c r="W200" s="70">
        <f>4.3+2+1.6</f>
        <v>7.9</v>
      </c>
      <c r="X200" s="67">
        <f>1.5+1.2+0.5</f>
        <v>3.2</v>
      </c>
      <c r="Y200" s="71">
        <f t="shared" si="57"/>
        <v>25.28</v>
      </c>
      <c r="AA200" s="70">
        <v>2.74</v>
      </c>
      <c r="AB200" s="67">
        <v>3.5150000000000001</v>
      </c>
      <c r="AC200" s="71">
        <f t="shared" ref="AC200:AC221" si="62">AA200*AB200</f>
        <v>9.6311000000000018</v>
      </c>
      <c r="AE200" s="70">
        <v>4.25</v>
      </c>
      <c r="AF200" s="67">
        <v>3.43</v>
      </c>
      <c r="AG200" s="71">
        <f t="shared" ref="AG200:AG222" si="63">AE200*AF200</f>
        <v>14.577500000000001</v>
      </c>
    </row>
    <row r="201" spans="1:33" x14ac:dyDescent="0.3">
      <c r="A201" s="63" t="s">
        <v>312</v>
      </c>
      <c r="B201" s="70">
        <v>3.53</v>
      </c>
      <c r="C201" s="67">
        <v>4.55</v>
      </c>
      <c r="D201" s="71">
        <f t="shared" si="58"/>
        <v>16.061499999999999</v>
      </c>
      <c r="F201" s="70">
        <v>3.5</v>
      </c>
      <c r="G201" s="67">
        <v>5.19</v>
      </c>
      <c r="H201" s="71">
        <f t="shared" si="56"/>
        <v>18.165000000000003</v>
      </c>
      <c r="J201" s="70">
        <v>3.35</v>
      </c>
      <c r="K201" s="67">
        <v>4.8869999999999996</v>
      </c>
      <c r="L201" s="71">
        <f t="shared" si="59"/>
        <v>16.371449999999999</v>
      </c>
      <c r="N201" s="70">
        <v>3.5</v>
      </c>
      <c r="O201" s="67">
        <v>5.4249999999999998</v>
      </c>
      <c r="P201" s="71">
        <f t="shared" si="60"/>
        <v>18.987500000000001</v>
      </c>
      <c r="R201" s="63" t="s">
        <v>312</v>
      </c>
      <c r="S201" s="70">
        <v>3.53</v>
      </c>
      <c r="T201" s="67">
        <v>4.55</v>
      </c>
      <c r="U201" s="71">
        <f t="shared" si="61"/>
        <v>16.061499999999999</v>
      </c>
      <c r="W201" s="70">
        <v>3.5</v>
      </c>
      <c r="X201" s="67">
        <v>5.19</v>
      </c>
      <c r="Y201" s="71">
        <f t="shared" si="57"/>
        <v>18.165000000000003</v>
      </c>
      <c r="AA201" s="70">
        <v>3.35</v>
      </c>
      <c r="AB201" s="67">
        <v>4.8869999999999996</v>
      </c>
      <c r="AC201" s="71">
        <f t="shared" si="62"/>
        <v>16.371449999999999</v>
      </c>
      <c r="AE201" s="70">
        <v>3.5</v>
      </c>
      <c r="AF201" s="67">
        <v>5.4249999999999998</v>
      </c>
      <c r="AG201" s="71">
        <f t="shared" si="63"/>
        <v>18.987500000000001</v>
      </c>
    </row>
    <row r="202" spans="1:33" x14ac:dyDescent="0.3">
      <c r="A202" s="63" t="s">
        <v>313</v>
      </c>
      <c r="B202" s="70">
        <v>3.95</v>
      </c>
      <c r="C202" s="67">
        <v>4.5</v>
      </c>
      <c r="D202" s="72">
        <f t="shared" si="58"/>
        <v>17.775000000000002</v>
      </c>
      <c r="F202" s="70">
        <v>3.4</v>
      </c>
      <c r="G202" s="67">
        <v>3.95</v>
      </c>
      <c r="H202" s="72">
        <f t="shared" si="56"/>
        <v>13.43</v>
      </c>
      <c r="J202" s="70">
        <v>3.35</v>
      </c>
      <c r="K202" s="67">
        <v>4.5549999999999997</v>
      </c>
      <c r="L202" s="72">
        <f t="shared" si="59"/>
        <v>15.25925</v>
      </c>
      <c r="N202" s="70">
        <v>3.38</v>
      </c>
      <c r="O202" s="67">
        <v>5</v>
      </c>
      <c r="P202" s="72">
        <f t="shared" si="60"/>
        <v>16.899999999999999</v>
      </c>
      <c r="R202" s="63" t="s">
        <v>313</v>
      </c>
      <c r="S202" s="70">
        <v>3.95</v>
      </c>
      <c r="T202" s="67">
        <v>4.5</v>
      </c>
      <c r="U202" s="72">
        <f t="shared" si="61"/>
        <v>17.775000000000002</v>
      </c>
      <c r="W202" s="70">
        <v>3.4</v>
      </c>
      <c r="X202" s="67">
        <v>3.95</v>
      </c>
      <c r="Y202" s="72">
        <f t="shared" si="57"/>
        <v>13.43</v>
      </c>
      <c r="AA202" s="70">
        <v>3.35</v>
      </c>
      <c r="AB202" s="67">
        <v>4.5549999999999997</v>
      </c>
      <c r="AC202" s="72">
        <f t="shared" si="62"/>
        <v>15.25925</v>
      </c>
      <c r="AE202" s="70">
        <v>3.38</v>
      </c>
      <c r="AF202" s="67">
        <v>5</v>
      </c>
      <c r="AG202" s="72">
        <f t="shared" si="63"/>
        <v>16.899999999999999</v>
      </c>
    </row>
    <row r="203" spans="1:33" x14ac:dyDescent="0.3">
      <c r="A203" s="63" t="s">
        <v>314</v>
      </c>
      <c r="B203" s="70">
        <v>3.43</v>
      </c>
      <c r="C203" s="67">
        <v>4.75</v>
      </c>
      <c r="D203" s="72">
        <f t="shared" si="58"/>
        <v>16.2925</v>
      </c>
      <c r="F203" s="70">
        <v>3.37</v>
      </c>
      <c r="G203" s="67">
        <v>4.88</v>
      </c>
      <c r="H203" s="72">
        <f t="shared" si="56"/>
        <v>16.445599999999999</v>
      </c>
      <c r="J203" s="70">
        <v>3.33</v>
      </c>
      <c r="K203" s="67">
        <v>4.4050000000000002</v>
      </c>
      <c r="L203" s="72">
        <f t="shared" si="59"/>
        <v>14.668650000000001</v>
      </c>
      <c r="N203" s="70">
        <v>3.48</v>
      </c>
      <c r="O203" s="67">
        <v>4.4950000000000001</v>
      </c>
      <c r="P203" s="72">
        <f t="shared" si="60"/>
        <v>15.6426</v>
      </c>
      <c r="R203" s="63" t="s">
        <v>314</v>
      </c>
      <c r="S203" s="70">
        <v>3.43</v>
      </c>
      <c r="T203" s="67">
        <v>4.75</v>
      </c>
      <c r="U203" s="72">
        <f t="shared" si="61"/>
        <v>16.2925</v>
      </c>
      <c r="W203" s="70">
        <v>3.37</v>
      </c>
      <c r="X203" s="67">
        <v>4.88</v>
      </c>
      <c r="Y203" s="72">
        <f t="shared" si="57"/>
        <v>16.445599999999999</v>
      </c>
      <c r="AA203" s="70">
        <v>3.33</v>
      </c>
      <c r="AB203" s="67">
        <v>4.4050000000000002</v>
      </c>
      <c r="AC203" s="72">
        <f t="shared" si="62"/>
        <v>14.668650000000001</v>
      </c>
      <c r="AE203" s="70">
        <v>3.48</v>
      </c>
      <c r="AF203" s="67">
        <v>4.4950000000000001</v>
      </c>
      <c r="AG203" s="72">
        <f t="shared" si="63"/>
        <v>15.6426</v>
      </c>
    </row>
    <row r="204" spans="1:33" x14ac:dyDescent="0.3">
      <c r="A204" s="63" t="s">
        <v>315</v>
      </c>
      <c r="B204" s="70">
        <v>3.35</v>
      </c>
      <c r="C204" s="67">
        <v>4.4000000000000004</v>
      </c>
      <c r="D204" s="72">
        <f t="shared" si="58"/>
        <v>14.740000000000002</v>
      </c>
      <c r="F204" s="70">
        <v>3.62</v>
      </c>
      <c r="G204" s="67">
        <v>4.97</v>
      </c>
      <c r="H204" s="72">
        <f t="shared" si="56"/>
        <v>17.991399999999999</v>
      </c>
      <c r="J204" s="70">
        <v>3.33</v>
      </c>
      <c r="K204" s="67">
        <v>4.74</v>
      </c>
      <c r="L204" s="72">
        <f t="shared" si="59"/>
        <v>15.7842</v>
      </c>
      <c r="N204" s="70">
        <v>3.38</v>
      </c>
      <c r="O204" s="67">
        <v>4.4950000000000001</v>
      </c>
      <c r="P204" s="72">
        <f t="shared" si="60"/>
        <v>15.193099999999999</v>
      </c>
      <c r="R204" s="63" t="s">
        <v>315</v>
      </c>
      <c r="S204" s="70">
        <v>3.35</v>
      </c>
      <c r="T204" s="67">
        <v>4.4000000000000004</v>
      </c>
      <c r="U204" s="72">
        <f t="shared" si="61"/>
        <v>14.740000000000002</v>
      </c>
      <c r="W204" s="70">
        <v>3.62</v>
      </c>
      <c r="X204" s="67">
        <v>4.97</v>
      </c>
      <c r="Y204" s="72">
        <f t="shared" si="57"/>
        <v>17.991399999999999</v>
      </c>
      <c r="AA204" s="70">
        <v>3.33</v>
      </c>
      <c r="AB204" s="67">
        <v>4.74</v>
      </c>
      <c r="AC204" s="72">
        <f t="shared" si="62"/>
        <v>15.7842</v>
      </c>
      <c r="AE204" s="70">
        <v>3.38</v>
      </c>
      <c r="AF204" s="67">
        <v>4.4950000000000001</v>
      </c>
      <c r="AG204" s="72">
        <f t="shared" si="63"/>
        <v>15.193099999999999</v>
      </c>
    </row>
    <row r="205" spans="1:33" x14ac:dyDescent="0.3">
      <c r="A205" s="63" t="s">
        <v>317</v>
      </c>
      <c r="B205" s="70">
        <v>1.45</v>
      </c>
      <c r="C205" s="67">
        <v>1.22</v>
      </c>
      <c r="D205" s="72">
        <f t="shared" si="58"/>
        <v>1.7689999999999999</v>
      </c>
      <c r="F205" s="70">
        <v>1.38</v>
      </c>
      <c r="G205" s="67">
        <v>1.85</v>
      </c>
      <c r="H205" s="72">
        <f t="shared" si="56"/>
        <v>2.5529999999999999</v>
      </c>
      <c r="J205" s="70">
        <v>1.45</v>
      </c>
      <c r="K205" s="67">
        <v>1.22</v>
      </c>
      <c r="L205" s="72">
        <f t="shared" si="59"/>
        <v>1.7689999999999999</v>
      </c>
      <c r="N205" s="70">
        <v>1.22</v>
      </c>
      <c r="O205" s="67">
        <v>1.85</v>
      </c>
      <c r="P205" s="72">
        <f t="shared" si="60"/>
        <v>2.2570000000000001</v>
      </c>
      <c r="R205" s="63" t="s">
        <v>317</v>
      </c>
      <c r="S205" s="70">
        <v>1.45</v>
      </c>
      <c r="T205" s="67">
        <v>1.22</v>
      </c>
      <c r="U205" s="72">
        <f t="shared" si="61"/>
        <v>1.7689999999999999</v>
      </c>
      <c r="W205" s="70">
        <v>1.38</v>
      </c>
      <c r="X205" s="67">
        <v>1.85</v>
      </c>
      <c r="Y205" s="72">
        <f t="shared" si="57"/>
        <v>2.5529999999999999</v>
      </c>
      <c r="AA205" s="70">
        <v>1.45</v>
      </c>
      <c r="AB205" s="67">
        <v>1.22</v>
      </c>
      <c r="AC205" s="72">
        <f t="shared" si="62"/>
        <v>1.7689999999999999</v>
      </c>
      <c r="AE205" s="70">
        <v>1.22</v>
      </c>
      <c r="AF205" s="67">
        <v>1.85</v>
      </c>
      <c r="AG205" s="72">
        <f t="shared" si="63"/>
        <v>2.2570000000000001</v>
      </c>
    </row>
    <row r="206" spans="1:33" x14ac:dyDescent="0.3">
      <c r="A206" s="63" t="s">
        <v>316</v>
      </c>
      <c r="B206" s="70">
        <v>3.35</v>
      </c>
      <c r="C206" s="67">
        <v>1.83</v>
      </c>
      <c r="D206" s="72">
        <f t="shared" si="58"/>
        <v>6.1305000000000005</v>
      </c>
      <c r="F206" s="70">
        <v>2.73</v>
      </c>
      <c r="G206" s="67">
        <v>1.85</v>
      </c>
      <c r="H206" s="72">
        <f t="shared" si="56"/>
        <v>5.0505000000000004</v>
      </c>
      <c r="J206" s="70">
        <v>3.36</v>
      </c>
      <c r="K206" s="67">
        <v>1.83</v>
      </c>
      <c r="L206" s="72">
        <f t="shared" si="59"/>
        <v>6.1487999999999996</v>
      </c>
      <c r="N206" s="70">
        <v>2.75</v>
      </c>
      <c r="O206" s="67">
        <v>1.85</v>
      </c>
      <c r="P206" s="72">
        <f t="shared" si="60"/>
        <v>5.0875000000000004</v>
      </c>
      <c r="R206" s="63" t="s">
        <v>316</v>
      </c>
      <c r="S206" s="70">
        <v>3.35</v>
      </c>
      <c r="T206" s="67">
        <v>1.83</v>
      </c>
      <c r="U206" s="72">
        <f t="shared" si="61"/>
        <v>6.1305000000000005</v>
      </c>
      <c r="W206" s="70">
        <v>2.73</v>
      </c>
      <c r="X206" s="67">
        <v>1.85</v>
      </c>
      <c r="Y206" s="72">
        <f t="shared" si="57"/>
        <v>5.0505000000000004</v>
      </c>
      <c r="AA206" s="70">
        <v>3.36</v>
      </c>
      <c r="AB206" s="67">
        <v>1.83</v>
      </c>
      <c r="AC206" s="72">
        <f t="shared" si="62"/>
        <v>6.1487999999999996</v>
      </c>
      <c r="AE206" s="70">
        <v>2.75</v>
      </c>
      <c r="AF206" s="67">
        <v>1.85</v>
      </c>
      <c r="AG206" s="72">
        <f t="shared" si="63"/>
        <v>5.0875000000000004</v>
      </c>
    </row>
    <row r="207" spans="1:33" x14ac:dyDescent="0.3">
      <c r="A207" s="63" t="s">
        <v>318</v>
      </c>
      <c r="B207" s="70">
        <v>2.44</v>
      </c>
      <c r="C207" s="67">
        <v>1.52</v>
      </c>
      <c r="D207" s="72">
        <f t="shared" si="58"/>
        <v>3.7088000000000001</v>
      </c>
      <c r="F207" s="70">
        <v>2.44</v>
      </c>
      <c r="G207" s="67">
        <v>1.68</v>
      </c>
      <c r="H207" s="72">
        <f t="shared" si="56"/>
        <v>4.0991999999999997</v>
      </c>
      <c r="J207" s="70">
        <v>2.44</v>
      </c>
      <c r="K207" s="67">
        <v>1.575</v>
      </c>
      <c r="L207" s="72">
        <f t="shared" si="59"/>
        <v>3.843</v>
      </c>
      <c r="N207" s="70">
        <v>1.72</v>
      </c>
      <c r="O207" s="67">
        <v>2.44</v>
      </c>
      <c r="P207" s="72">
        <f t="shared" si="60"/>
        <v>4.1967999999999996</v>
      </c>
      <c r="R207" s="63" t="s">
        <v>318</v>
      </c>
      <c r="S207" s="70">
        <v>2.44</v>
      </c>
      <c r="T207" s="67">
        <v>1.52</v>
      </c>
      <c r="U207" s="72">
        <f t="shared" si="61"/>
        <v>3.7088000000000001</v>
      </c>
      <c r="W207" s="70">
        <v>2.44</v>
      </c>
      <c r="X207" s="67">
        <v>1.68</v>
      </c>
      <c r="Y207" s="72">
        <f t="shared" si="57"/>
        <v>4.0991999999999997</v>
      </c>
      <c r="AA207" s="70">
        <v>2.44</v>
      </c>
      <c r="AB207" s="67">
        <v>1.575</v>
      </c>
      <c r="AC207" s="72">
        <f t="shared" si="62"/>
        <v>3.843</v>
      </c>
      <c r="AE207" s="70">
        <v>1.72</v>
      </c>
      <c r="AF207" s="67">
        <v>2.44</v>
      </c>
      <c r="AG207" s="72">
        <f t="shared" si="63"/>
        <v>4.1967999999999996</v>
      </c>
    </row>
    <row r="208" spans="1:33" x14ac:dyDescent="0.3">
      <c r="A208" s="63" t="s">
        <v>319</v>
      </c>
      <c r="B208" s="70">
        <v>1.52</v>
      </c>
      <c r="C208" s="67">
        <v>2.44</v>
      </c>
      <c r="D208" s="72">
        <f t="shared" si="58"/>
        <v>3.7088000000000001</v>
      </c>
      <c r="F208" s="70">
        <v>1.68</v>
      </c>
      <c r="G208" s="67">
        <v>2.4500000000000002</v>
      </c>
      <c r="H208" s="72">
        <f t="shared" si="56"/>
        <v>4.1160000000000005</v>
      </c>
      <c r="J208" s="70">
        <v>1.52</v>
      </c>
      <c r="K208" s="67">
        <v>2.44</v>
      </c>
      <c r="L208" s="72">
        <f t="shared" si="59"/>
        <v>3.7088000000000001</v>
      </c>
      <c r="N208" s="70">
        <v>1.67</v>
      </c>
      <c r="O208" s="67">
        <v>2.62</v>
      </c>
      <c r="P208" s="72">
        <f t="shared" si="60"/>
        <v>4.3754</v>
      </c>
      <c r="R208" s="63" t="s">
        <v>319</v>
      </c>
      <c r="S208" s="70">
        <v>1.52</v>
      </c>
      <c r="T208" s="67">
        <v>2.44</v>
      </c>
      <c r="U208" s="72">
        <f t="shared" si="61"/>
        <v>3.7088000000000001</v>
      </c>
      <c r="W208" s="70">
        <v>1.68</v>
      </c>
      <c r="X208" s="67">
        <v>2.4500000000000002</v>
      </c>
      <c r="Y208" s="72">
        <f t="shared" si="57"/>
        <v>4.1160000000000005</v>
      </c>
      <c r="AA208" s="70">
        <v>1.52</v>
      </c>
      <c r="AB208" s="67">
        <v>2.44</v>
      </c>
      <c r="AC208" s="72">
        <f t="shared" si="62"/>
        <v>3.7088000000000001</v>
      </c>
      <c r="AE208" s="70">
        <v>1.67</v>
      </c>
      <c r="AF208" s="67">
        <v>2.62</v>
      </c>
      <c r="AG208" s="72">
        <f t="shared" si="63"/>
        <v>4.3754</v>
      </c>
    </row>
    <row r="209" spans="1:33" x14ac:dyDescent="0.3">
      <c r="A209" s="63" t="s">
        <v>320</v>
      </c>
      <c r="B209" s="70">
        <v>1.52</v>
      </c>
      <c r="C209" s="67">
        <v>2.44</v>
      </c>
      <c r="D209" s="72">
        <f t="shared" si="58"/>
        <v>3.7088000000000001</v>
      </c>
      <c r="F209" s="70">
        <v>1.53</v>
      </c>
      <c r="G209" s="67">
        <v>2.4500000000000002</v>
      </c>
      <c r="H209" s="72">
        <f t="shared" si="56"/>
        <v>3.7485000000000004</v>
      </c>
      <c r="J209" s="70">
        <v>1.52</v>
      </c>
      <c r="K209" s="67">
        <v>2.44</v>
      </c>
      <c r="L209" s="72">
        <f t="shared" si="59"/>
        <v>3.7088000000000001</v>
      </c>
      <c r="N209" s="70">
        <v>1.67</v>
      </c>
      <c r="O209" s="67">
        <v>2.62</v>
      </c>
      <c r="P209" s="72">
        <f t="shared" si="60"/>
        <v>4.3754</v>
      </c>
      <c r="R209" s="63" t="s">
        <v>320</v>
      </c>
      <c r="S209" s="70">
        <v>1.52</v>
      </c>
      <c r="T209" s="67">
        <v>2.44</v>
      </c>
      <c r="U209" s="72">
        <f t="shared" si="61"/>
        <v>3.7088000000000001</v>
      </c>
      <c r="W209" s="70">
        <v>1.53</v>
      </c>
      <c r="X209" s="67">
        <v>2.4500000000000002</v>
      </c>
      <c r="Y209" s="72">
        <f t="shared" si="57"/>
        <v>3.7485000000000004</v>
      </c>
      <c r="AA209" s="70">
        <v>1.52</v>
      </c>
      <c r="AB209" s="67">
        <v>2.44</v>
      </c>
      <c r="AC209" s="72">
        <f t="shared" si="62"/>
        <v>3.7088000000000001</v>
      </c>
      <c r="AE209" s="70">
        <v>1.67</v>
      </c>
      <c r="AF209" s="67">
        <v>2.62</v>
      </c>
      <c r="AG209" s="72">
        <f t="shared" si="63"/>
        <v>4.3754</v>
      </c>
    </row>
    <row r="210" spans="1:33" ht="28.8" x14ac:dyDescent="0.3">
      <c r="A210" s="76" t="s">
        <v>335</v>
      </c>
      <c r="B210" s="70">
        <v>4.05</v>
      </c>
      <c r="C210" s="67">
        <v>3.5</v>
      </c>
      <c r="D210" s="72">
        <f t="shared" si="58"/>
        <v>14.174999999999999</v>
      </c>
      <c r="F210" s="70">
        <v>2.17</v>
      </c>
      <c r="G210" s="67">
        <v>3.2</v>
      </c>
      <c r="H210" s="72">
        <f t="shared" si="56"/>
        <v>6.944</v>
      </c>
      <c r="J210" s="70">
        <v>4.03</v>
      </c>
      <c r="K210" s="67">
        <v>3.5649999999999999</v>
      </c>
      <c r="L210" s="72">
        <f t="shared" si="59"/>
        <v>14.366950000000001</v>
      </c>
      <c r="N210" s="70">
        <v>2.12</v>
      </c>
      <c r="O210" s="67">
        <v>3.22</v>
      </c>
      <c r="P210" s="72">
        <f t="shared" si="60"/>
        <v>6.8264000000000005</v>
      </c>
      <c r="R210" s="76" t="s">
        <v>335</v>
      </c>
      <c r="S210" s="70">
        <v>4.05</v>
      </c>
      <c r="T210" s="67">
        <v>3.5</v>
      </c>
      <c r="U210" s="72">
        <f t="shared" si="61"/>
        <v>14.174999999999999</v>
      </c>
      <c r="W210" s="70">
        <v>2.17</v>
      </c>
      <c r="X210" s="67">
        <v>3.2</v>
      </c>
      <c r="Y210" s="72">
        <f t="shared" si="57"/>
        <v>6.944</v>
      </c>
      <c r="AA210" s="70">
        <v>4.03</v>
      </c>
      <c r="AB210" s="67">
        <v>3.5649999999999999</v>
      </c>
      <c r="AC210" s="72">
        <f t="shared" si="62"/>
        <v>14.366950000000001</v>
      </c>
      <c r="AE210" s="70">
        <v>2.12</v>
      </c>
      <c r="AF210" s="67">
        <v>3.22</v>
      </c>
      <c r="AG210" s="72">
        <f t="shared" si="63"/>
        <v>6.8264000000000005</v>
      </c>
    </row>
    <row r="211" spans="1:33" x14ac:dyDescent="0.3">
      <c r="A211" s="63" t="s">
        <v>321</v>
      </c>
      <c r="B211" s="70">
        <v>1.75</v>
      </c>
      <c r="C211" s="67">
        <v>1.52</v>
      </c>
      <c r="D211" s="72">
        <f t="shared" si="58"/>
        <v>2.66</v>
      </c>
      <c r="F211" s="70">
        <v>3</v>
      </c>
      <c r="G211" s="67">
        <v>1</v>
      </c>
      <c r="H211" s="72">
        <f t="shared" si="56"/>
        <v>3</v>
      </c>
      <c r="J211" s="70">
        <v>1.91</v>
      </c>
      <c r="K211" s="67">
        <v>3.03</v>
      </c>
      <c r="L211" s="72">
        <f t="shared" si="59"/>
        <v>5.7872999999999992</v>
      </c>
      <c r="N211" s="70">
        <v>6.5</v>
      </c>
      <c r="O211" s="67">
        <v>1</v>
      </c>
      <c r="P211" s="72">
        <f t="shared" si="60"/>
        <v>6.5</v>
      </c>
      <c r="R211" s="63" t="s">
        <v>321</v>
      </c>
      <c r="S211" s="70">
        <v>1.75</v>
      </c>
      <c r="T211" s="67">
        <v>1.52</v>
      </c>
      <c r="U211" s="72">
        <f t="shared" si="61"/>
        <v>2.66</v>
      </c>
      <c r="W211" s="70">
        <v>3</v>
      </c>
      <c r="X211" s="67">
        <v>1</v>
      </c>
      <c r="Y211" s="72">
        <f t="shared" si="57"/>
        <v>3</v>
      </c>
      <c r="AA211" s="70">
        <v>1.91</v>
      </c>
      <c r="AB211" s="67">
        <v>3.03</v>
      </c>
      <c r="AC211" s="72">
        <f t="shared" si="62"/>
        <v>5.7872999999999992</v>
      </c>
      <c r="AE211" s="70">
        <v>6.5</v>
      </c>
      <c r="AF211" s="67">
        <v>1</v>
      </c>
      <c r="AG211" s="72">
        <f t="shared" si="63"/>
        <v>6.5</v>
      </c>
    </row>
    <row r="212" spans="1:33" x14ac:dyDescent="0.3">
      <c r="A212" s="63" t="s">
        <v>322</v>
      </c>
      <c r="B212" s="70">
        <v>2.1</v>
      </c>
      <c r="C212" s="67">
        <v>3.08</v>
      </c>
      <c r="D212" s="72">
        <f t="shared" si="58"/>
        <v>6.4680000000000009</v>
      </c>
      <c r="F212" s="70">
        <v>2.1</v>
      </c>
      <c r="G212" s="67">
        <v>1.35</v>
      </c>
      <c r="H212" s="72">
        <f t="shared" si="56"/>
        <v>2.8350000000000004</v>
      </c>
      <c r="J212" s="70">
        <v>1.75</v>
      </c>
      <c r="K212" s="67">
        <v>1.575</v>
      </c>
      <c r="L212" s="72">
        <f t="shared" si="59"/>
        <v>2.7562500000000001</v>
      </c>
      <c r="N212" s="70">
        <v>0.8</v>
      </c>
      <c r="O212" s="67">
        <v>1</v>
      </c>
      <c r="P212" s="72">
        <f t="shared" si="60"/>
        <v>0.8</v>
      </c>
      <c r="R212" s="63" t="s">
        <v>322</v>
      </c>
      <c r="S212" s="70">
        <v>2.1</v>
      </c>
      <c r="T212" s="67">
        <v>3.08</v>
      </c>
      <c r="U212" s="72">
        <f t="shared" si="61"/>
        <v>6.4680000000000009</v>
      </c>
      <c r="W212" s="70">
        <v>2.1</v>
      </c>
      <c r="X212" s="67">
        <v>1.35</v>
      </c>
      <c r="Y212" s="72">
        <f t="shared" si="57"/>
        <v>2.8350000000000004</v>
      </c>
      <c r="AA212" s="70">
        <v>1.75</v>
      </c>
      <c r="AB212" s="67">
        <v>1.575</v>
      </c>
      <c r="AC212" s="72">
        <f t="shared" si="62"/>
        <v>2.7562500000000001</v>
      </c>
      <c r="AE212" s="70">
        <v>0.8</v>
      </c>
      <c r="AF212" s="67">
        <v>1</v>
      </c>
      <c r="AG212" s="72">
        <f t="shared" si="63"/>
        <v>0.8</v>
      </c>
    </row>
    <row r="213" spans="1:33" x14ac:dyDescent="0.3">
      <c r="A213" s="63" t="s">
        <v>323</v>
      </c>
      <c r="B213" s="70">
        <v>1.26</v>
      </c>
      <c r="C213" s="67">
        <v>1.62</v>
      </c>
      <c r="D213" s="72">
        <f t="shared" si="58"/>
        <v>2.0412000000000003</v>
      </c>
      <c r="F213" s="70">
        <v>3.42</v>
      </c>
      <c r="G213" s="67">
        <v>1.65</v>
      </c>
      <c r="H213" s="72">
        <f t="shared" si="56"/>
        <v>5.6429999999999998</v>
      </c>
      <c r="J213" s="70">
        <v>1.08</v>
      </c>
      <c r="K213" s="67">
        <v>1.575</v>
      </c>
      <c r="L213" s="72">
        <f t="shared" si="59"/>
        <v>1.7010000000000001</v>
      </c>
      <c r="N213" s="70">
        <v>0.8</v>
      </c>
      <c r="O213" s="67">
        <v>1.75</v>
      </c>
      <c r="P213" s="72">
        <f t="shared" si="60"/>
        <v>1.4000000000000001</v>
      </c>
      <c r="R213" s="63" t="s">
        <v>323</v>
      </c>
      <c r="S213" s="70">
        <v>1.26</v>
      </c>
      <c r="T213" s="67">
        <v>1.62</v>
      </c>
      <c r="U213" s="72">
        <f t="shared" si="61"/>
        <v>2.0412000000000003</v>
      </c>
      <c r="W213" s="70">
        <v>3.42</v>
      </c>
      <c r="X213" s="67">
        <v>1.65</v>
      </c>
      <c r="Y213" s="72">
        <f t="shared" si="57"/>
        <v>5.6429999999999998</v>
      </c>
      <c r="AA213" s="70">
        <v>1.08</v>
      </c>
      <c r="AB213" s="67">
        <v>1.575</v>
      </c>
      <c r="AC213" s="72">
        <f t="shared" si="62"/>
        <v>1.7010000000000001</v>
      </c>
      <c r="AE213" s="70">
        <v>0.8</v>
      </c>
      <c r="AF213" s="67">
        <v>1.75</v>
      </c>
      <c r="AG213" s="72">
        <f t="shared" si="63"/>
        <v>1.4000000000000001</v>
      </c>
    </row>
    <row r="214" spans="1:33" x14ac:dyDescent="0.3">
      <c r="A214" s="63" t="s">
        <v>324</v>
      </c>
      <c r="B214" s="70">
        <v>1.67</v>
      </c>
      <c r="C214" s="67">
        <v>1.05</v>
      </c>
      <c r="D214" s="72">
        <f t="shared" si="58"/>
        <v>1.7535000000000001</v>
      </c>
      <c r="F214" s="70">
        <v>1.63</v>
      </c>
      <c r="G214" s="67">
        <v>1.665</v>
      </c>
      <c r="H214" s="72">
        <f t="shared" si="56"/>
        <v>2.7139500000000001</v>
      </c>
      <c r="J214" s="70">
        <v>1.67</v>
      </c>
      <c r="K214" s="67">
        <v>1.05</v>
      </c>
      <c r="L214" s="72">
        <f t="shared" si="59"/>
        <v>1.7535000000000001</v>
      </c>
      <c r="N214" s="70"/>
      <c r="O214" s="67"/>
      <c r="P214" s="72">
        <f t="shared" si="60"/>
        <v>0</v>
      </c>
      <c r="R214" s="63" t="s">
        <v>324</v>
      </c>
      <c r="S214" s="70">
        <v>1.67</v>
      </c>
      <c r="T214" s="67">
        <v>1.05</v>
      </c>
      <c r="U214" s="72">
        <f t="shared" si="61"/>
        <v>1.7535000000000001</v>
      </c>
      <c r="W214" s="70">
        <v>1.63</v>
      </c>
      <c r="X214" s="67">
        <v>1.665</v>
      </c>
      <c r="Y214" s="72">
        <f t="shared" si="57"/>
        <v>2.7139500000000001</v>
      </c>
      <c r="AA214" s="70">
        <v>1.67</v>
      </c>
      <c r="AB214" s="67">
        <v>1.05</v>
      </c>
      <c r="AC214" s="72">
        <f t="shared" si="62"/>
        <v>1.7535000000000001</v>
      </c>
      <c r="AE214" s="70"/>
      <c r="AF214" s="67"/>
      <c r="AG214" s="72">
        <f t="shared" si="63"/>
        <v>0</v>
      </c>
    </row>
    <row r="215" spans="1:33" x14ac:dyDescent="0.3">
      <c r="A215" s="63" t="s">
        <v>325</v>
      </c>
      <c r="B215" s="70">
        <v>1.8</v>
      </c>
      <c r="C215" s="67">
        <v>4.8</v>
      </c>
      <c r="D215" s="72">
        <f t="shared" si="58"/>
        <v>8.64</v>
      </c>
      <c r="F215" s="70">
        <v>1.8</v>
      </c>
      <c r="G215" s="67">
        <v>1.2</v>
      </c>
      <c r="H215" s="72">
        <f t="shared" si="56"/>
        <v>2.16</v>
      </c>
      <c r="J215" s="70">
        <v>0</v>
      </c>
      <c r="K215" s="67">
        <v>0</v>
      </c>
      <c r="L215" s="72">
        <f t="shared" si="59"/>
        <v>0</v>
      </c>
      <c r="N215" s="70"/>
      <c r="O215" s="67"/>
      <c r="P215" s="72">
        <f t="shared" si="60"/>
        <v>0</v>
      </c>
      <c r="R215" s="63" t="s">
        <v>325</v>
      </c>
      <c r="S215" s="70">
        <v>0</v>
      </c>
      <c r="T215" s="67">
        <v>0</v>
      </c>
      <c r="U215" s="72">
        <f t="shared" si="61"/>
        <v>0</v>
      </c>
      <c r="W215" s="70">
        <v>1.8</v>
      </c>
      <c r="X215" s="67">
        <v>1.2</v>
      </c>
      <c r="Y215" s="72">
        <f t="shared" si="57"/>
        <v>2.16</v>
      </c>
      <c r="AA215" s="70">
        <v>0</v>
      </c>
      <c r="AB215" s="67">
        <v>0</v>
      </c>
      <c r="AC215" s="72">
        <f t="shared" si="62"/>
        <v>0</v>
      </c>
      <c r="AE215" s="70"/>
      <c r="AF215" s="67"/>
      <c r="AG215" s="72">
        <f t="shared" si="63"/>
        <v>0</v>
      </c>
    </row>
    <row r="216" spans="1:33" x14ac:dyDescent="0.3">
      <c r="A216" s="63" t="s">
        <v>330</v>
      </c>
      <c r="B216" s="70"/>
      <c r="C216" s="67"/>
      <c r="D216" s="72">
        <f t="shared" si="58"/>
        <v>0</v>
      </c>
      <c r="F216" s="70">
        <v>1.05</v>
      </c>
      <c r="G216" s="67">
        <v>0.6</v>
      </c>
      <c r="H216" s="72">
        <f t="shared" si="56"/>
        <v>0.63</v>
      </c>
      <c r="J216" s="70"/>
      <c r="K216" s="67"/>
      <c r="L216" s="72">
        <f t="shared" si="59"/>
        <v>0</v>
      </c>
      <c r="N216" s="70"/>
      <c r="O216" s="67"/>
      <c r="P216" s="72">
        <f t="shared" si="60"/>
        <v>0</v>
      </c>
      <c r="R216" s="63" t="s">
        <v>330</v>
      </c>
      <c r="S216" s="70"/>
      <c r="T216" s="67"/>
      <c r="U216" s="72">
        <f t="shared" si="61"/>
        <v>0</v>
      </c>
      <c r="W216" s="70">
        <v>1.05</v>
      </c>
      <c r="X216" s="67">
        <v>0.6</v>
      </c>
      <c r="Y216" s="72">
        <f t="shared" si="57"/>
        <v>0.63</v>
      </c>
      <c r="AA216" s="70"/>
      <c r="AB216" s="67"/>
      <c r="AC216" s="72">
        <f t="shared" si="62"/>
        <v>0</v>
      </c>
      <c r="AE216" s="70"/>
      <c r="AF216" s="67"/>
      <c r="AG216" s="72">
        <f t="shared" si="63"/>
        <v>0</v>
      </c>
    </row>
    <row r="217" spans="1:33" x14ac:dyDescent="0.3">
      <c r="A217" s="63" t="s">
        <v>334</v>
      </c>
      <c r="B217" s="70"/>
      <c r="C217" s="67"/>
      <c r="D217" s="72">
        <f t="shared" si="58"/>
        <v>0</v>
      </c>
      <c r="F217" s="70">
        <v>3.8</v>
      </c>
      <c r="G217" s="67">
        <v>2.0499999999999998</v>
      </c>
      <c r="H217" s="72">
        <f t="shared" si="56"/>
        <v>7.7899999999999991</v>
      </c>
      <c r="J217" s="70"/>
      <c r="K217" s="67"/>
      <c r="L217" s="72">
        <f t="shared" si="59"/>
        <v>0</v>
      </c>
      <c r="N217" s="70"/>
      <c r="O217" s="67"/>
      <c r="P217" s="72">
        <f t="shared" si="60"/>
        <v>0</v>
      </c>
      <c r="R217" s="63" t="s">
        <v>334</v>
      </c>
      <c r="S217" s="70"/>
      <c r="T217" s="67"/>
      <c r="U217" s="72">
        <f t="shared" si="61"/>
        <v>0</v>
      </c>
      <c r="W217" s="70">
        <v>3.8</v>
      </c>
      <c r="X217" s="67">
        <v>2.0499999999999998</v>
      </c>
      <c r="Y217" s="72">
        <f t="shared" si="57"/>
        <v>7.7899999999999991</v>
      </c>
      <c r="AA217" s="70"/>
      <c r="AB217" s="67"/>
      <c r="AC217" s="72">
        <f t="shared" si="62"/>
        <v>0</v>
      </c>
      <c r="AE217" s="70"/>
      <c r="AF217" s="67"/>
      <c r="AG217" s="72">
        <f t="shared" si="63"/>
        <v>0</v>
      </c>
    </row>
    <row r="218" spans="1:33" x14ac:dyDescent="0.3">
      <c r="A218" s="64" t="s">
        <v>332</v>
      </c>
      <c r="B218" s="70">
        <v>6.6</v>
      </c>
      <c r="C218" s="67">
        <v>2.15</v>
      </c>
      <c r="D218" s="72">
        <f t="shared" si="58"/>
        <v>14.19</v>
      </c>
      <c r="F218" s="70">
        <v>5.75</v>
      </c>
      <c r="G218" s="67">
        <v>2.91</v>
      </c>
      <c r="H218" s="72">
        <f t="shared" si="56"/>
        <v>16.732500000000002</v>
      </c>
      <c r="J218" s="70">
        <v>6.6</v>
      </c>
      <c r="K218" s="67">
        <v>2.2050000000000001</v>
      </c>
      <c r="L218" s="72">
        <f t="shared" si="59"/>
        <v>14.552999999999999</v>
      </c>
      <c r="N218" s="70">
        <v>5.75</v>
      </c>
      <c r="O218" s="67">
        <v>3</v>
      </c>
      <c r="P218" s="72">
        <f t="shared" si="60"/>
        <v>17.25</v>
      </c>
      <c r="R218" s="64" t="s">
        <v>332</v>
      </c>
      <c r="S218" s="70">
        <v>6.6</v>
      </c>
      <c r="T218" s="67">
        <v>2.15</v>
      </c>
      <c r="U218" s="72">
        <f t="shared" si="61"/>
        <v>14.19</v>
      </c>
      <c r="W218" s="70">
        <v>5.75</v>
      </c>
      <c r="X218" s="67">
        <v>2.91</v>
      </c>
      <c r="Y218" s="72">
        <f t="shared" si="57"/>
        <v>16.732500000000002</v>
      </c>
      <c r="AA218" s="70">
        <v>6.6</v>
      </c>
      <c r="AB218" s="67">
        <v>2.2050000000000001</v>
      </c>
      <c r="AC218" s="72">
        <f t="shared" si="62"/>
        <v>14.552999999999999</v>
      </c>
      <c r="AE218" s="70">
        <v>5.75</v>
      </c>
      <c r="AF218" s="67">
        <v>3</v>
      </c>
      <c r="AG218" s="72">
        <f t="shared" si="63"/>
        <v>17.25</v>
      </c>
    </row>
    <row r="219" spans="1:33" ht="28.8" x14ac:dyDescent="0.3">
      <c r="A219" s="64" t="s">
        <v>333</v>
      </c>
      <c r="B219" s="70">
        <f>1.36+0.8</f>
        <v>2.16</v>
      </c>
      <c r="C219" s="67">
        <f>2.41+1.38</f>
        <v>3.79</v>
      </c>
      <c r="D219" s="72">
        <f t="shared" si="58"/>
        <v>8.1864000000000008</v>
      </c>
      <c r="F219" s="70">
        <v>2.0499999999999998</v>
      </c>
      <c r="G219" s="67">
        <v>1.89</v>
      </c>
      <c r="H219" s="72">
        <f t="shared" si="56"/>
        <v>3.8744999999999994</v>
      </c>
      <c r="J219" s="70">
        <f>1.36+0.8</f>
        <v>2.16</v>
      </c>
      <c r="K219" s="67">
        <f>2.195+1.325</f>
        <v>3.5199999999999996</v>
      </c>
      <c r="L219" s="72">
        <f t="shared" si="59"/>
        <v>7.6031999999999993</v>
      </c>
      <c r="N219" s="70">
        <f>1.7+0.7</f>
        <v>2.4</v>
      </c>
      <c r="O219" s="67">
        <f>1.525+1.8</f>
        <v>3.3250000000000002</v>
      </c>
      <c r="P219" s="72">
        <f t="shared" si="60"/>
        <v>7.98</v>
      </c>
      <c r="R219" s="64" t="s">
        <v>333</v>
      </c>
      <c r="S219" s="70">
        <f>1.36+0.8</f>
        <v>2.16</v>
      </c>
      <c r="T219" s="67">
        <f>2.41+1.38</f>
        <v>3.79</v>
      </c>
      <c r="U219" s="72">
        <f t="shared" si="61"/>
        <v>8.1864000000000008</v>
      </c>
      <c r="W219" s="70">
        <v>2.0499999999999998</v>
      </c>
      <c r="X219" s="67">
        <v>1.89</v>
      </c>
      <c r="Y219" s="72">
        <f t="shared" si="57"/>
        <v>3.8744999999999994</v>
      </c>
      <c r="AA219" s="70">
        <f>1.36+0.8</f>
        <v>2.16</v>
      </c>
      <c r="AB219" s="67">
        <f>2.195+1.325</f>
        <v>3.5199999999999996</v>
      </c>
      <c r="AC219" s="72">
        <f t="shared" si="62"/>
        <v>7.6031999999999993</v>
      </c>
      <c r="AE219" s="70">
        <f>1.7+0.7</f>
        <v>2.4</v>
      </c>
      <c r="AF219" s="67">
        <f>1.525+1.8</f>
        <v>3.3250000000000002</v>
      </c>
      <c r="AG219" s="72">
        <f t="shared" si="63"/>
        <v>7.98</v>
      </c>
    </row>
    <row r="220" spans="1:33" ht="28.8" x14ac:dyDescent="0.3">
      <c r="A220" s="64" t="s">
        <v>326</v>
      </c>
      <c r="B220" s="70">
        <v>1.45</v>
      </c>
      <c r="C220" s="67">
        <v>1.22</v>
      </c>
      <c r="D220" s="72">
        <f t="shared" si="58"/>
        <v>1.7689999999999999</v>
      </c>
      <c r="F220" s="70">
        <v>1</v>
      </c>
      <c r="G220" s="67">
        <v>1.37</v>
      </c>
      <c r="H220" s="72">
        <f t="shared" si="56"/>
        <v>1.37</v>
      </c>
      <c r="J220" s="70">
        <v>1.45</v>
      </c>
      <c r="K220" s="67">
        <v>1.22</v>
      </c>
      <c r="L220" s="72">
        <f t="shared" si="59"/>
        <v>1.7689999999999999</v>
      </c>
      <c r="N220" s="70">
        <v>1.635</v>
      </c>
      <c r="O220" s="67">
        <v>1.1140000000000001</v>
      </c>
      <c r="P220" s="72">
        <f t="shared" si="60"/>
        <v>1.8213900000000001</v>
      </c>
      <c r="R220" s="64" t="s">
        <v>326</v>
      </c>
      <c r="S220" s="70">
        <v>1.45</v>
      </c>
      <c r="T220" s="67">
        <v>1.22</v>
      </c>
      <c r="U220" s="72">
        <f t="shared" si="61"/>
        <v>1.7689999999999999</v>
      </c>
      <c r="W220" s="70">
        <v>1</v>
      </c>
      <c r="X220" s="67">
        <v>1.37</v>
      </c>
      <c r="Y220" s="72">
        <f t="shared" si="57"/>
        <v>1.37</v>
      </c>
      <c r="AA220" s="70">
        <v>1.45</v>
      </c>
      <c r="AB220" s="67">
        <v>1.22</v>
      </c>
      <c r="AC220" s="72">
        <f t="shared" si="62"/>
        <v>1.7689999999999999</v>
      </c>
      <c r="AE220" s="70">
        <v>1.635</v>
      </c>
      <c r="AF220" s="67">
        <v>1.1140000000000001</v>
      </c>
      <c r="AG220" s="72">
        <f t="shared" si="63"/>
        <v>1.8213900000000001</v>
      </c>
    </row>
    <row r="221" spans="1:33" ht="15" thickBot="1" x14ac:dyDescent="0.35">
      <c r="A221" s="63" t="s">
        <v>327</v>
      </c>
      <c r="B221" s="73">
        <v>1.45</v>
      </c>
      <c r="C221" s="74">
        <v>2.41</v>
      </c>
      <c r="D221" s="75">
        <f t="shared" si="58"/>
        <v>3.4944999999999999</v>
      </c>
      <c r="F221" s="73">
        <v>1.5</v>
      </c>
      <c r="G221" s="74">
        <v>2.12</v>
      </c>
      <c r="H221" s="75">
        <f t="shared" si="56"/>
        <v>3.18</v>
      </c>
      <c r="J221" s="73">
        <v>1.45</v>
      </c>
      <c r="K221" s="74">
        <v>2.1949999999999998</v>
      </c>
      <c r="L221" s="75">
        <f t="shared" si="59"/>
        <v>3.1827499999999995</v>
      </c>
      <c r="N221" s="73">
        <v>1.7</v>
      </c>
      <c r="O221" s="74">
        <v>1.5249999999999999</v>
      </c>
      <c r="P221" s="75">
        <f t="shared" si="60"/>
        <v>2.5924999999999998</v>
      </c>
      <c r="R221" s="63" t="s">
        <v>327</v>
      </c>
      <c r="S221" s="73">
        <v>1.45</v>
      </c>
      <c r="T221" s="74">
        <v>2.41</v>
      </c>
      <c r="U221" s="75">
        <f t="shared" si="61"/>
        <v>3.4944999999999999</v>
      </c>
      <c r="W221" s="73">
        <v>1.5</v>
      </c>
      <c r="X221" s="74">
        <v>2.12</v>
      </c>
      <c r="Y221" s="75">
        <f t="shared" si="57"/>
        <v>3.18</v>
      </c>
      <c r="AA221" s="73">
        <v>1.45</v>
      </c>
      <c r="AB221" s="74">
        <v>2.1949999999999998</v>
      </c>
      <c r="AC221" s="75">
        <f t="shared" si="62"/>
        <v>3.1827499999999995</v>
      </c>
      <c r="AE221" s="73">
        <v>1.7</v>
      </c>
      <c r="AF221" s="74">
        <v>1.5249999999999999</v>
      </c>
      <c r="AG221" s="75">
        <f t="shared" si="63"/>
        <v>2.5924999999999998</v>
      </c>
    </row>
    <row r="222" spans="1:33" ht="15" thickBot="1" x14ac:dyDescent="0.35">
      <c r="A222" s="65" t="s">
        <v>328</v>
      </c>
      <c r="B222" s="223">
        <f>SUM(D199:D221)++(8.89*1.83)</f>
        <v>224.94889999999998</v>
      </c>
      <c r="C222" s="224"/>
      <c r="D222" s="225"/>
      <c r="F222" s="223">
        <f>SUM(H199:H221)+5.3*1.83</f>
        <v>204.21615000000008</v>
      </c>
      <c r="G222" s="224"/>
      <c r="H222" s="225"/>
      <c r="I222" s="66"/>
      <c r="J222" s="229">
        <f>SUM(L199:L221)+8.89*1.83</f>
        <v>214.77094999999994</v>
      </c>
      <c r="K222" s="230"/>
      <c r="L222" s="231"/>
      <c r="N222" s="73">
        <v>5.3</v>
      </c>
      <c r="O222" s="74">
        <v>1.83</v>
      </c>
      <c r="P222" s="75">
        <f t="shared" si="60"/>
        <v>9.6989999999999998</v>
      </c>
      <c r="R222" s="65" t="s">
        <v>328</v>
      </c>
      <c r="S222" s="223">
        <f>SUM(U199:U221)+(8.89*1.83)</f>
        <v>216.30889999999999</v>
      </c>
      <c r="T222" s="224"/>
      <c r="U222" s="225"/>
      <c r="W222" s="223">
        <f>SUM(Y199:Y221)+5.3*1.83</f>
        <v>204.21615000000008</v>
      </c>
      <c r="X222" s="224"/>
      <c r="Y222" s="225"/>
      <c r="Z222" s="66"/>
      <c r="AA222" s="229">
        <f>SUM(AC199:AC221)+8.89*1.83</f>
        <v>214.77094999999994</v>
      </c>
      <c r="AB222" s="230"/>
      <c r="AC222" s="231"/>
      <c r="AE222" s="73">
        <v>5.3</v>
      </c>
      <c r="AF222" s="74">
        <v>1.83</v>
      </c>
      <c r="AG222" s="75">
        <f t="shared" si="63"/>
        <v>9.6989999999999998</v>
      </c>
    </row>
    <row r="223" spans="1:33" ht="15" thickBot="1" x14ac:dyDescent="0.35">
      <c r="N223" s="223">
        <f>SUM(P199:P222)</f>
        <v>193.95959000000008</v>
      </c>
      <c r="O223" s="224"/>
      <c r="P223" s="225"/>
      <c r="AE223" s="223">
        <f>SUM(AG199:AG222)</f>
        <v>193.95959000000008</v>
      </c>
      <c r="AF223" s="224"/>
      <c r="AG223" s="225"/>
    </row>
  </sheetData>
  <mergeCells count="144">
    <mergeCell ref="AE223:AG223"/>
    <mergeCell ref="R197:U197"/>
    <mergeCell ref="AA197:AD197"/>
    <mergeCell ref="N223:P223"/>
    <mergeCell ref="F197:G197"/>
    <mergeCell ref="J197:K197"/>
    <mergeCell ref="S198:T198"/>
    <mergeCell ref="W198:X198"/>
    <mergeCell ref="AA198:AB198"/>
    <mergeCell ref="B198:C198"/>
    <mergeCell ref="F198:G198"/>
    <mergeCell ref="J198:K198"/>
    <mergeCell ref="N198:O198"/>
    <mergeCell ref="B222:D222"/>
    <mergeCell ref="F222:H222"/>
    <mergeCell ref="J222:L222"/>
    <mergeCell ref="AE171:AF171"/>
    <mergeCell ref="S195:U195"/>
    <mergeCell ref="W195:Y195"/>
    <mergeCell ref="AA195:AC195"/>
    <mergeCell ref="AE196:AG196"/>
    <mergeCell ref="A197:B197"/>
    <mergeCell ref="N196:P196"/>
    <mergeCell ref="B195:D195"/>
    <mergeCell ref="F195:H195"/>
    <mergeCell ref="J195:L195"/>
    <mergeCell ref="AE198:AF198"/>
    <mergeCell ref="S222:U222"/>
    <mergeCell ref="W222:Y222"/>
    <mergeCell ref="AA222:AC222"/>
    <mergeCell ref="A170:B170"/>
    <mergeCell ref="R170:S170"/>
    <mergeCell ref="S171:T171"/>
    <mergeCell ref="W171:X171"/>
    <mergeCell ref="AA171:AB171"/>
    <mergeCell ref="B171:C171"/>
    <mergeCell ref="F171:G171"/>
    <mergeCell ref="J171:K171"/>
    <mergeCell ref="N171:O171"/>
    <mergeCell ref="B168:D168"/>
    <mergeCell ref="F168:H168"/>
    <mergeCell ref="J168:L168"/>
    <mergeCell ref="N169:P169"/>
    <mergeCell ref="F116:G116"/>
    <mergeCell ref="J116:K116"/>
    <mergeCell ref="H116:I116"/>
    <mergeCell ref="AE117:AF117"/>
    <mergeCell ref="AE142:AG142"/>
    <mergeCell ref="B144:C144"/>
    <mergeCell ref="F144:G144"/>
    <mergeCell ref="J144:K144"/>
    <mergeCell ref="N144:O144"/>
    <mergeCell ref="A143:E143"/>
    <mergeCell ref="S117:T117"/>
    <mergeCell ref="W117:X117"/>
    <mergeCell ref="AA117:AB117"/>
    <mergeCell ref="S143:U143"/>
    <mergeCell ref="W143:Y143"/>
    <mergeCell ref="AA143:AC143"/>
    <mergeCell ref="B117:C117"/>
    <mergeCell ref="B141:D141"/>
    <mergeCell ref="N117:O117"/>
    <mergeCell ref="N142:P142"/>
    <mergeCell ref="F117:G117"/>
    <mergeCell ref="J117:K117"/>
    <mergeCell ref="F141:H141"/>
    <mergeCell ref="J141:L141"/>
    <mergeCell ref="AE61:AF61"/>
    <mergeCell ref="S87:U87"/>
    <mergeCell ref="W87:Y87"/>
    <mergeCell ref="AA87:AC87"/>
    <mergeCell ref="AE87:AG87"/>
    <mergeCell ref="AD90:AE90"/>
    <mergeCell ref="AD115:AF115"/>
    <mergeCell ref="AD89:AE89"/>
    <mergeCell ref="R116:S116"/>
    <mergeCell ref="Z115:AB115"/>
    <mergeCell ref="S89:T89"/>
    <mergeCell ref="O89:P89"/>
    <mergeCell ref="I89:L89"/>
    <mergeCell ref="N115:P115"/>
    <mergeCell ref="J90:K90"/>
    <mergeCell ref="J114:L114"/>
    <mergeCell ref="AA61:AB61"/>
    <mergeCell ref="W89:X89"/>
    <mergeCell ref="R90:S90"/>
    <mergeCell ref="V90:W90"/>
    <mergeCell ref="Z90:AA90"/>
    <mergeCell ref="R114:T114"/>
    <mergeCell ref="V114:X114"/>
    <mergeCell ref="Z89:AA89"/>
    <mergeCell ref="B116:C116"/>
    <mergeCell ref="B90:C90"/>
    <mergeCell ref="B114:D114"/>
    <mergeCell ref="F114:H114"/>
    <mergeCell ref="F90:G90"/>
    <mergeCell ref="B87:D87"/>
    <mergeCell ref="F87:H87"/>
    <mergeCell ref="J87:L87"/>
    <mergeCell ref="N87:P87"/>
    <mergeCell ref="B89:G89"/>
    <mergeCell ref="N90:O90"/>
    <mergeCell ref="R32:Y32"/>
    <mergeCell ref="A4:D4"/>
    <mergeCell ref="F60:K60"/>
    <mergeCell ref="B61:C61"/>
    <mergeCell ref="F61:G61"/>
    <mergeCell ref="J61:K61"/>
    <mergeCell ref="N61:O61"/>
    <mergeCell ref="S60:T60"/>
    <mergeCell ref="S61:T61"/>
    <mergeCell ref="W61:X61"/>
    <mergeCell ref="AE34:AF34"/>
    <mergeCell ref="S58:U58"/>
    <mergeCell ref="W58:Y58"/>
    <mergeCell ref="AA58:AC58"/>
    <mergeCell ref="AE58:AG58"/>
    <mergeCell ref="W34:X34"/>
    <mergeCell ref="B58:D58"/>
    <mergeCell ref="J58:L58"/>
    <mergeCell ref="N58:P58"/>
    <mergeCell ref="F58:H58"/>
    <mergeCell ref="A2:B2"/>
    <mergeCell ref="B6:C6"/>
    <mergeCell ref="AB6:AC6"/>
    <mergeCell ref="AB30:AD30"/>
    <mergeCell ref="A32:B32"/>
    <mergeCell ref="B34:C34"/>
    <mergeCell ref="J34:K34"/>
    <mergeCell ref="N34:O34"/>
    <mergeCell ref="S34:T34"/>
    <mergeCell ref="AA34:AB34"/>
    <mergeCell ref="O4:P4"/>
    <mergeCell ref="P6:Q6"/>
    <mergeCell ref="P30:R30"/>
    <mergeCell ref="T6:U6"/>
    <mergeCell ref="T30:V30"/>
    <mergeCell ref="X6:Y6"/>
    <mergeCell ref="X30:Z30"/>
    <mergeCell ref="K6:L6"/>
    <mergeCell ref="K30:M30"/>
    <mergeCell ref="G6:H6"/>
    <mergeCell ref="G30:I30"/>
    <mergeCell ref="B30:D3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I16"/>
  <sheetViews>
    <sheetView zoomScale="85" zoomScaleNormal="85" workbookViewId="0">
      <selection activeCell="H15" sqref="H15"/>
    </sheetView>
  </sheetViews>
  <sheetFormatPr defaultColWidth="8.6640625" defaultRowHeight="14.4" x14ac:dyDescent="0.3"/>
  <cols>
    <col min="1" max="1" width="8.6640625" style="1"/>
    <col min="2" max="2" width="22.1093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664062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237" t="s">
        <v>102</v>
      </c>
      <c r="C3" s="237"/>
      <c r="D3" s="237"/>
      <c r="E3" s="237"/>
      <c r="F3" s="237"/>
      <c r="G3" s="237"/>
      <c r="H3" s="237"/>
    </row>
    <row r="4" spans="1:9" x14ac:dyDescent="0.3">
      <c r="A4" s="2"/>
      <c r="B4" s="3" t="s">
        <v>103</v>
      </c>
      <c r="C4" s="3" t="s">
        <v>104</v>
      </c>
      <c r="D4" s="3" t="s">
        <v>66</v>
      </c>
      <c r="E4" s="3" t="s">
        <v>105</v>
      </c>
      <c r="F4" s="3" t="s">
        <v>111</v>
      </c>
      <c r="G4" s="3" t="s">
        <v>112</v>
      </c>
      <c r="H4" s="3" t="s">
        <v>106</v>
      </c>
    </row>
    <row r="5" spans="1:9" ht="15" customHeight="1" x14ac:dyDescent="0.3">
      <c r="A5" s="2"/>
      <c r="B5" s="5" t="s">
        <v>107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107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107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107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107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108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108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109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110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B3:K30"/>
  <sheetViews>
    <sheetView topLeftCell="A16" zoomScale="130" zoomScaleNormal="130" workbookViewId="0">
      <selection activeCell="C30" sqref="C30"/>
    </sheetView>
  </sheetViews>
  <sheetFormatPr defaultRowHeight="14.4" x14ac:dyDescent="0.3"/>
  <cols>
    <col min="4" max="4" width="11" bestFit="1" customWidth="1"/>
    <col min="5" max="5" width="10.44140625" bestFit="1" customWidth="1"/>
    <col min="8" max="8" width="10.5546875" bestFit="1" customWidth="1"/>
  </cols>
  <sheetData>
    <row r="3" spans="2:11" x14ac:dyDescent="0.3">
      <c r="J3">
        <v>1</v>
      </c>
      <c r="K3">
        <v>2</v>
      </c>
    </row>
    <row r="4" spans="2:11" x14ac:dyDescent="0.3">
      <c r="B4" s="47"/>
      <c r="C4" s="47" t="s">
        <v>9</v>
      </c>
      <c r="D4" s="48" t="s">
        <v>178</v>
      </c>
      <c r="E4" s="48" t="s">
        <v>188</v>
      </c>
      <c r="F4" s="48" t="s">
        <v>172</v>
      </c>
      <c r="G4" s="48" t="s">
        <v>193</v>
      </c>
      <c r="H4" s="48" t="s">
        <v>211</v>
      </c>
      <c r="J4" t="s">
        <v>193</v>
      </c>
      <c r="K4" t="s">
        <v>209</v>
      </c>
    </row>
    <row r="5" spans="2:11" x14ac:dyDescent="0.3">
      <c r="B5" s="47"/>
      <c r="C5" s="47"/>
      <c r="D5" s="48" t="s">
        <v>179</v>
      </c>
      <c r="E5" s="48" t="s">
        <v>186</v>
      </c>
      <c r="F5" s="48" t="s">
        <v>208</v>
      </c>
      <c r="G5" s="48" t="s">
        <v>194</v>
      </c>
      <c r="H5" s="48" t="s">
        <v>212</v>
      </c>
    </row>
    <row r="6" spans="2:11" x14ac:dyDescent="0.3">
      <c r="B6" s="47"/>
      <c r="C6" s="47"/>
      <c r="D6" s="48" t="s">
        <v>180</v>
      </c>
      <c r="E6" s="48" t="s">
        <v>187</v>
      </c>
      <c r="F6" s="48" t="s">
        <v>209</v>
      </c>
      <c r="G6" s="48" t="s">
        <v>195</v>
      </c>
      <c r="H6" s="48" t="s">
        <v>225</v>
      </c>
    </row>
    <row r="7" spans="2:11" x14ac:dyDescent="0.3">
      <c r="B7" s="47"/>
      <c r="C7" s="47"/>
      <c r="D7" s="48" t="s">
        <v>181</v>
      </c>
      <c r="E7" s="48" t="s">
        <v>189</v>
      </c>
      <c r="F7" s="48" t="s">
        <v>210</v>
      </c>
      <c r="G7" s="48" t="s">
        <v>196</v>
      </c>
      <c r="H7" s="48" t="s">
        <v>213</v>
      </c>
    </row>
    <row r="8" spans="2:11" x14ac:dyDescent="0.3">
      <c r="B8" s="47"/>
      <c r="C8" s="47"/>
      <c r="D8" s="48" t="s">
        <v>182</v>
      </c>
      <c r="E8" s="48" t="s">
        <v>190</v>
      </c>
      <c r="F8" s="48"/>
      <c r="G8" s="48" t="s">
        <v>197</v>
      </c>
      <c r="H8" s="48" t="s">
        <v>214</v>
      </c>
    </row>
    <row r="9" spans="2:11" x14ac:dyDescent="0.3">
      <c r="B9" s="47"/>
      <c r="C9" s="47"/>
      <c r="D9" s="48" t="s">
        <v>183</v>
      </c>
      <c r="E9" s="48" t="s">
        <v>188</v>
      </c>
      <c r="F9" s="48"/>
      <c r="G9" s="48" t="s">
        <v>198</v>
      </c>
      <c r="H9" s="48" t="s">
        <v>215</v>
      </c>
    </row>
    <row r="10" spans="2:11" x14ac:dyDescent="0.3">
      <c r="B10" s="47"/>
      <c r="C10" s="47"/>
      <c r="D10" s="48" t="s">
        <v>184</v>
      </c>
      <c r="E10" s="48" t="s">
        <v>191</v>
      </c>
      <c r="F10" s="48"/>
      <c r="G10" s="48" t="s">
        <v>199</v>
      </c>
      <c r="H10" s="48" t="s">
        <v>216</v>
      </c>
    </row>
    <row r="11" spans="2:11" x14ac:dyDescent="0.3">
      <c r="B11" s="47"/>
      <c r="C11" s="47"/>
      <c r="D11" s="48" t="s">
        <v>185</v>
      </c>
      <c r="E11" s="48" t="s">
        <v>192</v>
      </c>
      <c r="F11" s="48"/>
      <c r="G11" s="48" t="s">
        <v>200</v>
      </c>
      <c r="H11" s="48" t="s">
        <v>217</v>
      </c>
    </row>
    <row r="12" spans="2:11" x14ac:dyDescent="0.3">
      <c r="B12" s="47"/>
      <c r="C12" s="47"/>
      <c r="D12" s="48"/>
      <c r="E12" s="48"/>
      <c r="F12" s="48"/>
      <c r="G12" s="48" t="s">
        <v>201</v>
      </c>
      <c r="H12" s="48" t="s">
        <v>218</v>
      </c>
    </row>
    <row r="13" spans="2:11" x14ac:dyDescent="0.3">
      <c r="B13" s="47"/>
      <c r="C13" s="47"/>
      <c r="D13" s="48"/>
      <c r="E13" s="48"/>
      <c r="F13" s="48"/>
      <c r="G13" s="48" t="s">
        <v>202</v>
      </c>
      <c r="H13" s="48" t="s">
        <v>219</v>
      </c>
    </row>
    <row r="14" spans="2:11" x14ac:dyDescent="0.3">
      <c r="B14" s="47"/>
      <c r="C14" s="47"/>
      <c r="D14" s="48"/>
      <c r="E14" s="48"/>
      <c r="F14" s="48"/>
      <c r="G14" s="48" t="s">
        <v>203</v>
      </c>
      <c r="H14" s="48" t="s">
        <v>220</v>
      </c>
    </row>
    <row r="15" spans="2:11" x14ac:dyDescent="0.3">
      <c r="B15" s="47"/>
      <c r="C15" s="47"/>
      <c r="D15" s="48"/>
      <c r="E15" s="48"/>
      <c r="F15" s="48"/>
      <c r="G15" s="48" t="s">
        <v>204</v>
      </c>
      <c r="H15" s="48" t="s">
        <v>221</v>
      </c>
    </row>
    <row r="16" spans="2:11" x14ac:dyDescent="0.3">
      <c r="B16" s="47"/>
      <c r="C16" s="47"/>
      <c r="D16" s="48"/>
      <c r="E16" s="48"/>
      <c r="F16" s="48"/>
      <c r="G16" s="48" t="s">
        <v>205</v>
      </c>
      <c r="H16" s="48" t="s">
        <v>222</v>
      </c>
    </row>
    <row r="17" spans="2:8" x14ac:dyDescent="0.3">
      <c r="B17" s="47"/>
      <c r="C17" s="47"/>
      <c r="D17" s="48"/>
      <c r="E17" s="48"/>
      <c r="F17" s="48"/>
      <c r="G17" s="48" t="s">
        <v>206</v>
      </c>
      <c r="H17" s="48" t="s">
        <v>223</v>
      </c>
    </row>
    <row r="18" spans="2:8" x14ac:dyDescent="0.3">
      <c r="B18" s="47"/>
      <c r="C18" s="47"/>
      <c r="D18" s="48"/>
      <c r="E18" s="48"/>
      <c r="F18" s="48"/>
      <c r="G18" s="48" t="s">
        <v>207</v>
      </c>
      <c r="H18" s="48" t="s">
        <v>224</v>
      </c>
    </row>
    <row r="24" spans="2:8" x14ac:dyDescent="0.3">
      <c r="C24" t="s">
        <v>169</v>
      </c>
    </row>
    <row r="25" spans="2:8" x14ac:dyDescent="0.3">
      <c r="C25" t="s">
        <v>226</v>
      </c>
    </row>
    <row r="26" spans="2:8" x14ac:dyDescent="0.3">
      <c r="C26" t="s">
        <v>227</v>
      </c>
    </row>
    <row r="27" spans="2:8" x14ac:dyDescent="0.3">
      <c r="C27" t="s">
        <v>228</v>
      </c>
    </row>
    <row r="28" spans="2:8" x14ac:dyDescent="0.3">
      <c r="C28" t="s">
        <v>229</v>
      </c>
    </row>
    <row r="29" spans="2:8" x14ac:dyDescent="0.3">
      <c r="C29" t="s">
        <v>230</v>
      </c>
    </row>
    <row r="30" spans="2:8" x14ac:dyDescent="0.3">
      <c r="C30" t="s">
        <v>169</v>
      </c>
    </row>
  </sheetData>
  <dataValidations count="2">
    <dataValidation type="list" allowBlank="1" showInputMessage="1" showErrorMessage="1" sqref="J4" xr:uid="{00000000-0002-0000-0300-000000000000}">
      <formula1>$D$4:$H$4</formula1>
    </dataValidation>
    <dataValidation type="list" allowBlank="1" showInputMessage="1" showErrorMessage="1" sqref="K4" xr:uid="{00000000-0002-0000-0300-000001000000}">
      <formula1>OFFSET($D$4,1,MATCH($J4,$D$4:$H$4,0)-1,15,1)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Tower A</vt:lpstr>
      <vt:lpstr>valuation</vt:lpstr>
      <vt:lpstr>Research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pranitam503@gmail.com</cp:lastModifiedBy>
  <cp:lastPrinted>2025-08-14T06:36:49Z</cp:lastPrinted>
  <dcterms:created xsi:type="dcterms:W3CDTF">2019-07-16T09:29:46Z</dcterms:created>
  <dcterms:modified xsi:type="dcterms:W3CDTF">2025-08-14T06:39:36Z</dcterms:modified>
</cp:coreProperties>
</file>