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Marina 64 Phase 1\"/>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Report!$A$1:$H$398</definedName>
  </definedNames>
  <calcPr calcId="152511"/>
</workbook>
</file>

<file path=xl/calcChain.xml><?xml version="1.0" encoding="utf-8"?>
<calcChain xmlns="http://schemas.openxmlformats.org/spreadsheetml/2006/main">
  <c r="H145" i="3" l="1"/>
  <c r="F145" i="3"/>
  <c r="E145" i="3"/>
  <c r="A145" i="3"/>
  <c r="H144" i="3"/>
  <c r="F144" i="3"/>
  <c r="E144" i="3"/>
  <c r="F140" i="3"/>
  <c r="E140" i="3"/>
  <c r="H140" i="3" s="1"/>
  <c r="A140" i="3"/>
  <c r="F139" i="3"/>
  <c r="E139" i="3"/>
  <c r="H139" i="3" s="1"/>
  <c r="I58" i="3" l="1"/>
  <c r="G115" i="3" l="1"/>
  <c r="G114" i="3"/>
  <c r="G127" i="3"/>
  <c r="E127" i="3"/>
  <c r="G126" i="3"/>
  <c r="E126" i="3"/>
  <c r="E125" i="3"/>
  <c r="G125" i="3"/>
  <c r="E124" i="3"/>
  <c r="G124" i="3"/>
  <c r="F212" i="3"/>
  <c r="E212" i="3"/>
  <c r="F211" i="3"/>
  <c r="E211" i="3"/>
  <c r="F210" i="3"/>
  <c r="E210" i="3"/>
  <c r="F209" i="3"/>
  <c r="E209" i="3"/>
  <c r="H209" i="3" s="1"/>
  <c r="F207" i="3"/>
  <c r="E207" i="3"/>
  <c r="F206" i="3"/>
  <c r="E206" i="3"/>
  <c r="F205" i="3"/>
  <c r="E205" i="3"/>
  <c r="F204" i="3"/>
  <c r="E204" i="3"/>
  <c r="F202" i="3"/>
  <c r="E202" i="3"/>
  <c r="F201" i="3"/>
  <c r="E201" i="3"/>
  <c r="F200" i="3"/>
  <c r="E200" i="3"/>
  <c r="F199" i="3"/>
  <c r="E199" i="3"/>
  <c r="F197" i="3"/>
  <c r="E197" i="3"/>
  <c r="F196" i="3"/>
  <c r="E196" i="3"/>
  <c r="H196" i="3" s="1"/>
  <c r="F195" i="3"/>
  <c r="E195" i="3"/>
  <c r="H195" i="3" s="1"/>
  <c r="F194" i="3"/>
  <c r="E194" i="3"/>
  <c r="H194" i="3" s="1"/>
  <c r="F191" i="3"/>
  <c r="E191" i="3"/>
  <c r="F190" i="3"/>
  <c r="E190" i="3"/>
  <c r="F189" i="3"/>
  <c r="E189" i="3"/>
  <c r="F188" i="3"/>
  <c r="E188" i="3"/>
  <c r="H188" i="3" s="1"/>
  <c r="F185" i="3"/>
  <c r="E185" i="3"/>
  <c r="F184" i="3"/>
  <c r="E184" i="3"/>
  <c r="F183" i="3"/>
  <c r="E183" i="3"/>
  <c r="F182" i="3"/>
  <c r="E182" i="3"/>
  <c r="F179" i="3"/>
  <c r="E179" i="3"/>
  <c r="F178" i="3"/>
  <c r="E178" i="3"/>
  <c r="F177" i="3"/>
  <c r="E177" i="3"/>
  <c r="F176" i="3"/>
  <c r="E176" i="3"/>
  <c r="F173" i="3"/>
  <c r="E173" i="3"/>
  <c r="F172" i="3"/>
  <c r="E172" i="3"/>
  <c r="F171" i="3"/>
  <c r="E171" i="3"/>
  <c r="F170" i="3"/>
  <c r="E170" i="3"/>
  <c r="F167" i="3"/>
  <c r="E167" i="3"/>
  <c r="F166" i="3"/>
  <c r="E166" i="3"/>
  <c r="F165" i="3"/>
  <c r="E165" i="3"/>
  <c r="F164" i="3"/>
  <c r="E164" i="3"/>
  <c r="F162" i="3"/>
  <c r="E162" i="3"/>
  <c r="F161" i="3"/>
  <c r="E161" i="3"/>
  <c r="F160" i="3"/>
  <c r="E160" i="3"/>
  <c r="F159" i="3"/>
  <c r="E159" i="3"/>
  <c r="H159" i="3" s="1"/>
  <c r="H212" i="3"/>
  <c r="H211" i="3"/>
  <c r="H210" i="3"/>
  <c r="A210" i="3"/>
  <c r="A211" i="3" s="1"/>
  <c r="A212" i="3" s="1"/>
  <c r="H207" i="3"/>
  <c r="H206" i="3"/>
  <c r="A206" i="3"/>
  <c r="A207" i="3" s="1"/>
  <c r="H205" i="3"/>
  <c r="A205" i="3"/>
  <c r="H204" i="3"/>
  <c r="H202" i="3"/>
  <c r="H201" i="3"/>
  <c r="H200" i="3"/>
  <c r="A200" i="3"/>
  <c r="A201" i="3" s="1"/>
  <c r="A202" i="3" s="1"/>
  <c r="H199" i="3"/>
  <c r="H197" i="3"/>
  <c r="A195" i="3"/>
  <c r="A196" i="3" s="1"/>
  <c r="A197" i="3" s="1"/>
  <c r="H191" i="3"/>
  <c r="H190" i="3"/>
  <c r="H189" i="3"/>
  <c r="A189" i="3"/>
  <c r="A190" i="3" s="1"/>
  <c r="A191" i="3" s="1"/>
  <c r="H185" i="3"/>
  <c r="H184" i="3"/>
  <c r="A184" i="3"/>
  <c r="A185" i="3" s="1"/>
  <c r="H183" i="3"/>
  <c r="A183" i="3"/>
  <c r="H182" i="3"/>
  <c r="H179" i="3"/>
  <c r="H178" i="3"/>
  <c r="H177" i="3"/>
  <c r="A177" i="3"/>
  <c r="A178" i="3" s="1"/>
  <c r="A179" i="3" s="1"/>
  <c r="H176" i="3"/>
  <c r="H167" i="3"/>
  <c r="H166" i="3"/>
  <c r="H165" i="3"/>
  <c r="A165" i="3"/>
  <c r="A166" i="3" s="1"/>
  <c r="A167" i="3" s="1"/>
  <c r="H164" i="3"/>
  <c r="H162" i="3"/>
  <c r="H161" i="3"/>
  <c r="H160" i="3"/>
  <c r="A160" i="3"/>
  <c r="A161" i="3" s="1"/>
  <c r="A162" i="3" s="1"/>
  <c r="F155" i="3"/>
  <c r="E155" i="3"/>
  <c r="F154" i="3"/>
  <c r="E154" i="3"/>
  <c r="F150" i="3"/>
  <c r="E150" i="3"/>
  <c r="F149" i="3"/>
  <c r="E149" i="3"/>
  <c r="H155" i="3"/>
  <c r="A155" i="3"/>
  <c r="H154" i="3"/>
  <c r="H150" i="3"/>
  <c r="A150" i="3"/>
  <c r="H149" i="3"/>
  <c r="F135" i="3"/>
  <c r="E135" i="3"/>
  <c r="F134" i="3"/>
  <c r="E134" i="3"/>
  <c r="H135" i="3"/>
  <c r="A135" i="3"/>
  <c r="H134" i="3"/>
  <c r="H173" i="3"/>
  <c r="H172" i="3"/>
  <c r="H171" i="3"/>
  <c r="H170" i="3"/>
  <c r="A171" i="3"/>
  <c r="A172" i="3" s="1"/>
  <c r="A173" i="3" s="1"/>
  <c r="H53" i="3" l="1"/>
  <c r="C53" i="3"/>
  <c r="C17" i="3"/>
  <c r="D262" i="3" l="1"/>
  <c r="D260" i="3"/>
  <c r="H214" i="3"/>
  <c r="H215" i="3"/>
  <c r="H216" i="3"/>
  <c r="H217" i="3"/>
  <c r="H218" i="3"/>
  <c r="A6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248" i="3"/>
  <c r="H247" i="3"/>
  <c r="H246" i="3"/>
  <c r="H245" i="3"/>
  <c r="H244" i="3"/>
  <c r="H243" i="3"/>
  <c r="H242" i="3"/>
  <c r="H241" i="3"/>
  <c r="H239" i="3"/>
  <c r="H238" i="3"/>
  <c r="H237" i="3"/>
  <c r="H236" i="3"/>
  <c r="H235" i="3"/>
  <c r="H234" i="3"/>
  <c r="H233" i="3"/>
  <c r="H232" i="3"/>
  <c r="H230" i="3"/>
  <c r="H229" i="3"/>
  <c r="H228" i="3"/>
  <c r="H227" i="3"/>
  <c r="H226" i="3"/>
  <c r="H225" i="3"/>
  <c r="H224" i="3"/>
  <c r="H223" i="3"/>
  <c r="H219" i="3"/>
  <c r="H220" i="3"/>
  <c r="H221" i="3"/>
  <c r="G121" i="3" l="1"/>
  <c r="E121" i="3"/>
  <c r="A93" i="3"/>
  <c r="D94" i="3" s="1"/>
  <c r="J103" i="3" s="1"/>
  <c r="A77" i="3"/>
  <c r="D78" i="3" s="1"/>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8" i="3"/>
  <c r="F38" i="4" l="1"/>
  <c r="G38" i="4"/>
  <c r="E18" i="4"/>
  <c r="E15" i="4"/>
  <c r="E17" i="4"/>
  <c r="E11" i="4"/>
  <c r="K6" i="4"/>
  <c r="E9" i="4"/>
  <c r="K8" i="4"/>
  <c r="C7" i="4" s="1"/>
  <c r="E14" i="4"/>
  <c r="E12" i="4"/>
  <c r="E16" i="4"/>
  <c r="E10" i="4"/>
  <c r="K9" i="4"/>
  <c r="K10" i="4" s="1"/>
  <c r="K11" i="4" s="1"/>
  <c r="E13" i="4"/>
  <c r="K7" i="4"/>
  <c r="J87" i="3"/>
  <c r="J86" i="3"/>
  <c r="K12" i="4" l="1"/>
  <c r="K16" i="4" s="1"/>
  <c r="C8" i="4" s="1"/>
  <c r="E8" i="4" s="1"/>
  <c r="E7" i="4"/>
  <c r="A214" i="3"/>
  <c r="A215" i="3" s="1"/>
  <c r="A216" i="3" s="1"/>
  <c r="A217" i="3" s="1"/>
  <c r="A218" i="3" s="1"/>
  <c r="A219" i="3" s="1"/>
  <c r="A220" i="3" s="1"/>
  <c r="A221" i="3" s="1"/>
  <c r="F7" i="4" l="1"/>
  <c r="J4" i="4" s="1"/>
  <c r="H7" i="4" s="1"/>
  <c r="G4" i="3" l="1"/>
  <c r="H121" i="3" l="1"/>
  <c r="D261" i="3" l="1"/>
  <c r="G116" i="3"/>
  <c r="J71" i="3"/>
  <c r="J70" i="3"/>
  <c r="H62" i="3"/>
  <c r="J66" i="3" l="1"/>
  <c r="D71" i="3"/>
  <c r="D68" i="3"/>
  <c r="D66" i="3"/>
  <c r="J64" i="3"/>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D80" i="3" l="1"/>
  <c r="J84" i="3"/>
  <c r="J88" i="3"/>
  <c r="J85"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U223" i="3"/>
  <c r="V241" i="3"/>
  <c r="V232" i="3"/>
  <c r="V223" i="3"/>
  <c r="U232" i="3"/>
  <c r="U241" i="3"/>
  <c r="D64" i="3" l="1"/>
  <c r="E96" i="3"/>
  <c r="I93" i="3" s="1"/>
  <c r="G96" i="3" s="1"/>
  <c r="E64" i="3"/>
  <c r="G108" i="3" s="1"/>
  <c r="T241" i="3"/>
  <c r="U242" i="3"/>
  <c r="V242" i="3"/>
  <c r="V243" i="3" s="1"/>
  <c r="V244" i="3" s="1"/>
  <c r="V245" i="3" s="1"/>
  <c r="V246" i="3" s="1"/>
  <c r="V247" i="3" s="1"/>
  <c r="V248" i="3" s="1"/>
  <c r="T232" i="3"/>
  <c r="U233" i="3"/>
  <c r="V233" i="3"/>
  <c r="V234" i="3" s="1"/>
  <c r="V235" i="3" s="1"/>
  <c r="V236" i="3" s="1"/>
  <c r="V237" i="3" s="1"/>
  <c r="V238" i="3" s="1"/>
  <c r="V239" i="3" s="1"/>
  <c r="V224" i="3"/>
  <c r="V225" i="3" s="1"/>
  <c r="V226" i="3" s="1"/>
  <c r="V227" i="3" s="1"/>
  <c r="V228" i="3" s="1"/>
  <c r="V229" i="3" s="1"/>
  <c r="V230" i="3" s="1"/>
  <c r="U224" i="3"/>
  <c r="T223" i="3"/>
  <c r="D65" i="3" l="1"/>
  <c r="I61" i="3"/>
  <c r="G64" i="3" s="1"/>
  <c r="A241" i="3"/>
  <c r="A232" i="3"/>
  <c r="A223" i="3"/>
  <c r="T242" i="3"/>
  <c r="A242" i="3" s="1"/>
  <c r="U243" i="3"/>
  <c r="T243" i="3" s="1"/>
  <c r="T233" i="3"/>
  <c r="A233" i="3" s="1"/>
  <c r="U234" i="3"/>
  <c r="T234" i="3" s="1"/>
  <c r="U225" i="3"/>
  <c r="T224" i="3"/>
  <c r="A224" i="3" s="1"/>
  <c r="A243" i="3" l="1"/>
  <c r="A234" i="3"/>
  <c r="U244" i="3"/>
  <c r="T244" i="3" s="1"/>
  <c r="U235" i="3"/>
  <c r="T235" i="3" s="1"/>
  <c r="U226" i="3"/>
  <c r="T225" i="3"/>
  <c r="A225" i="3" s="1"/>
  <c r="A244" i="3" l="1"/>
  <c r="A235" i="3"/>
  <c r="U245" i="3"/>
  <c r="T245" i="3" s="1"/>
  <c r="U236" i="3"/>
  <c r="T236" i="3" s="1"/>
  <c r="U227" i="3"/>
  <c r="T226" i="3"/>
  <c r="A226" i="3" s="1"/>
  <c r="A245" i="3" l="1"/>
  <c r="A236" i="3"/>
  <c r="U246" i="3"/>
  <c r="T246" i="3" s="1"/>
  <c r="U237" i="3"/>
  <c r="T237" i="3" s="1"/>
  <c r="U228" i="3"/>
  <c r="T227" i="3"/>
  <c r="A227" i="3" s="1"/>
  <c r="A246" i="3" l="1"/>
  <c r="A237" i="3"/>
  <c r="U247" i="3"/>
  <c r="T247" i="3" s="1"/>
  <c r="U238" i="3"/>
  <c r="T238" i="3" s="1"/>
  <c r="U229" i="3"/>
  <c r="T228" i="3"/>
  <c r="A228" i="3" s="1"/>
  <c r="A247" i="3" l="1"/>
  <c r="A238" i="3"/>
  <c r="U248" i="3"/>
  <c r="T248" i="3" s="1"/>
  <c r="U239" i="3"/>
  <c r="T239" i="3" s="1"/>
  <c r="U230" i="3"/>
  <c r="T229" i="3"/>
  <c r="A229" i="3" s="1"/>
  <c r="A248" i="3" l="1"/>
  <c r="A239" i="3"/>
  <c r="T230" i="3"/>
  <c r="A230"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C20" authorId="0" shapeId="0">
      <text>
        <r>
          <rPr>
            <b/>
            <sz val="16"/>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<sst xmlns="http://schemas.openxmlformats.org/spreadsheetml/2006/main" count="722" uniqueCount="386">
  <si>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</si>
  <si>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</si>
  <si>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</si>
  <si>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</si>
  <si>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</si>
  <si>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</si>
  <si>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</si>
  <si>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</si>
  <si>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</si>
  <si>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</si>
  <si>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</si>
  <si>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</si>
  <si>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</si>
  <si>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</si>
  <si>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</si>
  <si>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</si>
  <si>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</si>
  <si>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</si>
  <si>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</si>
  <si>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</si>
  <si>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</si>
  <si>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</si>
  <si>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</si>
  <si>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</si>
  <si>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</si>
  <si>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</si>
  <si>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</si>
  <si>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</si>
  <si>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</si>
  <si>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</si>
  <si>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</si>
  <si>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</si>
  <si>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</si>
  <si>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</si>
  <si>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</si>
  <si>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</si>
  <si>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</si>
  <si>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</si>
  <si>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</si>
  <si>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</si>
  <si>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</si>
  <si>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</si>
  <si>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</si>
  <si>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</si>
  <si>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</si>
  <si>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</si>
  <si>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</si>
  <si>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</si>
  <si>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</si>
  <si>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</si>
  <si>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</si>
  <si>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</si>
  <si>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</si>
  <si>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</si>
  <si>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</si>
  <si>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</si>
  <si>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</si>
  <si>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</si>
  <si>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</si>
  <si>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</si>
  <si>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</si>
  <si>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</si>
  <si>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</si>
  <si>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</si>
  <si>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</si>
  <si>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</si>
  <si>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</si>
  <si>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</si>
  <si>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</si>
  <si>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</si>
  <si>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</si>
  <si>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</si>
  <si>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</si>
  <si>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</si>
  <si>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</si>
  <si>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</si>
  <si>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</si>
  <si>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</si>
  <si>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</si>
  <si>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</si>
  <si>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</si>
  <si>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</si>
  <si>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</si>
  <si>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</si>
  <si>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</si>
  <si>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</si>
  <si>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</si>
  <si>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</si>
  <si>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</si>
  <si>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</si>
  <si>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</si>
  <si>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</si>
  <si>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</si>
  <si>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</si>
  <si>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</si>
  <si>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</si>
  <si>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</si>
  <si>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</si>
  <si>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</si>
  <si>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</si>
  <si>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</si>
  <si>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</si>
  <si>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</si>
  <si>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</si>
  <si>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</si>
  <si>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</si>
  <si>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</si>
  <si>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</si>
  <si>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</si>
  <si>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</si>
  <si>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</si>
  <si>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</si>
  <si>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</si>
  <si>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</si>
  <si>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</si>
  <si>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</si>
  <si>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</si>
  <si>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</si>
  <si>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</si>
  <si>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</si>
  <si>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</si>
  <si>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</si>
  <si>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</si>
  <si>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</si>
  <si>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</si>
  <si>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</si>
  <si>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</si>
  <si>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</si>
  <si>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</si>
  <si>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</si>
  <si>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</si>
  <si>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</si>
  <si>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</si>
  <si>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</si>
  <si>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</si>
  <si>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</si>
  <si>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</si>
  <si>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</si>
  <si>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</si>
  <si>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</si>
  <si>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</si>
  <si>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</si>
  <si>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</si>
  <si>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</si>
  <si>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</si>
  <si>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</si>
  <si>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</si>
  <si>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</si>
  <si>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</si>
  <si>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</si>
  <si>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</si>
  <si>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</si>
  <si>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</si>
  <si>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</si>
  <si>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</si>
  <si>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</si>
  <si>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</si>
  <si>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</si>
  <si>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</si>
  <si>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</si>
  <si>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</si>
  <si>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</si>
  <si>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</si>
  <si>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</si>
  <si>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</si>
  <si>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</si>
  <si>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</si>
  <si>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</si>
  <si>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</si>
  <si>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</si>
  <si>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</si>
  <si>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</si>
  <si>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</si>
  <si>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</si>
  <si>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</si>
  <si>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</si>
  <si>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</si>
  <si>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</si>
  <si>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</si>
  <si>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</si>
  <si>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</si>
  <si>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</si>
  <si>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</si>
  <si>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</si>
  <si>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</si>
  <si>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</si>
  <si>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</si>
  <si>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</si>
  <si>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</si>
  <si>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</si>
  <si>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</si>
  <si>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</si>
  <si>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</si>
  <si>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</si>
  <si>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</si>
  <si>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</si>
  <si>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</si>
  <si>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</si>
  <si>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</si>
  <si>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</si>
  <si>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</si>
  <si>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</si>
  <si>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</si>
  <si>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</si>
  <si>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</si>
  <si>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</si>
  <si>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</si>
  <si>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</si>
  <si>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</si>
  <si>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</si>
  <si>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</si>
  <si>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</si>
  <si>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</si>
  <si>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</si>
  <si>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</si>
  <si>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</si>
  <si>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</si>
  <si>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</si>
  <si>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</si>
  <si>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</si>
  <si>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</si>
  <si>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</si>
  <si>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</si>
  <si>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</si>
  <si>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</si>
  <si>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</si>
  <si>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</si>
  <si>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</si>
  <si>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</si>
  <si>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</si>
  <si>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</si>
  <si>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</si>
  <si>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</si>
  <si>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</si>
  <si>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</si>
  <si>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</si>
  <si>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</si>
  <si>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</si>
  <si>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</si>
  <si>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</si>
  <si>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</si>
  <si>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</si>
  <si>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9m</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</si>
  <si>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</si>
  <si>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</si>
  <si>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</si>
  <si>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</si>
  <si>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</si>
  <si>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</si>
  <si>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</si>
  <si>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</si>
  <si>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</si>
  <si>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</si>
  <si>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</si>
  <si>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</si>
  <si>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</si>
  <si>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</si>
  <si>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</si>
  <si>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</si>
  <si>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</si>
  <si>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</si>
  <si>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</si>
  <si>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</si>
  <si>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</si>
  <si>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</si>
  <si>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</si>
  <si>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</si>
  <si>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</si>
  <si>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</si>
  <si>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</si>
  <si>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</si>
  <si>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</si>
  <si>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</si>
  <si>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</si>
  <si>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</si>
  <si>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</si>
  <si>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</si>
  <si>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</si>
  <si>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</si>
  <si>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</si>
  <si>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</si>
  <si>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</si>
  <si>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</si>
  <si>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</si>
  <si>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</si>
  <si>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</si>
  <si>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</si>
  <si>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</si>
  <si>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</si>
  <si>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</si>
  <si>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</si>
  <si>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</si>
  <si>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</si>
  <si>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</si>
  <si>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</si>
  <si>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</si>
  <si>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</si>
  <si>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</si>
  <si>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</si>
  <si>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</si>
  <si>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</si>
  <si>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</si>
  <si>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</si>
  <si>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</si>
  <si>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</si>
  <si>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</si>
  <si>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</si>
  <si>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Upper</t>
  </si>
  <si>
    <t>Bitumen</t>
  </si>
  <si>
    <t>7 RCC
3Brick 
2 plaster</t>
  </si>
  <si>
    <t>Mahindra Marina64 - Phase 1</t>
  </si>
  <si>
    <t>Mr. Atul Malusare- 9029015131</t>
  </si>
  <si>
    <t>Ms Tanvi</t>
  </si>
  <si>
    <t>Mahindra Lifespace Developers limited</t>
  </si>
  <si>
    <t>5th Floor, Mahindra Towers, Near Doordarshan, Dr. GM Bhosale Road, Worli, Mumbai - 400018</t>
  </si>
  <si>
    <t>as per RERa</t>
  </si>
  <si>
    <t>Mahindra Marina64 - Phase 1, 2/11 at Malad, Borivali, Mumbai Suburban, 400064</t>
  </si>
  <si>
    <t>Proposed Redevelopment On Plot Bearing Cts No 2/11 of Village Malad-South, Near Liberty Garden, Malad West, Mumbai In P/North Ward</t>
  </si>
  <si>
    <t>Mahindra Marina64 - Phase 1, CTS No.2/11, Redevelopment of " The Nau
Sanrakshan Co-Operative Housing Society Limited ", near Rishab Jay Amrat
Society, Navy Nagar Road, NSC Colony, Malad South, Malad West, Borivali,
Mumbai - 400064.</t>
  </si>
  <si>
    <t>Approved Layout &amp; Floor Plans, CC, RERA certificate, Fire NOC, Airport Noc</t>
  </si>
  <si>
    <t>Municipal Corporation of Greater Mumbai (MCGM)</t>
  </si>
  <si>
    <t>PR1181012500087</t>
  </si>
  <si>
    <t>Sale Flat - 30, Rehab Flat - 32</t>
  </si>
  <si>
    <t>As per RERA Site Flats = 46</t>
  </si>
  <si>
    <t>19.1862038,72.8391221</t>
  </si>
  <si>
    <t>Rishab Jay Amrat Society</t>
  </si>
  <si>
    <t>https://maps.app.goo.gl/rTf5fY5f7mJXgf2D9</t>
  </si>
  <si>
    <t xml:space="preserve">Kids Play Area, Temple, Sports Court, Swimming Pool,
Multipurpose Hall etc. </t>
  </si>
  <si>
    <t>0.15 KM from Navy Nagar (Malad-W) Bus Stop</t>
  </si>
  <si>
    <t>About 0.9KM from Rejoice International School</t>
  </si>
  <si>
    <t>About 1.4K from Criticare Asia Multispeciality Hospital</t>
  </si>
  <si>
    <t>1. Approx. 0.5KM from
Reliance SMART superstore  .
2. Approx. 1KM from DMart.</t>
  </si>
  <si>
    <t>2.1KM from Malad Railway Station
3KM from Kandivali Railway Station</t>
  </si>
  <si>
    <t>Open Plot</t>
  </si>
  <si>
    <t>Navy Nagar Road</t>
  </si>
  <si>
    <t>Rishab Jay Amrat</t>
  </si>
  <si>
    <t>CTS No.2/7B</t>
  </si>
  <si>
    <t>9.14 M Wide Internal Road</t>
  </si>
  <si>
    <t>CTS No.227</t>
  </si>
  <si>
    <t>Tower G</t>
  </si>
  <si>
    <t>B + G + 1st to 18th Floor</t>
  </si>
  <si>
    <t>B + G + 1st to 22nd Floor</t>
  </si>
  <si>
    <t>Sale + Rehab</t>
  </si>
  <si>
    <t>P-19621/2023/(2/11)/P/N Ward/Malad
South/337/1/Amend</t>
  </si>
  <si>
    <t>P-19621/2023/(2/11)/P/N Ward/Malad
South/CC/1/Amend</t>
  </si>
  <si>
    <t>The first C.C. is re-endorsed for the work up to top of plinth level only for the portion marked on attached plan (i.e.hatched portion marked ‘A’ to ‘X-1’), as per Approved Amended plans dt.25.06.2025.</t>
  </si>
  <si>
    <t>Basement Floor For Pump Room, Flushing Tank, Rain Water Tank, Fire Tank, Domestic Tank</t>
  </si>
  <si>
    <t>Ground Floor For Parking, Entrance Lobby, DG Room, Substation Room, Meter Room, Society Office &amp; DG Room</t>
  </si>
  <si>
    <t>Podium Parking</t>
  </si>
  <si>
    <t>2BHK</t>
  </si>
  <si>
    <t>4th Floor For Residential &amp; Podium Parking</t>
  </si>
  <si>
    <t>5th Floor For Residential &amp; Part Fitness Center &amp; RG Area</t>
  </si>
  <si>
    <t>Fitness Center &amp; RG Area</t>
  </si>
  <si>
    <t>6th Floor For Residential</t>
  </si>
  <si>
    <t>Rehab</t>
  </si>
  <si>
    <t>7th &amp; 15th Floor For Part Refuge Area @ Mid Landing</t>
  </si>
  <si>
    <t>3BHK</t>
  </si>
  <si>
    <t>Refuge Area @ Mid Landing</t>
  </si>
  <si>
    <t>9th, Floor For Part Refuge Area @ Mid Landing</t>
  </si>
  <si>
    <t>11th Floor For Part Refuge Area @ Mid Landing</t>
  </si>
  <si>
    <t>13th Floor For Part Refuge Area @ Mid Landing</t>
  </si>
  <si>
    <t>17th Floor For Part Refuge Area @ Mid Landing</t>
  </si>
  <si>
    <t xml:space="preserve">8th &amp; 10th Floor </t>
  </si>
  <si>
    <t xml:space="preserve">12th &amp; 16th Floor </t>
  </si>
  <si>
    <t xml:space="preserve">14th Floor </t>
  </si>
  <si>
    <t xml:space="preserve">18th Floor </t>
  </si>
  <si>
    <t>Tower G Flats</t>
  </si>
  <si>
    <t xml:space="preserve">We considered Gross carpet area = Net carpet + Deck Area.
</t>
  </si>
  <si>
    <t>Deck Area</t>
  </si>
  <si>
    <t>KOTAK MAHINDRA BANK LIMITED
IFSC Code - KKBK0000958</t>
  </si>
  <si>
    <t>13/08/2025 at 02:03PM</t>
  </si>
  <si>
    <t>Demolition work completed. Plot Clearing work in process</t>
  </si>
  <si>
    <t>As per RERA 1st arch letter</t>
  </si>
  <si>
    <t>GHF Thane</t>
  </si>
  <si>
    <t>Airport Noc 
Valid Upto :</t>
  </si>
  <si>
    <t>JUHU/WEST/B/061623/763692
Site Elevation (AMSL) = 4.92 M
Permissible Top Elevation (AMSL) = 193.94 M</t>
  </si>
  <si>
    <t xml:space="preserve">Date: 
Valid Upto
Date:
</t>
  </si>
  <si>
    <t>12/07/2023
11/07/2031</t>
  </si>
  <si>
    <t>Fire NOC
Valid Upto :</t>
  </si>
  <si>
    <t>P-19621/2023/(2/11)/P/N Ward/Malad SouthCFO/1/New
B + G + 1st to 22nd Floor (Total Height = 69.95 Mtrs)</t>
  </si>
  <si>
    <t>30000 to 31000</t>
  </si>
  <si>
    <t>2nd Floor For Residential &amp; Podium Parking</t>
  </si>
  <si>
    <t>3rd Floor For Residential &amp; Podium Parking</t>
  </si>
  <si>
    <t>1st Floor For Residential &amp; Podium Parking</t>
  </si>
  <si>
    <t>We have referred latest approved CC from MCGM Portal on 13/08/2025.</t>
  </si>
  <si>
    <t>Mr.Roshan Kudalkar</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</si>
</sst>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s>
  <cellStyleXfs count="3">
    <xf numFmtId="0" fontId="0" fillId="0" borderId="0"/>
    <xf numFmtId="0" fontId="1" fillId="0" borderId="0"/>
    <xf numFmtId="0" fontId="25" fillId="0" borderId="0" applyNumberFormat="0" applyFill="0" applyBorder="0" applyAlignment="0" applyProtection="0"/>
  </cellStyleXfs>
  <cellXfs count="20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2" fillId="0" borderId="1" xfId="0" applyFont="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0" fontId="5" fillId="4" borderId="1" xfId="1" applyFont="1" applyFill="1" applyBorder="1" applyAlignment="1">
      <alignment horizontal="center" vertical="center" wrapText="1"/>
    </xf>
    <xf numFmtId="1" fontId="8" fillId="0" borderId="1"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9" fillId="0" borderId="0" xfId="0" applyFont="1" applyAlignment="1">
      <alignmen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6" fillId="4" borderId="1" xfId="2"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7" fontId="3"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5" xfId="0"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3" fillId="4" borderId="2" xfId="0" applyFont="1" applyFill="1" applyBorder="1" applyAlignment="1">
      <alignment horizontal="left" vertical="top"/>
    </xf>
    <xf numFmtId="0" fontId="3" fillId="4" borderId="5" xfId="0" applyFont="1" applyFill="1" applyBorder="1" applyAlignment="1">
      <alignment horizontal="left" vertical="top"/>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367393</xdr:colOff>
      <xdr:row>8</xdr:row>
      <xdr:rowOff>149679</xdr:rowOff>
    </xdr:from>
    <xdr:to>
      <xdr:col>18</xdr:col>
      <xdr:colOff>171172</xdr:colOff>
      <xdr:row>10</xdr:row>
      <xdr:rowOff>466883</xdr:rowOff>
    </xdr:to>
    <xdr:pic>
      <xdr:nvPicPr>
        <xdr:cNvPr id="2" name="Picture 1">
          <a:extLst>
            <a:ext uri="{FF2B5EF4-FFF2-40B4-BE49-F238E27FC236}">
              <a16:creationId xmlns:a16="http://schemas.microsoft.com/office/drawing/2014/main" xmlns="" id="{DF554B2C-9375-4D9F-A853-9C9DFDB2DBE6}"/>
            </a:ext>
          </a:extLst>
        </xdr:cNvPr>
        <xdr:cNvPicPr>
          <a:picLocks noChangeAspect="1"/>
        </xdr:cNvPicPr>
      </xdr:nvPicPr>
      <xdr:blipFill>
        <a:blip xmlns:r="http://schemas.openxmlformats.org/officeDocument/2006/relationships" r:embed="rId1"/>
        <a:stretch>
          <a:fillRect/>
        </a:stretch>
      </xdr:blipFill>
      <xdr:spPr>
        <a:xfrm>
          <a:off x="9729107" y="4068536"/>
          <a:ext cx="7763958" cy="1133633"/>
        </a:xfrm>
        <a:prstGeom prst="rect">
          <a:avLst/>
        </a:prstGeom>
      </xdr:spPr>
    </xdr:pic>
    <xdr:clientData/>
  </xdr:twoCellAnchor>
  <xdr:twoCellAnchor editAs="oneCell">
    <xdr:from>
      <xdr:col>8</xdr:col>
      <xdr:colOff>462643</xdr:colOff>
      <xdr:row>18</xdr:row>
      <xdr:rowOff>122464</xdr:rowOff>
    </xdr:from>
    <xdr:to>
      <xdr:col>25</xdr:col>
      <xdr:colOff>217772</xdr:colOff>
      <xdr:row>22</xdr:row>
      <xdr:rowOff>200332</xdr:rowOff>
    </xdr:to>
    <xdr:pic>
      <xdr:nvPicPr>
        <xdr:cNvPr id="3" name="Picture 2">
          <a:extLst>
            <a:ext uri="{FF2B5EF4-FFF2-40B4-BE49-F238E27FC236}">
              <a16:creationId xmlns:a16="http://schemas.microsoft.com/office/drawing/2014/main" xmlns="" id="{CFAC2621-EF0A-4788-A839-646C8A09F0E3}"/>
            </a:ext>
          </a:extLst>
        </xdr:cNvPr>
        <xdr:cNvPicPr>
          <a:picLocks noChangeAspect="1"/>
        </xdr:cNvPicPr>
      </xdr:nvPicPr>
      <xdr:blipFill>
        <a:blip xmlns:r="http://schemas.openxmlformats.org/officeDocument/2006/relationships" r:embed="rId2"/>
        <a:stretch>
          <a:fillRect/>
        </a:stretch>
      </xdr:blipFill>
      <xdr:spPr>
        <a:xfrm>
          <a:off x="9824357" y="9783535"/>
          <a:ext cx="10164594" cy="2200582"/>
        </a:xfrm>
        <a:prstGeom prst="rect">
          <a:avLst/>
        </a:prstGeom>
      </xdr:spPr>
    </xdr:pic>
    <xdr:clientData/>
  </xdr:twoCellAnchor>
  <xdr:twoCellAnchor editAs="oneCell">
    <xdr:from>
      <xdr:col>8</xdr:col>
      <xdr:colOff>299357</xdr:colOff>
      <xdr:row>49</xdr:row>
      <xdr:rowOff>163287</xdr:rowOff>
    </xdr:from>
    <xdr:to>
      <xdr:col>17</xdr:col>
      <xdr:colOff>382037</xdr:colOff>
      <xdr:row>52</xdr:row>
      <xdr:rowOff>517311</xdr:rowOff>
    </xdr:to>
    <xdr:pic>
      <xdr:nvPicPr>
        <xdr:cNvPr id="4" name="Picture 3">
          <a:extLst>
            <a:ext uri="{FF2B5EF4-FFF2-40B4-BE49-F238E27FC236}">
              <a16:creationId xmlns:a16="http://schemas.microsoft.com/office/drawing/2014/main" xmlns="" id="{868A4B55-A4D7-4641-A70B-4D76BF24B086}"/>
            </a:ext>
          </a:extLst>
        </xdr:cNvPr>
        <xdr:cNvPicPr>
          <a:picLocks noChangeAspect="1"/>
        </xdr:cNvPicPr>
      </xdr:nvPicPr>
      <xdr:blipFill>
        <a:blip xmlns:r="http://schemas.openxmlformats.org/officeDocument/2006/relationships" r:embed="rId3"/>
        <a:stretch>
          <a:fillRect/>
        </a:stretch>
      </xdr:blipFill>
      <xdr:spPr>
        <a:xfrm>
          <a:off x="9661071" y="21825858"/>
          <a:ext cx="7430537" cy="1714739"/>
        </a:xfrm>
        <a:prstGeom prst="rect">
          <a:avLst/>
        </a:prstGeom>
      </xdr:spPr>
    </xdr:pic>
    <xdr:clientData/>
  </xdr:twoCellAnchor>
  <xdr:twoCellAnchor editAs="oneCell">
    <xdr:from>
      <xdr:col>10</xdr:col>
      <xdr:colOff>149679</xdr:colOff>
      <xdr:row>53</xdr:row>
      <xdr:rowOff>435426</xdr:rowOff>
    </xdr:from>
    <xdr:to>
      <xdr:col>23</xdr:col>
      <xdr:colOff>399578</xdr:colOff>
      <xdr:row>59</xdr:row>
      <xdr:rowOff>103861</xdr:rowOff>
    </xdr:to>
    <xdr:pic>
      <xdr:nvPicPr>
        <xdr:cNvPr id="5" name="Picture 4">
          <a:extLst>
            <a:ext uri="{FF2B5EF4-FFF2-40B4-BE49-F238E27FC236}">
              <a16:creationId xmlns:a16="http://schemas.microsoft.com/office/drawing/2014/main" xmlns="" id="{4870152E-1C8A-48CC-9E98-022B7F713412}"/>
            </a:ext>
          </a:extLst>
        </xdr:cNvPr>
        <xdr:cNvPicPr>
          <a:picLocks noChangeAspect="1"/>
        </xdr:cNvPicPr>
      </xdr:nvPicPr>
      <xdr:blipFill>
        <a:blip xmlns:r="http://schemas.openxmlformats.org/officeDocument/2006/relationships" r:embed="rId4"/>
        <a:stretch>
          <a:fillRect/>
        </a:stretch>
      </xdr:blipFill>
      <xdr:spPr>
        <a:xfrm>
          <a:off x="12573000" y="24016605"/>
          <a:ext cx="6373114" cy="3219899"/>
        </a:xfrm>
        <a:prstGeom prst="rect">
          <a:avLst/>
        </a:prstGeom>
      </xdr:spPr>
    </xdr:pic>
    <xdr:clientData/>
  </xdr:twoCellAnchor>
  <xdr:twoCellAnchor editAs="oneCell">
    <xdr:from>
      <xdr:col>8</xdr:col>
      <xdr:colOff>530678</xdr:colOff>
      <xdr:row>61</xdr:row>
      <xdr:rowOff>149680</xdr:rowOff>
    </xdr:from>
    <xdr:to>
      <xdr:col>16</xdr:col>
      <xdr:colOff>349257</xdr:colOff>
      <xdr:row>68</xdr:row>
      <xdr:rowOff>232953</xdr:rowOff>
    </xdr:to>
    <xdr:pic>
      <xdr:nvPicPr>
        <xdr:cNvPr id="6" name="Picture 5">
          <a:extLst>
            <a:ext uri="{FF2B5EF4-FFF2-40B4-BE49-F238E27FC236}">
              <a16:creationId xmlns:a16="http://schemas.microsoft.com/office/drawing/2014/main" xmlns="" id="{39127FB3-5BD3-4929-A0FD-CAEAD9AE260E}"/>
            </a:ext>
          </a:extLst>
        </xdr:cNvPr>
        <xdr:cNvPicPr>
          <a:picLocks noChangeAspect="1"/>
        </xdr:cNvPicPr>
      </xdr:nvPicPr>
      <xdr:blipFill>
        <a:blip xmlns:r="http://schemas.openxmlformats.org/officeDocument/2006/relationships" r:embed="rId5"/>
        <a:stretch>
          <a:fillRect/>
        </a:stretch>
      </xdr:blipFill>
      <xdr:spPr>
        <a:xfrm>
          <a:off x="9892392" y="29337001"/>
          <a:ext cx="6554115" cy="1933845"/>
        </a:xfrm>
        <a:prstGeom prst="rect">
          <a:avLst/>
        </a:prstGeom>
      </xdr:spPr>
    </xdr:pic>
    <xdr:clientData/>
  </xdr:twoCellAnchor>
  <xdr:twoCellAnchor>
    <xdr:from>
      <xdr:col>0</xdr:col>
      <xdr:colOff>1061357</xdr:colOff>
      <xdr:row>307</xdr:row>
      <xdr:rowOff>204107</xdr:rowOff>
    </xdr:from>
    <xdr:to>
      <xdr:col>7</xdr:col>
      <xdr:colOff>108857</xdr:colOff>
      <xdr:row>349</xdr:row>
      <xdr:rowOff>81643</xdr:rowOff>
    </xdr:to>
    <xdr:grpSp>
      <xdr:nvGrpSpPr>
        <xdr:cNvPr id="7" name="Group 6">
          <a:extLst>
            <a:ext uri="{FF2B5EF4-FFF2-40B4-BE49-F238E27FC236}">
              <a16:creationId xmlns:a16="http://schemas.microsoft.com/office/drawing/2014/main" xmlns="" id="{D1164210-5957-411F-AACD-F28A9D12935C}"/>
            </a:ext>
          </a:extLst>
        </xdr:cNvPr>
        <xdr:cNvGrpSpPr/>
      </xdr:nvGrpSpPr>
      <xdr:grpSpPr>
        <a:xfrm>
          <a:off x="1061357" y="73573821"/>
          <a:ext cx="7239000" cy="10736036"/>
          <a:chOff x="1043401" y="285205"/>
          <a:chExt cx="4201953" cy="8339038"/>
        </a:xfrm>
      </xdr:grpSpPr>
      <xdr:pic>
        <xdr:nvPicPr>
          <xdr:cNvPr id="8" name="Picture 7">
            <a:extLst>
              <a:ext uri="{FF2B5EF4-FFF2-40B4-BE49-F238E27FC236}">
                <a16:creationId xmlns:a16="http://schemas.microsoft.com/office/drawing/2014/main" xmlns="" id="{C344BFE7-1F69-4AE5-BB04-DE4E8FA8B9EB}"/>
              </a:ext>
            </a:extLst>
          </xdr:cNvPr>
          <xdr:cNvPicPr>
            <a:picLocks noChangeAspect="1"/>
          </xdr:cNvPicPr>
        </xdr:nvPicPr>
        <xdr:blipFill>
          <a:blip xmlns:r="http://schemas.openxmlformats.org/officeDocument/2006/relationships" r:embed="rId6"/>
          <a:stretch>
            <a:fillRect/>
          </a:stretch>
        </xdr:blipFill>
        <xdr:spPr>
          <a:xfrm>
            <a:off x="1043401" y="285205"/>
            <a:ext cx="4201953" cy="5194222"/>
          </a:xfrm>
          <a:prstGeom prst="rect">
            <a:avLst/>
          </a:prstGeom>
          <a:ln>
            <a:solidFill>
              <a:schemeClr val="tx1"/>
            </a:solidFill>
          </a:ln>
        </xdr:spPr>
      </xdr:pic>
      <xdr:pic>
        <xdr:nvPicPr>
          <xdr:cNvPr id="9" name="Picture 8">
            <a:extLst>
              <a:ext uri="{FF2B5EF4-FFF2-40B4-BE49-F238E27FC236}">
                <a16:creationId xmlns:a16="http://schemas.microsoft.com/office/drawing/2014/main" xmlns="" id="{62DB123E-6B57-45C7-B6A3-40C124F82DFD}"/>
              </a:ext>
            </a:extLst>
          </xdr:cNvPr>
          <xdr:cNvPicPr>
            <a:picLocks noChangeAspect="1"/>
          </xdr:cNvPicPr>
        </xdr:nvPicPr>
        <xdr:blipFill>
          <a:blip xmlns:r="http://schemas.openxmlformats.org/officeDocument/2006/relationships" r:embed="rId7"/>
          <a:stretch>
            <a:fillRect/>
          </a:stretch>
        </xdr:blipFill>
        <xdr:spPr>
          <a:xfrm>
            <a:off x="2138485" y="5605185"/>
            <a:ext cx="1895088" cy="3019058"/>
          </a:xfrm>
          <a:prstGeom prst="rect">
            <a:avLst/>
          </a:prstGeom>
          <a:ln>
            <a:solidFill>
              <a:schemeClr val="tx1"/>
            </a:solidFill>
          </a:ln>
        </xdr:spPr>
      </xdr:pic>
    </xdr:grpSp>
    <xdr:clientData/>
  </xdr:twoCellAnchor>
  <xdr:twoCellAnchor>
    <xdr:from>
      <xdr:col>1</xdr:col>
      <xdr:colOff>1143000</xdr:colOff>
      <xdr:row>357</xdr:row>
      <xdr:rowOff>217715</xdr:rowOff>
    </xdr:from>
    <xdr:to>
      <xdr:col>5</xdr:col>
      <xdr:colOff>830037</xdr:colOff>
      <xdr:row>385</xdr:row>
      <xdr:rowOff>81643</xdr:rowOff>
    </xdr:to>
    <xdr:grpSp>
      <xdr:nvGrpSpPr>
        <xdr:cNvPr id="10" name="Group 9">
          <a:extLst>
            <a:ext uri="{FF2B5EF4-FFF2-40B4-BE49-F238E27FC236}">
              <a16:creationId xmlns:a16="http://schemas.microsoft.com/office/drawing/2014/main" xmlns="" id="{7D5B7717-181E-4629-B318-6E22E33C42DD}"/>
            </a:ext>
          </a:extLst>
        </xdr:cNvPr>
        <xdr:cNvGrpSpPr/>
      </xdr:nvGrpSpPr>
      <xdr:grpSpPr>
        <a:xfrm>
          <a:off x="2313214" y="86514215"/>
          <a:ext cx="4367894" cy="7102928"/>
          <a:chOff x="1083673" y="324269"/>
          <a:chExt cx="4685327" cy="8091701"/>
        </a:xfrm>
      </xdr:grpSpPr>
      <xdr:pic>
        <xdr:nvPicPr>
          <xdr:cNvPr id="11" name="Picture 10">
            <a:extLst>
              <a:ext uri="{FF2B5EF4-FFF2-40B4-BE49-F238E27FC236}">
                <a16:creationId xmlns:a16="http://schemas.microsoft.com/office/drawing/2014/main" xmlns="" id="{CDEA236D-5B91-4B1C-8710-CB4363CF116E}"/>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1083673" y="324269"/>
            <a:ext cx="4675414" cy="3960000"/>
          </a:xfrm>
          <a:prstGeom prst="rect">
            <a:avLst/>
          </a:prstGeom>
          <a:ln>
            <a:solidFill>
              <a:schemeClr val="tx1"/>
            </a:solidFill>
          </a:ln>
        </xdr:spPr>
      </xdr:pic>
      <xdr:grpSp>
        <xdr:nvGrpSpPr>
          <xdr:cNvPr id="12" name="Group 11">
            <a:extLst>
              <a:ext uri="{FF2B5EF4-FFF2-40B4-BE49-F238E27FC236}">
                <a16:creationId xmlns:a16="http://schemas.microsoft.com/office/drawing/2014/main" xmlns="" id="{C164DB4A-B366-4D37-B871-48500A521AB4}"/>
              </a:ext>
            </a:extLst>
          </xdr:cNvPr>
          <xdr:cNvGrpSpPr/>
        </xdr:nvGrpSpPr>
        <xdr:grpSpPr>
          <a:xfrm>
            <a:off x="1089000" y="4455970"/>
            <a:ext cx="4680000" cy="3960000"/>
            <a:chOff x="896815" y="4614232"/>
            <a:chExt cx="4680000" cy="3960000"/>
          </a:xfrm>
        </xdr:grpSpPr>
        <xdr:pic>
          <xdr:nvPicPr>
            <xdr:cNvPr id="13" name="Picture 12">
              <a:extLst>
                <a:ext uri="{FF2B5EF4-FFF2-40B4-BE49-F238E27FC236}">
                  <a16:creationId xmlns:a16="http://schemas.microsoft.com/office/drawing/2014/main" xmlns="" id="{54CF75A0-C3F6-476F-B24A-24F990F807BA}"/>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896815" y="4614232"/>
              <a:ext cx="4680000" cy="3960000"/>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xmlns="" id="{B5BFCE97-A7E3-4096-A440-467E4873EC1C}"/>
                </a:ext>
              </a:extLst>
            </xdr:cNvPr>
            <xdr:cNvSpPr/>
          </xdr:nvSpPr>
          <xdr:spPr>
            <a:xfrm>
              <a:off x="2819400" y="6004560"/>
              <a:ext cx="1203960" cy="187451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TextBox 18">
              <a:extLst>
                <a:ext uri="{FF2B5EF4-FFF2-40B4-BE49-F238E27FC236}">
                  <a16:creationId xmlns:a16="http://schemas.microsoft.com/office/drawing/2014/main" xmlns="" id="{6864C06D-5F1E-4A70-90FB-5A384C85CF8A}"/>
                </a:ext>
              </a:extLst>
            </xdr:cNvPr>
            <xdr:cNvSpPr txBox="1"/>
          </xdr:nvSpPr>
          <xdr:spPr>
            <a:xfrm>
              <a:off x="1932367" y="5504965"/>
              <a:ext cx="3396314" cy="40759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FF00"/>
                  </a:solidFill>
                  <a:latin typeface="Times New Roman" panose="02020603050405020304" pitchFamily="18" charset="0"/>
                  <a:cs typeface="Times New Roman" panose="02020603050405020304" pitchFamily="18" charset="0"/>
                </a:rPr>
                <a:t>Mahindra Marina64 - Phase 1</a:t>
              </a:r>
            </a:p>
          </xdr:txBody>
        </xdr:sp>
      </xdr:grpSp>
    </xdr:grpSp>
    <xdr:clientData/>
  </xdr:twoCellAnchor>
  <xdr:twoCellAnchor editAs="oneCell">
    <xdr:from>
      <xdr:col>8</xdr:col>
      <xdr:colOff>544286</xdr:colOff>
      <xdr:row>107</xdr:row>
      <xdr:rowOff>190500</xdr:rowOff>
    </xdr:from>
    <xdr:to>
      <xdr:col>23</xdr:col>
      <xdr:colOff>47476</xdr:colOff>
      <xdr:row>123</xdr:row>
      <xdr:rowOff>93026</xdr:rowOff>
    </xdr:to>
    <xdr:pic>
      <xdr:nvPicPr>
        <xdr:cNvPr id="16" name="Picture 15">
          <a:extLst>
            <a:ext uri="{FF2B5EF4-FFF2-40B4-BE49-F238E27FC236}">
              <a16:creationId xmlns:a16="http://schemas.microsoft.com/office/drawing/2014/main" xmlns="" id="{378650C6-9C8C-418F-8F35-213ACE10B09D}"/>
            </a:ext>
          </a:extLst>
        </xdr:cNvPr>
        <xdr:cNvPicPr>
          <a:picLocks noChangeAspect="1"/>
        </xdr:cNvPicPr>
      </xdr:nvPicPr>
      <xdr:blipFill>
        <a:blip xmlns:r="http://schemas.openxmlformats.org/officeDocument/2006/relationships" r:embed="rId10"/>
        <a:stretch>
          <a:fillRect/>
        </a:stretch>
      </xdr:blipFill>
      <xdr:spPr>
        <a:xfrm>
          <a:off x="9906000" y="31582179"/>
          <a:ext cx="8688012" cy="3562847"/>
        </a:xfrm>
        <a:prstGeom prst="rect">
          <a:avLst/>
        </a:prstGeom>
      </xdr:spPr>
    </xdr:pic>
    <xdr:clientData/>
  </xdr:twoCellAnchor>
  <xdr:twoCellAnchor editAs="oneCell">
    <xdr:from>
      <xdr:col>8</xdr:col>
      <xdr:colOff>435429</xdr:colOff>
      <xdr:row>17</xdr:row>
      <xdr:rowOff>149678</xdr:rowOff>
    </xdr:from>
    <xdr:to>
      <xdr:col>24</xdr:col>
      <xdr:colOff>40773</xdr:colOff>
      <xdr:row>17</xdr:row>
      <xdr:rowOff>406889</xdr:rowOff>
    </xdr:to>
    <xdr:pic>
      <xdr:nvPicPr>
        <xdr:cNvPr id="17" name="Picture 16">
          <a:extLst>
            <a:ext uri="{FF2B5EF4-FFF2-40B4-BE49-F238E27FC236}">
              <a16:creationId xmlns:a16="http://schemas.microsoft.com/office/drawing/2014/main" xmlns="" id="{7454F811-C33C-460E-9BE9-2209232DCF24}"/>
            </a:ext>
          </a:extLst>
        </xdr:cNvPr>
        <xdr:cNvPicPr>
          <a:picLocks noChangeAspect="1"/>
        </xdr:cNvPicPr>
      </xdr:nvPicPr>
      <xdr:blipFill>
        <a:blip xmlns:r="http://schemas.openxmlformats.org/officeDocument/2006/relationships" r:embed="rId11"/>
        <a:stretch>
          <a:fillRect/>
        </a:stretch>
      </xdr:blipFill>
      <xdr:spPr>
        <a:xfrm>
          <a:off x="9797143" y="9280071"/>
          <a:ext cx="9402487" cy="257211"/>
        </a:xfrm>
        <a:prstGeom prst="rect">
          <a:avLst/>
        </a:prstGeom>
      </xdr:spPr>
    </xdr:pic>
    <xdr:clientData/>
  </xdr:twoCellAnchor>
  <xdr:twoCellAnchor>
    <xdr:from>
      <xdr:col>0</xdr:col>
      <xdr:colOff>639537</xdr:colOff>
      <xdr:row>262</xdr:row>
      <xdr:rowOff>217715</xdr:rowOff>
    </xdr:from>
    <xdr:to>
      <xdr:col>7</xdr:col>
      <xdr:colOff>285751</xdr:colOff>
      <xdr:row>303</xdr:row>
      <xdr:rowOff>13607</xdr:rowOff>
    </xdr:to>
    <xdr:grpSp>
      <xdr:nvGrpSpPr>
        <xdr:cNvPr id="18" name="Group 17">
          <a:extLst>
            <a:ext uri="{FF2B5EF4-FFF2-40B4-BE49-F238E27FC236}">
              <a16:creationId xmlns:a16="http://schemas.microsoft.com/office/drawing/2014/main" xmlns="" id="{00707D66-2EBE-4B12-A500-BF13F181304D}"/>
            </a:ext>
          </a:extLst>
        </xdr:cNvPr>
        <xdr:cNvGrpSpPr/>
      </xdr:nvGrpSpPr>
      <xdr:grpSpPr>
        <a:xfrm>
          <a:off x="639537" y="61953322"/>
          <a:ext cx="7837714" cy="10395856"/>
          <a:chOff x="476250" y="452437"/>
          <a:chExt cx="5760000" cy="8658843"/>
        </a:xfrm>
      </xdr:grpSpPr>
      <xdr:pic>
        <xdr:nvPicPr>
          <xdr:cNvPr id="19" name="Picture 18">
            <a:extLst>
              <a:ext uri="{FF2B5EF4-FFF2-40B4-BE49-F238E27FC236}">
                <a16:creationId xmlns:a16="http://schemas.microsoft.com/office/drawing/2014/main" xmlns="" id="{A1F9B541-C324-42FB-BC38-739636022E4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76250" y="452437"/>
            <a:ext cx="3840000" cy="2160000"/>
          </a:xfrm>
          <a:prstGeom prst="rect">
            <a:avLst/>
          </a:prstGeom>
          <a:ln>
            <a:solidFill>
              <a:schemeClr val="tx1"/>
            </a:solidFill>
          </a:ln>
        </xdr:spPr>
      </xdr:pic>
      <xdr:pic>
        <xdr:nvPicPr>
          <xdr:cNvPr id="20" name="Picture 19">
            <a:extLst>
              <a:ext uri="{FF2B5EF4-FFF2-40B4-BE49-F238E27FC236}">
                <a16:creationId xmlns:a16="http://schemas.microsoft.com/office/drawing/2014/main" xmlns="" id="{9CE114D1-47F0-49BC-A229-51D8C4BB1AD4}"/>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5800" y="2798718"/>
            <a:ext cx="1619250" cy="2160000"/>
          </a:xfrm>
          <a:prstGeom prst="rect">
            <a:avLst/>
          </a:prstGeom>
          <a:ln>
            <a:solidFill>
              <a:schemeClr val="tx1"/>
            </a:solidFill>
          </a:ln>
        </xdr:spPr>
      </xdr:pic>
      <xdr:pic>
        <xdr:nvPicPr>
          <xdr:cNvPr id="21" name="Picture 20">
            <a:extLst>
              <a:ext uri="{FF2B5EF4-FFF2-40B4-BE49-F238E27FC236}">
                <a16:creationId xmlns:a16="http://schemas.microsoft.com/office/drawing/2014/main" xmlns="" id="{588F8878-7BB0-4791-A500-C0504EF7E20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396250" y="2798718"/>
            <a:ext cx="3840000" cy="2160000"/>
          </a:xfrm>
          <a:prstGeom prst="rect">
            <a:avLst/>
          </a:prstGeom>
          <a:ln>
            <a:solidFill>
              <a:schemeClr val="tx1"/>
            </a:solidFill>
          </a:ln>
        </xdr:spPr>
      </xdr:pic>
      <xdr:pic>
        <xdr:nvPicPr>
          <xdr:cNvPr id="22" name="Picture 21">
            <a:extLst>
              <a:ext uri="{FF2B5EF4-FFF2-40B4-BE49-F238E27FC236}">
                <a16:creationId xmlns:a16="http://schemas.microsoft.com/office/drawing/2014/main" xmlns="" id="{310D1195-166C-4035-8B18-5D33678F9A2E}"/>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09000" y="5144999"/>
            <a:ext cx="3840000" cy="2160000"/>
          </a:xfrm>
          <a:prstGeom prst="rect">
            <a:avLst/>
          </a:prstGeom>
          <a:ln>
            <a:solidFill>
              <a:schemeClr val="tx1"/>
            </a:solidFill>
          </a:ln>
        </xdr:spPr>
      </xdr:pic>
      <xdr:pic>
        <xdr:nvPicPr>
          <xdr:cNvPr id="23" name="Picture 22">
            <a:extLst>
              <a:ext uri="{FF2B5EF4-FFF2-40B4-BE49-F238E27FC236}">
                <a16:creationId xmlns:a16="http://schemas.microsoft.com/office/drawing/2014/main" xmlns="" id="{81E2B490-BD1B-4126-BB61-C1FD2DAC0D34}"/>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494600" y="452437"/>
            <a:ext cx="1741650" cy="2160000"/>
          </a:xfrm>
          <a:prstGeom prst="rect">
            <a:avLst/>
          </a:prstGeom>
          <a:ln>
            <a:solidFill>
              <a:schemeClr val="tx1"/>
            </a:solidFill>
          </a:ln>
        </xdr:spPr>
      </xdr:pic>
      <xdr:pic>
        <xdr:nvPicPr>
          <xdr:cNvPr id="24" name="Picture 23">
            <a:extLst>
              <a:ext uri="{FF2B5EF4-FFF2-40B4-BE49-F238E27FC236}">
                <a16:creationId xmlns:a16="http://schemas.microsoft.com/office/drawing/2014/main" xmlns="" id="{F9DEBBFB-EAC2-4C42-A260-08A96809D501}"/>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144550" y="7491280"/>
            <a:ext cx="1215000" cy="1620000"/>
          </a:xfrm>
          <a:prstGeom prst="rect">
            <a:avLst/>
          </a:prstGeom>
          <a:ln>
            <a:solidFill>
              <a:schemeClr val="tx1"/>
            </a:solidFill>
          </a:ln>
        </xdr:spPr>
      </xdr:pic>
      <xdr:pic>
        <xdr:nvPicPr>
          <xdr:cNvPr id="25" name="Picture 24">
            <a:extLst>
              <a:ext uri="{FF2B5EF4-FFF2-40B4-BE49-F238E27FC236}">
                <a16:creationId xmlns:a16="http://schemas.microsoft.com/office/drawing/2014/main" xmlns="" id="{67E3D0EC-9FC2-4086-8D90-313919DB88BC}"/>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562350" y="7491280"/>
            <a:ext cx="1215000" cy="162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Tf5fY5f7mJXgf2D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98"/>
  <sheetViews>
    <sheetView tabSelected="1" view="pageBreakPreview" zoomScale="70" zoomScaleNormal="85" zoomScaleSheetLayoutView="70" zoomScalePageLayoutView="70" workbookViewId="0">
      <selection activeCell="J6" sqref="J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45" t="s">
        <v>38</v>
      </c>
      <c r="B1" s="146"/>
      <c r="C1" s="146"/>
      <c r="D1" s="146"/>
      <c r="E1" s="146"/>
      <c r="F1" s="146"/>
      <c r="G1" s="146"/>
      <c r="H1" s="147"/>
    </row>
    <row r="2" spans="1:11" ht="42" customHeight="1" x14ac:dyDescent="0.25">
      <c r="A2" s="127" t="s">
        <v>10</v>
      </c>
      <c r="B2" s="127"/>
      <c r="C2" s="117" t="s">
        <v>85</v>
      </c>
      <c r="D2" s="117"/>
      <c r="E2" s="127" t="s">
        <v>12</v>
      </c>
      <c r="F2" s="127"/>
      <c r="G2" s="167">
        <v>45880</v>
      </c>
      <c r="H2" s="117"/>
      <c r="J2" s="179"/>
      <c r="K2" s="180"/>
    </row>
    <row r="3" spans="1:11" ht="42.75" customHeight="1" x14ac:dyDescent="0.25">
      <c r="A3" s="127" t="s">
        <v>39</v>
      </c>
      <c r="B3" s="127"/>
      <c r="C3" s="117" t="s">
        <v>310</v>
      </c>
      <c r="D3" s="117"/>
      <c r="E3" s="127" t="s">
        <v>158</v>
      </c>
      <c r="F3" s="127"/>
      <c r="G3" s="117" t="s">
        <v>370</v>
      </c>
      <c r="H3" s="117"/>
    </row>
    <row r="4" spans="1:11" ht="43.5" customHeight="1" x14ac:dyDescent="0.25">
      <c r="A4" s="127" t="s">
        <v>36</v>
      </c>
      <c r="B4" s="127"/>
      <c r="C4" s="117" t="s">
        <v>311</v>
      </c>
      <c r="D4" s="117"/>
      <c r="E4" s="127" t="s">
        <v>33</v>
      </c>
      <c r="F4" s="127"/>
      <c r="G4" s="117" t="str">
        <f ca="1">TEXT(TODAY(),"DD/MM/YYYY")</f>
        <v>13/08/2025</v>
      </c>
      <c r="H4" s="117"/>
    </row>
    <row r="5" spans="1:11" ht="20.25" x14ac:dyDescent="0.25">
      <c r="A5" s="115" t="s">
        <v>40</v>
      </c>
      <c r="B5" s="115"/>
      <c r="C5" s="115"/>
      <c r="D5" s="115"/>
      <c r="E5" s="115"/>
      <c r="F5" s="115"/>
      <c r="G5" s="115"/>
      <c r="H5" s="115"/>
    </row>
    <row r="6" spans="1:11" ht="43.5" customHeight="1" x14ac:dyDescent="0.25">
      <c r="A6" s="127" t="s">
        <v>29</v>
      </c>
      <c r="B6" s="127"/>
      <c r="C6" s="118" t="s">
        <v>373</v>
      </c>
      <c r="D6" s="118"/>
      <c r="E6" s="127" t="s">
        <v>35</v>
      </c>
      <c r="F6" s="127"/>
      <c r="G6" s="118" t="s">
        <v>312</v>
      </c>
      <c r="H6" s="118"/>
    </row>
    <row r="7" spans="1:11" ht="46.5" customHeight="1" x14ac:dyDescent="0.25">
      <c r="A7" s="127" t="s">
        <v>42</v>
      </c>
      <c r="B7" s="127"/>
      <c r="C7" s="117" t="s">
        <v>313</v>
      </c>
      <c r="D7" s="117"/>
      <c r="E7" s="127" t="s">
        <v>43</v>
      </c>
      <c r="F7" s="127"/>
      <c r="G7" s="117" t="s">
        <v>313</v>
      </c>
      <c r="H7" s="117"/>
    </row>
    <row r="8" spans="1:11" ht="48.75" customHeight="1" x14ac:dyDescent="0.25">
      <c r="A8" s="127" t="s">
        <v>44</v>
      </c>
      <c r="B8" s="127"/>
      <c r="C8" s="117" t="s">
        <v>314</v>
      </c>
      <c r="D8" s="117"/>
      <c r="E8" s="117"/>
      <c r="F8" s="117"/>
      <c r="G8" s="117"/>
      <c r="H8" s="117"/>
      <c r="I8" s="1" t="s">
        <v>315</v>
      </c>
    </row>
    <row r="9" spans="1:11" ht="20.25" x14ac:dyDescent="0.25">
      <c r="A9" s="150" t="s">
        <v>149</v>
      </c>
      <c r="B9" s="36" t="s">
        <v>41</v>
      </c>
      <c r="C9" s="117" t="s">
        <v>316</v>
      </c>
      <c r="D9" s="117"/>
      <c r="E9" s="117"/>
      <c r="F9" s="117"/>
      <c r="G9" s="117"/>
      <c r="H9" s="117"/>
    </row>
    <row r="10" spans="1:11" ht="43.5" customHeight="1" x14ac:dyDescent="0.25">
      <c r="A10" s="150"/>
      <c r="B10" s="36" t="s">
        <v>11</v>
      </c>
      <c r="C10" s="117" t="s">
        <v>317</v>
      </c>
      <c r="D10" s="117"/>
      <c r="E10" s="117"/>
      <c r="F10" s="117"/>
      <c r="G10" s="117"/>
      <c r="H10" s="117"/>
    </row>
    <row r="11" spans="1:11" ht="82.5" customHeight="1" x14ac:dyDescent="0.25">
      <c r="A11" s="150"/>
      <c r="B11" s="36" t="s">
        <v>5</v>
      </c>
      <c r="C11" s="117" t="s">
        <v>318</v>
      </c>
      <c r="D11" s="117"/>
      <c r="E11" s="117"/>
      <c r="F11" s="117"/>
      <c r="G11" s="117"/>
      <c r="H11" s="117"/>
    </row>
    <row r="12" spans="1:11" ht="40.5" customHeight="1" x14ac:dyDescent="0.25">
      <c r="A12" s="127" t="s">
        <v>34</v>
      </c>
      <c r="B12" s="127"/>
      <c r="C12" s="118" t="s">
        <v>319</v>
      </c>
      <c r="D12" s="118"/>
      <c r="E12" s="118"/>
      <c r="F12" s="118"/>
      <c r="G12" s="118"/>
      <c r="H12" s="118"/>
    </row>
    <row r="13" spans="1:11" ht="20.100000000000001" customHeight="1" x14ac:dyDescent="0.25">
      <c r="A13" s="115" t="s">
        <v>45</v>
      </c>
      <c r="B13" s="115"/>
      <c r="C13" s="115"/>
      <c r="D13" s="115"/>
      <c r="E13" s="115"/>
      <c r="F13" s="115"/>
      <c r="G13" s="115"/>
      <c r="H13" s="115"/>
    </row>
    <row r="14" spans="1:11" ht="41.25" customHeight="1" x14ac:dyDescent="0.25">
      <c r="A14" s="127" t="s">
        <v>27</v>
      </c>
      <c r="B14" s="127" t="s">
        <v>4</v>
      </c>
      <c r="C14" s="117" t="s">
        <v>86</v>
      </c>
      <c r="D14" s="117"/>
      <c r="E14" s="127" t="s">
        <v>46</v>
      </c>
      <c r="F14" s="127" t="s">
        <v>4</v>
      </c>
      <c r="G14" s="117" t="s">
        <v>320</v>
      </c>
      <c r="H14" s="117"/>
    </row>
    <row r="15" spans="1:11" ht="41.25" customHeight="1" x14ac:dyDescent="0.25">
      <c r="A15" s="127" t="s">
        <v>47</v>
      </c>
      <c r="B15" s="127" t="s">
        <v>4</v>
      </c>
      <c r="C15" s="117" t="s">
        <v>321</v>
      </c>
      <c r="D15" s="117"/>
      <c r="E15" s="127" t="s">
        <v>48</v>
      </c>
      <c r="F15" s="127" t="s">
        <v>4</v>
      </c>
      <c r="G15" s="167">
        <v>47483</v>
      </c>
      <c r="H15" s="117"/>
    </row>
    <row r="16" spans="1:11" ht="41.25" customHeight="1" x14ac:dyDescent="0.25">
      <c r="A16" s="127" t="s">
        <v>49</v>
      </c>
      <c r="B16" s="127" t="s">
        <v>4</v>
      </c>
      <c r="C16" s="167">
        <v>45831</v>
      </c>
      <c r="D16" s="117"/>
      <c r="E16" s="127" t="s">
        <v>50</v>
      </c>
      <c r="F16" s="127" t="s">
        <v>4</v>
      </c>
      <c r="G16" s="166">
        <v>45870</v>
      </c>
      <c r="H16" s="118"/>
      <c r="I16" s="85" t="s">
        <v>372</v>
      </c>
    </row>
    <row r="17" spans="1:8" ht="79.5" customHeight="1" x14ac:dyDescent="0.25">
      <c r="A17" s="127" t="s">
        <v>51</v>
      </c>
      <c r="B17" s="127" t="s">
        <v>4</v>
      </c>
      <c r="C17" s="167">
        <f>G15</f>
        <v>47483</v>
      </c>
      <c r="D17" s="117"/>
      <c r="E17" s="127" t="s">
        <v>52</v>
      </c>
      <c r="F17" s="127" t="s">
        <v>4</v>
      </c>
      <c r="G17" s="117" t="s">
        <v>369</v>
      </c>
      <c r="H17" s="117"/>
    </row>
    <row r="18" spans="1:8" ht="41.25" customHeight="1" x14ac:dyDescent="0.25">
      <c r="A18" s="127" t="s">
        <v>53</v>
      </c>
      <c r="B18" s="127" t="s">
        <v>4</v>
      </c>
      <c r="C18" s="11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17"/>
      <c r="E18" s="127" t="s">
        <v>93</v>
      </c>
      <c r="F18" s="127" t="s">
        <v>4</v>
      </c>
      <c r="G18" s="117">
        <v>1544.4</v>
      </c>
      <c r="H18" s="117"/>
    </row>
    <row r="19" spans="1:8" ht="41.25" customHeight="1" x14ac:dyDescent="0.25">
      <c r="A19" s="127" t="s">
        <v>54</v>
      </c>
      <c r="B19" s="127" t="s">
        <v>4</v>
      </c>
      <c r="C19" s="117">
        <v>1</v>
      </c>
      <c r="D19" s="117"/>
      <c r="E19" s="127" t="s">
        <v>241</v>
      </c>
      <c r="F19" s="127" t="s">
        <v>4</v>
      </c>
      <c r="G19" s="117">
        <v>1544.4</v>
      </c>
      <c r="H19" s="117"/>
    </row>
    <row r="20" spans="1:8" ht="41.25" customHeight="1" x14ac:dyDescent="0.25">
      <c r="A20" s="127" t="s">
        <v>91</v>
      </c>
      <c r="B20" s="127" t="s">
        <v>4</v>
      </c>
      <c r="C20" s="117">
        <v>5260.19</v>
      </c>
      <c r="D20" s="117"/>
      <c r="E20" s="127" t="s">
        <v>92</v>
      </c>
      <c r="F20" s="127" t="s">
        <v>4</v>
      </c>
      <c r="G20" s="117">
        <v>5241.7299999999996</v>
      </c>
      <c r="H20" s="117"/>
    </row>
    <row r="21" spans="1:8" ht="41.25" customHeight="1" x14ac:dyDescent="0.25">
      <c r="A21" s="127" t="s">
        <v>56</v>
      </c>
      <c r="B21" s="127" t="s">
        <v>4</v>
      </c>
      <c r="C21" s="117" t="s">
        <v>322</v>
      </c>
      <c r="D21" s="117"/>
      <c r="E21" s="127" t="s">
        <v>55</v>
      </c>
      <c r="F21" s="127" t="s">
        <v>4</v>
      </c>
      <c r="G21" s="117" t="s">
        <v>323</v>
      </c>
      <c r="H21" s="117"/>
    </row>
    <row r="22" spans="1:8" ht="41.25" customHeight="1" x14ac:dyDescent="0.25">
      <c r="A22" s="127" t="s">
        <v>162</v>
      </c>
      <c r="B22" s="127" t="s">
        <v>4</v>
      </c>
      <c r="C22" s="117" t="s">
        <v>324</v>
      </c>
      <c r="D22" s="117"/>
      <c r="E22" s="127" t="s">
        <v>163</v>
      </c>
      <c r="F22" s="127" t="s">
        <v>4</v>
      </c>
      <c r="G22" s="117" t="s">
        <v>325</v>
      </c>
      <c r="H22" s="117"/>
    </row>
    <row r="23" spans="1:8" ht="20.25" x14ac:dyDescent="0.25">
      <c r="A23" s="127" t="s">
        <v>160</v>
      </c>
      <c r="B23" s="127" t="s">
        <v>4</v>
      </c>
      <c r="C23" s="119" t="s">
        <v>326</v>
      </c>
      <c r="D23" s="117"/>
      <c r="E23" s="117"/>
      <c r="F23" s="117"/>
      <c r="G23" s="117"/>
      <c r="H23" s="117"/>
    </row>
    <row r="24" spans="1:8" ht="44.25" customHeight="1" x14ac:dyDescent="0.25">
      <c r="A24" s="127" t="s">
        <v>25</v>
      </c>
      <c r="B24" s="127" t="s">
        <v>4</v>
      </c>
      <c r="C24" s="118" t="s">
        <v>327</v>
      </c>
      <c r="D24" s="118"/>
      <c r="E24" s="118"/>
      <c r="F24" s="118"/>
      <c r="G24" s="118"/>
      <c r="H24" s="118"/>
    </row>
    <row r="25" spans="1:8" ht="24" customHeight="1" x14ac:dyDescent="0.25">
      <c r="A25" s="115" t="s">
        <v>20</v>
      </c>
      <c r="B25" s="115"/>
      <c r="C25" s="115"/>
      <c r="D25" s="115"/>
      <c r="E25" s="115"/>
      <c r="F25" s="115"/>
      <c r="G25" s="115"/>
      <c r="H25" s="115"/>
    </row>
    <row r="26" spans="1:8" ht="43.5" customHeight="1" x14ac:dyDescent="0.25">
      <c r="A26" s="127" t="s">
        <v>26</v>
      </c>
      <c r="B26" s="127" t="s">
        <v>4</v>
      </c>
      <c r="C26" s="117" t="str">
        <f>IF(AND(G26="Upper"),"Developed","Developing")</f>
        <v>Developed</v>
      </c>
      <c r="D26" s="117"/>
      <c r="E26" s="127" t="s">
        <v>13</v>
      </c>
      <c r="F26" s="127" t="s">
        <v>4</v>
      </c>
      <c r="G26" s="118" t="s">
        <v>307</v>
      </c>
      <c r="H26" s="118"/>
    </row>
    <row r="27" spans="1:8" ht="43.5" customHeight="1" x14ac:dyDescent="0.25">
      <c r="A27" s="127" t="s">
        <v>14</v>
      </c>
      <c r="B27" s="127" t="s">
        <v>4</v>
      </c>
      <c r="C27" s="118" t="s">
        <v>308</v>
      </c>
      <c r="D27" s="118"/>
      <c r="E27" s="127" t="s">
        <v>150</v>
      </c>
      <c r="F27" s="127" t="s">
        <v>4</v>
      </c>
      <c r="G27" s="118" t="s">
        <v>242</v>
      </c>
      <c r="H27" s="118"/>
    </row>
    <row r="28" spans="1:8" ht="43.5" customHeight="1" x14ac:dyDescent="0.25">
      <c r="A28" s="127" t="s">
        <v>23</v>
      </c>
      <c r="B28" s="127" t="s">
        <v>4</v>
      </c>
      <c r="C28" s="117" t="s">
        <v>95</v>
      </c>
      <c r="D28" s="117"/>
      <c r="E28" s="127" t="s">
        <v>16</v>
      </c>
      <c r="F28" s="127" t="s">
        <v>4</v>
      </c>
      <c r="G28" s="118" t="s">
        <v>328</v>
      </c>
      <c r="H28" s="118"/>
    </row>
    <row r="29" spans="1:8" ht="43.5" customHeight="1" x14ac:dyDescent="0.25">
      <c r="A29" s="127" t="s">
        <v>104</v>
      </c>
      <c r="B29" s="127" t="s">
        <v>4</v>
      </c>
      <c r="C29" s="118" t="s">
        <v>329</v>
      </c>
      <c r="D29" s="118"/>
      <c r="E29" s="127" t="s">
        <v>105</v>
      </c>
      <c r="F29" s="127" t="s">
        <v>4</v>
      </c>
      <c r="G29" s="118" t="s">
        <v>330</v>
      </c>
      <c r="H29" s="118"/>
    </row>
    <row r="30" spans="1:8" ht="107.25" customHeight="1" x14ac:dyDescent="0.25">
      <c r="A30" s="127" t="s">
        <v>17</v>
      </c>
      <c r="B30" s="127" t="s">
        <v>4</v>
      </c>
      <c r="C30" s="118" t="s">
        <v>331</v>
      </c>
      <c r="D30" s="118"/>
      <c r="E30" s="127" t="s">
        <v>15</v>
      </c>
      <c r="F30" s="127" t="s">
        <v>4</v>
      </c>
      <c r="G30" s="118" t="s">
        <v>332</v>
      </c>
      <c r="H30" s="118"/>
    </row>
    <row r="31" spans="1:8" ht="20.25" x14ac:dyDescent="0.25">
      <c r="A31" s="127" t="s">
        <v>110</v>
      </c>
      <c r="B31" s="127" t="s">
        <v>4</v>
      </c>
      <c r="C31" s="117" t="s">
        <v>111</v>
      </c>
      <c r="D31" s="117"/>
      <c r="E31" s="127" t="s">
        <v>112</v>
      </c>
      <c r="F31" s="127" t="s">
        <v>4</v>
      </c>
      <c r="G31" s="117" t="s">
        <v>111</v>
      </c>
      <c r="H31" s="117"/>
    </row>
    <row r="32" spans="1:8" ht="21.75" customHeight="1" x14ac:dyDescent="0.25">
      <c r="A32" s="127" t="s">
        <v>113</v>
      </c>
      <c r="B32" s="127" t="s">
        <v>4</v>
      </c>
      <c r="C32" s="117" t="s">
        <v>111</v>
      </c>
      <c r="D32" s="117"/>
      <c r="E32" s="117"/>
      <c r="F32" s="117"/>
      <c r="G32" s="117"/>
      <c r="H32" s="117"/>
    </row>
    <row r="33" spans="1:15" ht="20.25" x14ac:dyDescent="0.25">
      <c r="A33" s="151" t="s">
        <v>37</v>
      </c>
      <c r="B33" s="151"/>
      <c r="C33" s="151"/>
      <c r="D33" s="151"/>
      <c r="E33" s="151"/>
      <c r="F33" s="151"/>
      <c r="G33" s="151"/>
      <c r="H33" s="151"/>
    </row>
    <row r="34" spans="1:15" ht="43.5" customHeight="1" x14ac:dyDescent="0.25">
      <c r="A34" s="127" t="s">
        <v>18</v>
      </c>
      <c r="B34" s="127"/>
      <c r="C34" s="117" t="s">
        <v>96</v>
      </c>
      <c r="D34" s="117"/>
      <c r="E34" s="127" t="s">
        <v>19</v>
      </c>
      <c r="F34" s="127" t="s">
        <v>4</v>
      </c>
      <c r="G34" s="117" t="s">
        <v>97</v>
      </c>
      <c r="H34" s="117"/>
    </row>
    <row r="35" spans="1:15" ht="43.5" customHeight="1" x14ac:dyDescent="0.25">
      <c r="A35" s="127" t="s">
        <v>22</v>
      </c>
      <c r="B35" s="127"/>
      <c r="C35" s="117" t="s">
        <v>97</v>
      </c>
      <c r="D35" s="117"/>
      <c r="E35" s="127" t="s">
        <v>32</v>
      </c>
      <c r="F35" s="127" t="s">
        <v>4</v>
      </c>
      <c r="G35" s="118" t="s">
        <v>97</v>
      </c>
      <c r="H35" s="118"/>
    </row>
    <row r="36" spans="1:15" ht="20.25" x14ac:dyDescent="0.25">
      <c r="A36" s="127" t="s">
        <v>31</v>
      </c>
      <c r="B36" s="127"/>
      <c r="C36" s="117" t="s">
        <v>98</v>
      </c>
      <c r="D36" s="117"/>
      <c r="E36" s="127" t="s">
        <v>21</v>
      </c>
      <c r="F36" s="127" t="s">
        <v>4</v>
      </c>
      <c r="G36" s="117" t="s">
        <v>99</v>
      </c>
      <c r="H36" s="117"/>
    </row>
    <row r="37" spans="1:15" ht="20.25" x14ac:dyDescent="0.25">
      <c r="A37" s="115" t="s">
        <v>0</v>
      </c>
      <c r="B37" s="115"/>
      <c r="C37" s="115"/>
      <c r="D37" s="115"/>
      <c r="E37" s="115"/>
      <c r="F37" s="115"/>
      <c r="G37" s="115"/>
      <c r="H37" s="115"/>
    </row>
    <row r="38" spans="1:15" ht="20.25" x14ac:dyDescent="0.25">
      <c r="A38" s="125" t="s">
        <v>0</v>
      </c>
      <c r="B38" s="125"/>
      <c r="C38" s="125" t="s">
        <v>228</v>
      </c>
      <c r="D38" s="125"/>
      <c r="E38" s="125"/>
      <c r="F38" s="125" t="s">
        <v>7</v>
      </c>
      <c r="G38" s="125"/>
      <c r="H38" s="125"/>
      <c r="J38" s="182" t="s">
        <v>1</v>
      </c>
      <c r="K38" s="183"/>
      <c r="L38" s="2" t="s">
        <v>6</v>
      </c>
      <c r="M38" s="182" t="s">
        <v>2</v>
      </c>
      <c r="N38" s="183"/>
      <c r="O38" s="2" t="s">
        <v>3</v>
      </c>
    </row>
    <row r="39" spans="1:15" ht="20.25" x14ac:dyDescent="0.25">
      <c r="A39" s="150" t="s">
        <v>2</v>
      </c>
      <c r="B39" s="150"/>
      <c r="C39" s="181" t="s">
        <v>336</v>
      </c>
      <c r="D39" s="181"/>
      <c r="E39" s="181"/>
      <c r="F39" s="181" t="s">
        <v>333</v>
      </c>
      <c r="G39" s="181"/>
      <c r="H39" s="181"/>
    </row>
    <row r="40" spans="1:15" ht="20.25" x14ac:dyDescent="0.25">
      <c r="A40" s="150" t="s">
        <v>3</v>
      </c>
      <c r="B40" s="150"/>
      <c r="C40" s="181" t="s">
        <v>337</v>
      </c>
      <c r="D40" s="181"/>
      <c r="E40" s="181"/>
      <c r="F40" s="181" t="s">
        <v>334</v>
      </c>
      <c r="G40" s="181"/>
      <c r="H40" s="181"/>
    </row>
    <row r="41" spans="1:15" ht="20.25" x14ac:dyDescent="0.25">
      <c r="A41" s="150" t="s">
        <v>1</v>
      </c>
      <c r="B41" s="150"/>
      <c r="C41" s="181" t="s">
        <v>336</v>
      </c>
      <c r="D41" s="181"/>
      <c r="E41" s="181"/>
      <c r="F41" s="181" t="s">
        <v>333</v>
      </c>
      <c r="G41" s="181"/>
      <c r="H41" s="181"/>
    </row>
    <row r="42" spans="1:15" ht="20.25" x14ac:dyDescent="0.25">
      <c r="A42" s="150" t="s">
        <v>6</v>
      </c>
      <c r="B42" s="150"/>
      <c r="C42" s="181" t="s">
        <v>338</v>
      </c>
      <c r="D42" s="181"/>
      <c r="E42" s="181"/>
      <c r="F42" s="181" t="s">
        <v>335</v>
      </c>
      <c r="G42" s="181"/>
      <c r="H42" s="181"/>
    </row>
    <row r="43" spans="1:15" ht="51" customHeight="1" x14ac:dyDescent="0.25">
      <c r="A43" s="127" t="s">
        <v>229</v>
      </c>
      <c r="B43" s="127"/>
      <c r="C43" s="117" t="s">
        <v>95</v>
      </c>
      <c r="D43" s="117"/>
      <c r="E43" s="117"/>
      <c r="F43" s="117"/>
      <c r="G43" s="117"/>
      <c r="H43" s="117"/>
    </row>
    <row r="44" spans="1:15" ht="20.25" x14ac:dyDescent="0.25">
      <c r="A44" s="115" t="s">
        <v>57</v>
      </c>
      <c r="B44" s="115"/>
      <c r="C44" s="115"/>
      <c r="D44" s="115"/>
      <c r="E44" s="115"/>
      <c r="F44" s="115"/>
      <c r="G44" s="115"/>
      <c r="H44" s="115"/>
    </row>
    <row r="45" spans="1:15" ht="21" customHeight="1" x14ac:dyDescent="0.25">
      <c r="A45" s="125" t="s">
        <v>58</v>
      </c>
      <c r="B45" s="125"/>
      <c r="C45" s="2" t="s">
        <v>59</v>
      </c>
      <c r="D45" s="125" t="s">
        <v>148</v>
      </c>
      <c r="E45" s="125"/>
      <c r="F45" s="125"/>
      <c r="G45" s="125" t="s">
        <v>60</v>
      </c>
      <c r="H45" s="125"/>
    </row>
    <row r="46" spans="1:15" ht="20.25" x14ac:dyDescent="0.25">
      <c r="A46" s="126" t="s">
        <v>339</v>
      </c>
      <c r="B46" s="126"/>
      <c r="C46" s="35" t="s">
        <v>342</v>
      </c>
      <c r="D46" s="117" t="s">
        <v>341</v>
      </c>
      <c r="E46" s="117"/>
      <c r="F46" s="117"/>
      <c r="G46" s="117" t="s">
        <v>340</v>
      </c>
      <c r="H46" s="117"/>
    </row>
    <row r="47" spans="1:15" ht="20.25" hidden="1" x14ac:dyDescent="0.25">
      <c r="A47" s="126" t="s">
        <v>304</v>
      </c>
      <c r="B47" s="126"/>
      <c r="C47" s="35" t="s">
        <v>87</v>
      </c>
      <c r="D47" s="117"/>
      <c r="E47" s="117"/>
      <c r="F47" s="117"/>
      <c r="G47" s="117"/>
      <c r="H47" s="117"/>
    </row>
    <row r="48" spans="1:15" ht="20.25" hidden="1" x14ac:dyDescent="0.25">
      <c r="A48" s="126" t="s">
        <v>305</v>
      </c>
      <c r="B48" s="126"/>
      <c r="C48" s="35" t="s">
        <v>87</v>
      </c>
      <c r="D48" s="117"/>
      <c r="E48" s="117"/>
      <c r="F48" s="117"/>
      <c r="G48" s="117"/>
      <c r="H48" s="117"/>
    </row>
    <row r="49" spans="1:14" ht="20.25" hidden="1" x14ac:dyDescent="0.25">
      <c r="A49" s="126" t="s">
        <v>306</v>
      </c>
      <c r="B49" s="126"/>
      <c r="C49" s="35" t="s">
        <v>87</v>
      </c>
      <c r="D49" s="117"/>
      <c r="E49" s="117"/>
      <c r="F49" s="117"/>
      <c r="G49" s="117"/>
      <c r="H49" s="117"/>
    </row>
    <row r="50" spans="1:14" ht="20.25" x14ac:dyDescent="0.25">
      <c r="A50" s="115" t="s">
        <v>61</v>
      </c>
      <c r="B50" s="115"/>
      <c r="C50" s="115"/>
      <c r="D50" s="115"/>
      <c r="E50" s="115"/>
      <c r="F50" s="115"/>
      <c r="G50" s="115"/>
      <c r="H50" s="115"/>
    </row>
    <row r="51" spans="1:14" ht="42.75" customHeight="1" x14ac:dyDescent="0.25">
      <c r="A51" s="127" t="s">
        <v>62</v>
      </c>
      <c r="B51" s="127" t="s">
        <v>4</v>
      </c>
      <c r="C51" s="118" t="s">
        <v>95</v>
      </c>
      <c r="D51" s="118"/>
      <c r="E51" s="118"/>
      <c r="F51" s="118"/>
      <c r="G51" s="118"/>
      <c r="H51" s="118"/>
    </row>
    <row r="52" spans="1:14" ht="44.25" customHeight="1" x14ac:dyDescent="0.25">
      <c r="A52" s="127" t="s">
        <v>63</v>
      </c>
      <c r="B52" s="127" t="s">
        <v>4</v>
      </c>
      <c r="C52" s="117" t="s">
        <v>343</v>
      </c>
      <c r="D52" s="117"/>
      <c r="E52" s="117"/>
      <c r="F52" s="117"/>
      <c r="G52" s="51" t="s">
        <v>230</v>
      </c>
      <c r="H52" s="79">
        <v>45833</v>
      </c>
    </row>
    <row r="53" spans="1:14" ht="44.25" customHeight="1" x14ac:dyDescent="0.25">
      <c r="A53" s="127" t="s">
        <v>64</v>
      </c>
      <c r="B53" s="127" t="s">
        <v>4</v>
      </c>
      <c r="C53" s="117" t="str">
        <f>C52</f>
        <v>P-19621/2023/(2/11)/P/N Ward/Malad
South/337/1/Amend</v>
      </c>
      <c r="D53" s="117"/>
      <c r="E53" s="117"/>
      <c r="F53" s="117"/>
      <c r="G53" s="51" t="s">
        <v>230</v>
      </c>
      <c r="H53" s="79">
        <f>H52</f>
        <v>45833</v>
      </c>
    </row>
    <row r="54" spans="1:14" ht="44.25" customHeight="1" x14ac:dyDescent="0.25">
      <c r="A54" s="127" t="s">
        <v>243</v>
      </c>
      <c r="B54" s="127"/>
      <c r="C54" s="117" t="s">
        <v>344</v>
      </c>
      <c r="D54" s="117"/>
      <c r="E54" s="117"/>
      <c r="F54" s="117"/>
      <c r="G54" s="51" t="s">
        <v>230</v>
      </c>
      <c r="H54" s="79">
        <v>45848</v>
      </c>
    </row>
    <row r="55" spans="1:14" ht="82.5" customHeight="1" x14ac:dyDescent="0.25">
      <c r="A55" s="127"/>
      <c r="B55" s="127"/>
      <c r="C55" s="117" t="s">
        <v>345</v>
      </c>
      <c r="D55" s="117"/>
      <c r="E55" s="117"/>
      <c r="F55" s="117"/>
      <c r="G55" s="51" t="s">
        <v>244</v>
      </c>
      <c r="H55" s="79">
        <v>46212</v>
      </c>
    </row>
    <row r="56" spans="1:14" ht="46.5" hidden="1" customHeight="1" x14ac:dyDescent="0.25">
      <c r="A56" s="127" t="s">
        <v>65</v>
      </c>
      <c r="B56" s="127" t="s">
        <v>4</v>
      </c>
      <c r="C56" s="117"/>
      <c r="D56" s="117"/>
      <c r="E56" s="117"/>
      <c r="F56" s="117"/>
      <c r="G56" s="51" t="s">
        <v>231</v>
      </c>
      <c r="H56" s="77"/>
    </row>
    <row r="57" spans="1:14" ht="45" customHeight="1" x14ac:dyDescent="0.25">
      <c r="A57" s="127" t="s">
        <v>66</v>
      </c>
      <c r="B57" s="127" t="s">
        <v>4</v>
      </c>
      <c r="C57" s="117" t="s">
        <v>147</v>
      </c>
      <c r="D57" s="117"/>
      <c r="E57" s="117"/>
      <c r="F57" s="117"/>
      <c r="G57" s="51" t="s">
        <v>231</v>
      </c>
      <c r="H57" s="77" t="s">
        <v>147</v>
      </c>
    </row>
    <row r="58" spans="1:14" ht="63.75" customHeight="1" x14ac:dyDescent="0.25">
      <c r="A58" s="127" t="s">
        <v>374</v>
      </c>
      <c r="B58" s="127" t="s">
        <v>4</v>
      </c>
      <c r="C58" s="117" t="s">
        <v>375</v>
      </c>
      <c r="D58" s="117"/>
      <c r="E58" s="117"/>
      <c r="F58" s="117"/>
      <c r="G58" s="51" t="s">
        <v>376</v>
      </c>
      <c r="H58" s="79" t="s">
        <v>377</v>
      </c>
      <c r="I58" s="1">
        <f>193.94-4.92</f>
        <v>189.02</v>
      </c>
      <c r="N58" s="73" t="s">
        <v>309</v>
      </c>
    </row>
    <row r="59" spans="1:14" ht="44.25" customHeight="1" x14ac:dyDescent="0.25">
      <c r="A59" s="127" t="s">
        <v>378</v>
      </c>
      <c r="B59" s="127" t="s">
        <v>4</v>
      </c>
      <c r="C59" s="117" t="s">
        <v>379</v>
      </c>
      <c r="D59" s="117"/>
      <c r="E59" s="117"/>
      <c r="F59" s="117"/>
      <c r="G59" s="51" t="s">
        <v>231</v>
      </c>
      <c r="H59" s="79">
        <v>45303</v>
      </c>
    </row>
    <row r="60" spans="1:14" ht="21" thickBot="1" x14ac:dyDescent="0.3">
      <c r="A60" s="115" t="s">
        <v>67</v>
      </c>
      <c r="B60" s="115"/>
      <c r="C60" s="115"/>
      <c r="D60" s="115"/>
      <c r="E60" s="115"/>
      <c r="F60" s="115"/>
      <c r="G60" s="115"/>
      <c r="H60" s="115"/>
    </row>
    <row r="61" spans="1:14" ht="20.25" customHeight="1" x14ac:dyDescent="0.3">
      <c r="A61" s="116" t="str">
        <f>CONCATENATE((IF(OR(A46="",A46="NA"),"",A46)),"= ",(IF(OR(D46="",D46="NA"),"",D46)),".")</f>
        <v>Tower G= B + G + 1st to 22nd Floor.</v>
      </c>
      <c r="B61" s="116"/>
      <c r="C61" s="116"/>
      <c r="D61" s="30" t="s">
        <v>114</v>
      </c>
      <c r="E61" s="123" t="s">
        <v>101</v>
      </c>
      <c r="F61" s="123"/>
      <c r="G61" s="30" t="s">
        <v>115</v>
      </c>
      <c r="H61" s="30" t="s">
        <v>116</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Work not yet Started.</v>
      </c>
      <c r="J61" s="18"/>
    </row>
    <row r="62" spans="1:14" ht="20.25" x14ac:dyDescent="0.3">
      <c r="A62" s="116"/>
      <c r="B62" s="116"/>
      <c r="C62" s="116"/>
      <c r="D62" s="80">
        <v>1</v>
      </c>
      <c r="E62" s="123">
        <v>1</v>
      </c>
      <c r="F62" s="123"/>
      <c r="G62" s="80">
        <v>0</v>
      </c>
      <c r="H62" s="30">
        <f ca="1">--TRIM(RIGHT(SUBSTITUTE(LEFT(A61,_xlfn.AGGREGATE(16,6,FIND({0,1,2,3,4,5,6,7,8,9},A61,ROW(INDIRECT("1:"&amp;LEN(A61)))),1))," ",REPT(" ",LEN(A61))),LEN(A61)))</f>
        <v>22</v>
      </c>
      <c r="I62" s="17" t="s">
        <v>120</v>
      </c>
      <c r="J62" s="18"/>
    </row>
    <row r="63" spans="1:14" ht="20.25" customHeight="1" x14ac:dyDescent="0.3">
      <c r="A63" s="124" t="s">
        <v>118</v>
      </c>
      <c r="B63" s="124"/>
      <c r="C63" s="28" t="s">
        <v>132</v>
      </c>
      <c r="D63" s="28" t="s">
        <v>133</v>
      </c>
      <c r="E63" s="124" t="s">
        <v>119</v>
      </c>
      <c r="F63" s="124"/>
      <c r="G63" s="29" t="s">
        <v>117</v>
      </c>
      <c r="H63" s="29"/>
      <c r="I63" s="20" t="s">
        <v>134</v>
      </c>
      <c r="J63" s="19">
        <f ca="1">H62*25%</f>
        <v>5.5</v>
      </c>
    </row>
    <row r="64" spans="1:14" ht="20.25" customHeight="1" x14ac:dyDescent="0.3">
      <c r="A64" s="122" t="s">
        <v>135</v>
      </c>
      <c r="B64" s="122"/>
      <c r="C64" s="32">
        <v>0</v>
      </c>
      <c r="D64" s="5">
        <f ca="1">((100/H62)*C64)/100</f>
        <v>0</v>
      </c>
      <c r="E64" s="168">
        <f ca="1">(((C64/H62*10)+(C65/H62*15)+(25/(E62+G62+H62)*C66)+(5/(H62)*C67)+(2.5/(H62)*C68)+(2.5/(H62)*C69)+(5/H62*C70)+(10/H62*C71)+(2.5/H62*C72)+(2.5/H62*C73)+(10/H62*C74)+(10/H62*C75))/100)</f>
        <v>0</v>
      </c>
      <c r="F64" s="169"/>
      <c r="G64" s="122" t="str">
        <f ca="1">I61</f>
        <v>Work not yet Started.</v>
      </c>
      <c r="H64" s="122"/>
      <c r="I64" s="20" t="s">
        <v>121</v>
      </c>
      <c r="J64" s="24">
        <f ca="1">H62*50%</f>
        <v>11</v>
      </c>
    </row>
    <row r="65" spans="1:10" ht="20.25" x14ac:dyDescent="0.3">
      <c r="A65" s="122" t="s">
        <v>102</v>
      </c>
      <c r="B65" s="122"/>
      <c r="C65" s="78">
        <v>0</v>
      </c>
      <c r="D65" s="5">
        <f ca="1">((100/H62)*C65)/100</f>
        <v>0</v>
      </c>
      <c r="E65" s="170"/>
      <c r="F65" s="171"/>
      <c r="G65" s="122"/>
      <c r="H65" s="122"/>
      <c r="I65" s="20" t="s">
        <v>122</v>
      </c>
      <c r="J65" s="24">
        <f ca="1">H62</f>
        <v>22</v>
      </c>
    </row>
    <row r="66" spans="1:10" ht="21" customHeight="1" x14ac:dyDescent="0.35">
      <c r="A66" s="122" t="s">
        <v>136</v>
      </c>
      <c r="B66" s="122"/>
      <c r="C66" s="78">
        <v>0</v>
      </c>
      <c r="D66" s="5">
        <f ca="1">((100/(E62+G62+H62))*C66)/100</f>
        <v>0</v>
      </c>
      <c r="E66" s="170"/>
      <c r="F66" s="171"/>
      <c r="G66" s="122"/>
      <c r="H66" s="122"/>
      <c r="I66" s="20" t="s">
        <v>123</v>
      </c>
      <c r="J66" s="25">
        <f ca="1">(IF(D62&gt;1,(H62/(D62+2)),H62*0.2))</f>
        <v>4.4000000000000004</v>
      </c>
    </row>
    <row r="67" spans="1:10" ht="21" customHeight="1" x14ac:dyDescent="0.35">
      <c r="A67" s="122" t="s">
        <v>137</v>
      </c>
      <c r="B67" s="122"/>
      <c r="C67" s="78">
        <v>0</v>
      </c>
      <c r="D67" s="5">
        <f ca="1">((100/H62)*C67)/100</f>
        <v>0</v>
      </c>
      <c r="E67" s="170"/>
      <c r="F67" s="171"/>
      <c r="G67" s="122"/>
      <c r="H67" s="122"/>
      <c r="I67" s="20" t="s">
        <v>124</v>
      </c>
      <c r="J67" s="25">
        <f ca="1">(IF(D62&gt;1,(H62/(D62+2)+J66),H62*0.2+J66))</f>
        <v>8.8000000000000007</v>
      </c>
    </row>
    <row r="68" spans="1:10" ht="21" customHeight="1" x14ac:dyDescent="0.35">
      <c r="A68" s="120" t="s">
        <v>138</v>
      </c>
      <c r="B68" s="121"/>
      <c r="C68" s="78">
        <v>0</v>
      </c>
      <c r="D68" s="5">
        <f ca="1">((100/H62)*C68)/100</f>
        <v>0</v>
      </c>
      <c r="E68" s="170"/>
      <c r="F68" s="171"/>
      <c r="G68" s="122"/>
      <c r="H68" s="122"/>
      <c r="I68" s="20" t="s">
        <v>139</v>
      </c>
      <c r="J68" s="25">
        <f>(IF(D62&gt;1,(H62/(D62+2)+J67),0))</f>
        <v>0</v>
      </c>
    </row>
    <row r="69" spans="1:10" ht="21" customHeight="1" x14ac:dyDescent="0.35">
      <c r="A69" s="120" t="s">
        <v>169</v>
      </c>
      <c r="B69" s="121"/>
      <c r="C69" s="78">
        <v>0</v>
      </c>
      <c r="D69" s="5">
        <f ca="1">((100/H62)*C69)/100</f>
        <v>0</v>
      </c>
      <c r="E69" s="170"/>
      <c r="F69" s="171"/>
      <c r="G69" s="122"/>
      <c r="H69" s="122"/>
      <c r="I69" s="20" t="s">
        <v>140</v>
      </c>
      <c r="J69" s="25">
        <f>(IF(D62&gt;2,(H62/(D62+2)+J68),0))</f>
        <v>0</v>
      </c>
    </row>
    <row r="70" spans="1:10" ht="21" x14ac:dyDescent="0.35">
      <c r="A70" s="120" t="s">
        <v>166</v>
      </c>
      <c r="B70" s="121"/>
      <c r="C70" s="78">
        <v>0</v>
      </c>
      <c r="D70" s="5">
        <f ca="1">((100/(H62))*C70)/100</f>
        <v>0</v>
      </c>
      <c r="E70" s="170"/>
      <c r="F70" s="171"/>
      <c r="G70" s="122"/>
      <c r="H70" s="122"/>
      <c r="I70" s="20" t="s">
        <v>142</v>
      </c>
      <c r="J70" s="26">
        <f>(IF(D62&gt;3,(H62/(D62+2)+J69),0))</f>
        <v>0</v>
      </c>
    </row>
    <row r="71" spans="1:10" ht="21" x14ac:dyDescent="0.35">
      <c r="A71" s="122" t="s">
        <v>141</v>
      </c>
      <c r="B71" s="122"/>
      <c r="C71" s="78">
        <v>0</v>
      </c>
      <c r="D71" s="5">
        <f ca="1">((100/(H62))*C71)/100</f>
        <v>0</v>
      </c>
      <c r="E71" s="170"/>
      <c r="F71" s="171"/>
      <c r="G71" s="122"/>
      <c r="H71" s="122"/>
      <c r="I71" s="20" t="s">
        <v>143</v>
      </c>
      <c r="J71" s="25">
        <f>(IF(D62&gt;4,(H62/(D62+2)+J70),0))</f>
        <v>0</v>
      </c>
    </row>
    <row r="72" spans="1:10" ht="21" customHeight="1" x14ac:dyDescent="0.35">
      <c r="A72" s="122" t="s">
        <v>168</v>
      </c>
      <c r="B72" s="122"/>
      <c r="C72" s="78">
        <v>0</v>
      </c>
      <c r="D72" s="5">
        <f ca="1">((100/H62)*C72)/100</f>
        <v>0</v>
      </c>
      <c r="E72" s="170"/>
      <c r="F72" s="171"/>
      <c r="G72" s="122"/>
      <c r="H72" s="122"/>
      <c r="I72" s="20" t="s">
        <v>125</v>
      </c>
      <c r="J72" s="25">
        <f ca="1">(IF(D62=1,(H62/(D62+3)+J67),IF(D62=0,(H62*0.3+J67),IF(D62&gt;1,0))))</f>
        <v>14.3</v>
      </c>
    </row>
    <row r="73" spans="1:10" ht="21.75" thickBot="1" x14ac:dyDescent="0.4">
      <c r="A73" s="122" t="s">
        <v>167</v>
      </c>
      <c r="B73" s="122"/>
      <c r="C73" s="78">
        <v>0</v>
      </c>
      <c r="D73" s="5">
        <f ca="1">((100/H62)*C73)/100</f>
        <v>0</v>
      </c>
      <c r="E73" s="170"/>
      <c r="F73" s="171"/>
      <c r="G73" s="122"/>
      <c r="H73" s="122"/>
      <c r="I73" s="22" t="s">
        <v>126</v>
      </c>
      <c r="J73" s="27">
        <f ca="1">(IF(D62&gt;1.5,(H62/(D62+2)+J67+MAX(0,J68-J67)+MAX(0,J69-J68)+MAX(0,J70-J69)+MAX(0,J71-J70)+MAX(0,J72-J71)),IF(D62=1,(H62/(D62+3)+J72),IF(D62=0,H62*0.3+J72))))</f>
        <v>19.8</v>
      </c>
    </row>
    <row r="74" spans="1:10" ht="20.25" x14ac:dyDescent="0.25">
      <c r="A74" s="122" t="s">
        <v>144</v>
      </c>
      <c r="B74" s="122"/>
      <c r="C74" s="78">
        <v>0</v>
      </c>
      <c r="D74" s="5">
        <f ca="1">((100/(H62))*C74)/100</f>
        <v>0</v>
      </c>
      <c r="E74" s="170"/>
      <c r="F74" s="171"/>
      <c r="G74" s="122"/>
      <c r="H74" s="122"/>
    </row>
    <row r="75" spans="1:10" ht="20.25" x14ac:dyDescent="0.25">
      <c r="A75" s="122" t="s">
        <v>145</v>
      </c>
      <c r="B75" s="122"/>
      <c r="C75" s="78">
        <v>0</v>
      </c>
      <c r="D75" s="5">
        <f ca="1">((100/(H62))*C75)/100</f>
        <v>0</v>
      </c>
      <c r="E75" s="172"/>
      <c r="F75" s="173"/>
      <c r="G75" s="122"/>
      <c r="H75" s="122"/>
    </row>
    <row r="76" spans="1:10" ht="21" hidden="1" thickBot="1" x14ac:dyDescent="0.3">
      <c r="A76" s="115" t="s">
        <v>67</v>
      </c>
      <c r="B76" s="115"/>
      <c r="C76" s="115"/>
      <c r="D76" s="115"/>
      <c r="E76" s="115"/>
      <c r="F76" s="115"/>
      <c r="G76" s="115"/>
      <c r="H76" s="115"/>
    </row>
    <row r="77" spans="1:10" ht="20.25" hidden="1" customHeight="1" x14ac:dyDescent="0.3">
      <c r="A77" s="116" t="str">
        <f>CONCATENATE((IF(OR(A47="",A47="NA"),"",A47)),"= ",(IF(OR(D47="",D47="NA"),"",D47)),".")</f>
        <v>Tower 2 = .</v>
      </c>
      <c r="B77" s="116"/>
      <c r="C77" s="116"/>
      <c r="D77" s="30" t="s">
        <v>114</v>
      </c>
      <c r="E77" s="123" t="s">
        <v>101</v>
      </c>
      <c r="F77" s="123"/>
      <c r="G77" s="30" t="s">
        <v>115</v>
      </c>
      <c r="H77" s="30" t="s">
        <v>116</v>
      </c>
      <c r="I77"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8"/>
    </row>
    <row r="78" spans="1:10" ht="20.25" hidden="1" x14ac:dyDescent="0.3">
      <c r="A78" s="116"/>
      <c r="B78" s="116"/>
      <c r="C78" s="116"/>
      <c r="D78" s="52">
        <f>IF(AND(ISNUMBER(SEARCH("1B",A77))),1,IF(AND(ISNUMBER(SEARCH("2B",A77))),2,IF(AND(ISNUMBER(SEARCH("3B",A77))),3,IF(AND(ISNUMBER(SEARCH("4B",A77))),4,IF(ISNUMBER(SEARCH("5B",A77)),5,0)))))</f>
        <v>0</v>
      </c>
      <c r="E78" s="123">
        <v>1</v>
      </c>
      <c r="F78" s="123"/>
      <c r="G78" s="52">
        <v>0</v>
      </c>
      <c r="H78" s="30">
        <f ca="1">--TRIM(RIGHT(SUBSTITUTE(LEFT(A77,_xlfn.AGGREGATE(16,6,FIND({0,1,2,3,4,5,6,7,8,9},A77,ROW(INDIRECT("1:"&amp;LEN(A77)))),1))," ",REPT(" ",LEN(A77))),LEN(A77)))</f>
        <v>2</v>
      </c>
      <c r="I78" s="17" t="s">
        <v>120</v>
      </c>
      <c r="J78" s="18"/>
    </row>
    <row r="79" spans="1:10" ht="20.25" hidden="1" customHeight="1" x14ac:dyDescent="0.3">
      <c r="A79" s="124" t="s">
        <v>118</v>
      </c>
      <c r="B79" s="124"/>
      <c r="C79" s="28" t="s">
        <v>132</v>
      </c>
      <c r="D79" s="28" t="s">
        <v>133</v>
      </c>
      <c r="E79" s="124" t="s">
        <v>119</v>
      </c>
      <c r="F79" s="124"/>
      <c r="G79" s="29" t="s">
        <v>117</v>
      </c>
      <c r="H79" s="29"/>
      <c r="I79" s="20" t="s">
        <v>134</v>
      </c>
      <c r="J79" s="19">
        <f ca="1">H78*25%</f>
        <v>0.5</v>
      </c>
    </row>
    <row r="80" spans="1:10" ht="20.25" hidden="1" customHeight="1" x14ac:dyDescent="0.3">
      <c r="A80" s="122" t="s">
        <v>135</v>
      </c>
      <c r="B80" s="122"/>
      <c r="C80" s="30">
        <f ca="1">J81</f>
        <v>2</v>
      </c>
      <c r="D80" s="5">
        <f ca="1">((100/H78)*C80)/100</f>
        <v>1</v>
      </c>
      <c r="E80" s="168">
        <f ca="1">(((C80/H78*10)+(C81/H78*15)+(25/(E78+G78+H78)*C82)+(5/(H78)*C83)+(2.5/(H78)*C84)+(2.5/(H78)*C85)+(5/H78*C86)+(10/H78*C87)+(2.5/H78*C88)+(2.5/H78*C89)+(10/H78*C90)+(10/H78*C91))/100)</f>
        <v>0.25</v>
      </c>
      <c r="F80" s="169"/>
      <c r="G80" s="122" t="str">
        <f ca="1">I77</f>
        <v>Excavation work Completed. Plinth work completed</v>
      </c>
      <c r="H80" s="122"/>
      <c r="I80" s="20" t="s">
        <v>121</v>
      </c>
      <c r="J80" s="24">
        <f ca="1">H78*50%</f>
        <v>1</v>
      </c>
    </row>
    <row r="81" spans="1:10" ht="20.25" hidden="1" x14ac:dyDescent="0.3">
      <c r="A81" s="122" t="s">
        <v>102</v>
      </c>
      <c r="B81" s="122"/>
      <c r="C81" s="32">
        <f ca="1">J89</f>
        <v>2</v>
      </c>
      <c r="D81" s="5">
        <f ca="1">((100/H78)*C81)/100</f>
        <v>1</v>
      </c>
      <c r="E81" s="170"/>
      <c r="F81" s="171"/>
      <c r="G81" s="122"/>
      <c r="H81" s="122"/>
      <c r="I81" s="20" t="s">
        <v>122</v>
      </c>
      <c r="J81" s="24">
        <f ca="1">H78</f>
        <v>2</v>
      </c>
    </row>
    <row r="82" spans="1:10" ht="21" hidden="1" customHeight="1" x14ac:dyDescent="0.35">
      <c r="A82" s="122" t="s">
        <v>136</v>
      </c>
      <c r="B82" s="122"/>
      <c r="C82" s="30">
        <v>0</v>
      </c>
      <c r="D82" s="5">
        <f ca="1">((100/(E78+G78+H78))*C82)/100</f>
        <v>0</v>
      </c>
      <c r="E82" s="170"/>
      <c r="F82" s="171"/>
      <c r="G82" s="122"/>
      <c r="H82" s="122"/>
      <c r="I82" s="20" t="s">
        <v>123</v>
      </c>
      <c r="J82" s="25">
        <f ca="1">(IF(D78&gt;1,(H78/(D78+2)),H78*0.2))</f>
        <v>0.4</v>
      </c>
    </row>
    <row r="83" spans="1:10" ht="21" hidden="1" customHeight="1" x14ac:dyDescent="0.35">
      <c r="A83" s="122" t="s">
        <v>137</v>
      </c>
      <c r="B83" s="122"/>
      <c r="C83" s="30">
        <v>0</v>
      </c>
      <c r="D83" s="5">
        <f ca="1">((100/H78)*C83)/100</f>
        <v>0</v>
      </c>
      <c r="E83" s="170"/>
      <c r="F83" s="171"/>
      <c r="G83" s="122"/>
      <c r="H83" s="122"/>
      <c r="I83" s="20" t="s">
        <v>124</v>
      </c>
      <c r="J83" s="25">
        <f ca="1">(IF(D78&gt;1,(H78/(D78+2)+J82),H78*0.2+J82))</f>
        <v>0.8</v>
      </c>
    </row>
    <row r="84" spans="1:10" ht="21" hidden="1" customHeight="1" x14ac:dyDescent="0.35">
      <c r="A84" s="120" t="s">
        <v>138</v>
      </c>
      <c r="B84" s="121"/>
      <c r="C84" s="30">
        <v>0</v>
      </c>
      <c r="D84" s="5">
        <f ca="1">((100/H78)*C84)/100</f>
        <v>0</v>
      </c>
      <c r="E84" s="170"/>
      <c r="F84" s="171"/>
      <c r="G84" s="122"/>
      <c r="H84" s="122"/>
      <c r="I84" s="20" t="s">
        <v>139</v>
      </c>
      <c r="J84" s="25">
        <f>(IF(D78&gt;1,(H78/(D78+2)+J83),0))</f>
        <v>0</v>
      </c>
    </row>
    <row r="85" spans="1:10" ht="21" hidden="1" customHeight="1" x14ac:dyDescent="0.35">
      <c r="A85" s="120" t="s">
        <v>169</v>
      </c>
      <c r="B85" s="121"/>
      <c r="C85" s="30">
        <v>0</v>
      </c>
      <c r="D85" s="5">
        <f ca="1">((100/H78)*C85)/100</f>
        <v>0</v>
      </c>
      <c r="E85" s="170"/>
      <c r="F85" s="171"/>
      <c r="G85" s="122"/>
      <c r="H85" s="122"/>
      <c r="I85" s="20" t="s">
        <v>140</v>
      </c>
      <c r="J85" s="25">
        <f>(IF(D78&gt;2,(H78/(D78+2)+J84),0))</f>
        <v>0</v>
      </c>
    </row>
    <row r="86" spans="1:10" ht="57.75" hidden="1" customHeight="1" x14ac:dyDescent="0.35">
      <c r="A86" s="120" t="s">
        <v>166</v>
      </c>
      <c r="B86" s="121"/>
      <c r="C86" s="30">
        <v>0</v>
      </c>
      <c r="D86" s="5">
        <f ca="1">((100/(H78))*C86)/100</f>
        <v>0</v>
      </c>
      <c r="E86" s="170"/>
      <c r="F86" s="171"/>
      <c r="G86" s="122"/>
      <c r="H86" s="122"/>
      <c r="I86" s="20" t="s">
        <v>142</v>
      </c>
      <c r="J86" s="26">
        <f>(IF(D78&gt;3,(H78/(D78+2)+J85),0))</f>
        <v>0</v>
      </c>
    </row>
    <row r="87" spans="1:10" ht="21" hidden="1" x14ac:dyDescent="0.35">
      <c r="A87" s="122" t="s">
        <v>141</v>
      </c>
      <c r="B87" s="122"/>
      <c r="C87" s="30">
        <v>0</v>
      </c>
      <c r="D87" s="5">
        <f ca="1">((100/(H78))*C87)/100</f>
        <v>0</v>
      </c>
      <c r="E87" s="170"/>
      <c r="F87" s="171"/>
      <c r="G87" s="122"/>
      <c r="H87" s="122"/>
      <c r="I87" s="20" t="s">
        <v>143</v>
      </c>
      <c r="J87" s="25">
        <f>(IF(D78&gt;4,(H78/(D78+2)+J86),0))</f>
        <v>0</v>
      </c>
    </row>
    <row r="88" spans="1:10" ht="21" hidden="1" customHeight="1" x14ac:dyDescent="0.35">
      <c r="A88" s="122" t="s">
        <v>168</v>
      </c>
      <c r="B88" s="122"/>
      <c r="C88" s="30">
        <v>0</v>
      </c>
      <c r="D88" s="5">
        <f ca="1">((100/H78)*C88)/100</f>
        <v>0</v>
      </c>
      <c r="E88" s="170"/>
      <c r="F88" s="171"/>
      <c r="G88" s="122"/>
      <c r="H88" s="122"/>
      <c r="I88" s="20" t="s">
        <v>125</v>
      </c>
      <c r="J88" s="25">
        <f ca="1">(IF(D78=1,(H78/(D78+3)+J83),IF(D78=0,(H78*0.3+J83),IF(D78&gt;1,0))))</f>
        <v>1.4</v>
      </c>
    </row>
    <row r="89" spans="1:10" ht="21.75" hidden="1" thickBot="1" x14ac:dyDescent="0.4">
      <c r="A89" s="122" t="s">
        <v>167</v>
      </c>
      <c r="B89" s="122"/>
      <c r="C89" s="30">
        <v>0</v>
      </c>
      <c r="D89" s="5">
        <f ca="1">((100/H78)*C89)/100</f>
        <v>0</v>
      </c>
      <c r="E89" s="170"/>
      <c r="F89" s="171"/>
      <c r="G89" s="122"/>
      <c r="H89" s="122"/>
      <c r="I89" s="22" t="s">
        <v>126</v>
      </c>
      <c r="J89" s="27">
        <f ca="1">(IF(D78&gt;1.5,(H78/(D78+2)+J83+MAX(0,J84-J83)+MAX(0,J85-J84)+MAX(0,J86-J85)+MAX(0,J87-J86)+MAX(0,J88-J87)),IF(D78=1,(H78/(D78+3)+J88),IF(D78=0,H78*0.3+J88))))</f>
        <v>2</v>
      </c>
    </row>
    <row r="90" spans="1:10" ht="20.25" hidden="1" x14ac:dyDescent="0.25">
      <c r="A90" s="122" t="s">
        <v>144</v>
      </c>
      <c r="B90" s="122"/>
      <c r="C90" s="30">
        <v>0</v>
      </c>
      <c r="D90" s="5">
        <f ca="1">((100/(H78))*C90)/100</f>
        <v>0</v>
      </c>
      <c r="E90" s="170"/>
      <c r="F90" s="171"/>
      <c r="G90" s="122"/>
      <c r="H90" s="122"/>
    </row>
    <row r="91" spans="1:10" ht="20.25" hidden="1" x14ac:dyDescent="0.25">
      <c r="A91" s="122" t="s">
        <v>145</v>
      </c>
      <c r="B91" s="122"/>
      <c r="C91" s="30">
        <v>0</v>
      </c>
      <c r="D91" s="5">
        <f ca="1">((100/(H78))*C91)/100</f>
        <v>0</v>
      </c>
      <c r="E91" s="172"/>
      <c r="F91" s="173"/>
      <c r="G91" s="122"/>
      <c r="H91" s="122"/>
    </row>
    <row r="92" spans="1:10" ht="21" hidden="1" thickBot="1" x14ac:dyDescent="0.3">
      <c r="A92" s="115" t="s">
        <v>67</v>
      </c>
      <c r="B92" s="115"/>
      <c r="C92" s="115"/>
      <c r="D92" s="115"/>
      <c r="E92" s="115"/>
      <c r="F92" s="115"/>
      <c r="G92" s="115"/>
      <c r="H92" s="115"/>
    </row>
    <row r="93" spans="1:10" ht="20.25" hidden="1" customHeight="1" x14ac:dyDescent="0.3">
      <c r="A93" s="116" t="str">
        <f>CONCATENATE((IF(OR(A48="",A48="NA"),"",A48)),"= ",(IF(OR(D48="",D48="NA"),"",D48)),".")</f>
        <v>Tower 3 = .</v>
      </c>
      <c r="B93" s="116"/>
      <c r="C93" s="116"/>
      <c r="D93" s="30" t="s">
        <v>114</v>
      </c>
      <c r="E93" s="123" t="s">
        <v>101</v>
      </c>
      <c r="F93" s="123"/>
      <c r="G93" s="30" t="s">
        <v>115</v>
      </c>
      <c r="H93" s="30" t="s">
        <v>116</v>
      </c>
      <c r="I93" s="16"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0.25" hidden="1" x14ac:dyDescent="0.3">
      <c r="A94" s="116"/>
      <c r="B94" s="116"/>
      <c r="C94" s="116"/>
      <c r="D94" s="52">
        <f>IF(AND(ISNUMBER(SEARCH("1B",A93))),1,IF(AND(ISNUMBER(SEARCH("2B",A93))),2,IF(AND(ISNUMBER(SEARCH("3B",A93))),3,IF(AND(ISNUMBER(SEARCH("4B",A93))),4,IF(ISNUMBER(SEARCH("5B",A93)),5,0)))))</f>
        <v>0</v>
      </c>
      <c r="E94" s="123">
        <v>1</v>
      </c>
      <c r="F94" s="123"/>
      <c r="G94" s="52">
        <v>0</v>
      </c>
      <c r="H94" s="30">
        <f ca="1">--TRIM(RIGHT(SUBSTITUTE(LEFT(A93,_xlfn.AGGREGATE(16,6,FIND({0,1,2,3,4,5,6,7,8,9},A93,ROW(INDIRECT("1:"&amp;LEN(A93)))),1))," ",REPT(" ",LEN(A93))),LEN(A93)))</f>
        <v>3</v>
      </c>
      <c r="I94" s="17" t="s">
        <v>120</v>
      </c>
      <c r="J94" s="18"/>
    </row>
    <row r="95" spans="1:10" ht="20.25" hidden="1" customHeight="1" x14ac:dyDescent="0.3">
      <c r="A95" s="124" t="s">
        <v>118</v>
      </c>
      <c r="B95" s="124"/>
      <c r="C95" s="28" t="s">
        <v>132</v>
      </c>
      <c r="D95" s="28" t="s">
        <v>133</v>
      </c>
      <c r="E95" s="124" t="s">
        <v>119</v>
      </c>
      <c r="F95" s="124"/>
      <c r="G95" s="29" t="s">
        <v>117</v>
      </c>
      <c r="H95" s="29"/>
      <c r="I95" s="20" t="s">
        <v>134</v>
      </c>
      <c r="J95" s="19">
        <f ca="1">H94*25%</f>
        <v>0.75</v>
      </c>
    </row>
    <row r="96" spans="1:10" ht="20.25" hidden="1" customHeight="1" x14ac:dyDescent="0.3">
      <c r="A96" s="122" t="s">
        <v>135</v>
      </c>
      <c r="B96" s="122"/>
      <c r="C96" s="30">
        <f ca="1">J97</f>
        <v>3</v>
      </c>
      <c r="D96" s="5">
        <f ca="1">((100/H94)*C96)/100</f>
        <v>1</v>
      </c>
      <c r="E96" s="168">
        <f ca="1">(((C96/H94*10)+(C97/H94*15)+(25/(E94+G94+H94)*C98)+(5/(H94)*C99)+(2.5/(H94)*C100)+(2.5/(H94)*C101)+(5/H94*C102)+(10/H94*C103)+(2.5/H94*C104)+(2.5/H94*C105)+(10/H94*C106)+(10/H94*C107))/100)</f>
        <v>0.25</v>
      </c>
      <c r="F96" s="169"/>
      <c r="G96" s="122" t="str">
        <f ca="1">I93</f>
        <v>Excavation work Completed. Plinth work completed</v>
      </c>
      <c r="H96" s="122"/>
      <c r="I96" s="20" t="s">
        <v>121</v>
      </c>
      <c r="J96" s="24">
        <f ca="1">H94*50%</f>
        <v>1.5</v>
      </c>
    </row>
    <row r="97" spans="1:11" ht="20.25" hidden="1" x14ac:dyDescent="0.3">
      <c r="A97" s="122" t="s">
        <v>102</v>
      </c>
      <c r="B97" s="122"/>
      <c r="C97" s="32">
        <f ca="1">J105</f>
        <v>3</v>
      </c>
      <c r="D97" s="5">
        <f ca="1">((100/H94)*C97)/100</f>
        <v>1</v>
      </c>
      <c r="E97" s="170"/>
      <c r="F97" s="171"/>
      <c r="G97" s="122"/>
      <c r="H97" s="122"/>
      <c r="I97" s="20" t="s">
        <v>122</v>
      </c>
      <c r="J97" s="24">
        <f ca="1">H94</f>
        <v>3</v>
      </c>
    </row>
    <row r="98" spans="1:11" ht="21" hidden="1" customHeight="1" x14ac:dyDescent="0.35">
      <c r="A98" s="122" t="s">
        <v>136</v>
      </c>
      <c r="B98" s="122"/>
      <c r="C98" s="30">
        <v>0</v>
      </c>
      <c r="D98" s="5">
        <f ca="1">((100/(E94+G94+H94))*C98)/100</f>
        <v>0</v>
      </c>
      <c r="E98" s="170"/>
      <c r="F98" s="171"/>
      <c r="G98" s="122"/>
      <c r="H98" s="122"/>
      <c r="I98" s="20" t="s">
        <v>123</v>
      </c>
      <c r="J98" s="25">
        <f ca="1">(IF(D94&gt;1,(H94/(D94+2)),H94*0.2))</f>
        <v>0.60000000000000009</v>
      </c>
    </row>
    <row r="99" spans="1:11" ht="21" hidden="1" customHeight="1" x14ac:dyDescent="0.35">
      <c r="A99" s="122" t="s">
        <v>137</v>
      </c>
      <c r="B99" s="122"/>
      <c r="C99" s="30">
        <v>0</v>
      </c>
      <c r="D99" s="5">
        <f ca="1">((100/H94)*C99)/100</f>
        <v>0</v>
      </c>
      <c r="E99" s="170"/>
      <c r="F99" s="171"/>
      <c r="G99" s="122"/>
      <c r="H99" s="122"/>
      <c r="I99" s="20" t="s">
        <v>124</v>
      </c>
      <c r="J99" s="25">
        <f ca="1">(IF(D94&gt;1,(H94/(D94+2)+J98),H94*0.2+J98))</f>
        <v>1.2000000000000002</v>
      </c>
    </row>
    <row r="100" spans="1:11" ht="21" hidden="1" customHeight="1" x14ac:dyDescent="0.35">
      <c r="A100" s="120" t="s">
        <v>138</v>
      </c>
      <c r="B100" s="121"/>
      <c r="C100" s="30">
        <v>0</v>
      </c>
      <c r="D100" s="5">
        <f ca="1">((100/H94)*C100)/100</f>
        <v>0</v>
      </c>
      <c r="E100" s="170"/>
      <c r="F100" s="171"/>
      <c r="G100" s="122"/>
      <c r="H100" s="122"/>
      <c r="I100" s="20" t="s">
        <v>139</v>
      </c>
      <c r="J100" s="25">
        <f>(IF(D94&gt;1,(H94/(D94+2)+J99),0))</f>
        <v>0</v>
      </c>
    </row>
    <row r="101" spans="1:11" ht="21" hidden="1" customHeight="1" x14ac:dyDescent="0.35">
      <c r="A101" s="120" t="s">
        <v>169</v>
      </c>
      <c r="B101" s="121"/>
      <c r="C101" s="30">
        <v>0</v>
      </c>
      <c r="D101" s="5">
        <f ca="1">((100/H94)*C101)/100</f>
        <v>0</v>
      </c>
      <c r="E101" s="170"/>
      <c r="F101" s="171"/>
      <c r="G101" s="122"/>
      <c r="H101" s="122"/>
      <c r="I101" s="20" t="s">
        <v>140</v>
      </c>
      <c r="J101" s="25">
        <f>(IF(D94&gt;2,(H94/(D94+2)+J100),0))</f>
        <v>0</v>
      </c>
    </row>
    <row r="102" spans="1:11" ht="57.75" hidden="1" customHeight="1" x14ac:dyDescent="0.35">
      <c r="A102" s="120" t="s">
        <v>166</v>
      </c>
      <c r="B102" s="121"/>
      <c r="C102" s="30">
        <v>0</v>
      </c>
      <c r="D102" s="5">
        <f ca="1">((100/(H94))*C102)/100</f>
        <v>0</v>
      </c>
      <c r="E102" s="170"/>
      <c r="F102" s="171"/>
      <c r="G102" s="122"/>
      <c r="H102" s="122"/>
      <c r="I102" s="20" t="s">
        <v>142</v>
      </c>
      <c r="J102" s="26">
        <f>(IF(D94&gt;3,(H94/(D94+2)+J101),0))</f>
        <v>0</v>
      </c>
    </row>
    <row r="103" spans="1:11" ht="21" hidden="1" x14ac:dyDescent="0.35">
      <c r="A103" s="122" t="s">
        <v>141</v>
      </c>
      <c r="B103" s="122"/>
      <c r="C103" s="30">
        <v>0</v>
      </c>
      <c r="D103" s="5">
        <f ca="1">((100/(H94))*C103)/100</f>
        <v>0</v>
      </c>
      <c r="E103" s="170"/>
      <c r="F103" s="171"/>
      <c r="G103" s="122"/>
      <c r="H103" s="122"/>
      <c r="I103" s="20" t="s">
        <v>143</v>
      </c>
      <c r="J103" s="25">
        <f>(IF(D94&gt;4,(H94/(D94+2)+J102),0))</f>
        <v>0</v>
      </c>
    </row>
    <row r="104" spans="1:11" ht="21" hidden="1" customHeight="1" x14ac:dyDescent="0.35">
      <c r="A104" s="122" t="s">
        <v>168</v>
      </c>
      <c r="B104" s="122"/>
      <c r="C104" s="30">
        <v>0</v>
      </c>
      <c r="D104" s="5">
        <f ca="1">((100/H94)*C104)/100</f>
        <v>0</v>
      </c>
      <c r="E104" s="170"/>
      <c r="F104" s="171"/>
      <c r="G104" s="122"/>
      <c r="H104" s="122"/>
      <c r="I104" s="20" t="s">
        <v>125</v>
      </c>
      <c r="J104" s="25">
        <f ca="1">(IF(D94=1,(H94/(D94+3)+J99),IF(D94=0,(H94*0.3+J99),IF(D94&gt;1,0))))</f>
        <v>2.1</v>
      </c>
    </row>
    <row r="105" spans="1:11" ht="21.75" hidden="1" thickBot="1" x14ac:dyDescent="0.4">
      <c r="A105" s="122" t="s">
        <v>167</v>
      </c>
      <c r="B105" s="122"/>
      <c r="C105" s="30">
        <v>0</v>
      </c>
      <c r="D105" s="5">
        <f ca="1">((100/H94)*C105)/100</f>
        <v>0</v>
      </c>
      <c r="E105" s="170"/>
      <c r="F105" s="171"/>
      <c r="G105" s="122"/>
      <c r="H105" s="122"/>
      <c r="I105" s="22" t="s">
        <v>126</v>
      </c>
      <c r="J105" s="27">
        <f ca="1">(IF(D94&gt;1.5,(H94/(D94+2)+J99+MAX(0,J100-J99)+MAX(0,J101-J100)+MAX(0,J102-J101)+MAX(0,J103-J102)+MAX(0,J104-J103)),IF(D94=1,(H94/(D94+3)+J104),IF(D94=0,H94*0.3+J104))))</f>
        <v>3</v>
      </c>
    </row>
    <row r="106" spans="1:11" ht="20.25" hidden="1" x14ac:dyDescent="0.25">
      <c r="A106" s="122" t="s">
        <v>144</v>
      </c>
      <c r="B106" s="122"/>
      <c r="C106" s="30">
        <v>0</v>
      </c>
      <c r="D106" s="5">
        <f ca="1">((100/(H94))*C106)/100</f>
        <v>0</v>
      </c>
      <c r="E106" s="170"/>
      <c r="F106" s="171"/>
      <c r="G106" s="122"/>
      <c r="H106" s="122"/>
    </row>
    <row r="107" spans="1:11" ht="20.25" hidden="1" x14ac:dyDescent="0.25">
      <c r="A107" s="122" t="s">
        <v>145</v>
      </c>
      <c r="B107" s="122"/>
      <c r="C107" s="30">
        <v>0</v>
      </c>
      <c r="D107" s="5">
        <f ca="1">((100/(H94))*C107)/100</f>
        <v>0</v>
      </c>
      <c r="E107" s="172"/>
      <c r="F107" s="173"/>
      <c r="G107" s="122"/>
      <c r="H107" s="122"/>
    </row>
    <row r="108" spans="1:11" ht="36.75" customHeight="1" x14ac:dyDescent="0.3">
      <c r="A108" s="107" t="s">
        <v>127</v>
      </c>
      <c r="B108" s="108"/>
      <c r="C108" s="108"/>
      <c r="D108" s="108"/>
      <c r="E108" s="108"/>
      <c r="F108" s="108"/>
      <c r="G108" s="128">
        <f ca="1">AVERAGE(E64)</f>
        <v>0</v>
      </c>
      <c r="H108" s="129"/>
      <c r="I108" s="20"/>
      <c r="J108" s="21"/>
      <c r="K108" s="21"/>
    </row>
    <row r="109" spans="1:11" ht="20.25" x14ac:dyDescent="0.25">
      <c r="A109" s="145" t="s">
        <v>71</v>
      </c>
      <c r="B109" s="146"/>
      <c r="C109" s="146"/>
      <c r="D109" s="146"/>
      <c r="E109" s="146"/>
      <c r="F109" s="146"/>
      <c r="G109" s="146"/>
      <c r="H109" s="147"/>
    </row>
    <row r="110" spans="1:11" ht="45" customHeight="1" x14ac:dyDescent="0.25">
      <c r="A110" s="148" t="s">
        <v>72</v>
      </c>
      <c r="B110" s="149"/>
      <c r="C110" s="142" t="s">
        <v>106</v>
      </c>
      <c r="D110" s="143"/>
      <c r="E110" s="148" t="s">
        <v>146</v>
      </c>
      <c r="F110" s="149" t="s">
        <v>4</v>
      </c>
      <c r="G110" s="174" t="s">
        <v>159</v>
      </c>
      <c r="H110" s="174"/>
    </row>
    <row r="111" spans="1:11" ht="44.25" customHeight="1" x14ac:dyDescent="0.25">
      <c r="A111" s="148" t="s">
        <v>156</v>
      </c>
      <c r="B111" s="149"/>
      <c r="C111" s="202" t="s">
        <v>380</v>
      </c>
      <c r="D111" s="203"/>
      <c r="E111" s="148" t="s">
        <v>157</v>
      </c>
      <c r="F111" s="149" t="s">
        <v>4</v>
      </c>
      <c r="G111" s="117" t="s">
        <v>147</v>
      </c>
      <c r="H111" s="117"/>
    </row>
    <row r="112" spans="1:11" ht="20.25" x14ac:dyDescent="0.25">
      <c r="A112" s="148" t="s">
        <v>73</v>
      </c>
      <c r="B112" s="149"/>
      <c r="C112" s="176">
        <v>800000</v>
      </c>
      <c r="D112" s="178"/>
      <c r="E112" s="148" t="s">
        <v>100</v>
      </c>
      <c r="F112" s="149" t="s">
        <v>4</v>
      </c>
      <c r="G112" s="142" t="s">
        <v>107</v>
      </c>
      <c r="H112" s="143"/>
    </row>
    <row r="113" spans="1:150 16226:16383" ht="20.25" x14ac:dyDescent="0.25">
      <c r="A113" s="145" t="s">
        <v>70</v>
      </c>
      <c r="B113" s="146"/>
      <c r="C113" s="146"/>
      <c r="D113" s="146"/>
      <c r="E113" s="146"/>
      <c r="F113" s="146"/>
      <c r="G113" s="146"/>
      <c r="H113" s="147"/>
    </row>
    <row r="114" spans="1:150 16226:16383" ht="20.25" customHeight="1" x14ac:dyDescent="0.25">
      <c r="A114" s="184" t="s">
        <v>8</v>
      </c>
      <c r="B114" s="185"/>
      <c r="C114" s="185"/>
      <c r="D114" s="185"/>
      <c r="E114" s="185"/>
      <c r="F114" s="186"/>
      <c r="G114" s="130">
        <f>58650/10.764</f>
        <v>5448.7179487179492</v>
      </c>
      <c r="H114" s="131"/>
    </row>
    <row r="115" spans="1:150 16226:16383" ht="20.25" customHeight="1" x14ac:dyDescent="0.25">
      <c r="A115" s="184" t="s">
        <v>28</v>
      </c>
      <c r="B115" s="185"/>
      <c r="C115" s="185"/>
      <c r="D115" s="185"/>
      <c r="E115" s="185"/>
      <c r="F115" s="186" t="s">
        <v>4</v>
      </c>
      <c r="G115" s="144">
        <f>134160/10.764</f>
        <v>12463.76811594203</v>
      </c>
      <c r="H115" s="144"/>
    </row>
    <row r="116" spans="1:150 16226:16383" ht="20.25" customHeight="1" x14ac:dyDescent="0.25">
      <c r="A116" s="184" t="s">
        <v>108</v>
      </c>
      <c r="B116" s="185"/>
      <c r="C116" s="185"/>
      <c r="D116" s="185"/>
      <c r="E116" s="185"/>
      <c r="F116" s="186" t="s">
        <v>4</v>
      </c>
      <c r="G116" s="144">
        <f>G114*0.8</f>
        <v>4358.9743589743593</v>
      </c>
      <c r="H116" s="144"/>
    </row>
    <row r="117" spans="1:150 16226:16383" ht="20.25" hidden="1" x14ac:dyDescent="0.25">
      <c r="A117" s="136" t="s">
        <v>245</v>
      </c>
      <c r="B117" s="137"/>
      <c r="C117" s="137"/>
      <c r="D117" s="137"/>
      <c r="E117" s="137"/>
      <c r="F117" s="137"/>
      <c r="G117" s="137"/>
      <c r="H117" s="138"/>
    </row>
    <row r="118" spans="1:150 16226:16383" s="3" customFormat="1" ht="20.25" hidden="1" x14ac:dyDescent="0.25">
      <c r="A118" s="109" t="s">
        <v>153</v>
      </c>
      <c r="B118" s="110"/>
      <c r="C118" s="109" t="s">
        <v>154</v>
      </c>
      <c r="D118" s="110"/>
      <c r="E118" s="109" t="s">
        <v>152</v>
      </c>
      <c r="F118" s="110"/>
      <c r="G118" s="109" t="s">
        <v>164</v>
      </c>
      <c r="H118" s="110"/>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x14ac:dyDescent="0.25">
      <c r="A119" s="111"/>
      <c r="B119" s="112"/>
      <c r="C119" s="111"/>
      <c r="D119" s="112"/>
      <c r="E119" s="111"/>
      <c r="F119" s="112"/>
      <c r="G119" s="111"/>
      <c r="H119" s="112"/>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111"/>
      <c r="B120" s="112"/>
      <c r="C120" s="111"/>
      <c r="D120" s="112"/>
      <c r="E120" s="111"/>
      <c r="F120" s="112"/>
      <c r="G120" s="111"/>
      <c r="H120" s="11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09" t="s">
        <v>155</v>
      </c>
      <c r="B121" s="110"/>
      <c r="C121" s="109" t="s">
        <v>94</v>
      </c>
      <c r="D121" s="110"/>
      <c r="E121" s="109">
        <f>SUM(F119:F120)</f>
        <v>0</v>
      </c>
      <c r="F121" s="110"/>
      <c r="G121" s="109">
        <f>SUM(H119:H120)</f>
        <v>0</v>
      </c>
      <c r="H121" s="110">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36" t="s">
        <v>232</v>
      </c>
      <c r="B122" s="137"/>
      <c r="C122" s="137"/>
      <c r="D122" s="137"/>
      <c r="E122" s="137"/>
      <c r="F122" s="137"/>
      <c r="G122" s="137"/>
      <c r="H122" s="138"/>
    </row>
    <row r="123" spans="1:150 16226:16383" s="3" customFormat="1" ht="20.25" x14ac:dyDescent="0.25">
      <c r="A123" s="109" t="s">
        <v>153</v>
      </c>
      <c r="B123" s="110"/>
      <c r="C123" s="109" t="s">
        <v>154</v>
      </c>
      <c r="D123" s="110"/>
      <c r="E123" s="109" t="s">
        <v>152</v>
      </c>
      <c r="F123" s="110"/>
      <c r="G123" s="109" t="s">
        <v>164</v>
      </c>
      <c r="H123" s="110"/>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11" t="s">
        <v>366</v>
      </c>
      <c r="B124" s="112"/>
      <c r="C124" s="111" t="s">
        <v>87</v>
      </c>
      <c r="D124" s="112"/>
      <c r="E124" s="111">
        <f>COUNT(H134:H135)*3+COUNT(H149:H150)+COUNT(H154:H155)+COUNT(H160,H162)+COUNT(H167)*2+COUNT(H177)+COUNT(H184:H185)+COUNT(H189,H191)+COUNT(H197)*2+COUNT(H200,H202)*2+COUNT(H206:H207)+COUNT(H210:H212)</f>
        <v>30</v>
      </c>
      <c r="F124" s="112"/>
      <c r="G124" s="111">
        <f>SUM(H134:H135)*3+SUM(H149:H150)+SUM(H154:H155)+SUM(H160,H162)+SUM(H167)*2+SUM(H177)+SUM(H184:H185)+SUM(H189,H191)+SUM(H197)*2+SUM(H200,H202)*2+SUM(H206:H207)+SUM(H210:H212)</f>
        <v>24051.18924</v>
      </c>
      <c r="H124" s="112"/>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11" t="s">
        <v>366</v>
      </c>
      <c r="B125" s="112"/>
      <c r="C125" s="111" t="s">
        <v>354</v>
      </c>
      <c r="D125" s="112"/>
      <c r="E125" s="111">
        <f>COUNT(H159,H161)+COUNT(H164:H166)*2+COUNT(H170:H173)+COUNT(H176,H178:H179)+COUNT(H182:H183)+COUNT(H188,H190)+COUNT(H194:H196)*2+COUNT(H199,H201)*2+COUNT(H204:H205)+COUNT(H209)</f>
        <v>32</v>
      </c>
      <c r="F125" s="112"/>
      <c r="G125" s="111">
        <f t="shared" ref="G125" si="0">SUM(H159,H161)+SUM(H164:H166)*2+SUM(H170:H173)+SUM(H176,H178:H179)+SUM(H182:H183)+SUM(H188,H190)+SUM(H194:H196)*2+SUM(H199,H201)*2+SUM(H204:H205)+SUM(H209)</f>
        <v>25738.553879999996</v>
      </c>
      <c r="H125" s="11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13" t="s">
        <v>155</v>
      </c>
      <c r="B126" s="114"/>
      <c r="C126" s="113" t="s">
        <v>94</v>
      </c>
      <c r="D126" s="114"/>
      <c r="E126" s="113">
        <f>SUM(E124:F125)</f>
        <v>62</v>
      </c>
      <c r="F126" s="114"/>
      <c r="G126" s="113">
        <f>SUM(G124:H125)</f>
        <v>49789.743119999999</v>
      </c>
      <c r="H126" s="11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hidden="1" x14ac:dyDescent="0.25">
      <c r="A127" s="132" t="s">
        <v>246</v>
      </c>
      <c r="B127" s="133"/>
      <c r="C127" s="134" t="s">
        <v>94</v>
      </c>
      <c r="D127" s="133"/>
      <c r="E127" s="134">
        <f>SUM(E126)</f>
        <v>62</v>
      </c>
      <c r="F127" s="133"/>
      <c r="G127" s="134">
        <f>SUM(G126)</f>
        <v>49789.743119999999</v>
      </c>
      <c r="H127" s="13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04" t="s">
        <v>151</v>
      </c>
      <c r="B128" s="105"/>
      <c r="C128" s="105"/>
      <c r="D128" s="105"/>
      <c r="E128" s="105"/>
      <c r="F128" s="105"/>
      <c r="G128" s="105"/>
      <c r="H128" s="106"/>
    </row>
    <row r="129" spans="1:150 16226:16383" ht="66" customHeight="1" x14ac:dyDescent="0.25">
      <c r="A129" s="53" t="s">
        <v>233</v>
      </c>
      <c r="B129" s="31" t="s">
        <v>234</v>
      </c>
      <c r="C129" s="82" t="s">
        <v>154</v>
      </c>
      <c r="D129" s="31" t="s">
        <v>88</v>
      </c>
      <c r="E129" s="31" t="s">
        <v>165</v>
      </c>
      <c r="F129" s="34" t="s">
        <v>368</v>
      </c>
      <c r="G129" s="31" t="s">
        <v>90</v>
      </c>
      <c r="H129" s="31" t="s">
        <v>89</v>
      </c>
    </row>
    <row r="130" spans="1:150 16226:16383" s="3" customFormat="1" ht="20.25" x14ac:dyDescent="0.25">
      <c r="A130" s="104" t="s">
        <v>339</v>
      </c>
      <c r="B130" s="105"/>
      <c r="C130" s="105"/>
      <c r="D130" s="105"/>
      <c r="E130" s="105"/>
      <c r="F130" s="105"/>
      <c r="G130" s="105"/>
      <c r="H130" s="106"/>
      <c r="I130" s="4"/>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94" t="s">
        <v>346</v>
      </c>
      <c r="B131" s="95"/>
      <c r="C131" s="95"/>
      <c r="D131" s="95"/>
      <c r="E131" s="95"/>
      <c r="F131" s="95"/>
      <c r="G131" s="95"/>
      <c r="H131" s="96"/>
      <c r="I131" s="4"/>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39.75" customHeight="1" x14ac:dyDescent="0.25">
      <c r="A132" s="94" t="s">
        <v>347</v>
      </c>
      <c r="B132" s="95"/>
      <c r="C132" s="95"/>
      <c r="D132" s="95"/>
      <c r="E132" s="95"/>
      <c r="F132" s="95"/>
      <c r="G132" s="95"/>
      <c r="H132" s="96"/>
      <c r="I132" s="4"/>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94" t="s">
        <v>383</v>
      </c>
      <c r="B133" s="95"/>
      <c r="C133" s="95"/>
      <c r="D133" s="95"/>
      <c r="E133" s="95"/>
      <c r="F133" s="95"/>
      <c r="G133" s="95"/>
      <c r="H133" s="96"/>
      <c r="I133" s="4">
        <v>3</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97">
        <v>1</v>
      </c>
      <c r="B134" s="97"/>
      <c r="C134" s="81" t="s">
        <v>87</v>
      </c>
      <c r="D134" s="54" t="s">
        <v>349</v>
      </c>
      <c r="E134" s="75">
        <f>(68.4)*(10.764)</f>
        <v>736.25760000000002</v>
      </c>
      <c r="F134" s="76">
        <f>(2.68)*(10.764)</f>
        <v>28.847519999999999</v>
      </c>
      <c r="G134" s="76">
        <v>0</v>
      </c>
      <c r="H134" s="76">
        <f>E134+F134+(IF(G134&lt;101,G134,IF(G134&lt;201,G134/2,IF(G134&lt;=301,G134/3,G134/4))))</f>
        <v>765.10512000000006</v>
      </c>
      <c r="I134" s="4"/>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89">
        <f>A134+1</f>
        <v>2</v>
      </c>
      <c r="B135" s="90"/>
      <c r="C135" s="81" t="s">
        <v>87</v>
      </c>
      <c r="D135" s="54" t="s">
        <v>349</v>
      </c>
      <c r="E135" s="75">
        <f>(70.69)*(10.764)</f>
        <v>760.90715999999998</v>
      </c>
      <c r="F135" s="76">
        <f>(3.2)*(10.764)</f>
        <v>34.444800000000001</v>
      </c>
      <c r="G135" s="76">
        <v>0</v>
      </c>
      <c r="H135" s="76">
        <f t="shared" ref="H135" si="1">E135+F135+(IF(G135&lt;101,G135,IF(G135&lt;201,G135/2,IF(G135&lt;=301,G135/3,G135/4))))</f>
        <v>795.35195999999996</v>
      </c>
      <c r="I135" s="4"/>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89" t="s">
        <v>94</v>
      </c>
      <c r="B136" s="90"/>
      <c r="C136" s="98" t="s">
        <v>348</v>
      </c>
      <c r="D136" s="99"/>
      <c r="E136" s="99"/>
      <c r="F136" s="99"/>
      <c r="G136" s="99"/>
      <c r="H136" s="100"/>
      <c r="I136" s="4"/>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9" t="s">
        <v>94</v>
      </c>
      <c r="B137" s="90"/>
      <c r="C137" s="101"/>
      <c r="D137" s="102"/>
      <c r="E137" s="102"/>
      <c r="F137" s="102"/>
      <c r="G137" s="102"/>
      <c r="H137" s="103"/>
      <c r="I137" s="4"/>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94" t="s">
        <v>381</v>
      </c>
      <c r="B138" s="95"/>
      <c r="C138" s="95"/>
      <c r="D138" s="95"/>
      <c r="E138" s="95"/>
      <c r="F138" s="95"/>
      <c r="G138" s="95"/>
      <c r="H138" s="96"/>
      <c r="I138" s="4">
        <v>3</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97">
        <v>1</v>
      </c>
      <c r="B139" s="97"/>
      <c r="C139" s="81" t="s">
        <v>87</v>
      </c>
      <c r="D139" s="54" t="s">
        <v>349</v>
      </c>
      <c r="E139" s="84">
        <f>(68.4)*(10.764)</f>
        <v>736.25760000000002</v>
      </c>
      <c r="F139" s="83">
        <f>(2.68)*(10.764)</f>
        <v>28.847519999999999</v>
      </c>
      <c r="G139" s="83">
        <v>0</v>
      </c>
      <c r="H139" s="83">
        <f>E139+F139+(IF(G139&lt;101,G139,IF(G139&lt;201,G139/2,IF(G139&lt;=301,G139/3,G139/4))))</f>
        <v>765.10512000000006</v>
      </c>
      <c r="I139" s="4"/>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89">
        <f>A139+1</f>
        <v>2</v>
      </c>
      <c r="B140" s="90"/>
      <c r="C140" s="81" t="s">
        <v>87</v>
      </c>
      <c r="D140" s="54" t="s">
        <v>349</v>
      </c>
      <c r="E140" s="84">
        <f>(70.69)*(10.764)</f>
        <v>760.90715999999998</v>
      </c>
      <c r="F140" s="83">
        <f>(3.2)*(10.764)</f>
        <v>34.444800000000001</v>
      </c>
      <c r="G140" s="83">
        <v>0</v>
      </c>
      <c r="H140" s="83">
        <f t="shared" ref="H140" si="2">E140+F140+(IF(G140&lt;101,G140,IF(G140&lt;201,G140/2,IF(G140&lt;=301,G140/3,G140/4))))</f>
        <v>795.35195999999996</v>
      </c>
      <c r="I140" s="4"/>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x14ac:dyDescent="0.25">
      <c r="A141" s="89" t="s">
        <v>94</v>
      </c>
      <c r="B141" s="90"/>
      <c r="C141" s="98" t="s">
        <v>348</v>
      </c>
      <c r="D141" s="99"/>
      <c r="E141" s="99"/>
      <c r="F141" s="99"/>
      <c r="G141" s="99"/>
      <c r="H141" s="100"/>
      <c r="I141" s="4"/>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9" t="s">
        <v>94</v>
      </c>
      <c r="B142" s="90"/>
      <c r="C142" s="101"/>
      <c r="D142" s="102"/>
      <c r="E142" s="102"/>
      <c r="F142" s="102"/>
      <c r="G142" s="102"/>
      <c r="H142" s="103"/>
      <c r="I142" s="4"/>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x14ac:dyDescent="0.25">
      <c r="A143" s="94" t="s">
        <v>382</v>
      </c>
      <c r="B143" s="95"/>
      <c r="C143" s="95"/>
      <c r="D143" s="95"/>
      <c r="E143" s="95"/>
      <c r="F143" s="95"/>
      <c r="G143" s="95"/>
      <c r="H143" s="96"/>
      <c r="I143" s="4">
        <v>3</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97">
        <v>1</v>
      </c>
      <c r="B144" s="97"/>
      <c r="C144" s="81" t="s">
        <v>87</v>
      </c>
      <c r="D144" s="54" t="s">
        <v>349</v>
      </c>
      <c r="E144" s="84">
        <f>(68.4)*(10.764)</f>
        <v>736.25760000000002</v>
      </c>
      <c r="F144" s="83">
        <f>(2.68)*(10.764)</f>
        <v>28.847519999999999</v>
      </c>
      <c r="G144" s="83">
        <v>0</v>
      </c>
      <c r="H144" s="83">
        <f>E144+F144+(IF(G144&lt;101,G144,IF(G144&lt;201,G144/2,IF(G144&lt;=301,G144/3,G144/4))))</f>
        <v>765.10512000000006</v>
      </c>
      <c r="I144" s="4"/>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89">
        <f>A144+1</f>
        <v>2</v>
      </c>
      <c r="B145" s="90"/>
      <c r="C145" s="81" t="s">
        <v>87</v>
      </c>
      <c r="D145" s="54" t="s">
        <v>349</v>
      </c>
      <c r="E145" s="84">
        <f>(70.69)*(10.764)</f>
        <v>760.90715999999998</v>
      </c>
      <c r="F145" s="83">
        <f>(3.2)*(10.764)</f>
        <v>34.444800000000001</v>
      </c>
      <c r="G145" s="83">
        <v>0</v>
      </c>
      <c r="H145" s="83">
        <f t="shared" ref="H145" si="3">E145+F145+(IF(G145&lt;101,G145,IF(G145&lt;201,G145/2,IF(G145&lt;=301,G145/3,G145/4))))</f>
        <v>795.35195999999996</v>
      </c>
      <c r="I145" s="4"/>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89" t="s">
        <v>94</v>
      </c>
      <c r="B146" s="90"/>
      <c r="C146" s="98" t="s">
        <v>348</v>
      </c>
      <c r="D146" s="99"/>
      <c r="E146" s="99"/>
      <c r="F146" s="99"/>
      <c r="G146" s="99"/>
      <c r="H146" s="100"/>
      <c r="I146" s="4"/>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89" t="s">
        <v>94</v>
      </c>
      <c r="B147" s="90"/>
      <c r="C147" s="101"/>
      <c r="D147" s="102"/>
      <c r="E147" s="102"/>
      <c r="F147" s="102"/>
      <c r="G147" s="102"/>
      <c r="H147" s="103"/>
      <c r="I147" s="4"/>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94" t="s">
        <v>350</v>
      </c>
      <c r="B148" s="95"/>
      <c r="C148" s="95"/>
      <c r="D148" s="95"/>
      <c r="E148" s="95"/>
      <c r="F148" s="95"/>
      <c r="G148" s="95"/>
      <c r="H148" s="96"/>
      <c r="I148" s="4">
        <v>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97">
        <v>1</v>
      </c>
      <c r="B149" s="97"/>
      <c r="C149" s="81" t="s">
        <v>87</v>
      </c>
      <c r="D149" s="54" t="s">
        <v>349</v>
      </c>
      <c r="E149" s="75">
        <f>(68.4)*(10.764)</f>
        <v>736.25760000000002</v>
      </c>
      <c r="F149" s="76">
        <f>(2.68)*(10.764)</f>
        <v>28.847519999999999</v>
      </c>
      <c r="G149" s="76">
        <v>0</v>
      </c>
      <c r="H149" s="76">
        <f>E149+F149+(IF(G149&lt;101,G149,IF(G149&lt;201,G149/2,IF(G149&lt;=301,G149/3,G149/4))))</f>
        <v>765.10512000000006</v>
      </c>
      <c r="I149" s="4"/>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89">
        <f>A149+1</f>
        <v>2</v>
      </c>
      <c r="B150" s="90"/>
      <c r="C150" s="81" t="s">
        <v>87</v>
      </c>
      <c r="D150" s="54" t="s">
        <v>349</v>
      </c>
      <c r="E150" s="75">
        <f>(70.69)*(10.764)</f>
        <v>760.90715999999998</v>
      </c>
      <c r="F150" s="76">
        <f>(3.2)*(10.764)</f>
        <v>34.444800000000001</v>
      </c>
      <c r="G150" s="76">
        <v>0</v>
      </c>
      <c r="H150" s="76">
        <f t="shared" ref="H150" si="4">E150+F150+(IF(G150&lt;101,G150,IF(G150&lt;201,G150/2,IF(G150&lt;=301,G150/3,G150/4))))</f>
        <v>795.35195999999996</v>
      </c>
      <c r="I150" s="4"/>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89" t="s">
        <v>94</v>
      </c>
      <c r="B151" s="90"/>
      <c r="C151" s="98" t="s">
        <v>348</v>
      </c>
      <c r="D151" s="99"/>
      <c r="E151" s="99"/>
      <c r="F151" s="99"/>
      <c r="G151" s="99"/>
      <c r="H151" s="100"/>
      <c r="I151" s="4"/>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89" t="s">
        <v>94</v>
      </c>
      <c r="B152" s="90"/>
      <c r="C152" s="101"/>
      <c r="D152" s="102"/>
      <c r="E152" s="102"/>
      <c r="F152" s="102"/>
      <c r="G152" s="102"/>
      <c r="H152" s="103"/>
      <c r="I152" s="4"/>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94" t="s">
        <v>351</v>
      </c>
      <c r="B153" s="95"/>
      <c r="C153" s="95"/>
      <c r="D153" s="95"/>
      <c r="E153" s="95"/>
      <c r="F153" s="95"/>
      <c r="G153" s="95"/>
      <c r="H153" s="96"/>
      <c r="I153" s="4">
        <v>1</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97">
        <v>1</v>
      </c>
      <c r="B154" s="97"/>
      <c r="C154" s="81" t="s">
        <v>87</v>
      </c>
      <c r="D154" s="54" t="s">
        <v>349</v>
      </c>
      <c r="E154" s="75">
        <f>(68.4)*(10.764)</f>
        <v>736.25760000000002</v>
      </c>
      <c r="F154" s="76">
        <f>(2.68)*(10.764)</f>
        <v>28.847519999999999</v>
      </c>
      <c r="G154" s="76">
        <v>0</v>
      </c>
      <c r="H154" s="76">
        <f>E154+F154+(IF(G154&lt;101,G154,IF(G154&lt;201,G154/2,IF(G154&lt;=301,G154/3,G154/4))))</f>
        <v>765.10512000000006</v>
      </c>
      <c r="I154" s="4"/>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89">
        <f>A154+1</f>
        <v>2</v>
      </c>
      <c r="B155" s="90"/>
      <c r="C155" s="81" t="s">
        <v>87</v>
      </c>
      <c r="D155" s="54" t="s">
        <v>349</v>
      </c>
      <c r="E155" s="75">
        <f>(70.69)*(10.764)</f>
        <v>760.90715999999998</v>
      </c>
      <c r="F155" s="76">
        <f>(3.2)*(10.764)</f>
        <v>34.444800000000001</v>
      </c>
      <c r="G155" s="76">
        <v>0</v>
      </c>
      <c r="H155" s="76">
        <f t="shared" ref="H155" si="5">E155+F155+(IF(G155&lt;101,G155,IF(G155&lt;201,G155/2,IF(G155&lt;=301,G155/3,G155/4))))</f>
        <v>795.35195999999996</v>
      </c>
      <c r="I155" s="4"/>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89" t="s">
        <v>94</v>
      </c>
      <c r="B156" s="90"/>
      <c r="C156" s="98" t="s">
        <v>352</v>
      </c>
      <c r="D156" s="99"/>
      <c r="E156" s="99"/>
      <c r="F156" s="99"/>
      <c r="G156" s="99"/>
      <c r="H156" s="100"/>
      <c r="I156" s="4"/>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89" t="s">
        <v>94</v>
      </c>
      <c r="B157" s="90"/>
      <c r="C157" s="101"/>
      <c r="D157" s="102"/>
      <c r="E157" s="102"/>
      <c r="F157" s="102"/>
      <c r="G157" s="102"/>
      <c r="H157" s="103"/>
      <c r="I157" s="4"/>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94" t="s">
        <v>353</v>
      </c>
      <c r="B158" s="95"/>
      <c r="C158" s="95"/>
      <c r="D158" s="95"/>
      <c r="E158" s="95"/>
      <c r="F158" s="95"/>
      <c r="G158" s="95"/>
      <c r="H158" s="96"/>
      <c r="I158" s="4">
        <v>1</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97">
        <v>1</v>
      </c>
      <c r="B159" s="97"/>
      <c r="C159" s="54" t="s">
        <v>354</v>
      </c>
      <c r="D159" s="54" t="s">
        <v>349</v>
      </c>
      <c r="E159" s="75">
        <f>(67.82)*(10.764)</f>
        <v>730.01447999999993</v>
      </c>
      <c r="F159" s="76">
        <f>(2.68)*(10.764)</f>
        <v>28.847519999999999</v>
      </c>
      <c r="G159" s="76">
        <v>0</v>
      </c>
      <c r="H159" s="76">
        <f>E159+F159+(IF(G159&lt;101,G159,IF(G159&lt;201,G159/2,IF(G159&lt;=301,G159/3,G159/4))))</f>
        <v>758.86199999999997</v>
      </c>
      <c r="I159" s="4"/>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89">
        <f>A159+1</f>
        <v>2</v>
      </c>
      <c r="B160" s="90"/>
      <c r="C160" s="81" t="s">
        <v>87</v>
      </c>
      <c r="D160" s="54" t="s">
        <v>349</v>
      </c>
      <c r="E160" s="75">
        <f>(70.69)*(10.764)</f>
        <v>760.90715999999998</v>
      </c>
      <c r="F160" s="76">
        <f>(3.2)*(10.764)</f>
        <v>34.444800000000001</v>
      </c>
      <c r="G160" s="76">
        <v>0</v>
      </c>
      <c r="H160" s="76">
        <f t="shared" ref="H160:H162" si="6">E160+F160+(IF(G160&lt;101,G160,IF(G160&lt;201,G160/2,IF(G160&lt;=301,G160/3,G160/4))))</f>
        <v>795.35195999999996</v>
      </c>
      <c r="I160" s="4"/>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89">
        <f t="shared" ref="A161:A162" si="7">A160+1</f>
        <v>3</v>
      </c>
      <c r="B161" s="90"/>
      <c r="C161" s="54" t="s">
        <v>354</v>
      </c>
      <c r="D161" s="54" t="s">
        <v>349</v>
      </c>
      <c r="E161" s="75">
        <f>(67.75)*(10.764)</f>
        <v>729.26099999999997</v>
      </c>
      <c r="F161" s="76">
        <f>(2.68)*(10.764)</f>
        <v>28.847519999999999</v>
      </c>
      <c r="G161" s="76">
        <v>0</v>
      </c>
      <c r="H161" s="76">
        <f t="shared" si="6"/>
        <v>758.10852</v>
      </c>
      <c r="I161" s="4"/>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9">
        <f t="shared" si="7"/>
        <v>4</v>
      </c>
      <c r="B162" s="90"/>
      <c r="C162" s="81" t="s">
        <v>87</v>
      </c>
      <c r="D162" s="54" t="s">
        <v>349</v>
      </c>
      <c r="E162" s="75">
        <f>(67.75)*(10.764)</f>
        <v>729.26099999999997</v>
      </c>
      <c r="F162" s="76">
        <f>(2.68)*(10.764)</f>
        <v>28.847519999999999</v>
      </c>
      <c r="G162" s="76">
        <v>0</v>
      </c>
      <c r="H162" s="76">
        <f t="shared" si="6"/>
        <v>758.10852</v>
      </c>
      <c r="I162" s="4"/>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94" t="s">
        <v>355</v>
      </c>
      <c r="B163" s="95"/>
      <c r="C163" s="95"/>
      <c r="D163" s="95"/>
      <c r="E163" s="95"/>
      <c r="F163" s="95"/>
      <c r="G163" s="95"/>
      <c r="H163" s="96"/>
      <c r="I163" s="4">
        <v>2</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97">
        <v>1</v>
      </c>
      <c r="B164" s="97"/>
      <c r="C164" s="54" t="s">
        <v>354</v>
      </c>
      <c r="D164" s="54" t="s">
        <v>349</v>
      </c>
      <c r="E164" s="75">
        <f>(67.82)*(10.764)</f>
        <v>730.01447999999993</v>
      </c>
      <c r="F164" s="76">
        <f>(2.68)*(10.764)</f>
        <v>28.847519999999999</v>
      </c>
      <c r="G164" s="76">
        <v>0</v>
      </c>
      <c r="H164" s="76">
        <f>E164+F164+(IF(G164&lt;101,G164,IF(G164&lt;201,G164/2,IF(G164&lt;=301,G164/3,G164/4))))</f>
        <v>758.86199999999997</v>
      </c>
      <c r="I164" s="4"/>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89">
        <f>A164+1</f>
        <v>2</v>
      </c>
      <c r="B165" s="90"/>
      <c r="C165" s="54" t="s">
        <v>354</v>
      </c>
      <c r="D165" s="54" t="s">
        <v>356</v>
      </c>
      <c r="E165" s="75">
        <f>(86.73)*(10.764)</f>
        <v>933.56172000000004</v>
      </c>
      <c r="F165" s="76">
        <f>(3.2)*(10.764)</f>
        <v>34.444800000000001</v>
      </c>
      <c r="G165" s="76">
        <v>0</v>
      </c>
      <c r="H165" s="76">
        <f t="shared" ref="H165:H167" si="8">E165+F165+(IF(G165&lt;101,G165,IF(G165&lt;201,G165/2,IF(G165&lt;=301,G165/3,G165/4))))</f>
        <v>968.00652000000002</v>
      </c>
      <c r="I165" s="4"/>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89">
        <f t="shared" ref="A166:A167" si="9">A165+1</f>
        <v>3</v>
      </c>
      <c r="B166" s="90"/>
      <c r="C166" s="54" t="s">
        <v>354</v>
      </c>
      <c r="D166" s="54" t="s">
        <v>349</v>
      </c>
      <c r="E166" s="75">
        <f>(67.75)*(10.764)</f>
        <v>729.26099999999997</v>
      </c>
      <c r="F166" s="76">
        <f>(2.68)*(10.764)</f>
        <v>28.847519999999999</v>
      </c>
      <c r="G166" s="76">
        <v>0</v>
      </c>
      <c r="H166" s="76">
        <f t="shared" si="8"/>
        <v>758.10852</v>
      </c>
      <c r="I166" s="4"/>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9">
        <f t="shared" si="9"/>
        <v>4</v>
      </c>
      <c r="B167" s="90"/>
      <c r="C167" s="81" t="s">
        <v>87</v>
      </c>
      <c r="D167" s="54" t="s">
        <v>349</v>
      </c>
      <c r="E167" s="75">
        <f>(67.75)*(10.764)</f>
        <v>729.26099999999997</v>
      </c>
      <c r="F167" s="76">
        <f>(2.68)*(10.764)</f>
        <v>28.847519999999999</v>
      </c>
      <c r="G167" s="76">
        <v>0</v>
      </c>
      <c r="H167" s="76">
        <f t="shared" si="8"/>
        <v>758.10852</v>
      </c>
      <c r="I167" s="4"/>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9" t="s">
        <v>94</v>
      </c>
      <c r="B168" s="90"/>
      <c r="C168" s="91" t="s">
        <v>357</v>
      </c>
      <c r="D168" s="92"/>
      <c r="E168" s="92"/>
      <c r="F168" s="92"/>
      <c r="G168" s="92"/>
      <c r="H168" s="93"/>
      <c r="I168" s="4"/>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94" t="s">
        <v>358</v>
      </c>
      <c r="B169" s="95"/>
      <c r="C169" s="95"/>
      <c r="D169" s="95"/>
      <c r="E169" s="95"/>
      <c r="F169" s="95"/>
      <c r="G169" s="95"/>
      <c r="H169" s="96"/>
      <c r="I169" s="4">
        <v>1</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97">
        <v>1</v>
      </c>
      <c r="B170" s="97"/>
      <c r="C170" s="54" t="s">
        <v>354</v>
      </c>
      <c r="D170" s="54" t="s">
        <v>349</v>
      </c>
      <c r="E170" s="75">
        <f>(67.82)*(10.764)</f>
        <v>730.01447999999993</v>
      </c>
      <c r="F170" s="76">
        <f>(2.68)*(10.764)</f>
        <v>28.847519999999999</v>
      </c>
      <c r="G170" s="76">
        <v>0</v>
      </c>
      <c r="H170" s="76">
        <f>E170+F170+(IF(G170&lt;101,G170,IF(G170&lt;201,G170/2,IF(G170&lt;=301,G170/3,G170/4))))</f>
        <v>758.86199999999997</v>
      </c>
      <c r="I170" s="4"/>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89">
        <f>A170+1</f>
        <v>2</v>
      </c>
      <c r="B171" s="90"/>
      <c r="C171" s="54" t="s">
        <v>354</v>
      </c>
      <c r="D171" s="54" t="s">
        <v>356</v>
      </c>
      <c r="E171" s="75">
        <f>(86.73)*(10.764)</f>
        <v>933.56172000000004</v>
      </c>
      <c r="F171" s="76">
        <f>(3.2)*(10.764)</f>
        <v>34.444800000000001</v>
      </c>
      <c r="G171" s="76">
        <v>0</v>
      </c>
      <c r="H171" s="76">
        <f t="shared" ref="H171:H173" si="10">E171+F171+(IF(G171&lt;101,G171,IF(G171&lt;201,G171/2,IF(G171&lt;=301,G171/3,G171/4))))</f>
        <v>968.00652000000002</v>
      </c>
      <c r="I171" s="4"/>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89">
        <f t="shared" ref="A172:A173" si="11">A171+1</f>
        <v>3</v>
      </c>
      <c r="B172" s="90"/>
      <c r="C172" s="54" t="s">
        <v>354</v>
      </c>
      <c r="D172" s="54" t="s">
        <v>349</v>
      </c>
      <c r="E172" s="75">
        <f>(67.75)*(10.764)</f>
        <v>729.26099999999997</v>
      </c>
      <c r="F172" s="76">
        <f>(2.68)*(10.764)</f>
        <v>28.847519999999999</v>
      </c>
      <c r="G172" s="76">
        <v>0</v>
      </c>
      <c r="H172" s="76">
        <f t="shared" si="10"/>
        <v>758.10852</v>
      </c>
      <c r="I172" s="4"/>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89">
        <f t="shared" si="11"/>
        <v>4</v>
      </c>
      <c r="B173" s="90"/>
      <c r="C173" s="54" t="s">
        <v>354</v>
      </c>
      <c r="D173" s="54" t="s">
        <v>349</v>
      </c>
      <c r="E173" s="75">
        <f>(67.75)*(10.764)</f>
        <v>729.26099999999997</v>
      </c>
      <c r="F173" s="76">
        <f>(2.68)*(10.764)</f>
        <v>28.847519999999999</v>
      </c>
      <c r="G173" s="76">
        <v>0</v>
      </c>
      <c r="H173" s="76">
        <f t="shared" si="10"/>
        <v>758.10852</v>
      </c>
      <c r="I173" s="4"/>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9" t="s">
        <v>94</v>
      </c>
      <c r="B174" s="90"/>
      <c r="C174" s="91" t="s">
        <v>357</v>
      </c>
      <c r="D174" s="92"/>
      <c r="E174" s="92"/>
      <c r="F174" s="92"/>
      <c r="G174" s="92"/>
      <c r="H174" s="93"/>
      <c r="I174" s="4"/>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94" t="s">
        <v>359</v>
      </c>
      <c r="B175" s="95"/>
      <c r="C175" s="95"/>
      <c r="D175" s="95"/>
      <c r="E175" s="95"/>
      <c r="F175" s="95"/>
      <c r="G175" s="95"/>
      <c r="H175" s="96"/>
      <c r="I175" s="4">
        <v>1</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97">
        <v>1</v>
      </c>
      <c r="B176" s="97"/>
      <c r="C176" s="54" t="s">
        <v>354</v>
      </c>
      <c r="D176" s="54" t="s">
        <v>349</v>
      </c>
      <c r="E176" s="75">
        <f>(67.82)*(10.764)</f>
        <v>730.01447999999993</v>
      </c>
      <c r="F176" s="76">
        <f>(2.68)*(10.764)</f>
        <v>28.847519999999999</v>
      </c>
      <c r="G176" s="76">
        <v>0</v>
      </c>
      <c r="H176" s="76">
        <f>E176+F176+(IF(G176&lt;101,G176,IF(G176&lt;201,G176/2,IF(G176&lt;=301,G176/3,G176/4))))</f>
        <v>758.86199999999997</v>
      </c>
      <c r="I176" s="4"/>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89">
        <f>A176+1</f>
        <v>2</v>
      </c>
      <c r="B177" s="90"/>
      <c r="C177" s="81" t="s">
        <v>87</v>
      </c>
      <c r="D177" s="54" t="s">
        <v>356</v>
      </c>
      <c r="E177" s="75">
        <f>(86.73)*(10.764)</f>
        <v>933.56172000000004</v>
      </c>
      <c r="F177" s="76">
        <f>(3.2)*(10.764)</f>
        <v>34.444800000000001</v>
      </c>
      <c r="G177" s="76">
        <v>0</v>
      </c>
      <c r="H177" s="76">
        <f t="shared" ref="H177:H179" si="12">E177+F177+(IF(G177&lt;101,G177,IF(G177&lt;201,G177/2,IF(G177&lt;=301,G177/3,G177/4))))</f>
        <v>968.00652000000002</v>
      </c>
      <c r="I177" s="4"/>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89">
        <f t="shared" ref="A178:A179" si="13">A177+1</f>
        <v>3</v>
      </c>
      <c r="B178" s="90"/>
      <c r="C178" s="54" t="s">
        <v>354</v>
      </c>
      <c r="D178" s="54" t="s">
        <v>349</v>
      </c>
      <c r="E178" s="75">
        <f>(67.75)*(10.764)</f>
        <v>729.26099999999997</v>
      </c>
      <c r="F178" s="76">
        <f>(2.68)*(10.764)</f>
        <v>28.847519999999999</v>
      </c>
      <c r="G178" s="76">
        <v>0</v>
      </c>
      <c r="H178" s="76">
        <f t="shared" si="12"/>
        <v>758.10852</v>
      </c>
      <c r="I178" s="4"/>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89">
        <f t="shared" si="13"/>
        <v>4</v>
      </c>
      <c r="B179" s="90"/>
      <c r="C179" s="54" t="s">
        <v>354</v>
      </c>
      <c r="D179" s="54" t="s">
        <v>349</v>
      </c>
      <c r="E179" s="75">
        <f>(67.75)*(10.764)</f>
        <v>729.26099999999997</v>
      </c>
      <c r="F179" s="76">
        <f>(2.68)*(10.764)</f>
        <v>28.847519999999999</v>
      </c>
      <c r="G179" s="76">
        <v>0</v>
      </c>
      <c r="H179" s="76">
        <f t="shared" si="12"/>
        <v>758.10852</v>
      </c>
      <c r="I179" s="4"/>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89" t="s">
        <v>94</v>
      </c>
      <c r="B180" s="90"/>
      <c r="C180" s="91" t="s">
        <v>357</v>
      </c>
      <c r="D180" s="92"/>
      <c r="E180" s="92"/>
      <c r="F180" s="92"/>
      <c r="G180" s="92"/>
      <c r="H180" s="93"/>
      <c r="I180" s="4"/>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94" t="s">
        <v>360</v>
      </c>
      <c r="B181" s="95"/>
      <c r="C181" s="95"/>
      <c r="D181" s="95"/>
      <c r="E181" s="95"/>
      <c r="F181" s="95"/>
      <c r="G181" s="95"/>
      <c r="H181" s="96"/>
      <c r="I181" s="4">
        <v>1</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97">
        <v>1</v>
      </c>
      <c r="B182" s="97"/>
      <c r="C182" s="54" t="s">
        <v>354</v>
      </c>
      <c r="D182" s="54" t="s">
        <v>349</v>
      </c>
      <c r="E182" s="75">
        <f>(67.82)*(10.764)</f>
        <v>730.01447999999993</v>
      </c>
      <c r="F182" s="76">
        <f>(2.68)*(10.764)</f>
        <v>28.847519999999999</v>
      </c>
      <c r="G182" s="76">
        <v>0</v>
      </c>
      <c r="H182" s="76">
        <f>E182+F182+(IF(G182&lt;101,G182,IF(G182&lt;201,G182/2,IF(G182&lt;=301,G182/3,G182/4))))</f>
        <v>758.86199999999997</v>
      </c>
      <c r="I182" s="4"/>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89">
        <f>A182+1</f>
        <v>2</v>
      </c>
      <c r="B183" s="90"/>
      <c r="C183" s="54" t="s">
        <v>354</v>
      </c>
      <c r="D183" s="54" t="s">
        <v>356</v>
      </c>
      <c r="E183" s="75">
        <f>(86.73)*(10.764)</f>
        <v>933.56172000000004</v>
      </c>
      <c r="F183" s="76">
        <f>(3.2)*(10.764)</f>
        <v>34.444800000000001</v>
      </c>
      <c r="G183" s="76">
        <v>0</v>
      </c>
      <c r="H183" s="76">
        <f t="shared" ref="H183:H185" si="14">E183+F183+(IF(G183&lt;101,G183,IF(G183&lt;201,G183/2,IF(G183&lt;=301,G183/3,G183/4))))</f>
        <v>968.00652000000002</v>
      </c>
      <c r="I183" s="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x14ac:dyDescent="0.25">
      <c r="A184" s="89">
        <f t="shared" ref="A184:A185" si="15">A183+1</f>
        <v>3</v>
      </c>
      <c r="B184" s="90"/>
      <c r="C184" s="81" t="s">
        <v>87</v>
      </c>
      <c r="D184" s="54" t="s">
        <v>349</v>
      </c>
      <c r="E184" s="75">
        <f>(67.75)*(10.764)</f>
        <v>729.26099999999997</v>
      </c>
      <c r="F184" s="76">
        <f>(2.68)*(10.764)</f>
        <v>28.847519999999999</v>
      </c>
      <c r="G184" s="76">
        <v>0</v>
      </c>
      <c r="H184" s="76">
        <f t="shared" si="14"/>
        <v>758.10852</v>
      </c>
      <c r="I184" s="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9">
        <f t="shared" si="15"/>
        <v>4</v>
      </c>
      <c r="B185" s="90"/>
      <c r="C185" s="81" t="s">
        <v>87</v>
      </c>
      <c r="D185" s="54" t="s">
        <v>349</v>
      </c>
      <c r="E185" s="75">
        <f>(67.75)*(10.764)</f>
        <v>729.26099999999997</v>
      </c>
      <c r="F185" s="76">
        <f>(2.68)*(10.764)</f>
        <v>28.847519999999999</v>
      </c>
      <c r="G185" s="76">
        <v>0</v>
      </c>
      <c r="H185" s="76">
        <f t="shared" si="14"/>
        <v>758.10852</v>
      </c>
      <c r="I185" s="4"/>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89" t="s">
        <v>94</v>
      </c>
      <c r="B186" s="90"/>
      <c r="C186" s="91" t="s">
        <v>357</v>
      </c>
      <c r="D186" s="92"/>
      <c r="E186" s="92"/>
      <c r="F186" s="92"/>
      <c r="G186" s="92"/>
      <c r="H186" s="93"/>
      <c r="I186" s="4"/>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94" t="s">
        <v>361</v>
      </c>
      <c r="B187" s="95"/>
      <c r="C187" s="95"/>
      <c r="D187" s="95"/>
      <c r="E187" s="95"/>
      <c r="F187" s="95"/>
      <c r="G187" s="95"/>
      <c r="H187" s="96"/>
      <c r="I187" s="4">
        <v>1</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97">
        <v>1</v>
      </c>
      <c r="B188" s="97"/>
      <c r="C188" s="54" t="s">
        <v>354</v>
      </c>
      <c r="D188" s="54" t="s">
        <v>349</v>
      </c>
      <c r="E188" s="75">
        <f>(67.82)*(10.764)</f>
        <v>730.01447999999993</v>
      </c>
      <c r="F188" s="76">
        <f>(2.68)*(10.764)</f>
        <v>28.847519999999999</v>
      </c>
      <c r="G188" s="76">
        <v>0</v>
      </c>
      <c r="H188" s="76">
        <f>E188+F188+(IF(G188&lt;101,G188,IF(G188&lt;201,G188/2,IF(G188&lt;=301,G188/3,G188/4))))</f>
        <v>758.86199999999997</v>
      </c>
      <c r="I188" s="4"/>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89">
        <f>A188+1</f>
        <v>2</v>
      </c>
      <c r="B189" s="90"/>
      <c r="C189" s="81" t="s">
        <v>87</v>
      </c>
      <c r="D189" s="54" t="s">
        <v>356</v>
      </c>
      <c r="E189" s="75">
        <f>(86.73)*(10.764)</f>
        <v>933.56172000000004</v>
      </c>
      <c r="F189" s="76">
        <f>(3.2)*(10.764)</f>
        <v>34.444800000000001</v>
      </c>
      <c r="G189" s="76">
        <v>0</v>
      </c>
      <c r="H189" s="76">
        <f t="shared" ref="H189:H191" si="16">E189+F189+(IF(G189&lt;101,G189,IF(G189&lt;201,G189/2,IF(G189&lt;=301,G189/3,G189/4))))</f>
        <v>968.00652000000002</v>
      </c>
      <c r="I189" s="4"/>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89">
        <f t="shared" ref="A190:A191" si="17">A189+1</f>
        <v>3</v>
      </c>
      <c r="B190" s="90"/>
      <c r="C190" s="54" t="s">
        <v>354</v>
      </c>
      <c r="D190" s="54" t="s">
        <v>349</v>
      </c>
      <c r="E190" s="75">
        <f>(67.75)*(10.764)</f>
        <v>729.26099999999997</v>
      </c>
      <c r="F190" s="76">
        <f>(2.68)*(10.764)</f>
        <v>28.847519999999999</v>
      </c>
      <c r="G190" s="76">
        <v>0</v>
      </c>
      <c r="H190" s="76">
        <f t="shared" si="16"/>
        <v>758.10852</v>
      </c>
      <c r="I190" s="4"/>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89">
        <f t="shared" si="17"/>
        <v>4</v>
      </c>
      <c r="B191" s="90"/>
      <c r="C191" s="81" t="s">
        <v>87</v>
      </c>
      <c r="D191" s="54" t="s">
        <v>349</v>
      </c>
      <c r="E191" s="75">
        <f>(67.75)*(10.764)</f>
        <v>729.26099999999997</v>
      </c>
      <c r="F191" s="76">
        <f>(2.68)*(10.764)</f>
        <v>28.847519999999999</v>
      </c>
      <c r="G191" s="76">
        <v>0</v>
      </c>
      <c r="H191" s="76">
        <f t="shared" si="16"/>
        <v>758.10852</v>
      </c>
      <c r="I191" s="4"/>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9" t="s">
        <v>94</v>
      </c>
      <c r="B192" s="90"/>
      <c r="C192" s="91" t="s">
        <v>357</v>
      </c>
      <c r="D192" s="92"/>
      <c r="E192" s="92"/>
      <c r="F192" s="92"/>
      <c r="G192" s="92"/>
      <c r="H192" s="93"/>
      <c r="I192" s="4"/>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94" t="s">
        <v>362</v>
      </c>
      <c r="B193" s="95"/>
      <c r="C193" s="95"/>
      <c r="D193" s="95"/>
      <c r="E193" s="95"/>
      <c r="F193" s="95"/>
      <c r="G193" s="95"/>
      <c r="H193" s="96"/>
      <c r="I193" s="4">
        <v>2</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97">
        <v>1</v>
      </c>
      <c r="B194" s="97"/>
      <c r="C194" s="54" t="s">
        <v>354</v>
      </c>
      <c r="D194" s="54" t="s">
        <v>349</v>
      </c>
      <c r="E194" s="75">
        <f>(67.82)*(10.764)</f>
        <v>730.01447999999993</v>
      </c>
      <c r="F194" s="76">
        <f>(2.68)*(10.764)</f>
        <v>28.847519999999999</v>
      </c>
      <c r="G194" s="76">
        <v>0</v>
      </c>
      <c r="H194" s="76">
        <f>E194+F194+(IF(G194&lt;101,G194,IF(G194&lt;201,G194/2,IF(G194&lt;=301,G194/3,G194/4))))</f>
        <v>758.86199999999997</v>
      </c>
      <c r="I194" s="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89">
        <f>A194+1</f>
        <v>2</v>
      </c>
      <c r="B195" s="90"/>
      <c r="C195" s="54" t="s">
        <v>354</v>
      </c>
      <c r="D195" s="54" t="s">
        <v>356</v>
      </c>
      <c r="E195" s="75">
        <f>(86.73)*(10.764)</f>
        <v>933.56172000000004</v>
      </c>
      <c r="F195" s="76">
        <f>(3.2)*(10.764)</f>
        <v>34.444800000000001</v>
      </c>
      <c r="G195" s="76">
        <v>0</v>
      </c>
      <c r="H195" s="76">
        <f t="shared" ref="H195:H197" si="18">E195+F195+(IF(G195&lt;101,G195,IF(G195&lt;201,G195/2,IF(G195&lt;=301,G195/3,G195/4))))</f>
        <v>968.00652000000002</v>
      </c>
      <c r="I195" s="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89">
        <f t="shared" ref="A196:A197" si="19">A195+1</f>
        <v>3</v>
      </c>
      <c r="B196" s="90"/>
      <c r="C196" s="54" t="s">
        <v>354</v>
      </c>
      <c r="D196" s="54" t="s">
        <v>349</v>
      </c>
      <c r="E196" s="75">
        <f>(67.75)*(10.764)</f>
        <v>729.26099999999997</v>
      </c>
      <c r="F196" s="76">
        <f>(2.68)*(10.764)</f>
        <v>28.847519999999999</v>
      </c>
      <c r="G196" s="76">
        <v>0</v>
      </c>
      <c r="H196" s="76">
        <f t="shared" si="18"/>
        <v>758.10852</v>
      </c>
      <c r="I196" s="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89">
        <f t="shared" si="19"/>
        <v>4</v>
      </c>
      <c r="B197" s="90"/>
      <c r="C197" s="81" t="s">
        <v>87</v>
      </c>
      <c r="D197" s="54" t="s">
        <v>349</v>
      </c>
      <c r="E197" s="75">
        <f>(67.75)*(10.764)</f>
        <v>729.26099999999997</v>
      </c>
      <c r="F197" s="76">
        <f>(2.68)*(10.764)</f>
        <v>28.847519999999999</v>
      </c>
      <c r="G197" s="76">
        <v>0</v>
      </c>
      <c r="H197" s="76">
        <f t="shared" si="18"/>
        <v>758.10852</v>
      </c>
      <c r="I197" s="4"/>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94" t="s">
        <v>363</v>
      </c>
      <c r="B198" s="95"/>
      <c r="C198" s="95"/>
      <c r="D198" s="95"/>
      <c r="E198" s="95"/>
      <c r="F198" s="95"/>
      <c r="G198" s="95"/>
      <c r="H198" s="96"/>
      <c r="I198" s="4">
        <v>2</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97">
        <v>1</v>
      </c>
      <c r="B199" s="97"/>
      <c r="C199" s="54" t="s">
        <v>354</v>
      </c>
      <c r="D199" s="54" t="s">
        <v>349</v>
      </c>
      <c r="E199" s="75">
        <f>(67.82)*(10.764)</f>
        <v>730.01447999999993</v>
      </c>
      <c r="F199" s="76">
        <f>(2.68)*(10.764)</f>
        <v>28.847519999999999</v>
      </c>
      <c r="G199" s="76">
        <v>0</v>
      </c>
      <c r="H199" s="76">
        <f>E199+F199+(IF(G199&lt;101,G199,IF(G199&lt;201,G199/2,IF(G199&lt;=301,G199/3,G199/4))))</f>
        <v>758.86199999999997</v>
      </c>
      <c r="I199" s="4"/>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89">
        <f>A199+1</f>
        <v>2</v>
      </c>
      <c r="B200" s="90"/>
      <c r="C200" s="81" t="s">
        <v>87</v>
      </c>
      <c r="D200" s="54" t="s">
        <v>356</v>
      </c>
      <c r="E200" s="75">
        <f>(86.73)*(10.764)</f>
        <v>933.56172000000004</v>
      </c>
      <c r="F200" s="76">
        <f>(3.2)*(10.764)</f>
        <v>34.444800000000001</v>
      </c>
      <c r="G200" s="76">
        <v>0</v>
      </c>
      <c r="H200" s="76">
        <f t="shared" ref="H200:H202" si="20">E200+F200+(IF(G200&lt;101,G200,IF(G200&lt;201,G200/2,IF(G200&lt;=301,G200/3,G200/4))))</f>
        <v>968.00652000000002</v>
      </c>
      <c r="I200" s="4"/>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89">
        <f t="shared" ref="A201:A202" si="21">A200+1</f>
        <v>3</v>
      </c>
      <c r="B201" s="90"/>
      <c r="C201" s="54" t="s">
        <v>354</v>
      </c>
      <c r="D201" s="54" t="s">
        <v>349</v>
      </c>
      <c r="E201" s="75">
        <f>(67.75)*(10.764)</f>
        <v>729.26099999999997</v>
      </c>
      <c r="F201" s="76">
        <f>(2.68)*(10.764)</f>
        <v>28.847519999999999</v>
      </c>
      <c r="G201" s="76">
        <v>0</v>
      </c>
      <c r="H201" s="76">
        <f t="shared" si="20"/>
        <v>758.10852</v>
      </c>
      <c r="I201" s="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89">
        <f t="shared" si="21"/>
        <v>4</v>
      </c>
      <c r="B202" s="90"/>
      <c r="C202" s="81" t="s">
        <v>87</v>
      </c>
      <c r="D202" s="54" t="s">
        <v>349</v>
      </c>
      <c r="E202" s="75">
        <f>(67.75)*(10.764)</f>
        <v>729.26099999999997</v>
      </c>
      <c r="F202" s="76">
        <f>(2.68)*(10.764)</f>
        <v>28.847519999999999</v>
      </c>
      <c r="G202" s="76">
        <v>0</v>
      </c>
      <c r="H202" s="76">
        <f t="shared" si="20"/>
        <v>758.10852</v>
      </c>
      <c r="I202" s="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94" t="s">
        <v>364</v>
      </c>
      <c r="B203" s="95"/>
      <c r="C203" s="95"/>
      <c r="D203" s="95"/>
      <c r="E203" s="95"/>
      <c r="F203" s="95"/>
      <c r="G203" s="95"/>
      <c r="H203" s="96"/>
      <c r="I203" s="4">
        <v>1</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97">
        <v>1</v>
      </c>
      <c r="B204" s="97"/>
      <c r="C204" s="54" t="s">
        <v>354</v>
      </c>
      <c r="D204" s="54" t="s">
        <v>349</v>
      </c>
      <c r="E204" s="75">
        <f>(67.82)*(10.764)</f>
        <v>730.01447999999993</v>
      </c>
      <c r="F204" s="76">
        <f>(2.68)*(10.764)</f>
        <v>28.847519999999999</v>
      </c>
      <c r="G204" s="76">
        <v>0</v>
      </c>
      <c r="H204" s="76">
        <f>E204+F204+(IF(G204&lt;101,G204,IF(G204&lt;201,G204/2,IF(G204&lt;=301,G204/3,G204/4))))</f>
        <v>758.86199999999997</v>
      </c>
      <c r="I204" s="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89">
        <f>A204+1</f>
        <v>2</v>
      </c>
      <c r="B205" s="90"/>
      <c r="C205" s="54" t="s">
        <v>354</v>
      </c>
      <c r="D205" s="54" t="s">
        <v>356</v>
      </c>
      <c r="E205" s="75">
        <f>(86.73)*(10.764)</f>
        <v>933.56172000000004</v>
      </c>
      <c r="F205" s="76">
        <f>(3.2)*(10.764)</f>
        <v>34.444800000000001</v>
      </c>
      <c r="G205" s="76">
        <v>0</v>
      </c>
      <c r="H205" s="76">
        <f t="shared" ref="H205:H207" si="22">E205+F205+(IF(G205&lt;101,G205,IF(G205&lt;201,G205/2,IF(G205&lt;=301,G205/3,G205/4))))</f>
        <v>968.00652000000002</v>
      </c>
      <c r="I205" s="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89">
        <f t="shared" ref="A206:A207" si="23">A205+1</f>
        <v>3</v>
      </c>
      <c r="B206" s="90"/>
      <c r="C206" s="81" t="s">
        <v>87</v>
      </c>
      <c r="D206" s="54" t="s">
        <v>349</v>
      </c>
      <c r="E206" s="75">
        <f>(67.75)*(10.764)</f>
        <v>729.26099999999997</v>
      </c>
      <c r="F206" s="76">
        <f>(2.68)*(10.764)</f>
        <v>28.847519999999999</v>
      </c>
      <c r="G206" s="76">
        <v>0</v>
      </c>
      <c r="H206" s="76">
        <f t="shared" si="22"/>
        <v>758.10852</v>
      </c>
      <c r="I206" s="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89">
        <f t="shared" si="23"/>
        <v>4</v>
      </c>
      <c r="B207" s="90"/>
      <c r="C207" s="81" t="s">
        <v>87</v>
      </c>
      <c r="D207" s="54" t="s">
        <v>349</v>
      </c>
      <c r="E207" s="75">
        <f>(67.75)*(10.764)</f>
        <v>729.26099999999997</v>
      </c>
      <c r="F207" s="76">
        <f>(2.68)*(10.764)</f>
        <v>28.847519999999999</v>
      </c>
      <c r="G207" s="76">
        <v>0</v>
      </c>
      <c r="H207" s="76">
        <f t="shared" si="22"/>
        <v>758.10852</v>
      </c>
      <c r="I207" s="4"/>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x14ac:dyDescent="0.25">
      <c r="A208" s="94" t="s">
        <v>365</v>
      </c>
      <c r="B208" s="95"/>
      <c r="C208" s="95"/>
      <c r="D208" s="95"/>
      <c r="E208" s="95"/>
      <c r="F208" s="95"/>
      <c r="G208" s="95"/>
      <c r="H208" s="96"/>
      <c r="I208" s="4">
        <v>1</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x14ac:dyDescent="0.25">
      <c r="A209" s="97">
        <v>1</v>
      </c>
      <c r="B209" s="97"/>
      <c r="C209" s="54" t="s">
        <v>354</v>
      </c>
      <c r="D209" s="54" t="s">
        <v>349</v>
      </c>
      <c r="E209" s="75">
        <f>(67.82)*(10.764)</f>
        <v>730.01447999999993</v>
      </c>
      <c r="F209" s="76">
        <f>(2.68)*(10.764)</f>
        <v>28.847519999999999</v>
      </c>
      <c r="G209" s="76">
        <v>0</v>
      </c>
      <c r="H209" s="76">
        <f>E209+F209+(IF(G209&lt;101,G209,IF(G209&lt;201,G209/2,IF(G209&lt;=301,G209/3,G209/4))))</f>
        <v>758.86199999999997</v>
      </c>
      <c r="I209" s="4"/>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89">
        <f>A209+1</f>
        <v>2</v>
      </c>
      <c r="B210" s="90"/>
      <c r="C210" s="81" t="s">
        <v>87</v>
      </c>
      <c r="D210" s="54" t="s">
        <v>356</v>
      </c>
      <c r="E210" s="75">
        <f>(86.73)*(10.764)</f>
        <v>933.56172000000004</v>
      </c>
      <c r="F210" s="76">
        <f>(3.2)*(10.764)</f>
        <v>34.444800000000001</v>
      </c>
      <c r="G210" s="76">
        <v>0</v>
      </c>
      <c r="H210" s="76">
        <f t="shared" ref="H210:H212" si="24">E210+F210+(IF(G210&lt;101,G210,IF(G210&lt;201,G210/2,IF(G210&lt;=301,G210/3,G210/4))))</f>
        <v>968.00652000000002</v>
      </c>
      <c r="I210" s="4"/>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89">
        <f t="shared" ref="A211:A212" si="25">A210+1</f>
        <v>3</v>
      </c>
      <c r="B211" s="90"/>
      <c r="C211" s="81" t="s">
        <v>87</v>
      </c>
      <c r="D211" s="54" t="s">
        <v>349</v>
      </c>
      <c r="E211" s="75">
        <f>(67.75)*(10.764)</f>
        <v>729.26099999999997</v>
      </c>
      <c r="F211" s="76">
        <f>(2.68)*(10.764)</f>
        <v>28.847519999999999</v>
      </c>
      <c r="G211" s="76">
        <v>0</v>
      </c>
      <c r="H211" s="76">
        <f t="shared" si="24"/>
        <v>758.10852</v>
      </c>
      <c r="I211" s="4"/>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89">
        <f t="shared" si="25"/>
        <v>4</v>
      </c>
      <c r="B212" s="90"/>
      <c r="C212" s="81" t="s">
        <v>87</v>
      </c>
      <c r="D212" s="54" t="s">
        <v>349</v>
      </c>
      <c r="E212" s="75">
        <f>(67.75)*(10.764)</f>
        <v>729.26099999999997</v>
      </c>
      <c r="F212" s="76">
        <f>(2.68)*(10.764)</f>
        <v>28.847519999999999</v>
      </c>
      <c r="G212" s="76">
        <v>0</v>
      </c>
      <c r="H212" s="76">
        <f t="shared" si="24"/>
        <v>758.10852</v>
      </c>
      <c r="I212" s="4"/>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x14ac:dyDescent="0.25">
      <c r="A213" s="94" t="s">
        <v>128</v>
      </c>
      <c r="B213" s="95"/>
      <c r="C213" s="95"/>
      <c r="D213" s="95"/>
      <c r="E213" s="95"/>
      <c r="F213" s="95"/>
      <c r="G213" s="95"/>
      <c r="H213" s="96"/>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x14ac:dyDescent="0.25">
      <c r="A214" s="97">
        <f>LEFT(A213,SUM(LEN(A213)-LEN(SUBSTITUTE(A213,{"0","1","2","3","4","5","6","7","8","9"},""))))*100+1</f>
        <v>101</v>
      </c>
      <c r="B214" s="97"/>
      <c r="C214" s="54"/>
      <c r="D214" s="54"/>
      <c r="E214" s="33"/>
      <c r="F214" s="6"/>
      <c r="G214" s="6"/>
      <c r="H214" s="6">
        <f>E214+F214+(IF(G214&lt;101,G214,IF(G214&lt;201,G214/2,IF(G214&lt;=301,G214/3,G214/4))))</f>
        <v>0</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x14ac:dyDescent="0.25">
      <c r="A215" s="89">
        <f>A214+1</f>
        <v>102</v>
      </c>
      <c r="B215" s="90"/>
      <c r="C215" s="54"/>
      <c r="D215" s="54"/>
      <c r="E215" s="33"/>
      <c r="F215" s="6"/>
      <c r="G215" s="6"/>
      <c r="H215" s="6">
        <f t="shared" ref="H215:H221" si="26">E215+F215+(IF(G215&lt;101,G215,IF(G215&lt;201,G215/2,IF(G215&lt;=301,G215/3,G215/4))))</f>
        <v>0</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x14ac:dyDescent="0.25">
      <c r="A216" s="89">
        <f t="shared" ref="A216:A221" si="27">A215+1</f>
        <v>103</v>
      </c>
      <c r="B216" s="90"/>
      <c r="C216" s="54"/>
      <c r="D216" s="54"/>
      <c r="E216" s="33"/>
      <c r="F216" s="6"/>
      <c r="G216" s="6"/>
      <c r="H216" s="6">
        <f t="shared" si="26"/>
        <v>0</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customHeight="1" x14ac:dyDescent="0.25">
      <c r="A217" s="89">
        <f t="shared" si="27"/>
        <v>104</v>
      </c>
      <c r="B217" s="90"/>
      <c r="C217" s="54"/>
      <c r="D217" s="54"/>
      <c r="E217" s="33"/>
      <c r="F217" s="6"/>
      <c r="G217" s="6"/>
      <c r="H217" s="6">
        <f t="shared" si="26"/>
        <v>0</v>
      </c>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25">
      <c r="A218" s="89">
        <f t="shared" si="27"/>
        <v>105</v>
      </c>
      <c r="B218" s="90"/>
      <c r="C218" s="54"/>
      <c r="D218" s="54"/>
      <c r="E218" s="33"/>
      <c r="F218" s="6"/>
      <c r="G218" s="6"/>
      <c r="H218" s="6">
        <f t="shared" si="26"/>
        <v>0</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89">
        <f t="shared" si="27"/>
        <v>106</v>
      </c>
      <c r="B219" s="90"/>
      <c r="C219" s="54"/>
      <c r="D219" s="54"/>
      <c r="E219" s="33"/>
      <c r="F219" s="6"/>
      <c r="G219" s="6"/>
      <c r="H219" s="6">
        <f t="shared" si="26"/>
        <v>0</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89">
        <f t="shared" si="27"/>
        <v>107</v>
      </c>
      <c r="B220" s="90"/>
      <c r="C220" s="54"/>
      <c r="D220" s="54"/>
      <c r="E220" s="33"/>
      <c r="F220" s="6"/>
      <c r="G220" s="6"/>
      <c r="H220" s="6">
        <f t="shared" si="26"/>
        <v>0</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89">
        <f t="shared" si="27"/>
        <v>108</v>
      </c>
      <c r="B221" s="90"/>
      <c r="C221" s="54"/>
      <c r="D221" s="54"/>
      <c r="E221" s="33"/>
      <c r="F221" s="6"/>
      <c r="G221" s="6"/>
      <c r="H221" s="6">
        <f t="shared" si="26"/>
        <v>0</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x14ac:dyDescent="0.25">
      <c r="A222" s="139" t="s">
        <v>129</v>
      </c>
      <c r="B222" s="140"/>
      <c r="C222" s="140"/>
      <c r="D222" s="140"/>
      <c r="E222" s="140"/>
      <c r="F222" s="140"/>
      <c r="G222" s="140"/>
      <c r="H222" s="14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25">
      <c r="A223" s="97" t="str">
        <f ca="1">T223</f>
        <v>201,..,901</v>
      </c>
      <c r="B223" s="97"/>
      <c r="C223" s="54"/>
      <c r="D223" s="54"/>
      <c r="E223" s="33">
        <v>0</v>
      </c>
      <c r="F223" s="6">
        <v>0</v>
      </c>
      <c r="G223" s="6">
        <v>0</v>
      </c>
      <c r="H223" s="6">
        <f>E223+F223+(IF(G223&lt;101,G223,IF(G223&lt;201,G223/2,IF(G223&lt;=301,G223/3,G223/4))))</f>
        <v>0</v>
      </c>
      <c r="I223" s="1"/>
      <c r="J223" s="1"/>
      <c r="K223" s="1"/>
      <c r="L223" s="1"/>
      <c r="M223" s="1"/>
      <c r="N223" s="1"/>
      <c r="O223" s="1"/>
      <c r="P223" s="1"/>
      <c r="Q223" s="1"/>
      <c r="R223" s="1"/>
      <c r="S223" s="1"/>
      <c r="T223" s="23" t="str">
        <f t="shared" ref="T223:T230" ca="1" si="28">U223&amp;""&amp;",..,"&amp;""&amp;V223</f>
        <v>201,..,901</v>
      </c>
      <c r="U223" s="23">
        <f ca="1">(SUMPRODUCT(MID(0&amp;(LEFT(A222,SUM(LEN(A222)-LEN(SUBSTITUTE(A222,{"0","1","2","3"},""))))), LARGE(INDEX(ISNUMBER(--MID((LEFT(A222,SUM(LEN(A222)-LEN(SUBSTITUTE(A222,{"0","1","2","3"},""))))), ROW(INDIRECT("1:"&amp;LEN((LEFT(A222,SUM(LEN(A222)-LEN(SUBSTITUTE(A222,{"0","1","2","3"},"")))))))), 1)) * ROW(INDIRECT("1:"&amp;LEN((LEFT(A222,SUM(LEN(A222)-LEN(SUBSTITUTE(A222,{"0","1","2","3"},"")))))))), 0), ROW(INDIRECT("1:"&amp;LEN((LEFT(A222,SUM(LEN(A222)-LEN(SUBSTITUTE(A222,{"0","1","2","3"},"")))))))))+1, 1) * 10^ROW(INDIRECT("1:"&amp;LEN((LEFT(A222,SUM(LEN(A222)-LEN(SUBSTITUTE(A222,{"0","1","2","3"},""))))))))/10))*100+1</f>
        <v>201</v>
      </c>
      <c r="V223" s="23">
        <f ca="1">(SUMPRODUCT(MID(0&amp;(--TRIM(RIGHT(SUBSTITUTE(LEFT(A222,_xlfn.AGGREGATE(16,6,FIND({0,1,2,3,4,5,6,7,8,9},A222,ROW(INDIRECT("1:"&amp;LEN(A222)))),1)),"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",LEN(A222))),LEN(A222)))))))/10))*100+1</f>
        <v>901</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25">
      <c r="A224" s="97" t="str">
        <f t="shared" ref="A224:A230" ca="1" si="29">T224</f>
        <v>202,..,902</v>
      </c>
      <c r="B224" s="97"/>
      <c r="C224" s="54"/>
      <c r="D224" s="54"/>
      <c r="E224" s="33"/>
      <c r="F224" s="6"/>
      <c r="G224" s="6"/>
      <c r="H224" s="6">
        <f t="shared" ref="H224:H230" si="30">E224+F224+(IF(G224&lt;101,G224,IF(G224&lt;201,G224/2,IF(G224&lt;=301,G224/3,G224/4))))</f>
        <v>0</v>
      </c>
      <c r="I224" s="1"/>
      <c r="J224" s="1"/>
      <c r="K224" s="1"/>
      <c r="L224" s="1"/>
      <c r="M224" s="1"/>
      <c r="N224" s="1"/>
      <c r="O224" s="1"/>
      <c r="P224" s="1"/>
      <c r="Q224" s="1"/>
      <c r="R224" s="1"/>
      <c r="S224" s="1"/>
      <c r="T224" s="23" t="str">
        <f t="shared" ca="1" si="28"/>
        <v>202,..,902</v>
      </c>
      <c r="U224" s="23">
        <f ca="1">U223+1</f>
        <v>202</v>
      </c>
      <c r="V224" s="23">
        <f ca="1">V223+1</f>
        <v>902</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customHeight="1" x14ac:dyDescent="0.25">
      <c r="A225" s="97" t="str">
        <f t="shared" ca="1" si="29"/>
        <v>203,..,903</v>
      </c>
      <c r="B225" s="97"/>
      <c r="C225" s="54"/>
      <c r="D225" s="54"/>
      <c r="E225" s="33"/>
      <c r="F225" s="6"/>
      <c r="G225" s="6"/>
      <c r="H225" s="6">
        <f t="shared" si="30"/>
        <v>0</v>
      </c>
      <c r="I225" s="1"/>
      <c r="J225" s="1"/>
      <c r="K225" s="1"/>
      <c r="L225" s="1"/>
      <c r="M225" s="1"/>
      <c r="N225" s="1"/>
      <c r="O225" s="1"/>
      <c r="P225" s="1"/>
      <c r="Q225" s="1"/>
      <c r="R225" s="1"/>
      <c r="S225" s="1"/>
      <c r="T225" s="23" t="str">
        <f t="shared" ca="1" si="28"/>
        <v>203,..,903</v>
      </c>
      <c r="U225" s="23">
        <f t="shared" ref="U225:U230" ca="1" si="31">U224+1</f>
        <v>203</v>
      </c>
      <c r="V225" s="23">
        <f t="shared" ref="V225:V230" ca="1" si="32">V224+1</f>
        <v>903</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customHeight="1" x14ac:dyDescent="0.25">
      <c r="A226" s="97" t="str">
        <f t="shared" ca="1" si="29"/>
        <v>204,..,904</v>
      </c>
      <c r="B226" s="97"/>
      <c r="C226" s="54"/>
      <c r="D226" s="54"/>
      <c r="E226" s="33"/>
      <c r="F226" s="6"/>
      <c r="G226" s="6"/>
      <c r="H226" s="6">
        <f t="shared" si="30"/>
        <v>0</v>
      </c>
      <c r="I226" s="1"/>
      <c r="J226" s="1"/>
      <c r="K226" s="1"/>
      <c r="L226" s="1"/>
      <c r="M226" s="1"/>
      <c r="N226" s="1"/>
      <c r="O226" s="1"/>
      <c r="P226" s="1"/>
      <c r="Q226" s="1"/>
      <c r="R226" s="1"/>
      <c r="S226" s="1"/>
      <c r="T226" s="23" t="str">
        <f t="shared" ca="1" si="28"/>
        <v>204,..,904</v>
      </c>
      <c r="U226" s="23">
        <f t="shared" ca="1" si="31"/>
        <v>204</v>
      </c>
      <c r="V226" s="23">
        <f t="shared" ca="1" si="32"/>
        <v>904</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97" t="str">
        <f t="shared" ca="1" si="29"/>
        <v>205,..,905</v>
      </c>
      <c r="B227" s="97"/>
      <c r="C227" s="54"/>
      <c r="D227" s="54"/>
      <c r="E227" s="33"/>
      <c r="F227" s="6"/>
      <c r="G227" s="6"/>
      <c r="H227" s="6">
        <f t="shared" si="30"/>
        <v>0</v>
      </c>
      <c r="I227" s="1"/>
      <c r="J227" s="1"/>
      <c r="K227" s="1"/>
      <c r="L227" s="1"/>
      <c r="M227" s="1"/>
      <c r="N227" s="1"/>
      <c r="O227" s="1"/>
      <c r="P227" s="1"/>
      <c r="Q227" s="1"/>
      <c r="R227" s="1"/>
      <c r="S227" s="1"/>
      <c r="T227" s="23" t="str">
        <f t="shared" ca="1" si="28"/>
        <v>205,..,905</v>
      </c>
      <c r="U227" s="23">
        <f t="shared" ca="1" si="31"/>
        <v>205</v>
      </c>
      <c r="V227" s="23">
        <f t="shared" ca="1" si="32"/>
        <v>905</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25">
      <c r="A228" s="97" t="str">
        <f t="shared" ca="1" si="29"/>
        <v>206,..,906</v>
      </c>
      <c r="B228" s="97"/>
      <c r="C228" s="54"/>
      <c r="D228" s="54"/>
      <c r="E228" s="33"/>
      <c r="F228" s="6"/>
      <c r="G228" s="6"/>
      <c r="H228" s="6">
        <f t="shared" si="30"/>
        <v>0</v>
      </c>
      <c r="I228" s="1"/>
      <c r="J228" s="1"/>
      <c r="K228" s="1"/>
      <c r="L228" s="1"/>
      <c r="M228" s="1"/>
      <c r="N228" s="1"/>
      <c r="O228" s="1"/>
      <c r="P228" s="1"/>
      <c r="Q228" s="1"/>
      <c r="R228" s="1"/>
      <c r="S228" s="1"/>
      <c r="T228" s="23" t="str">
        <f t="shared" ca="1" si="28"/>
        <v>206,..,906</v>
      </c>
      <c r="U228" s="23">
        <f t="shared" ca="1" si="31"/>
        <v>206</v>
      </c>
      <c r="V228" s="23">
        <f t="shared" ca="1" si="32"/>
        <v>906</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97" t="str">
        <f t="shared" ca="1" si="29"/>
        <v>207,..,907</v>
      </c>
      <c r="B229" s="97"/>
      <c r="C229" s="54"/>
      <c r="D229" s="54"/>
      <c r="E229" s="33"/>
      <c r="F229" s="6"/>
      <c r="G229" s="6"/>
      <c r="H229" s="6">
        <f t="shared" si="30"/>
        <v>0</v>
      </c>
      <c r="I229" s="1"/>
      <c r="J229" s="1"/>
      <c r="K229" s="1"/>
      <c r="L229" s="1"/>
      <c r="M229" s="1"/>
      <c r="N229" s="1"/>
      <c r="O229" s="1"/>
      <c r="P229" s="1"/>
      <c r="Q229" s="1"/>
      <c r="R229" s="1"/>
      <c r="S229" s="1"/>
      <c r="T229" s="23" t="str">
        <f t="shared" ca="1" si="28"/>
        <v>207,..,907</v>
      </c>
      <c r="U229" s="23">
        <f t="shared" ca="1" si="31"/>
        <v>207</v>
      </c>
      <c r="V229" s="23">
        <f t="shared" ca="1" si="32"/>
        <v>907</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97" t="str">
        <f t="shared" ca="1" si="29"/>
        <v>208,..,908</v>
      </c>
      <c r="B230" s="97"/>
      <c r="C230" s="54"/>
      <c r="D230" s="54"/>
      <c r="E230" s="33"/>
      <c r="F230" s="6"/>
      <c r="G230" s="6"/>
      <c r="H230" s="6">
        <f t="shared" si="30"/>
        <v>0</v>
      </c>
      <c r="I230" s="1"/>
      <c r="J230" s="1"/>
      <c r="K230" s="1"/>
      <c r="L230" s="1"/>
      <c r="M230" s="1"/>
      <c r="N230" s="1"/>
      <c r="O230" s="1"/>
      <c r="P230" s="1"/>
      <c r="Q230" s="1"/>
      <c r="R230" s="1"/>
      <c r="S230" s="1"/>
      <c r="T230" s="23" t="str">
        <f t="shared" ca="1" si="28"/>
        <v>208,..,908</v>
      </c>
      <c r="U230" s="23">
        <f t="shared" ca="1" si="31"/>
        <v>208</v>
      </c>
      <c r="V230" s="23">
        <f t="shared" ca="1" si="32"/>
        <v>908</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x14ac:dyDescent="0.25">
      <c r="A231" s="139" t="s">
        <v>130</v>
      </c>
      <c r="B231" s="140"/>
      <c r="C231" s="140"/>
      <c r="D231" s="140"/>
      <c r="E231" s="140"/>
      <c r="F231" s="140"/>
      <c r="G231" s="140"/>
      <c r="H231" s="14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25">
      <c r="A232" s="97" t="str">
        <f ca="1">T232</f>
        <v>201 to 501</v>
      </c>
      <c r="B232" s="97"/>
      <c r="C232" s="54"/>
      <c r="D232" s="54"/>
      <c r="E232" s="33">
        <v>0</v>
      </c>
      <c r="F232" s="6">
        <v>0</v>
      </c>
      <c r="G232" s="6">
        <v>0</v>
      </c>
      <c r="H232" s="6">
        <f>E232+F232+(IF(G232&lt;101,G232,IF(G232&lt;201,G232/2,IF(G232&lt;=301,G232/3,G232/4))))</f>
        <v>0</v>
      </c>
      <c r="I232" s="1"/>
      <c r="J232" s="1"/>
      <c r="K232" s="1"/>
      <c r="L232" s="1"/>
      <c r="M232" s="1"/>
      <c r="N232" s="1"/>
      <c r="O232" s="1"/>
      <c r="P232" s="1"/>
      <c r="Q232" s="1"/>
      <c r="R232" s="1"/>
      <c r="S232" s="1"/>
      <c r="T232" s="23" t="str">
        <f ca="1">U232&amp;""&amp;" to "&amp;""&amp;V232</f>
        <v>201 to 501</v>
      </c>
      <c r="U232" s="23">
        <f ca="1">(SUMPRODUCT(MID(0&amp;(LEFT(A231,SUM(LEN(A231)-LEN(SUBSTITUTE(A231,{"0","1","2","3"},""))))), LARGE(INDEX(ISNUMBER(--MID((LEFT(A231,SUM(LEN(A231)-LEN(SUBSTITUTE(A231,{"0","1","2","3"},""))))), ROW(INDIRECT("1:"&amp;LEN((LEFT(A231,SUM(LEN(A231)-LEN(SUBSTITUTE(A231,{"0","1","2","3"},"")))))))), 1)) * ROW(INDIRECT("1:"&amp;LEN((LEFT(A231,SUM(LEN(A231)-LEN(SUBSTITUTE(A231,{"0","1","2","3"},"")))))))), 0), ROW(INDIRECT("1:"&amp;LEN((LEFT(A231,SUM(LEN(A231)-LEN(SUBSTITUTE(A231,{"0","1","2","3"},"")))))))))+1, 1) * 10^ROW(INDIRECT("1:"&amp;LEN((LEFT(A231,SUM(LEN(A231)-LEN(SUBSTITUTE(A231,{"0","1","2","3"},""))))))))/10))*100+1</f>
        <v>201</v>
      </c>
      <c r="V232" s="23">
        <f ca="1">(SUMPRODUCT(MID(0&amp;(--TRIM(RIGHT(SUBSTITUTE(LEFT(A231,_xlfn.AGGREGATE(16,6,FIND({0,1,2,3,4,5,6,7,8,9},A231,ROW(INDIRECT("1:"&amp;LEN(A231)))),1))," ",REPT(" ",LEN(A231))),LEN(A231)))), LARGE(INDEX(ISNUMBER(--MID((--TRIM(RIGHT(SUBSTITUTE(LEFT(A231,_xlfn.AGGREGATE(16,6,FIND({0,1,2,3,4,5,6,7,8,9},A231,ROW(INDIRECT("1:"&amp;LEN(A231)))),1))," ",REPT(" ",LEN(A231))),LEN(A231)))), ROW(INDIRECT("1:"&amp;LEN((--TRIM(RIGHT(SUBSTITUTE(LEFT(A231,_xlfn.AGGREGATE(16,6,FIND({0,1,2,3,4,5,6,7,8,9},A231,ROW(INDIRECT("1:"&amp;LEN(A231)))),1))," ",REPT(" ",LEN(A231))),LEN(A231))))))), 1)) * ROW(INDIRECT("1:"&amp;LEN((--TRIM(RIGHT(SUBSTITUTE(LEFT(A231,_xlfn.AGGREGATE(16,6,FIND({0,1,2,3,4,5,6,7,8,9},A231,ROW(INDIRECT("1:"&amp;LEN(A231)))),1))," ",REPT(" ",LEN(A231))),LEN(A231))))))), 0), ROW(INDIRECT("1:"&amp;LEN((--TRIM(RIGHT(SUBSTITUTE(LEFT(A231,_xlfn.AGGREGATE(16,6,FIND({0,1,2,3,4,5,6,7,8,9},A231,ROW(INDIRECT("1:"&amp;LEN(A231)))),1))," ",REPT(" ",LEN(A231))),LEN(A231))))))))+1, 1) * 10^ROW(INDIRECT("1:"&amp;LEN((--TRIM(RIGHT(SUBSTITUTE(LEFT(A231,_xlfn.AGGREGATE(16,6,FIND({0,1,2,3,4,5,6,7,8,9},A231,ROW(INDIRECT("1:"&amp;LEN(A231)))),1))," ",REPT(" ",LEN(A231))),LEN(A231)))))))/10))*100+1</f>
        <v>501</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customHeight="1" x14ac:dyDescent="0.25">
      <c r="A233" s="97" t="str">
        <f t="shared" ref="A233:A239" ca="1" si="33">T233</f>
        <v>202 to 502</v>
      </c>
      <c r="B233" s="97"/>
      <c r="C233" s="54"/>
      <c r="D233" s="54"/>
      <c r="E233" s="33"/>
      <c r="F233" s="6"/>
      <c r="G233" s="6"/>
      <c r="H233" s="6">
        <f t="shared" ref="H233:H239" si="34">E233+F233+(IF(G233&lt;101,G233,IF(G233&lt;201,G233/2,IF(G233&lt;=301,G233/3,G233/4))))</f>
        <v>0</v>
      </c>
      <c r="I233" s="1"/>
      <c r="J233" s="1"/>
      <c r="K233" s="1"/>
      <c r="L233" s="1"/>
      <c r="M233" s="1"/>
      <c r="N233" s="1"/>
      <c r="O233" s="1"/>
      <c r="P233" s="1"/>
      <c r="Q233" s="1"/>
      <c r="R233" s="1"/>
      <c r="S233" s="1"/>
      <c r="T233" s="23" t="str">
        <f t="shared" ref="T233:T239" ca="1" si="35">U233&amp;""&amp;" to "&amp;""&amp;V233</f>
        <v>202 to 502</v>
      </c>
      <c r="U233" s="23">
        <f ca="1">U232+1</f>
        <v>202</v>
      </c>
      <c r="V233" s="23">
        <f ca="1">V232+1</f>
        <v>502</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hidden="1" customHeight="1" x14ac:dyDescent="0.25">
      <c r="A234" s="97" t="str">
        <f t="shared" ca="1" si="33"/>
        <v>203 to 503</v>
      </c>
      <c r="B234" s="97"/>
      <c r="C234" s="54"/>
      <c r="D234" s="54"/>
      <c r="E234" s="33"/>
      <c r="F234" s="6"/>
      <c r="G234" s="6"/>
      <c r="H234" s="6">
        <f t="shared" si="34"/>
        <v>0</v>
      </c>
      <c r="I234" s="1"/>
      <c r="J234" s="1"/>
      <c r="K234" s="1"/>
      <c r="L234" s="1"/>
      <c r="M234" s="1"/>
      <c r="N234" s="1"/>
      <c r="O234" s="1"/>
      <c r="P234" s="1"/>
      <c r="Q234" s="1"/>
      <c r="R234" s="1"/>
      <c r="S234" s="1"/>
      <c r="T234" s="23" t="str">
        <f t="shared" ca="1" si="35"/>
        <v>203 to 503</v>
      </c>
      <c r="U234" s="23">
        <f t="shared" ref="U234:U239" ca="1" si="36">U233+1</f>
        <v>203</v>
      </c>
      <c r="V234" s="23">
        <f t="shared" ref="V234:V239" ca="1" si="37">V233+1</f>
        <v>503</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hidden="1" customHeight="1" x14ac:dyDescent="0.25">
      <c r="A235" s="97" t="str">
        <f t="shared" ca="1" si="33"/>
        <v>204 to 504</v>
      </c>
      <c r="B235" s="97"/>
      <c r="C235" s="54"/>
      <c r="D235" s="54"/>
      <c r="E235" s="33"/>
      <c r="F235" s="6"/>
      <c r="G235" s="6"/>
      <c r="H235" s="6">
        <f t="shared" si="34"/>
        <v>0</v>
      </c>
      <c r="I235" s="1"/>
      <c r="J235" s="1"/>
      <c r="K235" s="1"/>
      <c r="L235" s="1"/>
      <c r="M235" s="1"/>
      <c r="N235" s="1"/>
      <c r="O235" s="1"/>
      <c r="P235" s="1"/>
      <c r="Q235" s="1"/>
      <c r="R235" s="1"/>
      <c r="S235" s="1"/>
      <c r="T235" s="23" t="str">
        <f t="shared" ca="1" si="35"/>
        <v>204 to 504</v>
      </c>
      <c r="U235" s="23">
        <f t="shared" ca="1" si="36"/>
        <v>204</v>
      </c>
      <c r="V235" s="23">
        <f t="shared" ca="1" si="37"/>
        <v>504</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hidden="1" customHeight="1" x14ac:dyDescent="0.25">
      <c r="A236" s="97" t="str">
        <f t="shared" ca="1" si="33"/>
        <v>205 to 505</v>
      </c>
      <c r="B236" s="97"/>
      <c r="C236" s="54"/>
      <c r="D236" s="54"/>
      <c r="E236" s="33"/>
      <c r="F236" s="6"/>
      <c r="G236" s="6"/>
      <c r="H236" s="6">
        <f t="shared" si="34"/>
        <v>0</v>
      </c>
      <c r="I236" s="1"/>
      <c r="J236" s="1"/>
      <c r="K236" s="1"/>
      <c r="L236" s="1"/>
      <c r="M236" s="1"/>
      <c r="N236" s="1"/>
      <c r="O236" s="1"/>
      <c r="P236" s="1"/>
      <c r="Q236" s="1"/>
      <c r="R236" s="1"/>
      <c r="S236" s="1"/>
      <c r="T236" s="23" t="str">
        <f t="shared" ca="1" si="35"/>
        <v>205 to 505</v>
      </c>
      <c r="U236" s="23">
        <f t="shared" ca="1" si="36"/>
        <v>205</v>
      </c>
      <c r="V236" s="23">
        <f t="shared" ca="1" si="37"/>
        <v>505</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hidden="1" customHeight="1" x14ac:dyDescent="0.25">
      <c r="A237" s="97" t="str">
        <f t="shared" ca="1" si="33"/>
        <v>206 to 506</v>
      </c>
      <c r="B237" s="97"/>
      <c r="C237" s="54"/>
      <c r="D237" s="54"/>
      <c r="E237" s="33"/>
      <c r="F237" s="6"/>
      <c r="G237" s="6"/>
      <c r="H237" s="6">
        <f t="shared" si="34"/>
        <v>0</v>
      </c>
      <c r="I237" s="1"/>
      <c r="J237" s="1"/>
      <c r="K237" s="1"/>
      <c r="L237" s="1"/>
      <c r="M237" s="1"/>
      <c r="N237" s="1"/>
      <c r="O237" s="1"/>
      <c r="P237" s="1"/>
      <c r="Q237" s="1"/>
      <c r="R237" s="1"/>
      <c r="S237" s="1"/>
      <c r="T237" s="23" t="str">
        <f t="shared" ca="1" si="35"/>
        <v>206 to 506</v>
      </c>
      <c r="U237" s="23">
        <f t="shared" ca="1" si="36"/>
        <v>206</v>
      </c>
      <c r="V237" s="23">
        <f t="shared" ca="1" si="37"/>
        <v>506</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hidden="1" customHeight="1" x14ac:dyDescent="0.25">
      <c r="A238" s="97" t="str">
        <f t="shared" ca="1" si="33"/>
        <v>207 to 507</v>
      </c>
      <c r="B238" s="97"/>
      <c r="C238" s="54"/>
      <c r="D238" s="54"/>
      <c r="E238" s="33"/>
      <c r="F238" s="6"/>
      <c r="G238" s="6"/>
      <c r="H238" s="6">
        <f t="shared" si="34"/>
        <v>0</v>
      </c>
      <c r="I238" s="1"/>
      <c r="J238" s="1"/>
      <c r="K238" s="1"/>
      <c r="L238" s="1"/>
      <c r="M238" s="1"/>
      <c r="N238" s="1"/>
      <c r="O238" s="1"/>
      <c r="P238" s="1"/>
      <c r="Q238" s="1"/>
      <c r="R238" s="1"/>
      <c r="S238" s="1"/>
      <c r="T238" s="23" t="str">
        <f t="shared" ca="1" si="35"/>
        <v>207 to 507</v>
      </c>
      <c r="U238" s="23">
        <f t="shared" ca="1" si="36"/>
        <v>207</v>
      </c>
      <c r="V238" s="23">
        <f t="shared" ca="1" si="37"/>
        <v>507</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hidden="1" customHeight="1" x14ac:dyDescent="0.25">
      <c r="A239" s="97" t="str">
        <f t="shared" ca="1" si="33"/>
        <v>208 to 508</v>
      </c>
      <c r="B239" s="97"/>
      <c r="C239" s="54"/>
      <c r="D239" s="54"/>
      <c r="E239" s="33"/>
      <c r="F239" s="6"/>
      <c r="G239" s="6"/>
      <c r="H239" s="6">
        <f t="shared" si="34"/>
        <v>0</v>
      </c>
      <c r="I239" s="1"/>
      <c r="J239" s="1"/>
      <c r="K239" s="1"/>
      <c r="L239" s="1"/>
      <c r="M239" s="1"/>
      <c r="N239" s="1"/>
      <c r="O239" s="1"/>
      <c r="P239" s="1"/>
      <c r="Q239" s="1"/>
      <c r="R239" s="1"/>
      <c r="S239" s="1"/>
      <c r="T239" s="23" t="str">
        <f t="shared" ca="1" si="35"/>
        <v>208 to 508</v>
      </c>
      <c r="U239" s="23">
        <f t="shared" ca="1" si="36"/>
        <v>208</v>
      </c>
      <c r="V239" s="23">
        <f t="shared" ca="1" si="37"/>
        <v>508</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hidden="1" x14ac:dyDescent="0.25">
      <c r="A240" s="139" t="s">
        <v>131</v>
      </c>
      <c r="B240" s="140"/>
      <c r="C240" s="140"/>
      <c r="D240" s="140"/>
      <c r="E240" s="140"/>
      <c r="F240" s="140"/>
      <c r="G240" s="140"/>
      <c r="H240" s="14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hidden="1" customHeight="1" x14ac:dyDescent="0.25">
      <c r="A241" s="97" t="str">
        <f ca="1">T241</f>
        <v>201 &amp; 501</v>
      </c>
      <c r="B241" s="97"/>
      <c r="C241" s="54"/>
      <c r="D241" s="54"/>
      <c r="E241" s="33">
        <v>0</v>
      </c>
      <c r="F241" s="6">
        <v>0</v>
      </c>
      <c r="G241" s="6">
        <v>0</v>
      </c>
      <c r="H241" s="6">
        <f>E241+F241+(IF(G241&lt;101,G241,IF(G241&lt;201,G241/2,IF(G241&lt;=301,G241/3,G241/4))))</f>
        <v>0</v>
      </c>
      <c r="I241" s="1"/>
      <c r="J241" s="1"/>
      <c r="K241" s="1"/>
      <c r="L241" s="1"/>
      <c r="M241" s="1"/>
      <c r="N241" s="1"/>
      <c r="O241" s="1"/>
      <c r="P241" s="1"/>
      <c r="Q241" s="1"/>
      <c r="R241" s="1"/>
      <c r="S241" s="1"/>
      <c r="T241" s="23" t="str">
        <f ca="1">U241&amp;""&amp;" &amp; "&amp;""&amp;V241</f>
        <v>201 &amp; 501</v>
      </c>
      <c r="U241" s="23">
        <f ca="1">(SUMPRODUCT(MID(0&amp;(LEFT(A240,SUM(LEN(A240)-LEN(SUBSTITUTE(A240,{"0","1","2","3"},""))))), LARGE(INDEX(ISNUMBER(--MID((LEFT(A240,SUM(LEN(A240)-LEN(SUBSTITUTE(A240,{"0","1","2","3"},""))))), ROW(INDIRECT("1:"&amp;LEN((LEFT(A240,SUM(LEN(A240)-LEN(SUBSTITUTE(A240,{"0","1","2","3"},"")))))))), 1)) * ROW(INDIRECT("1:"&amp;LEN((LEFT(A240,SUM(LEN(A240)-LEN(SUBSTITUTE(A240,{"0","1","2","3"},"")))))))), 0), ROW(INDIRECT("1:"&amp;LEN((LEFT(A240,SUM(LEN(A240)-LEN(SUBSTITUTE(A240,{"0","1","2","3"},"")))))))))+1, 1) * 10^ROW(INDIRECT("1:"&amp;LEN((LEFT(A240,SUM(LEN(A240)-LEN(SUBSTITUTE(A240,{"0","1","2","3"},""))))))))/10))*100+1</f>
        <v>201</v>
      </c>
      <c r="V241" s="23">
        <f ca="1">(SUMPRODUCT(MID(0&amp;(--TRIM(RIGHT(SUBSTITUTE(LEFT(A240,_xlfn.AGGREGATE(16,6,FIND({0,1,2,3,4,5,6,7,8,9},A240,ROW(INDIRECT("1:"&amp;LEN(A240)))),1)),"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",LEN(A240))),LEN(A240)))))))/10))*100+1</f>
        <v>501</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hidden="1" customHeight="1" x14ac:dyDescent="0.25">
      <c r="A242" s="97" t="str">
        <f t="shared" ref="A242:A248" ca="1" si="38">T242</f>
        <v>202 &amp; 502</v>
      </c>
      <c r="B242" s="97"/>
      <c r="C242" s="54"/>
      <c r="D242" s="54"/>
      <c r="E242" s="33"/>
      <c r="F242" s="6"/>
      <c r="G242" s="6"/>
      <c r="H242" s="6">
        <f t="shared" ref="H242:H248" si="39">E242+F242+(IF(G242&lt;101,G242,IF(G242&lt;201,G242/2,IF(G242&lt;=301,G242/3,G242/4))))</f>
        <v>0</v>
      </c>
      <c r="I242" s="1"/>
      <c r="J242" s="1"/>
      <c r="K242" s="1"/>
      <c r="L242" s="1"/>
      <c r="M242" s="1"/>
      <c r="N242" s="1"/>
      <c r="O242" s="1"/>
      <c r="P242" s="1"/>
      <c r="Q242" s="1"/>
      <c r="R242" s="1"/>
      <c r="S242" s="1"/>
      <c r="T242" s="23" t="str">
        <f t="shared" ref="T242:T248" ca="1" si="40">U242&amp;""&amp;" &amp; "&amp;""&amp;V242</f>
        <v>202 &amp; 502</v>
      </c>
      <c r="U242" s="23">
        <f ca="1">U241+1</f>
        <v>202</v>
      </c>
      <c r="V242" s="23">
        <f ca="1">V241+1</f>
        <v>502</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hidden="1" customHeight="1" x14ac:dyDescent="0.25">
      <c r="A243" s="97" t="str">
        <f t="shared" ca="1" si="38"/>
        <v>203 &amp; 503</v>
      </c>
      <c r="B243" s="97"/>
      <c r="C243" s="54"/>
      <c r="D243" s="54"/>
      <c r="E243" s="33"/>
      <c r="F243" s="6"/>
      <c r="G243" s="6"/>
      <c r="H243" s="6">
        <f t="shared" si="39"/>
        <v>0</v>
      </c>
      <c r="I243" s="1"/>
      <c r="J243" s="1"/>
      <c r="K243" s="1"/>
      <c r="L243" s="1"/>
      <c r="M243" s="1"/>
      <c r="N243" s="1"/>
      <c r="O243" s="1"/>
      <c r="P243" s="1"/>
      <c r="Q243" s="1"/>
      <c r="R243" s="1"/>
      <c r="S243" s="1"/>
      <c r="T243" s="23" t="str">
        <f t="shared" ca="1" si="40"/>
        <v>203 &amp; 503</v>
      </c>
      <c r="U243" s="23">
        <f t="shared" ref="U243:U248" ca="1" si="41">U242+1</f>
        <v>203</v>
      </c>
      <c r="V243" s="23">
        <f t="shared" ref="V243:V248" ca="1" si="42">V242+1</f>
        <v>503</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hidden="1" customHeight="1" x14ac:dyDescent="0.25">
      <c r="A244" s="97" t="str">
        <f t="shared" ca="1" si="38"/>
        <v>204 &amp; 504</v>
      </c>
      <c r="B244" s="97"/>
      <c r="C244" s="54"/>
      <c r="D244" s="54"/>
      <c r="E244" s="33"/>
      <c r="F244" s="6"/>
      <c r="G244" s="6"/>
      <c r="H244" s="6">
        <f t="shared" si="39"/>
        <v>0</v>
      </c>
      <c r="I244" s="1"/>
      <c r="J244" s="1"/>
      <c r="K244" s="1"/>
      <c r="L244" s="1"/>
      <c r="M244" s="1"/>
      <c r="N244" s="1"/>
      <c r="O244" s="1"/>
      <c r="P244" s="1"/>
      <c r="Q244" s="1"/>
      <c r="R244" s="1"/>
      <c r="S244" s="1"/>
      <c r="T244" s="23" t="str">
        <f t="shared" ca="1" si="40"/>
        <v>204 &amp; 504</v>
      </c>
      <c r="U244" s="23">
        <f t="shared" ca="1" si="41"/>
        <v>204</v>
      </c>
      <c r="V244" s="23">
        <f t="shared" ca="1" si="42"/>
        <v>504</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hidden="1" customHeight="1" x14ac:dyDescent="0.25">
      <c r="A245" s="97" t="str">
        <f t="shared" ca="1" si="38"/>
        <v>205 &amp; 505</v>
      </c>
      <c r="B245" s="97"/>
      <c r="C245" s="54"/>
      <c r="D245" s="54"/>
      <c r="E245" s="33"/>
      <c r="F245" s="6"/>
      <c r="G245" s="6"/>
      <c r="H245" s="6">
        <f t="shared" si="39"/>
        <v>0</v>
      </c>
      <c r="I245" s="1"/>
      <c r="J245" s="1"/>
      <c r="K245" s="1"/>
      <c r="L245" s="1"/>
      <c r="M245" s="1"/>
      <c r="N245" s="1"/>
      <c r="O245" s="1"/>
      <c r="P245" s="1"/>
      <c r="Q245" s="1"/>
      <c r="R245" s="1"/>
      <c r="S245" s="1"/>
      <c r="T245" s="23" t="str">
        <f t="shared" ca="1" si="40"/>
        <v>205 &amp; 505</v>
      </c>
      <c r="U245" s="23">
        <f t="shared" ca="1" si="41"/>
        <v>205</v>
      </c>
      <c r="V245" s="23">
        <f t="shared" ca="1" si="42"/>
        <v>505</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hidden="1" customHeight="1" x14ac:dyDescent="0.25">
      <c r="A246" s="97" t="str">
        <f t="shared" ca="1" si="38"/>
        <v>206 &amp; 506</v>
      </c>
      <c r="B246" s="97"/>
      <c r="C246" s="54"/>
      <c r="D246" s="54"/>
      <c r="E246" s="33"/>
      <c r="F246" s="6"/>
      <c r="G246" s="6"/>
      <c r="H246" s="6">
        <f t="shared" si="39"/>
        <v>0</v>
      </c>
      <c r="I246" s="1"/>
      <c r="J246" s="1"/>
      <c r="K246" s="1"/>
      <c r="L246" s="1"/>
      <c r="M246" s="1"/>
      <c r="N246" s="1"/>
      <c r="O246" s="1"/>
      <c r="P246" s="1"/>
      <c r="Q246" s="1"/>
      <c r="R246" s="1"/>
      <c r="S246" s="1"/>
      <c r="T246" s="23" t="str">
        <f t="shared" ca="1" si="40"/>
        <v>206 &amp; 506</v>
      </c>
      <c r="U246" s="23">
        <f t="shared" ca="1" si="41"/>
        <v>206</v>
      </c>
      <c r="V246" s="23">
        <f t="shared" ca="1" si="42"/>
        <v>506</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hidden="1" customHeight="1" x14ac:dyDescent="0.25">
      <c r="A247" s="97" t="str">
        <f t="shared" ca="1" si="38"/>
        <v>207 &amp; 507</v>
      </c>
      <c r="B247" s="97"/>
      <c r="C247" s="54"/>
      <c r="D247" s="54"/>
      <c r="E247" s="33"/>
      <c r="F247" s="6"/>
      <c r="G247" s="6"/>
      <c r="H247" s="6">
        <f t="shared" si="39"/>
        <v>0</v>
      </c>
      <c r="I247" s="1"/>
      <c r="J247" s="1"/>
      <c r="K247" s="1"/>
      <c r="L247" s="1"/>
      <c r="M247" s="1"/>
      <c r="N247" s="1"/>
      <c r="O247" s="1"/>
      <c r="P247" s="1"/>
      <c r="Q247" s="1"/>
      <c r="R247" s="1"/>
      <c r="S247" s="1"/>
      <c r="T247" s="23" t="str">
        <f t="shared" ca="1" si="40"/>
        <v>207 &amp; 507</v>
      </c>
      <c r="U247" s="23">
        <f t="shared" ca="1" si="41"/>
        <v>207</v>
      </c>
      <c r="V247" s="23">
        <f t="shared" ca="1" si="42"/>
        <v>507</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hidden="1" customHeight="1" x14ac:dyDescent="0.25">
      <c r="A248" s="97" t="str">
        <f t="shared" ca="1" si="38"/>
        <v>208 &amp; 508</v>
      </c>
      <c r="B248" s="97"/>
      <c r="C248" s="54"/>
      <c r="D248" s="54"/>
      <c r="E248" s="33"/>
      <c r="F248" s="6"/>
      <c r="G248" s="6"/>
      <c r="H248" s="6">
        <f t="shared" si="39"/>
        <v>0</v>
      </c>
      <c r="I248" s="1"/>
      <c r="J248" s="1"/>
      <c r="K248" s="1"/>
      <c r="L248" s="1"/>
      <c r="M248" s="1"/>
      <c r="N248" s="1"/>
      <c r="O248" s="1"/>
      <c r="P248" s="1"/>
      <c r="Q248" s="1"/>
      <c r="R248" s="1"/>
      <c r="S248" s="1"/>
      <c r="T248" s="23" t="str">
        <f t="shared" ca="1" si="40"/>
        <v>208 &amp; 508</v>
      </c>
      <c r="U248" s="23">
        <f t="shared" ca="1" si="41"/>
        <v>208</v>
      </c>
      <c r="V248" s="23">
        <f t="shared" ca="1" si="42"/>
        <v>508</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ht="20.25" x14ac:dyDescent="0.25">
      <c r="A249" s="115" t="s">
        <v>68</v>
      </c>
      <c r="B249" s="115"/>
      <c r="C249" s="115"/>
      <c r="D249" s="115"/>
      <c r="E249" s="115"/>
      <c r="F249" s="115"/>
      <c r="G249" s="115"/>
      <c r="H249" s="115"/>
    </row>
    <row r="250" spans="1:150 16226:16383" ht="20.25" x14ac:dyDescent="0.25">
      <c r="A250" s="2" t="s">
        <v>235</v>
      </c>
      <c r="B250" s="176" t="s">
        <v>371</v>
      </c>
      <c r="C250" s="177"/>
      <c r="D250" s="177"/>
      <c r="E250" s="177"/>
      <c r="F250" s="177"/>
      <c r="G250" s="177"/>
      <c r="H250" s="178"/>
    </row>
    <row r="251" spans="1:150 16226:16383" ht="20.25" x14ac:dyDescent="0.25">
      <c r="A251" s="2" t="s">
        <v>235</v>
      </c>
      <c r="B251" s="86" t="s">
        <v>236</v>
      </c>
      <c r="C251" s="87"/>
      <c r="D251" s="87"/>
      <c r="E251" s="87"/>
      <c r="F251" s="87"/>
      <c r="G251" s="87"/>
      <c r="H251" s="88"/>
    </row>
    <row r="252" spans="1:150 16226:16383" ht="20.25" x14ac:dyDescent="0.25">
      <c r="A252" s="2" t="s">
        <v>235</v>
      </c>
      <c r="B252" s="86" t="s">
        <v>367</v>
      </c>
      <c r="C252" s="87"/>
      <c r="D252" s="87"/>
      <c r="E252" s="87"/>
      <c r="F252" s="87"/>
      <c r="G252" s="87"/>
      <c r="H252" s="88"/>
    </row>
    <row r="253" spans="1:150 16226:16383" ht="20.25" x14ac:dyDescent="0.25">
      <c r="A253" s="2" t="s">
        <v>235</v>
      </c>
      <c r="B253" s="86" t="s">
        <v>237</v>
      </c>
      <c r="C253" s="87"/>
      <c r="D253" s="87"/>
      <c r="E253" s="87"/>
      <c r="F253" s="87"/>
      <c r="G253" s="87"/>
      <c r="H253" s="88"/>
    </row>
    <row r="254" spans="1:150 16226:16383" ht="20.25" x14ac:dyDescent="0.25">
      <c r="A254" s="74" t="s">
        <v>235</v>
      </c>
      <c r="B254" s="86" t="s">
        <v>238</v>
      </c>
      <c r="C254" s="87"/>
      <c r="D254" s="87"/>
      <c r="E254" s="87"/>
      <c r="F254" s="87"/>
      <c r="G254" s="87"/>
      <c r="H254" s="88"/>
    </row>
    <row r="255" spans="1:150 16226:16383" ht="20.25" x14ac:dyDescent="0.25">
      <c r="A255" s="2" t="s">
        <v>235</v>
      </c>
      <c r="B255" s="86" t="s">
        <v>384</v>
      </c>
      <c r="C255" s="87"/>
      <c r="D255" s="87"/>
      <c r="E255" s="87"/>
      <c r="F255" s="87"/>
      <c r="G255" s="87"/>
      <c r="H255" s="88"/>
    </row>
    <row r="256" spans="1:150 16226:16383" ht="46.5" hidden="1" customHeight="1" x14ac:dyDescent="0.25">
      <c r="A256" s="2" t="s">
        <v>235</v>
      </c>
      <c r="B256" s="175" t="s">
        <v>239</v>
      </c>
      <c r="C256" s="87"/>
      <c r="D256" s="87"/>
      <c r="E256" s="87"/>
      <c r="F256" s="87"/>
      <c r="G256" s="87"/>
      <c r="H256" s="88"/>
    </row>
    <row r="257" spans="1:8" ht="24.75" hidden="1" customHeight="1" x14ac:dyDescent="0.25">
      <c r="A257" s="2" t="s">
        <v>235</v>
      </c>
      <c r="B257" s="175" t="s">
        <v>240</v>
      </c>
      <c r="C257" s="87"/>
      <c r="D257" s="87"/>
      <c r="E257" s="87"/>
      <c r="F257" s="87"/>
      <c r="G257" s="87"/>
      <c r="H257" s="88"/>
    </row>
    <row r="258" spans="1:8" ht="46.5" hidden="1" customHeight="1" x14ac:dyDescent="0.25">
      <c r="A258" s="2" t="s">
        <v>235</v>
      </c>
      <c r="B258" s="175" t="s">
        <v>239</v>
      </c>
      <c r="C258" s="87"/>
      <c r="D258" s="87"/>
      <c r="E258" s="87"/>
      <c r="F258" s="87"/>
      <c r="G258" s="87"/>
      <c r="H258" s="88"/>
    </row>
    <row r="259" spans="1:8" ht="20.25" x14ac:dyDescent="0.25">
      <c r="A259" s="153" t="s">
        <v>74</v>
      </c>
      <c r="B259" s="153"/>
      <c r="C259" s="153"/>
      <c r="D259" s="153"/>
      <c r="E259" s="153"/>
      <c r="F259" s="153"/>
      <c r="G259" s="153"/>
      <c r="H259" s="153"/>
    </row>
    <row r="260" spans="1:8" ht="20.25" x14ac:dyDescent="0.25">
      <c r="A260" s="127" t="s">
        <v>69</v>
      </c>
      <c r="B260" s="127"/>
      <c r="C260" s="127"/>
      <c r="D260" s="86" t="str">
        <f>C3</f>
        <v>Mahindra Marina64 - Phase 1</v>
      </c>
      <c r="E260" s="87"/>
      <c r="F260" s="87"/>
      <c r="G260" s="87"/>
      <c r="H260" s="88"/>
    </row>
    <row r="261" spans="1:8" ht="40.5" customHeight="1" x14ac:dyDescent="0.25">
      <c r="A261" s="127" t="s">
        <v>103</v>
      </c>
      <c r="B261" s="127"/>
      <c r="C261" s="127"/>
      <c r="D261" s="86" t="str">
        <f>C9</f>
        <v>Mahindra Marina64 - Phase 1, 2/11 at Malad, Borivali, Mumbai Suburban, 400064</v>
      </c>
      <c r="E261" s="87"/>
      <c r="F261" s="87"/>
      <c r="G261" s="87"/>
      <c r="H261" s="88"/>
    </row>
    <row r="262" spans="1:8" ht="20.25" customHeight="1" x14ac:dyDescent="0.25">
      <c r="A262" s="163" t="s">
        <v>109</v>
      </c>
      <c r="B262" s="163"/>
      <c r="C262" s="163"/>
      <c r="D262" s="86" t="str">
        <f>G3</f>
        <v>13/08/2025 at 02:03PM</v>
      </c>
      <c r="E262" s="87"/>
      <c r="F262" s="87"/>
      <c r="G262" s="87"/>
      <c r="H262" s="88"/>
    </row>
    <row r="263" spans="1:8" ht="20.25" x14ac:dyDescent="0.25">
      <c r="A263" s="10"/>
      <c r="B263" s="11"/>
      <c r="C263" s="11"/>
      <c r="D263" s="11"/>
      <c r="E263" s="11"/>
      <c r="F263" s="11"/>
      <c r="G263" s="11"/>
      <c r="H263" s="7"/>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13"/>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4"/>
      <c r="B306" s="15"/>
      <c r="C306" s="15"/>
      <c r="D306" s="15"/>
      <c r="E306" s="15"/>
      <c r="F306" s="15"/>
      <c r="G306" s="15"/>
      <c r="H306" s="9"/>
    </row>
    <row r="307" spans="1:8" ht="20.25" x14ac:dyDescent="0.25">
      <c r="A307" s="115" t="s">
        <v>161</v>
      </c>
      <c r="B307" s="115"/>
      <c r="C307" s="115"/>
      <c r="D307" s="115"/>
      <c r="E307" s="115"/>
      <c r="F307" s="115"/>
      <c r="G307" s="115"/>
      <c r="H307" s="115"/>
    </row>
    <row r="308" spans="1:8" ht="20.25" x14ac:dyDescent="0.25">
      <c r="A308" s="10"/>
      <c r="B308" s="11"/>
      <c r="C308" s="11"/>
      <c r="D308" s="11"/>
      <c r="E308" s="11"/>
      <c r="F308" s="11"/>
      <c r="G308" s="11"/>
      <c r="H308" s="7"/>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
      <c r="B340" s="13"/>
      <c r="C340" s="13"/>
      <c r="D340" s="13"/>
      <c r="E340" s="13"/>
      <c r="F340" s="13"/>
      <c r="G340" s="13"/>
      <c r="H340" s="8"/>
    </row>
    <row r="341" spans="1:8" ht="20.25" x14ac:dyDescent="0.25">
      <c r="A341" s="12"/>
      <c r="B341" s="13"/>
      <c r="C341" s="13"/>
      <c r="D341" s="13"/>
      <c r="E341" s="13"/>
      <c r="F341" s="13"/>
      <c r="G341" s="13"/>
      <c r="H341" s="8"/>
    </row>
    <row r="342" spans="1:8" ht="20.25" x14ac:dyDescent="0.25">
      <c r="A342" s="12"/>
      <c r="B342" s="13"/>
      <c r="C342" s="13"/>
      <c r="D342" s="13"/>
      <c r="E342" s="13"/>
      <c r="F342" s="13"/>
      <c r="G342" s="13"/>
      <c r="H342" s="8"/>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4"/>
      <c r="B356" s="15"/>
      <c r="C356" s="15"/>
      <c r="D356" s="15"/>
      <c r="E356" s="15"/>
      <c r="F356" s="15"/>
      <c r="G356" s="15"/>
      <c r="H356" s="9"/>
    </row>
    <row r="357" spans="1:8" ht="20.25" x14ac:dyDescent="0.25">
      <c r="A357" s="145" t="s">
        <v>75</v>
      </c>
      <c r="B357" s="146"/>
      <c r="C357" s="146"/>
      <c r="D357" s="146"/>
      <c r="E357" s="146"/>
      <c r="F357" s="146"/>
      <c r="G357" s="146"/>
      <c r="H357" s="147"/>
    </row>
    <row r="358" spans="1:8" ht="20.25" x14ac:dyDescent="0.25">
      <c r="A358" s="10"/>
      <c r="B358" s="11"/>
      <c r="C358" s="11"/>
      <c r="D358" s="11"/>
      <c r="E358" s="11"/>
      <c r="F358" s="11"/>
      <c r="G358" s="11"/>
      <c r="H358" s="7"/>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2"/>
      <c r="B372" s="13"/>
      <c r="C372" s="13"/>
      <c r="D372" s="13"/>
      <c r="E372" s="13"/>
      <c r="F372" s="13"/>
      <c r="G372" s="13"/>
      <c r="H372" s="8"/>
    </row>
    <row r="373" spans="1:8" ht="20.25" x14ac:dyDescent="0.25">
      <c r="A373" s="12"/>
      <c r="B373" s="13"/>
      <c r="C373" s="13"/>
      <c r="D373" s="13"/>
      <c r="E373" s="13"/>
      <c r="F373" s="13"/>
      <c r="G373" s="13"/>
      <c r="H373" s="8"/>
    </row>
    <row r="374" spans="1:8" ht="20.25" x14ac:dyDescent="0.25">
      <c r="A374" s="12"/>
      <c r="B374" s="13"/>
      <c r="C374" s="13"/>
      <c r="D374" s="13"/>
      <c r="E374" s="13"/>
      <c r="F374" s="13"/>
      <c r="G374" s="13"/>
      <c r="H374" s="8"/>
    </row>
    <row r="375" spans="1:8" ht="20.25" x14ac:dyDescent="0.25">
      <c r="A375" s="12"/>
      <c r="B375" s="13"/>
      <c r="C375" s="13"/>
      <c r="D375" s="13"/>
      <c r="E375" s="13"/>
      <c r="F375" s="13"/>
      <c r="G375" s="13"/>
      <c r="H375" s="8"/>
    </row>
    <row r="376" spans="1:8" ht="20.25" x14ac:dyDescent="0.25">
      <c r="A376" s="12"/>
      <c r="B376" s="13"/>
      <c r="C376" s="13"/>
      <c r="D376" s="13"/>
      <c r="E376" s="13"/>
      <c r="F376" s="13"/>
      <c r="G376" s="13"/>
      <c r="H376" s="8"/>
    </row>
    <row r="377" spans="1:8" ht="20.25" x14ac:dyDescent="0.25">
      <c r="A377" s="12"/>
      <c r="B377" s="13"/>
      <c r="C377" s="13"/>
      <c r="D377" s="13"/>
      <c r="E377" s="13"/>
      <c r="F377" s="13"/>
      <c r="G377" s="13"/>
      <c r="H377" s="8"/>
    </row>
    <row r="378" spans="1:8" ht="20.25" x14ac:dyDescent="0.25">
      <c r="A378" s="12"/>
      <c r="B378" s="13"/>
      <c r="C378" s="13"/>
      <c r="D378" s="13"/>
      <c r="E378" s="13"/>
      <c r="F378" s="13"/>
      <c r="G378" s="13"/>
      <c r="H378" s="8"/>
    </row>
    <row r="379" spans="1:8" ht="20.25" x14ac:dyDescent="0.25">
      <c r="A379" s="12"/>
      <c r="B379" s="13"/>
      <c r="C379" s="13"/>
      <c r="D379" s="13"/>
      <c r="E379" s="13"/>
      <c r="F379" s="13"/>
      <c r="G379" s="13"/>
      <c r="H379" s="8"/>
    </row>
    <row r="380" spans="1:8" ht="20.25" x14ac:dyDescent="0.25">
      <c r="A380" s="12"/>
      <c r="B380" s="13"/>
      <c r="C380" s="13"/>
      <c r="D380" s="13"/>
      <c r="E380" s="13"/>
      <c r="F380" s="13"/>
      <c r="G380" s="13"/>
      <c r="H380" s="8"/>
    </row>
    <row r="381" spans="1:8" ht="20.25" x14ac:dyDescent="0.25">
      <c r="A381" s="12"/>
      <c r="B381" s="13"/>
      <c r="C381" s="13"/>
      <c r="D381" s="13"/>
      <c r="E381" s="13"/>
      <c r="F381" s="13"/>
      <c r="G381" s="13"/>
      <c r="H381" s="8"/>
    </row>
    <row r="382" spans="1:8" ht="20.25" x14ac:dyDescent="0.25">
      <c r="A382" s="12"/>
      <c r="B382" s="13"/>
      <c r="C382" s="13"/>
      <c r="D382" s="13"/>
      <c r="E382" s="13"/>
      <c r="F382" s="13"/>
      <c r="G382" s="13"/>
      <c r="H382" s="8"/>
    </row>
    <row r="383" spans="1:8" ht="20.25" x14ac:dyDescent="0.25">
      <c r="A383" s="12"/>
      <c r="B383" s="13"/>
      <c r="C383" s="13"/>
      <c r="D383" s="13"/>
      <c r="E383" s="13"/>
      <c r="F383" s="13"/>
      <c r="G383" s="13"/>
      <c r="H383" s="8"/>
    </row>
    <row r="384" spans="1:8" ht="20.25" x14ac:dyDescent="0.25">
      <c r="A384" s="12"/>
      <c r="B384" s="13"/>
      <c r="C384" s="13"/>
      <c r="D384" s="13"/>
      <c r="E384" s="13"/>
      <c r="F384" s="13"/>
      <c r="G384" s="13"/>
      <c r="H384" s="8"/>
    </row>
    <row r="385" spans="1:8" ht="20.25" x14ac:dyDescent="0.25">
      <c r="A385" s="12"/>
      <c r="B385" s="13"/>
      <c r="C385" s="13"/>
      <c r="D385" s="13"/>
      <c r="E385" s="13"/>
      <c r="F385" s="13"/>
      <c r="G385" s="13"/>
      <c r="H385" s="8"/>
    </row>
    <row r="386" spans="1:8" ht="20.25" x14ac:dyDescent="0.25">
      <c r="A386" s="12"/>
      <c r="B386" s="13"/>
      <c r="C386" s="13"/>
      <c r="D386" s="13"/>
      <c r="E386" s="13"/>
      <c r="F386" s="13"/>
      <c r="G386" s="13"/>
      <c r="H386" s="8"/>
    </row>
    <row r="387" spans="1:8" ht="20.25" x14ac:dyDescent="0.25">
      <c r="A387" s="12"/>
      <c r="B387" s="13"/>
      <c r="C387" s="13"/>
      <c r="D387" s="13"/>
      <c r="E387" s="13"/>
      <c r="F387" s="13"/>
      <c r="G387" s="13"/>
      <c r="H387" s="8"/>
    </row>
    <row r="388" spans="1:8" ht="20.25" x14ac:dyDescent="0.25">
      <c r="A388" s="115" t="s">
        <v>24</v>
      </c>
      <c r="B388" s="115"/>
      <c r="C388" s="115"/>
      <c r="D388" s="115"/>
      <c r="E388" s="115"/>
      <c r="F388" s="115"/>
      <c r="G388" s="115"/>
      <c r="H388" s="115"/>
    </row>
    <row r="389" spans="1:8" ht="20.25" x14ac:dyDescent="0.25">
      <c r="A389" s="154" t="s">
        <v>76</v>
      </c>
      <c r="B389" s="155"/>
      <c r="C389" s="155"/>
      <c r="D389" s="155"/>
      <c r="E389" s="155"/>
      <c r="F389" s="155"/>
      <c r="G389" s="155"/>
      <c r="H389" s="156"/>
    </row>
    <row r="390" spans="1:8" ht="20.25" x14ac:dyDescent="0.25">
      <c r="A390" s="157" t="s">
        <v>77</v>
      </c>
      <c r="B390" s="158"/>
      <c r="C390" s="158"/>
      <c r="D390" s="158"/>
      <c r="E390" s="158"/>
      <c r="F390" s="158"/>
      <c r="G390" s="158"/>
      <c r="H390" s="159"/>
    </row>
    <row r="391" spans="1:8" ht="45" customHeight="1" x14ac:dyDescent="0.25">
      <c r="A391" s="157" t="s">
        <v>78</v>
      </c>
      <c r="B391" s="158"/>
      <c r="C391" s="158"/>
      <c r="D391" s="158"/>
      <c r="E391" s="158"/>
      <c r="F391" s="158"/>
      <c r="G391" s="158"/>
      <c r="H391" s="159"/>
    </row>
    <row r="392" spans="1:8" ht="42.75" customHeight="1" x14ac:dyDescent="0.25">
      <c r="A392" s="157" t="s">
        <v>79</v>
      </c>
      <c r="B392" s="158"/>
      <c r="C392" s="158"/>
      <c r="D392" s="158"/>
      <c r="E392" s="158"/>
      <c r="F392" s="158"/>
      <c r="G392" s="158"/>
      <c r="H392" s="159"/>
    </row>
    <row r="393" spans="1:8" ht="20.25" x14ac:dyDescent="0.25">
      <c r="A393" s="157" t="s">
        <v>80</v>
      </c>
      <c r="B393" s="158"/>
      <c r="C393" s="158"/>
      <c r="D393" s="158"/>
      <c r="E393" s="158"/>
      <c r="F393" s="158"/>
      <c r="G393" s="158"/>
      <c r="H393" s="159"/>
    </row>
    <row r="394" spans="1:8" ht="20.25" x14ac:dyDescent="0.25">
      <c r="A394" s="157" t="s">
        <v>81</v>
      </c>
      <c r="B394" s="158"/>
      <c r="C394" s="158"/>
      <c r="D394" s="158"/>
      <c r="E394" s="158"/>
      <c r="F394" s="158"/>
      <c r="G394" s="158"/>
      <c r="H394" s="159"/>
    </row>
    <row r="395" spans="1:8" ht="45" customHeight="1" x14ac:dyDescent="0.25">
      <c r="A395" s="157" t="s">
        <v>82</v>
      </c>
      <c r="B395" s="158"/>
      <c r="C395" s="158"/>
      <c r="D395" s="158"/>
      <c r="E395" s="158"/>
      <c r="F395" s="158"/>
      <c r="G395" s="158"/>
      <c r="H395" s="159"/>
    </row>
    <row r="396" spans="1:8" ht="45" customHeight="1" x14ac:dyDescent="0.25">
      <c r="A396" s="157" t="s">
        <v>83</v>
      </c>
      <c r="B396" s="158"/>
      <c r="C396" s="158"/>
      <c r="D396" s="158"/>
      <c r="E396" s="158"/>
      <c r="F396" s="158"/>
      <c r="G396" s="158"/>
      <c r="H396" s="159"/>
    </row>
    <row r="397" spans="1:8" ht="20.25" x14ac:dyDescent="0.25">
      <c r="A397" s="160" t="s">
        <v>84</v>
      </c>
      <c r="B397" s="161"/>
      <c r="C397" s="161"/>
      <c r="D397" s="161"/>
      <c r="E397" s="161"/>
      <c r="F397" s="161"/>
      <c r="G397" s="161"/>
      <c r="H397" s="162"/>
    </row>
    <row r="398" spans="1:8" ht="57" customHeight="1" x14ac:dyDescent="0.25">
      <c r="A398" s="164" t="s">
        <v>30</v>
      </c>
      <c r="B398" s="165"/>
      <c r="C398" s="204" t="s">
        <v>385</v>
      </c>
      <c r="D398" s="205"/>
      <c r="E398" s="164" t="s">
        <v>9</v>
      </c>
      <c r="F398" s="165"/>
      <c r="G398" s="152"/>
      <c r="H398" s="152"/>
    </row>
  </sheetData>
  <mergeCells count="449">
    <mergeCell ref="A146:B146"/>
    <mergeCell ref="C146:H147"/>
    <mergeCell ref="A147:B147"/>
    <mergeCell ref="A138:H138"/>
    <mergeCell ref="A139:B139"/>
    <mergeCell ref="A140:B140"/>
    <mergeCell ref="A141:B141"/>
    <mergeCell ref="C141:H142"/>
    <mergeCell ref="A142:B142"/>
    <mergeCell ref="A143:H143"/>
    <mergeCell ref="A144:B144"/>
    <mergeCell ref="A145:B145"/>
    <mergeCell ref="A110:B110"/>
    <mergeCell ref="C110:D110"/>
    <mergeCell ref="C111:D111"/>
    <mergeCell ref="C112:D112"/>
    <mergeCell ref="E112:F112"/>
    <mergeCell ref="A114:F114"/>
    <mergeCell ref="A115:F115"/>
    <mergeCell ref="A116:F116"/>
    <mergeCell ref="C120:D120"/>
    <mergeCell ref="A111:B111"/>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G48:H48"/>
    <mergeCell ref="A49:B49"/>
    <mergeCell ref="D49:F49"/>
    <mergeCell ref="G49:H49"/>
    <mergeCell ref="A51:B51"/>
    <mergeCell ref="A53:B53"/>
    <mergeCell ref="A56:B56"/>
    <mergeCell ref="A57:B57"/>
    <mergeCell ref="A52:B52"/>
    <mergeCell ref="C51:H51"/>
    <mergeCell ref="C52:F52"/>
    <mergeCell ref="C53:F53"/>
    <mergeCell ref="C55:F55"/>
    <mergeCell ref="C54:F54"/>
    <mergeCell ref="A54:B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3:D3"/>
    <mergeCell ref="C4:D4"/>
    <mergeCell ref="E2:F2"/>
    <mergeCell ref="E14:F14"/>
    <mergeCell ref="E15:F15"/>
    <mergeCell ref="E16:F16"/>
    <mergeCell ref="E17:F17"/>
    <mergeCell ref="E18:F18"/>
    <mergeCell ref="E19:F19"/>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A243:B243"/>
    <mergeCell ref="B257:H257"/>
    <mergeCell ref="A249:H249"/>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223:B223"/>
    <mergeCell ref="C125:D125"/>
    <mergeCell ref="E127:F127"/>
    <mergeCell ref="C126:D126"/>
    <mergeCell ref="A109:H109"/>
    <mergeCell ref="G110:H110"/>
    <mergeCell ref="B258:H258"/>
    <mergeCell ref="B251:H251"/>
    <mergeCell ref="B250:H250"/>
    <mergeCell ref="B255:H255"/>
    <mergeCell ref="B253:H253"/>
    <mergeCell ref="B252:H252"/>
    <mergeCell ref="B256:H256"/>
    <mergeCell ref="A236:B236"/>
    <mergeCell ref="A237:B237"/>
    <mergeCell ref="A238:B238"/>
    <mergeCell ref="A247:B247"/>
    <mergeCell ref="A248:B248"/>
    <mergeCell ref="A244:B244"/>
    <mergeCell ref="A245:B245"/>
    <mergeCell ref="A246:B246"/>
    <mergeCell ref="A240:H240"/>
    <mergeCell ref="A241:B241"/>
    <mergeCell ref="A242:B242"/>
    <mergeCell ref="D262:H262"/>
    <mergeCell ref="A307:H307"/>
    <mergeCell ref="E398:F398"/>
    <mergeCell ref="A398:B398"/>
    <mergeCell ref="C398:D398"/>
    <mergeCell ref="G14:H14"/>
    <mergeCell ref="G16:H16"/>
    <mergeCell ref="G17:H17"/>
    <mergeCell ref="G15:H15"/>
    <mergeCell ref="G18:H18"/>
    <mergeCell ref="G19:H19"/>
    <mergeCell ref="G46:H46"/>
    <mergeCell ref="G31:H31"/>
    <mergeCell ref="G22:H22"/>
    <mergeCell ref="G36:H36"/>
    <mergeCell ref="G35:H35"/>
    <mergeCell ref="E64:F75"/>
    <mergeCell ref="A235:B235"/>
    <mergeCell ref="A228:B228"/>
    <mergeCell ref="A226:B226"/>
    <mergeCell ref="E126:F126"/>
    <mergeCell ref="E124:F124"/>
    <mergeCell ref="C123:D123"/>
    <mergeCell ref="E125:F125"/>
    <mergeCell ref="G6:H6"/>
    <mergeCell ref="A5:H5"/>
    <mergeCell ref="A33:H33"/>
    <mergeCell ref="G30:H30"/>
    <mergeCell ref="G29:H29"/>
    <mergeCell ref="A13:H13"/>
    <mergeCell ref="C26:D26"/>
    <mergeCell ref="G398:H398"/>
    <mergeCell ref="A259:H259"/>
    <mergeCell ref="D261:H261"/>
    <mergeCell ref="A389:H389"/>
    <mergeCell ref="A395:H395"/>
    <mergeCell ref="A396:H396"/>
    <mergeCell ref="A397:H397"/>
    <mergeCell ref="A390:H390"/>
    <mergeCell ref="A391:H391"/>
    <mergeCell ref="A392:H392"/>
    <mergeCell ref="A393:H393"/>
    <mergeCell ref="A261:C261"/>
    <mergeCell ref="A388:H388"/>
    <mergeCell ref="A394:H394"/>
    <mergeCell ref="A357:H357"/>
    <mergeCell ref="D260:H260"/>
    <mergeCell ref="A262:C262"/>
    <mergeCell ref="G112:H112"/>
    <mergeCell ref="G116:H116"/>
    <mergeCell ref="A113:H113"/>
    <mergeCell ref="E110:F110"/>
    <mergeCell ref="A112:B112"/>
    <mergeCell ref="E111:F111"/>
    <mergeCell ref="G111:H111"/>
    <mergeCell ref="A1:H1"/>
    <mergeCell ref="A260:C260"/>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A233:B233"/>
    <mergeCell ref="A234:B234"/>
    <mergeCell ref="G114:H114"/>
    <mergeCell ref="A213:H213"/>
    <mergeCell ref="A127:B127"/>
    <mergeCell ref="G127:H127"/>
    <mergeCell ref="A239:B239"/>
    <mergeCell ref="A122:H122"/>
    <mergeCell ref="A123:B123"/>
    <mergeCell ref="E123:F123"/>
    <mergeCell ref="A219:B219"/>
    <mergeCell ref="A220:B220"/>
    <mergeCell ref="A221:B221"/>
    <mergeCell ref="A214:B214"/>
    <mergeCell ref="C124:D124"/>
    <mergeCell ref="C127:D127"/>
    <mergeCell ref="A227:B227"/>
    <mergeCell ref="A229:B229"/>
    <mergeCell ref="A230:B230"/>
    <mergeCell ref="A225:B225"/>
    <mergeCell ref="A231:H231"/>
    <mergeCell ref="A232:B232"/>
    <mergeCell ref="A224:B224"/>
    <mergeCell ref="A222:H222"/>
    <mergeCell ref="A59:B59"/>
    <mergeCell ref="C56:F56"/>
    <mergeCell ref="C57:F57"/>
    <mergeCell ref="C58:F58"/>
    <mergeCell ref="C59:F59"/>
    <mergeCell ref="A215:B215"/>
    <mergeCell ref="A216:B216"/>
    <mergeCell ref="A217:B217"/>
    <mergeCell ref="A218:B218"/>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108:F108"/>
    <mergeCell ref="A128:H128"/>
    <mergeCell ref="E118:F118"/>
    <mergeCell ref="E119:F119"/>
    <mergeCell ref="E120:F120"/>
    <mergeCell ref="E121:F121"/>
    <mergeCell ref="A118:B118"/>
    <mergeCell ref="A119:B119"/>
    <mergeCell ref="A120:B120"/>
    <mergeCell ref="C118:D118"/>
    <mergeCell ref="A121:B121"/>
    <mergeCell ref="C119:D119"/>
    <mergeCell ref="G118:H118"/>
    <mergeCell ref="G119:H119"/>
    <mergeCell ref="G120:H120"/>
    <mergeCell ref="G121:H121"/>
    <mergeCell ref="C121:D121"/>
    <mergeCell ref="G123:H123"/>
    <mergeCell ref="A124:B124"/>
    <mergeCell ref="G124:H124"/>
    <mergeCell ref="A125:B125"/>
    <mergeCell ref="G125:H125"/>
    <mergeCell ref="A126:B126"/>
    <mergeCell ref="G126:H126"/>
    <mergeCell ref="A132:H132"/>
    <mergeCell ref="A130:H130"/>
    <mergeCell ref="A131:H131"/>
    <mergeCell ref="A169:H169"/>
    <mergeCell ref="A170:B170"/>
    <mergeCell ref="A171:B171"/>
    <mergeCell ref="A172:B172"/>
    <mergeCell ref="A173:B173"/>
    <mergeCell ref="A133:H133"/>
    <mergeCell ref="A134:B134"/>
    <mergeCell ref="A135:B135"/>
    <mergeCell ref="A136:B136"/>
    <mergeCell ref="A137:B137"/>
    <mergeCell ref="C136:H137"/>
    <mergeCell ref="A148:H148"/>
    <mergeCell ref="A149:B149"/>
    <mergeCell ref="A150:B150"/>
    <mergeCell ref="A151:B151"/>
    <mergeCell ref="A152:B152"/>
    <mergeCell ref="C151:H152"/>
    <mergeCell ref="A153:H153"/>
    <mergeCell ref="A154:B154"/>
    <mergeCell ref="A155:B155"/>
    <mergeCell ref="A156:B156"/>
    <mergeCell ref="C156:H157"/>
    <mergeCell ref="A157:B157"/>
    <mergeCell ref="A158:H158"/>
    <mergeCell ref="A159:B159"/>
    <mergeCell ref="A160:B160"/>
    <mergeCell ref="A161:B161"/>
    <mergeCell ref="A162:B162"/>
    <mergeCell ref="A163:H163"/>
    <mergeCell ref="A164:B164"/>
    <mergeCell ref="A165:B165"/>
    <mergeCell ref="A166:B166"/>
    <mergeCell ref="A167:B167"/>
    <mergeCell ref="A175:H175"/>
    <mergeCell ref="A176:B176"/>
    <mergeCell ref="A177:B177"/>
    <mergeCell ref="A178:B178"/>
    <mergeCell ref="A179:B179"/>
    <mergeCell ref="A181:H181"/>
    <mergeCell ref="A195:B195"/>
    <mergeCell ref="A196:B196"/>
    <mergeCell ref="A197:B197"/>
    <mergeCell ref="A198:H198"/>
    <mergeCell ref="A199:B199"/>
    <mergeCell ref="A200:B200"/>
    <mergeCell ref="A201:B201"/>
    <mergeCell ref="A182:B182"/>
    <mergeCell ref="A183:B183"/>
    <mergeCell ref="A184:B184"/>
    <mergeCell ref="A185:B185"/>
    <mergeCell ref="A187:H187"/>
    <mergeCell ref="A188:B188"/>
    <mergeCell ref="A189:B189"/>
    <mergeCell ref="A190:B190"/>
    <mergeCell ref="A191:B191"/>
    <mergeCell ref="B254:H254"/>
    <mergeCell ref="A211:B211"/>
    <mergeCell ref="A212:B212"/>
    <mergeCell ref="A168:B168"/>
    <mergeCell ref="C168:H168"/>
    <mergeCell ref="A174:B174"/>
    <mergeCell ref="C174:H174"/>
    <mergeCell ref="A180:B180"/>
    <mergeCell ref="C180:H180"/>
    <mergeCell ref="A186:B186"/>
    <mergeCell ref="C186:H186"/>
    <mergeCell ref="A192:B192"/>
    <mergeCell ref="C192:H192"/>
    <mergeCell ref="A202:B202"/>
    <mergeCell ref="A203:H203"/>
    <mergeCell ref="A204:B204"/>
    <mergeCell ref="A205:B205"/>
    <mergeCell ref="A206:B206"/>
    <mergeCell ref="A207:B207"/>
    <mergeCell ref="A208:H208"/>
    <mergeCell ref="A209:B209"/>
    <mergeCell ref="A210:B210"/>
    <mergeCell ref="A193:H193"/>
    <mergeCell ref="A194:B194"/>
  </mergeCells>
  <dataValidations count="7">
    <dataValidation type="list" allowBlank="1" showInputMessage="1" showErrorMessage="1" sqref="G6:H6">
      <formula1>"Ms Tanvi, Mr. Suraj Khare,Miss Rupali, Miss Vinaya"</formula1>
    </dataValidation>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9">
      <formula1>"Deck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24" max="16383" man="1"/>
    <brk id="258" max="8" man="1"/>
    <brk id="306" max="16383" man="1"/>
    <brk id="35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5" t="s">
        <v>67</v>
      </c>
      <c r="B3" s="115"/>
      <c r="C3" s="115"/>
      <c r="D3" s="115"/>
      <c r="E3" s="115"/>
      <c r="F3" s="115"/>
      <c r="G3" s="115"/>
      <c r="H3" s="115"/>
      <c r="I3" s="115"/>
    </row>
    <row r="4" spans="1:11" s="1" customFormat="1" ht="20.25" customHeight="1" x14ac:dyDescent="0.3">
      <c r="A4" s="196">
        <v>1</v>
      </c>
      <c r="B4" s="196"/>
      <c r="C4" s="196"/>
      <c r="D4" s="197" t="s">
        <v>4</v>
      </c>
      <c r="E4" s="30" t="s">
        <v>114</v>
      </c>
      <c r="F4" s="123" t="s">
        <v>101</v>
      </c>
      <c r="G4" s="123"/>
      <c r="H4" s="30" t="s">
        <v>115</v>
      </c>
      <c r="I4" s="30" t="s">
        <v>116</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6"/>
      <c r="B5" s="196"/>
      <c r="C5" s="196"/>
      <c r="D5" s="197"/>
      <c r="E5" s="30">
        <v>3</v>
      </c>
      <c r="F5" s="123">
        <v>1</v>
      </c>
      <c r="G5" s="123"/>
      <c r="H5" s="30">
        <v>0</v>
      </c>
      <c r="I5" s="30">
        <f ca="1">--TRIM(RIGHT(SUBSTITUTE(LEFT(A4,_xlfn.AGGREGATE(16,6,FIND({0,1,2,3,4,5,6,7,8,9},A4,ROW(INDIRECT("1:"&amp;LEN(A4)))),1))," ",REPT(" ",LEN(A4))),LEN(A4)))</f>
        <v>1</v>
      </c>
      <c r="J5" s="17" t="s">
        <v>120</v>
      </c>
      <c r="K5" s="18"/>
    </row>
    <row r="6" spans="1:11" s="1" customFormat="1" ht="20.25" customHeight="1" x14ac:dyDescent="0.3">
      <c r="A6" s="124" t="s">
        <v>118</v>
      </c>
      <c r="B6" s="124"/>
      <c r="C6" s="124" t="s">
        <v>132</v>
      </c>
      <c r="D6" s="124"/>
      <c r="E6" s="28" t="s">
        <v>133</v>
      </c>
      <c r="F6" s="124" t="s">
        <v>119</v>
      </c>
      <c r="G6" s="124"/>
      <c r="H6" s="29" t="s">
        <v>117</v>
      </c>
      <c r="I6" s="29"/>
      <c r="J6" s="20" t="s">
        <v>134</v>
      </c>
      <c r="K6" s="19">
        <f ca="1">I5*25%</f>
        <v>0.25</v>
      </c>
    </row>
    <row r="7" spans="1:11" s="1" customFormat="1" ht="20.25" customHeight="1" x14ac:dyDescent="0.3">
      <c r="A7" s="122" t="s">
        <v>135</v>
      </c>
      <c r="B7" s="122"/>
      <c r="C7" s="123">
        <f ca="1">K8</f>
        <v>1</v>
      </c>
      <c r="D7" s="123"/>
      <c r="E7" s="5">
        <f ca="1">((100/I5)*C7)/100</f>
        <v>1</v>
      </c>
      <c r="F7" s="122">
        <f ca="1">(((C7/I5*5)+(C8/I5*20)+(25/(F5+H5+I5)*C9)+(5/(I5)*C10)+(2.5/(I5)*C11)+(2.5/(I5)*C12)+(5/I5*C13)+(10/I5*C14)+(2.5/I5*C15)+(2.5/I5*C16)+(10/I5*C17)+(10/I5*C18))/100)</f>
        <v>0.25</v>
      </c>
      <c r="G7" s="122"/>
      <c r="H7" s="122" t="str">
        <f ca="1">J4</f>
        <v>Excavation work Completed. Plinth work completed</v>
      </c>
      <c r="I7" s="122"/>
      <c r="J7" s="20" t="s">
        <v>121</v>
      </c>
      <c r="K7" s="24">
        <f ca="1">I5*50%</f>
        <v>0.5</v>
      </c>
    </row>
    <row r="8" spans="1:11" s="1" customFormat="1" ht="20.25" x14ac:dyDescent="0.3">
      <c r="A8" s="122" t="s">
        <v>102</v>
      </c>
      <c r="B8" s="122"/>
      <c r="C8" s="195">
        <f ca="1">K16</f>
        <v>1</v>
      </c>
      <c r="D8" s="123"/>
      <c r="E8" s="5">
        <f ca="1">((100/I5)*C8)/100</f>
        <v>1</v>
      </c>
      <c r="F8" s="122"/>
      <c r="G8" s="122"/>
      <c r="H8" s="122"/>
      <c r="I8" s="122"/>
      <c r="J8" s="20" t="s">
        <v>122</v>
      </c>
      <c r="K8" s="24">
        <f ca="1">I5</f>
        <v>1</v>
      </c>
    </row>
    <row r="9" spans="1:11" s="1" customFormat="1" ht="21" customHeight="1" x14ac:dyDescent="0.35">
      <c r="A9" s="122" t="s">
        <v>136</v>
      </c>
      <c r="B9" s="122"/>
      <c r="C9" s="123">
        <v>0</v>
      </c>
      <c r="D9" s="123"/>
      <c r="E9" s="5">
        <f ca="1">((100/(F5+H5+I5))*C9)/100</f>
        <v>0</v>
      </c>
      <c r="F9" s="122"/>
      <c r="G9" s="122"/>
      <c r="H9" s="122"/>
      <c r="I9" s="122"/>
      <c r="J9" s="20" t="s">
        <v>123</v>
      </c>
      <c r="K9" s="25">
        <f ca="1">(IF(E5&gt;1,(I5/(E5+2)),I5*0.2))</f>
        <v>0.2</v>
      </c>
    </row>
    <row r="10" spans="1:11" s="1" customFormat="1" ht="21" customHeight="1" x14ac:dyDescent="0.35">
      <c r="A10" s="122" t="s">
        <v>137</v>
      </c>
      <c r="B10" s="122"/>
      <c r="C10" s="123">
        <v>0</v>
      </c>
      <c r="D10" s="123"/>
      <c r="E10" s="5">
        <f ca="1">((100/I5)*C10)/100</f>
        <v>0</v>
      </c>
      <c r="F10" s="122"/>
      <c r="G10" s="122"/>
      <c r="H10" s="122"/>
      <c r="I10" s="122"/>
      <c r="J10" s="20" t="s">
        <v>124</v>
      </c>
      <c r="K10" s="25">
        <f ca="1">(IF(E5&gt;1,(I5/(E5+2)+K9),I5*0.2+K9))</f>
        <v>0.4</v>
      </c>
    </row>
    <row r="11" spans="1:11" s="1" customFormat="1" ht="21" customHeight="1" x14ac:dyDescent="0.35">
      <c r="A11" s="120" t="s">
        <v>138</v>
      </c>
      <c r="B11" s="121"/>
      <c r="C11" s="123">
        <v>0</v>
      </c>
      <c r="D11" s="123"/>
      <c r="E11" s="5">
        <f ca="1">((100/I5)*C11)/100</f>
        <v>0</v>
      </c>
      <c r="F11" s="122"/>
      <c r="G11" s="122"/>
      <c r="H11" s="122"/>
      <c r="I11" s="122"/>
      <c r="J11" s="20" t="s">
        <v>139</v>
      </c>
      <c r="K11" s="25">
        <f ca="1">(IF(E5&gt;1,(I5/(E5+2)+K10),0))</f>
        <v>0.60000000000000009</v>
      </c>
    </row>
    <row r="12" spans="1:11" s="1" customFormat="1" ht="21" customHeight="1" x14ac:dyDescent="0.35">
      <c r="A12" s="120" t="s">
        <v>169</v>
      </c>
      <c r="B12" s="121"/>
      <c r="C12" s="123">
        <v>0</v>
      </c>
      <c r="D12" s="123"/>
      <c r="E12" s="5">
        <f ca="1">((100/I5)*C12)/100</f>
        <v>0</v>
      </c>
      <c r="F12" s="122"/>
      <c r="G12" s="122"/>
      <c r="H12" s="122"/>
      <c r="I12" s="122"/>
      <c r="J12" s="20" t="s">
        <v>140</v>
      </c>
      <c r="K12" s="25">
        <f ca="1">(IF(E5&gt;2,(I5/(E5+2)+K11),0))</f>
        <v>0.8</v>
      </c>
    </row>
    <row r="13" spans="1:11" s="1" customFormat="1" ht="57.75" customHeight="1" x14ac:dyDescent="0.35">
      <c r="A13" s="120" t="s">
        <v>166</v>
      </c>
      <c r="B13" s="121"/>
      <c r="C13" s="123">
        <v>0</v>
      </c>
      <c r="D13" s="123"/>
      <c r="E13" s="5">
        <f ca="1">((100/(I5))*C13)/100</f>
        <v>0</v>
      </c>
      <c r="F13" s="122"/>
      <c r="G13" s="122"/>
      <c r="H13" s="122"/>
      <c r="I13" s="122"/>
      <c r="J13" s="20" t="s">
        <v>142</v>
      </c>
      <c r="K13" s="26">
        <f>(IF(E5&gt;3,(I5/(E5+2)+K12),0))</f>
        <v>0</v>
      </c>
    </row>
    <row r="14" spans="1:11" s="1" customFormat="1" ht="21" x14ac:dyDescent="0.35">
      <c r="A14" s="122" t="s">
        <v>141</v>
      </c>
      <c r="B14" s="122"/>
      <c r="C14" s="123">
        <v>0</v>
      </c>
      <c r="D14" s="123"/>
      <c r="E14" s="5">
        <f ca="1">((100/(I5))*C14)/100</f>
        <v>0</v>
      </c>
      <c r="F14" s="122"/>
      <c r="G14" s="122"/>
      <c r="H14" s="122"/>
      <c r="I14" s="122"/>
      <c r="J14" s="20" t="s">
        <v>143</v>
      </c>
      <c r="K14" s="25">
        <f>(IF(E5&gt;4,(I5/(E5+2)+K13),0))</f>
        <v>0</v>
      </c>
    </row>
    <row r="15" spans="1:11" s="1" customFormat="1" ht="21" customHeight="1" x14ac:dyDescent="0.35">
      <c r="A15" s="122" t="s">
        <v>168</v>
      </c>
      <c r="B15" s="122"/>
      <c r="C15" s="123">
        <v>0</v>
      </c>
      <c r="D15" s="123"/>
      <c r="E15" s="5">
        <f ca="1">((100/I5)*C15)/100</f>
        <v>0</v>
      </c>
      <c r="F15" s="122"/>
      <c r="G15" s="122"/>
      <c r="H15" s="122"/>
      <c r="I15" s="122"/>
      <c r="J15" s="20" t="s">
        <v>125</v>
      </c>
      <c r="K15" s="25">
        <f>(IF(E5=1,(I5/(E5+3)+K10),IF(E5=0,(I5*0.3+K10),IF(E5&gt;1,0))))</f>
        <v>0</v>
      </c>
    </row>
    <row r="16" spans="1:11" s="1" customFormat="1" ht="21.75" thickBot="1" x14ac:dyDescent="0.4">
      <c r="A16" s="122" t="s">
        <v>167</v>
      </c>
      <c r="B16" s="122"/>
      <c r="C16" s="123">
        <v>0</v>
      </c>
      <c r="D16" s="123"/>
      <c r="E16" s="5">
        <f ca="1">((100/I5)*C16)/100</f>
        <v>0</v>
      </c>
      <c r="F16" s="122"/>
      <c r="G16" s="122"/>
      <c r="H16" s="122"/>
      <c r="I16" s="122"/>
      <c r="J16" s="22" t="s">
        <v>126</v>
      </c>
      <c r="K16" s="27">
        <f ca="1">(IF(E5&gt;1.5,(I5/(E5+2)+K10+MAX(0,K11-K10)+MAX(0,K12-K11)+MAX(0,K13-K12)+MAX(0,K14-K13)+MAX(0,K15-K14)),IF(E5=1,(I5/(E5+3)+K15),IF(E5=0,I5*0.3+K15))))</f>
        <v>1</v>
      </c>
    </row>
    <row r="17" spans="1:9" s="1" customFormat="1" ht="20.25" x14ac:dyDescent="0.25">
      <c r="A17" s="122" t="s">
        <v>144</v>
      </c>
      <c r="B17" s="122"/>
      <c r="C17" s="123">
        <v>0</v>
      </c>
      <c r="D17" s="123"/>
      <c r="E17" s="5">
        <f ca="1">((100/(I5))*C17)/100</f>
        <v>0</v>
      </c>
      <c r="F17" s="122"/>
      <c r="G17" s="122"/>
      <c r="H17" s="122"/>
      <c r="I17" s="122"/>
    </row>
    <row r="18" spans="1:9" s="1" customFormat="1" ht="20.25" x14ac:dyDescent="0.25">
      <c r="A18" s="122" t="s">
        <v>145</v>
      </c>
      <c r="B18" s="122"/>
      <c r="C18" s="123">
        <v>0</v>
      </c>
      <c r="D18" s="123"/>
      <c r="E18" s="5">
        <f ca="1">((100/(I5))*C18)/100</f>
        <v>0</v>
      </c>
      <c r="F18" s="122"/>
      <c r="G18" s="122"/>
      <c r="H18" s="122"/>
      <c r="I18" s="122"/>
    </row>
    <row r="23" spans="1:9" x14ac:dyDescent="0.25">
      <c r="B23" s="194" t="s">
        <v>170</v>
      </c>
      <c r="C23" s="194"/>
      <c r="D23" s="194"/>
      <c r="E23" s="194"/>
      <c r="F23" s="194"/>
      <c r="G23" s="194"/>
    </row>
    <row r="24" spans="1:9" ht="14.45" customHeight="1" x14ac:dyDescent="0.25">
      <c r="B24" s="189" t="s">
        <v>171</v>
      </c>
      <c r="C24" s="189" t="s">
        <v>172</v>
      </c>
      <c r="D24" s="192" t="s">
        <v>173</v>
      </c>
      <c r="E24" s="193" t="s">
        <v>174</v>
      </c>
      <c r="F24" s="190" t="s">
        <v>175</v>
      </c>
      <c r="G24" s="189" t="s">
        <v>176</v>
      </c>
    </row>
    <row r="25" spans="1:9" x14ac:dyDescent="0.25">
      <c r="B25" s="189"/>
      <c r="C25" s="189"/>
      <c r="D25" s="192"/>
      <c r="E25" s="193"/>
      <c r="F25" s="190"/>
      <c r="G25" s="189"/>
    </row>
    <row r="26" spans="1:9" x14ac:dyDescent="0.25">
      <c r="B26" s="37" t="s">
        <v>177</v>
      </c>
      <c r="C26" s="38">
        <v>10</v>
      </c>
      <c r="D26" s="38">
        <v>1</v>
      </c>
      <c r="E26" s="39"/>
      <c r="F26" s="40">
        <f>((E26/D26)*0.05)*100</f>
        <v>0</v>
      </c>
      <c r="G26" s="40">
        <f t="shared" ref="G26:G37" si="0">((E26/D26)*(C26/100))*100</f>
        <v>0</v>
      </c>
    </row>
    <row r="27" spans="1:9" x14ac:dyDescent="0.25">
      <c r="B27" s="37" t="s">
        <v>178</v>
      </c>
      <c r="C27" s="39">
        <v>10</v>
      </c>
      <c r="D27" s="39">
        <v>1</v>
      </c>
      <c r="E27" s="39"/>
      <c r="F27" s="40">
        <f>((E27/D27)*0.05)*100</f>
        <v>0</v>
      </c>
      <c r="G27" s="40">
        <f t="shared" si="0"/>
        <v>0</v>
      </c>
    </row>
    <row r="28" spans="1:9" x14ac:dyDescent="0.25">
      <c r="B28" s="37" t="s">
        <v>179</v>
      </c>
      <c r="C28" s="39">
        <v>15</v>
      </c>
      <c r="D28" s="39">
        <v>1</v>
      </c>
      <c r="E28" s="39"/>
      <c r="F28" s="40">
        <f>((E28/D28)*0.15)*100</f>
        <v>0</v>
      </c>
      <c r="G28" s="40">
        <f t="shared" si="0"/>
        <v>0</v>
      </c>
    </row>
    <row r="29" spans="1:9" x14ac:dyDescent="0.25">
      <c r="B29" s="41" t="s">
        <v>180</v>
      </c>
      <c r="C29" s="39">
        <v>25</v>
      </c>
      <c r="D29" s="39">
        <v>40</v>
      </c>
      <c r="E29" s="39"/>
      <c r="F29" s="40">
        <f>((E29/D29)*0.25)*100</f>
        <v>0</v>
      </c>
      <c r="G29" s="40">
        <f t="shared" si="0"/>
        <v>0</v>
      </c>
    </row>
    <row r="30" spans="1:9" x14ac:dyDescent="0.25">
      <c r="B30" s="41" t="s">
        <v>181</v>
      </c>
      <c r="C30" s="39">
        <v>5</v>
      </c>
      <c r="D30" s="39">
        <v>39</v>
      </c>
      <c r="E30" s="39"/>
      <c r="F30" s="40">
        <f>((E30/D30)*0.05)*100</f>
        <v>0</v>
      </c>
      <c r="G30" s="40">
        <f t="shared" si="0"/>
        <v>0</v>
      </c>
    </row>
    <row r="31" spans="1:9" ht="30" x14ac:dyDescent="0.25">
      <c r="B31" s="41" t="s">
        <v>182</v>
      </c>
      <c r="C31" s="39">
        <v>2.5</v>
      </c>
      <c r="D31" s="39">
        <v>39</v>
      </c>
      <c r="E31" s="39"/>
      <c r="F31" s="40">
        <f>((E31/D31)*0.025)*100</f>
        <v>0</v>
      </c>
      <c r="G31" s="40">
        <f t="shared" si="0"/>
        <v>0</v>
      </c>
    </row>
    <row r="32" spans="1:9" ht="30" x14ac:dyDescent="0.25">
      <c r="B32" s="41" t="s">
        <v>183</v>
      </c>
      <c r="C32" s="39">
        <v>2.5</v>
      </c>
      <c r="D32" s="39">
        <v>39</v>
      </c>
      <c r="E32" s="39"/>
      <c r="F32" s="40">
        <f>((E32/D32)*0.025)*100</f>
        <v>0</v>
      </c>
      <c r="G32" s="40">
        <f t="shared" si="0"/>
        <v>0</v>
      </c>
    </row>
    <row r="33" spans="1:7" ht="45" x14ac:dyDescent="0.25">
      <c r="B33" s="42" t="s">
        <v>184</v>
      </c>
      <c r="C33" s="39">
        <v>5</v>
      </c>
      <c r="D33" s="39">
        <v>39</v>
      </c>
      <c r="E33" s="39"/>
      <c r="F33" s="40">
        <f>((E33/D33)*0.05)*100</f>
        <v>0</v>
      </c>
      <c r="G33" s="40">
        <f t="shared" si="0"/>
        <v>0</v>
      </c>
    </row>
    <row r="34" spans="1:7" ht="30" x14ac:dyDescent="0.25">
      <c r="B34" s="42" t="s">
        <v>185</v>
      </c>
      <c r="C34" s="39">
        <v>5</v>
      </c>
      <c r="D34" s="39">
        <v>39</v>
      </c>
      <c r="E34" s="39"/>
      <c r="F34" s="40">
        <f>((E34/D34)*0.1)*100</f>
        <v>0</v>
      </c>
      <c r="G34" s="40">
        <f t="shared" si="0"/>
        <v>0</v>
      </c>
    </row>
    <row r="35" spans="1:7" ht="30" x14ac:dyDescent="0.25">
      <c r="B35" s="42" t="s">
        <v>186</v>
      </c>
      <c r="C35" s="39">
        <v>5</v>
      </c>
      <c r="D35" s="39">
        <v>39</v>
      </c>
      <c r="E35" s="39"/>
      <c r="F35" s="40">
        <f>((E35/D35)*0.05)*100</f>
        <v>0</v>
      </c>
      <c r="G35" s="40">
        <f t="shared" si="0"/>
        <v>0</v>
      </c>
    </row>
    <row r="36" spans="1:7" ht="60" x14ac:dyDescent="0.25">
      <c r="B36" s="42" t="s">
        <v>187</v>
      </c>
      <c r="C36" s="39">
        <v>10</v>
      </c>
      <c r="D36" s="39">
        <v>39</v>
      </c>
      <c r="E36" s="39"/>
      <c r="F36" s="40">
        <f>((E36/D36)*0.1)*100</f>
        <v>0</v>
      </c>
      <c r="G36" s="40">
        <f t="shared" si="0"/>
        <v>0</v>
      </c>
    </row>
    <row r="37" spans="1:7" ht="45" x14ac:dyDescent="0.25">
      <c r="B37" s="42" t="s">
        <v>188</v>
      </c>
      <c r="C37" s="39">
        <v>5</v>
      </c>
      <c r="D37" s="39">
        <v>39</v>
      </c>
      <c r="E37" s="39"/>
      <c r="F37" s="40">
        <f>((E37/D37)*0.1)*100</f>
        <v>0</v>
      </c>
      <c r="G37" s="40">
        <f t="shared" si="0"/>
        <v>0</v>
      </c>
    </row>
    <row r="38" spans="1:7" ht="15.75" x14ac:dyDescent="0.25">
      <c r="B38" s="43" t="s">
        <v>189</v>
      </c>
      <c r="C38" s="44">
        <f>SUM(C26:C37)</f>
        <v>100</v>
      </c>
      <c r="D38" s="43"/>
      <c r="E38" s="43"/>
      <c r="F38" s="44">
        <f>SUM(F26:F37)</f>
        <v>0</v>
      </c>
      <c r="G38" s="44">
        <f>SUM(G26:G37)</f>
        <v>0</v>
      </c>
    </row>
    <row r="39" spans="1:7" x14ac:dyDescent="0.25">
      <c r="B39" s="190" t="s">
        <v>190</v>
      </c>
      <c r="C39" s="190"/>
      <c r="D39" s="190"/>
      <c r="E39" s="190"/>
      <c r="F39" s="190"/>
      <c r="G39" s="190"/>
    </row>
    <row r="40" spans="1:7" x14ac:dyDescent="0.25">
      <c r="B40" s="191" t="s">
        <v>191</v>
      </c>
      <c r="C40" s="191"/>
      <c r="D40" s="191"/>
      <c r="E40" s="191" t="s">
        <v>192</v>
      </c>
      <c r="F40" s="191"/>
      <c r="G40" s="191"/>
    </row>
    <row r="41" spans="1:7" x14ac:dyDescent="0.25">
      <c r="B41" s="187" t="s">
        <v>193</v>
      </c>
      <c r="C41" s="187"/>
      <c r="D41" s="187"/>
      <c r="E41" s="187" t="s">
        <v>194</v>
      </c>
      <c r="F41" s="187"/>
      <c r="G41" s="187"/>
    </row>
    <row r="42" spans="1:7" x14ac:dyDescent="0.25">
      <c r="B42" s="187" t="s">
        <v>195</v>
      </c>
      <c r="C42" s="187"/>
      <c r="D42" s="187"/>
      <c r="E42" s="187" t="s">
        <v>196</v>
      </c>
      <c r="F42" s="187"/>
      <c r="G42" s="187"/>
    </row>
    <row r="43" spans="1:7" x14ac:dyDescent="0.25">
      <c r="B43" s="188" t="s">
        <v>197</v>
      </c>
      <c r="C43" s="188"/>
      <c r="D43" s="188"/>
      <c r="E43" s="188" t="s">
        <v>198</v>
      </c>
      <c r="F43" s="188"/>
      <c r="G43" s="188"/>
    </row>
    <row r="45" spans="1:7" ht="15.75" thickBot="1" x14ac:dyDescent="0.3"/>
    <row r="46" spans="1:7" ht="17.25" thickTop="1" thickBot="1" x14ac:dyDescent="0.3">
      <c r="A46" s="45" t="s">
        <v>199</v>
      </c>
      <c r="B46" s="45" t="s">
        <v>171</v>
      </c>
      <c r="C46" s="46" t="s">
        <v>200</v>
      </c>
      <c r="D46" s="46" t="s">
        <v>201</v>
      </c>
      <c r="E46" s="46" t="s">
        <v>202</v>
      </c>
    </row>
    <row r="47" spans="1:7" ht="31.5" thickTop="1" thickBot="1" x14ac:dyDescent="0.3">
      <c r="A47" s="47">
        <v>1</v>
      </c>
      <c r="B47" s="48" t="s">
        <v>203</v>
      </c>
      <c r="C47" s="49">
        <v>0</v>
      </c>
      <c r="D47" s="50">
        <v>0.1</v>
      </c>
      <c r="E47" s="49">
        <v>0.1</v>
      </c>
    </row>
    <row r="48" spans="1:7" ht="31.5" thickTop="1" thickBot="1" x14ac:dyDescent="0.3">
      <c r="A48" s="47">
        <v>2</v>
      </c>
      <c r="B48" s="48" t="s">
        <v>204</v>
      </c>
      <c r="C48" s="49" t="s">
        <v>205</v>
      </c>
      <c r="D48" s="50" t="s">
        <v>206</v>
      </c>
      <c r="E48" s="49">
        <v>0.3</v>
      </c>
    </row>
    <row r="49" spans="1:5" ht="61.5" thickTop="1" thickBot="1" x14ac:dyDescent="0.3">
      <c r="A49" s="47">
        <v>3</v>
      </c>
      <c r="B49" s="48" t="s">
        <v>207</v>
      </c>
      <c r="C49" s="49" t="s">
        <v>208</v>
      </c>
      <c r="D49" s="50" t="s">
        <v>209</v>
      </c>
      <c r="E49" s="49">
        <v>0.45</v>
      </c>
    </row>
    <row r="50" spans="1:5" ht="76.5" thickTop="1" thickBot="1" x14ac:dyDescent="0.3">
      <c r="A50" s="47">
        <v>4</v>
      </c>
      <c r="B50" s="48" t="s">
        <v>210</v>
      </c>
      <c r="C50" s="49" t="s">
        <v>211</v>
      </c>
      <c r="D50" s="50" t="s">
        <v>212</v>
      </c>
      <c r="E50" s="49">
        <v>0.7</v>
      </c>
    </row>
    <row r="51" spans="1:5" ht="76.5" thickTop="1" thickBot="1" x14ac:dyDescent="0.3">
      <c r="A51" s="47">
        <v>5</v>
      </c>
      <c r="B51" s="48" t="s">
        <v>213</v>
      </c>
      <c r="C51" s="49" t="s">
        <v>214</v>
      </c>
      <c r="D51" s="50" t="s">
        <v>215</v>
      </c>
      <c r="E51" s="49">
        <v>0.75</v>
      </c>
    </row>
    <row r="52" spans="1:5" ht="76.5" thickTop="1" thickBot="1" x14ac:dyDescent="0.3">
      <c r="A52" s="47">
        <v>6</v>
      </c>
      <c r="B52" s="48" t="s">
        <v>216</v>
      </c>
      <c r="C52" s="49" t="s">
        <v>217</v>
      </c>
      <c r="D52" s="50" t="s">
        <v>218</v>
      </c>
      <c r="E52" s="49">
        <v>0.8</v>
      </c>
    </row>
    <row r="53" spans="1:5" ht="121.5" thickTop="1" thickBot="1" x14ac:dyDescent="0.3">
      <c r="A53" s="47">
        <v>7</v>
      </c>
      <c r="B53" s="48" t="s">
        <v>219</v>
      </c>
      <c r="C53" s="49" t="s">
        <v>220</v>
      </c>
      <c r="D53" s="50" t="s">
        <v>221</v>
      </c>
      <c r="E53" s="49">
        <v>0.85</v>
      </c>
    </row>
    <row r="54" spans="1:5" ht="211.5" thickTop="1" thickBot="1" x14ac:dyDescent="0.3">
      <c r="A54" s="47">
        <v>8</v>
      </c>
      <c r="B54" s="48" t="s">
        <v>222</v>
      </c>
      <c r="C54" s="49" t="s">
        <v>223</v>
      </c>
      <c r="D54" s="50" t="s">
        <v>224</v>
      </c>
      <c r="E54" s="49">
        <v>0.95</v>
      </c>
    </row>
    <row r="55" spans="1:5" ht="91.5" thickTop="1" thickBot="1" x14ac:dyDescent="0.3">
      <c r="A55" s="47">
        <v>9</v>
      </c>
      <c r="B55" s="48" t="s">
        <v>225</v>
      </c>
      <c r="C55" s="49" t="s">
        <v>226</v>
      </c>
      <c r="D55" s="50" t="s">
        <v>227</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7" t="s">
        <v>247</v>
      </c>
    </row>
    <row r="3" spans="2:3" x14ac:dyDescent="0.25">
      <c r="B3" s="39">
        <v>2</v>
      </c>
      <c r="C3" s="58" t="s">
        <v>248</v>
      </c>
    </row>
    <row r="4" spans="2:3" x14ac:dyDescent="0.25">
      <c r="B4" s="39">
        <v>3</v>
      </c>
      <c r="C4" s="39" t="s">
        <v>249</v>
      </c>
    </row>
    <row r="5" spans="2:3" x14ac:dyDescent="0.25">
      <c r="B5" s="39">
        <v>4</v>
      </c>
      <c r="C5" s="58" t="s">
        <v>250</v>
      </c>
    </row>
    <row r="6" spans="2:3" x14ac:dyDescent="0.25">
      <c r="B6" s="39">
        <v>5</v>
      </c>
      <c r="C6" s="39" t="s">
        <v>251</v>
      </c>
    </row>
    <row r="7" spans="2:3" ht="30" x14ac:dyDescent="0.25">
      <c r="B7" s="39">
        <v>6</v>
      </c>
      <c r="C7" s="58" t="s">
        <v>252</v>
      </c>
    </row>
    <row r="8" spans="2:3" ht="75" x14ac:dyDescent="0.25">
      <c r="B8" s="39">
        <v>7</v>
      </c>
      <c r="C8" s="58" t="s">
        <v>253</v>
      </c>
    </row>
    <row r="9" spans="2:3" x14ac:dyDescent="0.25">
      <c r="B9" s="39">
        <v>8</v>
      </c>
      <c r="C9" s="39" t="s">
        <v>254</v>
      </c>
    </row>
    <row r="10" spans="2:3" x14ac:dyDescent="0.25">
      <c r="B10" s="39">
        <v>9</v>
      </c>
      <c r="C10" s="39" t="s">
        <v>255</v>
      </c>
    </row>
    <row r="11" spans="2:3" x14ac:dyDescent="0.25">
      <c r="B11" s="39">
        <v>10</v>
      </c>
      <c r="C11" s="39" t="s">
        <v>256</v>
      </c>
    </row>
    <row r="12" spans="2:3" x14ac:dyDescent="0.25">
      <c r="B12" s="39">
        <v>11</v>
      </c>
      <c r="C12" s="39" t="s">
        <v>257</v>
      </c>
    </row>
    <row r="13" spans="2:3" x14ac:dyDescent="0.25">
      <c r="B13" s="39">
        <v>12</v>
      </c>
      <c r="C13" s="39" t="s">
        <v>258</v>
      </c>
    </row>
    <row r="14" spans="2:3" x14ac:dyDescent="0.25">
      <c r="B14" s="39">
        <v>13</v>
      </c>
      <c r="C14" s="39" t="s">
        <v>259</v>
      </c>
    </row>
    <row r="15" spans="2:3" x14ac:dyDescent="0.25">
      <c r="B15" s="39">
        <v>14</v>
      </c>
      <c r="C15" s="39" t="s">
        <v>249</v>
      </c>
    </row>
    <row r="16" spans="2:3" x14ac:dyDescent="0.25">
      <c r="B16" s="39">
        <v>15</v>
      </c>
      <c r="C16" s="39" t="s">
        <v>239</v>
      </c>
    </row>
    <row r="17" spans="2:3" x14ac:dyDescent="0.25">
      <c r="B17" s="59">
        <v>16</v>
      </c>
      <c r="C17" s="60" t="s">
        <v>260</v>
      </c>
    </row>
    <row r="18" spans="2:3" x14ac:dyDescent="0.25">
      <c r="B18" s="61">
        <v>17</v>
      </c>
      <c r="C18" s="60" t="s">
        <v>261</v>
      </c>
    </row>
    <row r="19" spans="2:3" x14ac:dyDescent="0.25">
      <c r="B19" s="62">
        <v>18</v>
      </c>
      <c r="C19" s="39" t="s">
        <v>262</v>
      </c>
    </row>
    <row r="20" spans="2:3" x14ac:dyDescent="0.25">
      <c r="B20" s="61">
        <v>19</v>
      </c>
      <c r="C20" s="39" t="s">
        <v>263</v>
      </c>
    </row>
    <row r="21" spans="2:3" x14ac:dyDescent="0.25">
      <c r="B21" s="39">
        <v>20</v>
      </c>
      <c r="C21" s="39" t="s">
        <v>264</v>
      </c>
    </row>
    <row r="22" spans="2:3" x14ac:dyDescent="0.25">
      <c r="B22" s="61">
        <v>21</v>
      </c>
      <c r="C22" s="39" t="s">
        <v>262</v>
      </c>
    </row>
    <row r="23" spans="2:3" s="64" customFormat="1" ht="30" x14ac:dyDescent="0.25">
      <c r="B23" s="63">
        <v>22</v>
      </c>
      <c r="C23" s="57" t="s">
        <v>265</v>
      </c>
    </row>
    <row r="24" spans="2:3" s="64" customFormat="1" ht="30" x14ac:dyDescent="0.25">
      <c r="B24" s="65">
        <v>23</v>
      </c>
      <c r="C24" s="57" t="s">
        <v>266</v>
      </c>
    </row>
    <row r="25" spans="2:3" x14ac:dyDescent="0.25">
      <c r="B25" s="39">
        <v>24</v>
      </c>
      <c r="C25" s="39" t="s">
        <v>267</v>
      </c>
    </row>
    <row r="26" spans="2:3" x14ac:dyDescent="0.25">
      <c r="B26" s="61">
        <v>25</v>
      </c>
      <c r="C26" s="39" t="s">
        <v>268</v>
      </c>
    </row>
    <row r="27" spans="2:3" x14ac:dyDescent="0.25">
      <c r="B27" s="65">
        <v>26</v>
      </c>
      <c r="C27" s="39" t="s">
        <v>269</v>
      </c>
    </row>
    <row r="28" spans="2:3" x14ac:dyDescent="0.25">
      <c r="B28" s="61">
        <v>27</v>
      </c>
      <c r="C28" s="39" t="s">
        <v>270</v>
      </c>
    </row>
    <row r="29" spans="2:3" ht="60" x14ac:dyDescent="0.25">
      <c r="B29" s="66">
        <v>28</v>
      </c>
      <c r="C29" s="58" t="s">
        <v>271</v>
      </c>
    </row>
    <row r="30" spans="2:3" x14ac:dyDescent="0.25">
      <c r="B30" s="65">
        <v>29</v>
      </c>
      <c r="C30" s="39" t="s">
        <v>272</v>
      </c>
    </row>
    <row r="31" spans="2:3" ht="30" x14ac:dyDescent="0.25">
      <c r="B31" s="65">
        <v>30</v>
      </c>
      <c r="C31" s="58" t="s">
        <v>300</v>
      </c>
    </row>
    <row r="32" spans="2:3" x14ac:dyDescent="0.25">
      <c r="B32" s="65">
        <v>31</v>
      </c>
      <c r="C32" s="39" t="s">
        <v>301</v>
      </c>
    </row>
    <row r="33" spans="2:3" x14ac:dyDescent="0.25">
      <c r="B33" s="65">
        <v>32</v>
      </c>
      <c r="C33" s="39" t="s">
        <v>302</v>
      </c>
    </row>
    <row r="34" spans="2:3" ht="30" x14ac:dyDescent="0.25">
      <c r="B34" s="65">
        <v>33</v>
      </c>
      <c r="C34" s="60" t="s">
        <v>303</v>
      </c>
    </row>
    <row r="35" spans="2:3" x14ac:dyDescent="0.25">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7"/>
    <col min="2" max="2" width="12.28515625" style="67" customWidth="1"/>
    <col min="3" max="16384" width="9.140625" style="67"/>
  </cols>
  <sheetData>
    <row r="2" spans="1:12" x14ac:dyDescent="0.25">
      <c r="B2" s="68" t="s">
        <v>273</v>
      </c>
      <c r="C2" s="198"/>
      <c r="D2" s="198"/>
    </row>
    <row r="3" spans="1:12" x14ac:dyDescent="0.25">
      <c r="D3" s="69"/>
      <c r="E3" s="69"/>
      <c r="F3" s="69"/>
      <c r="G3" s="69"/>
      <c r="H3" s="69"/>
      <c r="I3" s="69"/>
    </row>
    <row r="4" spans="1:12" x14ac:dyDescent="0.25">
      <c r="A4" s="68" t="s">
        <v>274</v>
      </c>
      <c r="B4" s="56" t="s">
        <v>275</v>
      </c>
      <c r="C4" s="199" t="s">
        <v>276</v>
      </c>
      <c r="D4" s="199"/>
      <c r="E4" s="199"/>
      <c r="F4" s="56"/>
      <c r="G4" s="200" t="s">
        <v>277</v>
      </c>
      <c r="H4" s="200"/>
      <c r="I4" s="200"/>
      <c r="J4" s="201" t="s">
        <v>278</v>
      </c>
      <c r="K4" s="201"/>
      <c r="L4" s="201"/>
    </row>
    <row r="5" spans="1:12" x14ac:dyDescent="0.25">
      <c r="A5" s="68"/>
      <c r="B5" s="56"/>
      <c r="C5" s="56" t="s">
        <v>279</v>
      </c>
      <c r="D5" s="56" t="s">
        <v>280</v>
      </c>
      <c r="E5" s="56" t="s">
        <v>281</v>
      </c>
      <c r="F5" s="56"/>
      <c r="G5" s="56" t="s">
        <v>279</v>
      </c>
      <c r="H5" s="56" t="s">
        <v>280</v>
      </c>
      <c r="I5" s="56" t="s">
        <v>281</v>
      </c>
      <c r="J5" s="56" t="s">
        <v>279</v>
      </c>
      <c r="K5" s="56" t="s">
        <v>280</v>
      </c>
      <c r="L5" s="56" t="s">
        <v>281</v>
      </c>
    </row>
    <row r="6" spans="1:12" x14ac:dyDescent="0.25">
      <c r="B6" s="55" t="s">
        <v>282</v>
      </c>
      <c r="C6" s="55"/>
      <c r="D6" s="55"/>
      <c r="E6" s="55">
        <f>C6*D6</f>
        <v>0</v>
      </c>
      <c r="F6" s="55" t="s">
        <v>283</v>
      </c>
      <c r="G6" s="55"/>
      <c r="H6" s="55"/>
      <c r="I6" s="55">
        <f>G6*H6</f>
        <v>0</v>
      </c>
      <c r="J6" s="55"/>
      <c r="K6" s="55"/>
      <c r="L6" s="55">
        <f>J6*K6</f>
        <v>0</v>
      </c>
    </row>
    <row r="7" spans="1:12" x14ac:dyDescent="0.25">
      <c r="B7" s="55"/>
      <c r="C7" s="55"/>
      <c r="D7" s="55"/>
      <c r="E7" s="55">
        <f t="shared" ref="E7:E41" si="0">C7*D7</f>
        <v>0</v>
      </c>
      <c r="F7" s="55" t="s">
        <v>283</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284</v>
      </c>
      <c r="G9" s="55"/>
      <c r="H9" s="55"/>
      <c r="I9" s="55">
        <f t="shared" si="1"/>
        <v>0</v>
      </c>
      <c r="J9" s="55"/>
      <c r="K9" s="55"/>
      <c r="L9" s="55">
        <f t="shared" si="2"/>
        <v>0</v>
      </c>
    </row>
    <row r="10" spans="1:12" x14ac:dyDescent="0.25">
      <c r="B10" s="55" t="s">
        <v>285</v>
      </c>
      <c r="C10" s="55"/>
      <c r="D10" s="55"/>
      <c r="E10" s="55">
        <f t="shared" si="0"/>
        <v>0</v>
      </c>
      <c r="F10" s="55" t="s">
        <v>284</v>
      </c>
      <c r="G10" s="55"/>
      <c r="H10" s="55"/>
      <c r="I10" s="55">
        <f t="shared" si="1"/>
        <v>0</v>
      </c>
      <c r="J10" s="55"/>
      <c r="K10" s="55"/>
      <c r="L10" s="55">
        <f t="shared" si="2"/>
        <v>0</v>
      </c>
    </row>
    <row r="11" spans="1:12" x14ac:dyDescent="0.25">
      <c r="B11" s="55"/>
      <c r="C11" s="55"/>
      <c r="D11" s="55"/>
      <c r="E11" s="55">
        <f t="shared" si="0"/>
        <v>0</v>
      </c>
      <c r="F11" s="55" t="s">
        <v>286</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287</v>
      </c>
      <c r="C14" s="55"/>
      <c r="D14" s="55"/>
      <c r="E14" s="55">
        <f t="shared" si="0"/>
        <v>0</v>
      </c>
      <c r="F14" s="55" t="s">
        <v>284</v>
      </c>
      <c r="G14" s="55"/>
      <c r="H14" s="55"/>
      <c r="I14" s="55">
        <f t="shared" si="1"/>
        <v>0</v>
      </c>
      <c r="J14" s="55"/>
      <c r="K14" s="55"/>
      <c r="L14" s="55">
        <f t="shared" si="2"/>
        <v>0</v>
      </c>
    </row>
    <row r="15" spans="1:12" x14ac:dyDescent="0.25">
      <c r="B15" s="55"/>
      <c r="C15" s="55"/>
      <c r="D15" s="55"/>
      <c r="E15" s="55">
        <f t="shared" si="0"/>
        <v>0</v>
      </c>
      <c r="F15" s="55" t="s">
        <v>286</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288</v>
      </c>
      <c r="C18" s="55"/>
      <c r="D18" s="55"/>
      <c r="E18" s="55">
        <f t="shared" si="0"/>
        <v>0</v>
      </c>
      <c r="F18" s="55" t="s">
        <v>284</v>
      </c>
      <c r="G18" s="55"/>
      <c r="H18" s="55"/>
      <c r="I18" s="55">
        <f t="shared" si="1"/>
        <v>0</v>
      </c>
      <c r="J18" s="55"/>
      <c r="K18" s="55"/>
      <c r="L18" s="55">
        <f t="shared" si="2"/>
        <v>0</v>
      </c>
    </row>
    <row r="19" spans="2:12" x14ac:dyDescent="0.25">
      <c r="B19" s="55"/>
      <c r="C19" s="55"/>
      <c r="D19" s="55"/>
      <c r="E19" s="55">
        <f t="shared" si="0"/>
        <v>0</v>
      </c>
      <c r="F19" s="55" t="s">
        <v>286</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289</v>
      </c>
      <c r="C21" s="55"/>
      <c r="D21" s="55"/>
      <c r="E21" s="55">
        <f t="shared" si="0"/>
        <v>0</v>
      </c>
      <c r="F21" s="55" t="s">
        <v>284</v>
      </c>
      <c r="G21" s="55"/>
      <c r="H21" s="55"/>
      <c r="I21" s="55">
        <f t="shared" si="1"/>
        <v>0</v>
      </c>
      <c r="J21" s="55"/>
      <c r="K21" s="55"/>
      <c r="L21" s="55">
        <f t="shared" si="2"/>
        <v>0</v>
      </c>
    </row>
    <row r="22" spans="2:12" x14ac:dyDescent="0.25">
      <c r="B22" s="55"/>
      <c r="C22" s="55"/>
      <c r="D22" s="55"/>
      <c r="E22" s="55">
        <f t="shared" si="0"/>
        <v>0</v>
      </c>
      <c r="F22" s="55" t="s">
        <v>286</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290</v>
      </c>
      <c r="C24" s="55"/>
      <c r="D24" s="55"/>
      <c r="E24" s="55">
        <f t="shared" si="0"/>
        <v>0</v>
      </c>
      <c r="F24" s="55" t="s">
        <v>291</v>
      </c>
      <c r="G24" s="55"/>
      <c r="H24" s="55"/>
      <c r="I24" s="55">
        <f t="shared" si="1"/>
        <v>0</v>
      </c>
      <c r="J24" s="55"/>
      <c r="K24" s="55"/>
      <c r="L24" s="55">
        <f t="shared" si="2"/>
        <v>0</v>
      </c>
    </row>
    <row r="25" spans="2:12" x14ac:dyDescent="0.25">
      <c r="B25" s="55"/>
      <c r="C25" s="55"/>
      <c r="D25" s="55"/>
      <c r="E25" s="55">
        <f t="shared" si="0"/>
        <v>0</v>
      </c>
      <c r="F25" s="55" t="s">
        <v>291</v>
      </c>
      <c r="G25" s="55"/>
      <c r="H25" s="55"/>
      <c r="I25" s="55">
        <f t="shared" si="1"/>
        <v>0</v>
      </c>
      <c r="J25" s="55"/>
      <c r="K25" s="55"/>
      <c r="L25" s="55">
        <f t="shared" si="2"/>
        <v>0</v>
      </c>
    </row>
    <row r="26" spans="2:12" x14ac:dyDescent="0.25">
      <c r="B26" s="55"/>
      <c r="C26" s="55"/>
      <c r="D26" s="55"/>
      <c r="E26" s="55">
        <f t="shared" si="0"/>
        <v>0</v>
      </c>
      <c r="F26" s="55" t="s">
        <v>291</v>
      </c>
      <c r="G26" s="55"/>
      <c r="H26" s="55"/>
      <c r="I26" s="55">
        <f t="shared" si="1"/>
        <v>0</v>
      </c>
      <c r="J26" s="55"/>
      <c r="K26" s="55"/>
      <c r="L26" s="55">
        <f t="shared" si="2"/>
        <v>0</v>
      </c>
    </row>
    <row r="27" spans="2:12" x14ac:dyDescent="0.25">
      <c r="B27" s="55"/>
      <c r="C27" s="55"/>
      <c r="D27" s="55"/>
      <c r="E27" s="55">
        <f t="shared" si="0"/>
        <v>0</v>
      </c>
      <c r="F27" s="55" t="s">
        <v>291</v>
      </c>
      <c r="G27" s="55"/>
      <c r="H27" s="55"/>
      <c r="I27" s="55">
        <f t="shared" si="1"/>
        <v>0</v>
      </c>
      <c r="J27" s="55"/>
      <c r="K27" s="55"/>
      <c r="L27" s="55">
        <f t="shared" si="2"/>
        <v>0</v>
      </c>
    </row>
    <row r="28" spans="2:12" x14ac:dyDescent="0.25">
      <c r="B28" s="55" t="s">
        <v>292</v>
      </c>
      <c r="C28" s="55"/>
      <c r="D28" s="55"/>
      <c r="E28" s="55">
        <f t="shared" si="0"/>
        <v>0</v>
      </c>
      <c r="F28" s="55" t="s">
        <v>291</v>
      </c>
      <c r="G28" s="55"/>
      <c r="H28" s="55"/>
      <c r="I28" s="55">
        <f t="shared" si="1"/>
        <v>0</v>
      </c>
      <c r="J28" s="55"/>
      <c r="K28" s="55"/>
      <c r="L28" s="55">
        <f t="shared" si="2"/>
        <v>0</v>
      </c>
    </row>
    <row r="29" spans="2:12" x14ac:dyDescent="0.25">
      <c r="B29" s="55" t="s">
        <v>293</v>
      </c>
      <c r="C29" s="55"/>
      <c r="D29" s="55"/>
      <c r="E29" s="55">
        <f t="shared" si="0"/>
        <v>0</v>
      </c>
      <c r="F29" s="55" t="s">
        <v>291</v>
      </c>
      <c r="G29" s="55"/>
      <c r="H29" s="55"/>
      <c r="I29" s="55">
        <f t="shared" si="1"/>
        <v>0</v>
      </c>
      <c r="J29" s="55"/>
      <c r="K29" s="55"/>
      <c r="L29" s="55">
        <f t="shared" si="2"/>
        <v>0</v>
      </c>
    </row>
    <row r="30" spans="2:12" x14ac:dyDescent="0.25">
      <c r="B30" s="55" t="s">
        <v>294</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295</v>
      </c>
      <c r="C33" s="55"/>
      <c r="D33" s="55"/>
      <c r="E33" s="55">
        <f t="shared" si="0"/>
        <v>0</v>
      </c>
      <c r="F33" s="55"/>
      <c r="G33" s="55"/>
      <c r="H33" s="55"/>
      <c r="I33" s="55">
        <f t="shared" si="1"/>
        <v>0</v>
      </c>
      <c r="J33" s="55"/>
      <c r="K33" s="55"/>
      <c r="L33" s="55">
        <f t="shared" si="2"/>
        <v>0</v>
      </c>
    </row>
    <row r="34" spans="2:12" x14ac:dyDescent="0.25">
      <c r="B34" s="55" t="s">
        <v>296</v>
      </c>
      <c r="C34" s="55"/>
      <c r="D34" s="55"/>
      <c r="E34" s="55">
        <f t="shared" si="0"/>
        <v>0</v>
      </c>
      <c r="F34" s="55"/>
      <c r="G34" s="55"/>
      <c r="H34" s="55"/>
      <c r="I34" s="55">
        <f t="shared" si="1"/>
        <v>0</v>
      </c>
      <c r="J34" s="55"/>
      <c r="K34" s="55"/>
      <c r="L34" s="55">
        <f t="shared" si="2"/>
        <v>0</v>
      </c>
    </row>
    <row r="35" spans="2:12" x14ac:dyDescent="0.25">
      <c r="B35" s="55" t="s">
        <v>297</v>
      </c>
      <c r="C35" s="55"/>
      <c r="D35" s="55"/>
      <c r="E35" s="55">
        <f t="shared" si="0"/>
        <v>0</v>
      </c>
      <c r="F35" s="55"/>
      <c r="G35" s="55"/>
      <c r="H35" s="55"/>
      <c r="I35" s="55">
        <f t="shared" si="1"/>
        <v>0</v>
      </c>
      <c r="J35" s="55"/>
      <c r="K35" s="55"/>
      <c r="L35" s="55">
        <f t="shared" si="2"/>
        <v>0</v>
      </c>
    </row>
    <row r="36" spans="2:12" x14ac:dyDescent="0.25">
      <c r="B36" s="55" t="s">
        <v>298</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299</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155</v>
      </c>
      <c r="C42" s="55"/>
      <c r="D42" s="55">
        <f>E42*10.764</f>
        <v>0</v>
      </c>
      <c r="E42" s="70">
        <f>SUM(E6:E41)</f>
        <v>0</v>
      </c>
      <c r="F42" s="55"/>
      <c r="G42" s="55"/>
      <c r="H42" s="55">
        <f>I42*10.764</f>
        <v>0</v>
      </c>
      <c r="I42" s="71">
        <f>SUM(I6:I41)</f>
        <v>0</v>
      </c>
      <c r="J42" s="55"/>
      <c r="K42" s="55">
        <f>L42*10.764</f>
        <v>0</v>
      </c>
      <c r="L42" s="72">
        <f>SUM(L6:L41)</f>
        <v>0</v>
      </c>
    </row>
    <row r="44" spans="2:12" x14ac:dyDescent="0.25">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2025-08-13T11:38:27Z</cp:lastPrinted>
  <dcterms:created xsi:type="dcterms:W3CDTF">2010-11-23T11:42:48Z</dcterms:created>
  <dcterms:modified xsi:type="dcterms:W3CDTF">2025-08-13T11:40:07Z</dcterms:modified>
</cp:coreProperties>
</file>