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 Elitebook 840 G6\Downloads\"/>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4" i="1" l="1"/>
  <c r="D194" i="1"/>
  <c r="E191" i="1"/>
  <c r="D191" i="1"/>
  <c r="F191" i="1" s="1"/>
  <c r="H191" i="1" s="1"/>
  <c r="E190" i="1"/>
  <c r="D190" i="1"/>
  <c r="F190" i="1" s="1"/>
  <c r="H190" i="1" s="1"/>
  <c r="D188" i="1"/>
  <c r="E187" i="1"/>
  <c r="D187" i="1"/>
  <c r="E186" i="1"/>
  <c r="D186" i="1"/>
  <c r="A194" i="1"/>
  <c r="A191" i="1"/>
  <c r="E188" i="1"/>
  <c r="A187" i="1"/>
  <c r="A188" i="1" s="1"/>
  <c r="E184" i="1"/>
  <c r="D184" i="1"/>
  <c r="E183" i="1"/>
  <c r="D183" i="1"/>
  <c r="D182" i="1"/>
  <c r="F182" i="1" s="1"/>
  <c r="H182" i="1" s="1"/>
  <c r="D179" i="1"/>
  <c r="D180" i="1"/>
  <c r="D176" i="1"/>
  <c r="D175" i="1"/>
  <c r="D172" i="1"/>
  <c r="D178" i="1"/>
  <c r="D174" i="1"/>
  <c r="D170" i="1"/>
  <c r="D168" i="1"/>
  <c r="D167" i="1"/>
  <c r="D165" i="1"/>
  <c r="D171" i="1"/>
  <c r="D164" i="1"/>
  <c r="D163" i="1"/>
  <c r="I155" i="1"/>
  <c r="D161" i="1"/>
  <c r="D160" i="1"/>
  <c r="D159" i="1"/>
  <c r="D155" i="1"/>
  <c r="G51" i="1"/>
  <c r="F194" i="1" l="1"/>
  <c r="H194" i="1" s="1"/>
  <c r="F188" i="1"/>
  <c r="H188" i="1" s="1"/>
  <c r="F187" i="1"/>
  <c r="H187" i="1" s="1"/>
  <c r="F186" i="1"/>
  <c r="H186" i="1" s="1"/>
  <c r="L157" i="1"/>
  <c r="L156" i="1"/>
  <c r="F184" i="1" l="1"/>
  <c r="H184" i="1" s="1"/>
  <c r="F183" i="1"/>
  <c r="H183" i="1" s="1"/>
  <c r="F179" i="1"/>
  <c r="H179" i="1" s="1"/>
  <c r="F178" i="1"/>
  <c r="H178" i="1" s="1"/>
  <c r="F176" i="1"/>
  <c r="H176" i="1" s="1"/>
  <c r="F175" i="1"/>
  <c r="H175" i="1" s="1"/>
  <c r="F174" i="1"/>
  <c r="H174" i="1" s="1"/>
  <c r="F172" i="1"/>
  <c r="H172" i="1" s="1"/>
  <c r="F171" i="1"/>
  <c r="H171" i="1" s="1"/>
  <c r="F170" i="1"/>
  <c r="H170" i="1" s="1"/>
  <c r="F167" i="1"/>
  <c r="H167" i="1" s="1"/>
  <c r="F165" i="1"/>
  <c r="H165" i="1" s="1"/>
  <c r="F164" i="1"/>
  <c r="H164" i="1" s="1"/>
  <c r="F163" i="1"/>
  <c r="H163" i="1" s="1"/>
  <c r="F161" i="1"/>
  <c r="H161" i="1" s="1"/>
  <c r="F160" i="1"/>
  <c r="H160" i="1" s="1"/>
  <c r="F159" i="1"/>
  <c r="H159" i="1" s="1"/>
  <c r="D157" i="1"/>
  <c r="F157" i="1" s="1"/>
  <c r="H157" i="1" s="1"/>
  <c r="D156" i="1"/>
  <c r="F156" i="1" s="1"/>
  <c r="H156" i="1" s="1"/>
  <c r="F155" i="1"/>
  <c r="J154" i="1"/>
  <c r="J183" i="1"/>
  <c r="I183" i="1"/>
  <c r="I180" i="1"/>
  <c r="I175" i="1"/>
  <c r="I172" i="1"/>
  <c r="A182" i="1"/>
  <c r="A183" i="1" s="1"/>
  <c r="A184" i="1" s="1"/>
  <c r="F180" i="1"/>
  <c r="H180" i="1" s="1"/>
  <c r="A178" i="1"/>
  <c r="A179" i="1" s="1"/>
  <c r="A180" i="1" s="1"/>
  <c r="A174" i="1"/>
  <c r="A175" i="1" s="1"/>
  <c r="A176" i="1" s="1"/>
  <c r="A170" i="1"/>
  <c r="A171" i="1" s="1"/>
  <c r="A172" i="1" s="1"/>
  <c r="I168" i="1"/>
  <c r="F168" i="1"/>
  <c r="H168" i="1" s="1"/>
  <c r="A167" i="1"/>
  <c r="A168" i="1" s="1"/>
  <c r="A163" i="1"/>
  <c r="A164" i="1" s="1"/>
  <c r="A165" i="1" s="1"/>
  <c r="I161" i="1"/>
  <c r="I160" i="1"/>
  <c r="A159" i="1"/>
  <c r="A160" i="1" s="1"/>
  <c r="A161" i="1" s="1"/>
  <c r="I156" i="1"/>
  <c r="A155" i="1"/>
  <c r="A156" i="1" s="1"/>
  <c r="A157" i="1" s="1"/>
  <c r="H155" i="1" l="1"/>
  <c r="G135" i="1" s="1"/>
  <c r="G136" i="1" s="1"/>
  <c r="C135" i="1"/>
  <c r="E135" i="1"/>
  <c r="M164" i="1"/>
  <c r="L164" i="1"/>
  <c r="C136" i="1"/>
  <c r="K183" i="1"/>
  <c r="E136" i="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L42" i="7" l="1"/>
  <c r="K42" i="7" s="1"/>
  <c r="E42" i="7"/>
  <c r="I42" i="7"/>
  <c r="H42" i="7" s="1"/>
  <c r="D42" i="7"/>
  <c r="E44" i="7"/>
  <c r="D44" i="7" l="1"/>
  <c r="E31" i="1"/>
  <c r="B226" i="1" l="1"/>
  <c r="F144" i="1" l="1"/>
  <c r="H144" i="1" s="1"/>
  <c r="F145" i="1"/>
  <c r="H145" i="1" s="1"/>
  <c r="F146" i="1"/>
  <c r="H146" i="1" s="1"/>
  <c r="F143" i="1"/>
  <c r="H143" i="1" s="1"/>
  <c r="G58" i="1" l="1"/>
  <c r="C58" i="1"/>
  <c r="G56" i="1"/>
  <c r="C56" i="1"/>
  <c r="S33" i="1" l="1"/>
  <c r="F11" i="5" l="1"/>
  <c r="G11" i="5" s="1"/>
  <c r="G10" i="5"/>
  <c r="F10" i="5"/>
  <c r="F9" i="5"/>
  <c r="G9" i="5" s="1"/>
  <c r="F8" i="5"/>
  <c r="G8" i="5" s="1"/>
  <c r="F7" i="5"/>
  <c r="G7" i="5" s="1"/>
  <c r="F6" i="5"/>
  <c r="G6" i="5" s="1"/>
  <c r="F5" i="5"/>
  <c r="G5" i="5" s="1"/>
  <c r="G12" i="5" s="1"/>
  <c r="D250" i="1"/>
  <c r="B227" i="1"/>
  <c r="F223" i="1"/>
  <c r="H223" i="1" s="1"/>
  <c r="F222" i="1"/>
  <c r="H222" i="1" s="1"/>
  <c r="F221" i="1"/>
  <c r="H221" i="1" s="1"/>
  <c r="F220" i="1"/>
  <c r="H220" i="1" s="1"/>
  <c r="F219" i="1"/>
  <c r="H219" i="1" s="1"/>
  <c r="F217" i="1"/>
  <c r="H217" i="1" s="1"/>
  <c r="F216" i="1"/>
  <c r="H216" i="1" s="1"/>
  <c r="F215" i="1"/>
  <c r="H215" i="1" s="1"/>
  <c r="F214" i="1"/>
  <c r="H214" i="1" s="1"/>
  <c r="F213" i="1"/>
  <c r="H213" i="1" s="1"/>
  <c r="F211" i="1"/>
  <c r="H211" i="1" s="1"/>
  <c r="F210" i="1"/>
  <c r="H210" i="1" s="1"/>
  <c r="F209" i="1"/>
  <c r="H209" i="1" s="1"/>
  <c r="F208" i="1"/>
  <c r="H208" i="1" s="1"/>
  <c r="F207" i="1"/>
  <c r="H207" i="1" s="1"/>
  <c r="F205" i="1"/>
  <c r="H205" i="1" s="1"/>
  <c r="F204" i="1"/>
  <c r="H204" i="1" s="1"/>
  <c r="F203" i="1"/>
  <c r="H203" i="1" s="1"/>
  <c r="F202" i="1"/>
  <c r="H202" i="1" s="1"/>
  <c r="F201" i="1"/>
  <c r="H201" i="1" s="1"/>
  <c r="A201" i="1"/>
  <c r="A202" i="1" s="1"/>
  <c r="A203" i="1" s="1"/>
  <c r="A204" i="1" s="1"/>
  <c r="A205" i="1" s="1"/>
  <c r="F199" i="1"/>
  <c r="H199" i="1" s="1"/>
  <c r="F198" i="1"/>
  <c r="H198" i="1" s="1"/>
  <c r="F197" i="1"/>
  <c r="H197" i="1" s="1"/>
  <c r="A197" i="1"/>
  <c r="A198" i="1" s="1"/>
  <c r="A199" i="1" s="1"/>
  <c r="F196" i="1"/>
  <c r="H196" i="1" s="1"/>
  <c r="A144" i="1"/>
  <c r="A145" i="1" s="1"/>
  <c r="A146" i="1" s="1"/>
  <c r="G137" i="1"/>
  <c r="E137" i="1"/>
  <c r="C137" i="1"/>
  <c r="F127" i="1"/>
  <c r="C101" i="1"/>
  <c r="C87" i="1"/>
  <c r="C73" i="1"/>
  <c r="D67" i="1"/>
  <c r="D62" i="1"/>
  <c r="C51" i="1"/>
  <c r="E44" i="1"/>
  <c r="E45" i="1" s="1"/>
  <c r="E28" i="1"/>
  <c r="E26" i="1"/>
  <c r="C16" i="1"/>
  <c r="I15" i="1"/>
  <c r="Z13" i="1"/>
  <c r="E8" i="1"/>
  <c r="E3" i="1"/>
  <c r="A213" i="1"/>
  <c r="A219" i="1"/>
  <c r="H74" i="1"/>
  <c r="H88" i="1"/>
  <c r="H102" i="1"/>
  <c r="A207" i="1"/>
  <c r="J73" i="1" l="1"/>
  <c r="J75" i="1" s="1"/>
  <c r="J76" i="1"/>
  <c r="J77" i="1"/>
  <c r="J78" i="1"/>
  <c r="C77" i="1" s="1"/>
  <c r="J92" i="1"/>
  <c r="E91" i="1"/>
  <c r="D96" i="1"/>
  <c r="D98" i="1"/>
  <c r="D92" i="1"/>
  <c r="J91" i="1"/>
  <c r="D97" i="1"/>
  <c r="J87" i="1"/>
  <c r="J89" i="1" s="1"/>
  <c r="D95" i="1"/>
  <c r="J90" i="1"/>
  <c r="D94" i="1"/>
  <c r="D100" i="1"/>
  <c r="D99" i="1"/>
  <c r="D93" i="1"/>
  <c r="D81" i="1"/>
  <c r="D83" i="1"/>
  <c r="D82" i="1"/>
  <c r="D86" i="1"/>
  <c r="D80" i="1"/>
  <c r="D85" i="1"/>
  <c r="D79" i="1"/>
  <c r="D84" i="1"/>
  <c r="C107" i="1"/>
  <c r="J101" i="1" s="1"/>
  <c r="J103" i="1" s="1"/>
  <c r="D110" i="1"/>
  <c r="D112" i="1"/>
  <c r="J106" i="1"/>
  <c r="C105" i="1" s="1"/>
  <c r="D105" i="1" s="1"/>
  <c r="D111" i="1"/>
  <c r="J105" i="1"/>
  <c r="D109" i="1"/>
  <c r="J104" i="1"/>
  <c r="D108" i="1"/>
  <c r="D114" i="1"/>
  <c r="D113" i="1"/>
  <c r="B102" i="1"/>
  <c r="B88" i="1"/>
  <c r="B74" i="1"/>
  <c r="J79" i="1" s="1"/>
  <c r="A220" i="1"/>
  <c r="A208" i="1"/>
  <c r="A214" i="1"/>
  <c r="C91" i="1" l="1"/>
  <c r="D91" i="1" s="1"/>
  <c r="I88" i="1" s="1"/>
  <c r="I89" i="1" s="1"/>
  <c r="D77" i="1"/>
  <c r="D107" i="1"/>
  <c r="J112" i="1"/>
  <c r="J109" i="1"/>
  <c r="J111" i="1"/>
  <c r="J110" i="1"/>
  <c r="J107" i="1"/>
  <c r="J108" i="1" s="1"/>
  <c r="J113" i="1" s="1"/>
  <c r="J114" i="1" s="1"/>
  <c r="C106" i="1" s="1"/>
  <c r="E105" i="1" s="1"/>
  <c r="J98" i="1"/>
  <c r="J95" i="1"/>
  <c r="J97" i="1"/>
  <c r="J96" i="1"/>
  <c r="J93" i="1"/>
  <c r="J94" i="1" s="1"/>
  <c r="J83" i="1"/>
  <c r="J81" i="1"/>
  <c r="J82" i="1"/>
  <c r="J80" i="1"/>
  <c r="J85" i="1" s="1"/>
  <c r="J86" i="1" s="1"/>
  <c r="C78" i="1" s="1"/>
  <c r="J84" i="1"/>
  <c r="A209" i="1"/>
  <c r="A221" i="1"/>
  <c r="A215" i="1"/>
  <c r="G91" i="1" l="1"/>
  <c r="J74" i="1"/>
  <c r="J99" i="1"/>
  <c r="J100" i="1" s="1"/>
  <c r="J88" i="1" s="1"/>
  <c r="I87" i="1" s="1"/>
  <c r="C89" i="1" s="1"/>
  <c r="D106" i="1"/>
  <c r="I102" i="1" s="1"/>
  <c r="J102" i="1"/>
  <c r="G105" i="1"/>
  <c r="E77" i="1"/>
  <c r="D78" i="1"/>
  <c r="I74" i="1" s="1"/>
  <c r="G77" i="1"/>
  <c r="D71" i="1" s="1"/>
  <c r="A222" i="1"/>
  <c r="A210" i="1"/>
  <c r="A216" i="1"/>
  <c r="F72" i="1" l="1"/>
  <c r="D72" i="1"/>
  <c r="I103" i="1"/>
  <c r="I101" i="1" s="1"/>
  <c r="C103" i="1" s="1"/>
  <c r="I75" i="1"/>
  <c r="I73" i="1" s="1"/>
  <c r="C75" i="1" s="1"/>
  <c r="A223" i="1"/>
  <c r="A211" i="1"/>
  <c r="A217"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0"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<sst xmlns="http://schemas.openxmlformats.org/spreadsheetml/2006/main" count="700" uniqueCount="401">
  <si>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</si>
  <si>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</si>
  <si>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</si>
  <si>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</si>
  <si>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</si>
  <si>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</si>
  <si>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</si>
  <si>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</si>
  <si>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</si>
  <si>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</si>
  <si>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</si>
  <si>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</si>
  <si>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</si>
  <si>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</si>
  <si>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</si>
  <si>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</si>
  <si>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</si>
  <si>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</si>
  <si>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</si>
  <si>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</si>
  <si>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</si>
  <si>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</si>
  <si>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</si>
  <si>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</si>
  <si>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</si>
  <si>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</si>
  <si>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</si>
  <si>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</si>
  <si>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</si>
  <si>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</si>
  <si>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</si>
  <si>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</si>
  <si>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</si>
  <si>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</si>
  <si>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</si>
  <si>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</si>
  <si>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</si>
  <si>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</si>
  <si>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</si>
  <si>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</si>
  <si>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</si>
  <si>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</si>
  <si>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</si>
  <si>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</si>
  <si>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</si>
  <si>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</si>
  <si>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</si>
  <si>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</si>
  <si>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</si>
  <si>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</si>
  <si>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</si>
  <si>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</si>
  <si>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</si>
  <si>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</si>
  <si>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</si>
  <si>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</si>
  <si>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</si>
  <si>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</si>
  <si>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</si>
  <si>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</si>
  <si>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</si>
  <si>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</si>
  <si>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</si>
  <si>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</si>
  <si>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</si>
  <si>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</si>
  <si>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</si>
  <si>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</si>
  <si>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</si>
  <si>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</si>
  <si>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</si>
  <si>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</si>
  <si>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</si>
  <si>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</si>
  <si>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</si>
  <si>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</si>
  <si>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</si>
  <si>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</si>
  <si>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</si>
  <si>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</si>
  <si>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</si>
  <si>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</si>
  <si>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</si>
  <si>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</si>
  <si>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</si>
  <si>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</si>
  <si>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</si>
  <si>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</si>
  <si>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</si>
  <si>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</si>
  <si>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</si>
  <si>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</si>
  <si>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</si>
  <si>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</si>
  <si>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</si>
  <si>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</si>
  <si>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</si>
  <si>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</si>
  <si>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</si>
  <si>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</si>
  <si>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</si>
  <si>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</si>
  <si>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</si>
  <si>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</si>
  <si>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</si>
  <si>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</si>
  <si>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</si>
  <si>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</si>
  <si>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</si>
  <si>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</si>
  <si>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</si>
  <si>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</si>
  <si>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</si>
  <si>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</si>
  <si>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</si>
  <si>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</si>
  <si>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</si>
  <si>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</si>
  <si>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</si>
  <si>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</si>
  <si>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</si>
  <si>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</si>
  <si>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</si>
  <si>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</si>
  <si>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</si>
  <si>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</si>
  <si>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</si>
  <si>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</si>
  <si>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</si>
  <si>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</si>
  <si>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</si>
  <si>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</si>
  <si>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</si>
  <si>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</si>
  <si>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</si>
  <si>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</si>
  <si>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</si>
  <si>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</si>
  <si>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</si>
  <si>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</si>
  <si>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</si>
  <si>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</si>
  <si>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</si>
  <si>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</si>
  <si>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</si>
  <si>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</si>
  <si>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</si>
  <si>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</si>
  <si>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</si>
  <si>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</si>
  <si>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</si>
  <si>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</si>
  <si>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</si>
  <si>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</si>
  <si>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</si>
  <si>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</si>
  <si>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</si>
  <si>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</si>
  <si>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</si>
  <si>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</si>
  <si>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</si>
  <si>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</si>
  <si>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</si>
  <si>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</si>
  <si>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</si>
  <si>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</si>
  <si>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</si>
  <si>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</si>
  <si>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</si>
  <si>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</si>
  <si>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</si>
  <si>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</si>
  <si>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</si>
  <si>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</si>
  <si>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</si>
  <si>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</si>
  <si>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</si>
  <si>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</si>
  <si>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</si>
  <si>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</si>
  <si>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</si>
  <si>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</si>
  <si>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</si>
  <si>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</si>
  <si>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</si>
  <si>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</si>
  <si>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</si>
  <si>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</si>
  <si>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</si>
  <si>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</si>
  <si>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</si>
  <si>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</si>
  <si>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</si>
  <si>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</si>
  <si>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</si>
  <si>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</si>
  <si>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</si>
  <si>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</si>
  <si>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</si>
  <si>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</si>
  <si>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</si>
  <si>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</si>
  <si>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</si>
  <si>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</si>
  <si>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</si>
  <si>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</si>
  <si>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</si>
  <si>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</si>
  <si>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</si>
  <si>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</si>
  <si>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</si>
  <si>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</si>
  <si>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</si>
  <si>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</si>
  <si>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</si>
  <si>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</si>
  <si>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</si>
  <si>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</si>
  <si>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</si>
  <si>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</si>
  <si>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</si>
  <si>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</si>
  <si>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</si>
  <si>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</si>
  <si>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</si>
  <si>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</si>
  <si>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</si>
  <si>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</si>
  <si>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</si>
  <si>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</si>
  <si>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</si>
  <si>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</si>
  <si>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</si>
  <si>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</si>
  <si>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</si>
  <si>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</si>
  <si>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</si>
  <si>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</si>
  <si>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</si>
  <si>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</si>
  <si>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</si>
  <si>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</si>
  <si>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</si>
  <si>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</si>
  <si>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</si>
  <si>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</si>
  <si>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</si>
  <si>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</si>
  <si>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</si>
  <si>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</si>
  <si>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</si>
  <si>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</si>
  <si>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</si>
  <si>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</si>
  <si>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</si>
  <si>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</si>
  <si>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</si>
  <si>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</si>
  <si>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</si>
  <si>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</si>
  <si>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</si>
  <si>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</si>
  <si>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</si>
  <si>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</si>
  <si>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</si>
  <si>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</si>
  <si>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</si>
  <si>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</si>
  <si>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</si>
  <si>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</si>
  <si>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</si>
  <si>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</si>
  <si>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</si>
  <si>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</si>
  <si>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</si>
  <si>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</si>
  <si>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</si>
  <si>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</si>
  <si>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</si>
  <si>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</si>
  <si>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</si>
  <si>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</si>
  <si>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</si>
  <si>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</si>
  <si>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</si>
  <si>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</si>
  <si>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</si>
  <si>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</si>
  <si>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</si>
  <si>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</si>
  <si>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</si>
  <si>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</si>
  <si>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</si>
  <si>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</si>
  <si>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</si>
  <si>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</si>
  <si>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</si>
  <si>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</si>
  <si>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</si>
  <si>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</si>
  <si>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</si>
  <si>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</si>
  <si>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</si>
  <si>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</si>
  <si>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</si>
  <si>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</si>
  <si>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</si>
  <si>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</si>
  <si>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</si>
  <si>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</si>
  <si>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</si>
  <si>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</si>
  <si>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</si>
  <si>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</si>
  <si>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</si>
  <si>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</si>
  <si>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</si>
  <si>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</si>
  <si>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</si>
  <si>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</si>
  <si>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</si>
  <si>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</si>
  <si>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</si>
  <si>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</si>
  <si>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</si>
  <si>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</si>
  <si>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</si>
  <si>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</si>
  <si>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</si>
  <si>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</si>
  <si>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</si>
  <si>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</si>
  <si>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</si>
  <si>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</si>
  <si>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</si>
  <si>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 xml:space="preserve">Ekta Nagpal Ventures LLP
</t>
  </si>
  <si>
    <t>Evaana</t>
  </si>
  <si>
    <t>P51800053351</t>
  </si>
  <si>
    <t>Oscar Apartments CHSL</t>
  </si>
  <si>
    <t>Plot No</t>
  </si>
  <si>
    <t>Bandra</t>
  </si>
  <si>
    <t>Khar</t>
  </si>
  <si>
    <t>Khar Danda Road</t>
  </si>
  <si>
    <t>1.5 KM from Khar Railway Station</t>
  </si>
  <si>
    <t>Khar West</t>
  </si>
  <si>
    <t>Regency Terraces</t>
  </si>
  <si>
    <t>18.30 M W Road</t>
  </si>
  <si>
    <t>12.20 M W Road</t>
  </si>
  <si>
    <t>Other Plot</t>
  </si>
  <si>
    <t>17th Road</t>
  </si>
  <si>
    <t>Nateshwar Bhavan</t>
  </si>
  <si>
    <t>Palazzo Residency</t>
  </si>
  <si>
    <t>https://maps.app.goo.gl/edwYTKzyY6JQvWfm8</t>
  </si>
  <si>
    <t>19.0732171, 72.8303228</t>
  </si>
  <si>
    <t>P-9911/2021/(74)/H/W Ward/BANDRA-E-CFO/1/New</t>
  </si>
  <si>
    <t>B + G + 1P to 3P + 4th to 17th Floor (Total Height = 59.75 mts)</t>
  </si>
  <si>
    <t xml:space="preserve">As per RERA - 30/04/2027
</t>
  </si>
  <si>
    <t>Ground Floor Parking &amp; Lobby</t>
  </si>
  <si>
    <t>1st &amp; 2nd Podium Floor For Parking &amp; Lobby</t>
  </si>
  <si>
    <t>3rd Podium Floor For Society Office, Fitness Center &amp; Parking</t>
  </si>
  <si>
    <t>4th Floor For Residential</t>
  </si>
  <si>
    <t>1BHK</t>
  </si>
  <si>
    <t>2BHK</t>
  </si>
  <si>
    <t>3BHK</t>
  </si>
  <si>
    <t>4.5BHK</t>
  </si>
  <si>
    <t>7th Floor</t>
  </si>
  <si>
    <t>8th Floor (Part Refuge Area At Mid Landing)</t>
  </si>
  <si>
    <t>9th Floor</t>
  </si>
  <si>
    <t>10th Floor</t>
  </si>
  <si>
    <t>Terrace Area</t>
  </si>
  <si>
    <t xml:space="preserve">Details of Residential in Building   </t>
  </si>
  <si>
    <t>Flats</t>
  </si>
  <si>
    <t>Gymnasium, Yoga Zone, Childrens Play Area, Indoor Games, Pool Deck, Party Lawn, Landscaped Garden, etc.</t>
  </si>
  <si>
    <t>Approved Plans, CC, Fire Noc.</t>
  </si>
  <si>
    <t>https://dwello.in/view/ekta-evaana-by-ekta-nagpal-ventures-llp-at-khar_2c2b900e-9792-443f-9dc4-baba4f232c51</t>
  </si>
  <si>
    <r>
      <t xml:space="preserve">Proposed Amenities :                                                                                                                                                                                                                         </t>
    </r>
    <r>
      <rPr>
        <b/>
        <sz val="12"/>
        <color theme="1"/>
        <rFont val="Times New Roman"/>
        <family val="1"/>
      </rPr>
      <t xml:space="preserve">                                               </t>
    </r>
  </si>
  <si>
    <r>
      <t xml:space="preserve">Shop No.
</t>
    </r>
    <r>
      <rPr>
        <b/>
        <sz val="11"/>
        <color theme="1"/>
        <rFont val="Times New Roman"/>
        <family val="1"/>
      </rPr>
      <t>(Approved Plan)</t>
    </r>
  </si>
  <si>
    <r>
      <t xml:space="preserve">Flat No.
</t>
    </r>
    <r>
      <rPr>
        <b/>
        <sz val="11"/>
        <color theme="1"/>
        <rFont val="Times New Roman"/>
        <family val="1"/>
      </rPr>
      <t>(Approved Plan)</t>
    </r>
  </si>
  <si>
    <t>492/93 &amp; CTS No. E/74, Redevelopement of "Oscar Apartments CHSL"</t>
  </si>
  <si>
    <t>A sale or rehab statement is not provided along with approved floor plans. But rehab letter is provided by the bank official on mail. The same letter is attached below.</t>
  </si>
  <si>
    <t>Rehab List provided by Bank Official :</t>
  </si>
  <si>
    <t>Construction work is in process at the time of Visit.</t>
  </si>
  <si>
    <t>Pooja Kawale</t>
  </si>
  <si>
    <t>P-9911/2021/(74)/H/W Ward/BANDRA-E/FCC/1/Amend</t>
  </si>
  <si>
    <t>Further CC up to top of 15th upper floor i.e. ht. 55.05 mt. AGL as per amended approved plan 03.07.2025.</t>
  </si>
  <si>
    <t>Basement For Pump Room &amp; Parking</t>
  </si>
  <si>
    <t>5th Floor</t>
  </si>
  <si>
    <t>6th Floor (Part Refuge Area at Mid landing)</t>
  </si>
  <si>
    <t>11th Floor</t>
  </si>
  <si>
    <t>12th &amp; 13th Floor (Part Refuge Area at Mid landing)</t>
  </si>
  <si>
    <t>14th to 16th Floor</t>
  </si>
  <si>
    <t>5BHK</t>
  </si>
  <si>
    <t>17th Floor (Part Terrace Area)</t>
  </si>
  <si>
    <t>We considered Gross carpet area = Net carpet + Deck.</t>
  </si>
  <si>
    <t>1B + Gr/St + P1 to P3 + 4th to 17th Floor</t>
  </si>
  <si>
    <t>Flats - 36</t>
  </si>
  <si>
    <t>We have updated latest CC &amp; approved floor plans from MCGM site (On 12/08/2025).</t>
  </si>
  <si>
    <t>Deck Area</t>
  </si>
  <si>
    <t>Tushar Bhuwad</t>
  </si>
  <si>
    <t>P-9911/2021/(74)/H/W Ward/BANDRA-E/337/1/Amend</t>
  </si>
  <si>
    <t>Mr. Aman : 8080037625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</si>
</sst>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25">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11"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6" fillId="0" borderId="1" xfId="1" applyFont="1" applyBorder="1" applyAlignment="1" applyProtection="1">
      <alignment horizontal="center" vertical="top"/>
      <protection locked="0"/>
    </xf>
    <xf numFmtId="1" fontId="9" fillId="0" borderId="3" xfId="1" applyNumberFormat="1" applyFont="1" applyBorder="1" applyAlignment="1" applyProtection="1">
      <alignment horizontal="center" vertical="top" wrapText="1"/>
      <protection locked="0"/>
    </xf>
    <xf numFmtId="9" fontId="9" fillId="0" borderId="16"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23" fillId="2" borderId="15" xfId="0" applyFont="1" applyFill="1" applyBorder="1"/>
    <xf numFmtId="0" fontId="24" fillId="0" borderId="9" xfId="0" applyFont="1" applyBorder="1"/>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9" fillId="0" borderId="1" xfId="1" applyFont="1" applyBorder="1" applyAlignment="1" applyProtection="1">
      <alignment horizontal="left" vertical="top"/>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4" fontId="5" fillId="0" borderId="8" xfId="1" applyNumberFormat="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 fontId="6" fillId="0" borderId="21" xfId="1" applyNumberFormat="1" applyFont="1" applyBorder="1" applyAlignment="1" applyProtection="1">
      <alignment horizontal="center" vertical="center" wrapText="1"/>
      <protection locked="0"/>
    </xf>
    <xf numFmtId="0" fontId="7" fillId="0" borderId="16" xfId="1" applyFont="1" applyBorder="1" applyAlignment="1" applyProtection="1">
      <alignment horizontal="center" vertical="top"/>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0" fontId="7" fillId="0" borderId="1" xfId="1" applyFont="1" applyBorder="1" applyAlignment="1" applyProtection="1">
      <alignment horizontal="left" vertical="top"/>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vertical="top"/>
      <protection locked="0"/>
    </xf>
    <xf numFmtId="0" fontId="6"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6" fillId="0" borderId="0" xfId="1" applyFont="1" applyAlignment="1">
      <alignment horizontal="center" vertical="center"/>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 fontId="7" fillId="0" borderId="3" xfId="0" applyNumberFormat="1" applyFont="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8" xfId="1" applyFont="1" applyBorder="1" applyAlignment="1" applyProtection="1">
      <alignment horizontal="left" vertical="top"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649943</xdr:colOff>
      <xdr:row>376</xdr:row>
      <xdr:rowOff>134470</xdr:rowOff>
    </xdr:from>
    <xdr:to>
      <xdr:col>7</xdr:col>
      <xdr:colOff>159069</xdr:colOff>
      <xdr:row>394</xdr:row>
      <xdr:rowOff>103764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649943" y="56567294"/>
          <a:ext cx="5089655" cy="3600000"/>
        </a:xfrm>
        <a:prstGeom prst="rect">
          <a:avLst/>
        </a:prstGeom>
        <a:ln>
          <a:solidFill>
            <a:schemeClr val="tx1"/>
          </a:solidFill>
        </a:ln>
      </xdr:spPr>
    </xdr:pic>
    <xdr:clientData/>
  </xdr:twoCellAnchor>
  <xdr:twoCellAnchor editAs="oneCell">
    <xdr:from>
      <xdr:col>1</xdr:col>
      <xdr:colOff>268942</xdr:colOff>
      <xdr:row>395</xdr:row>
      <xdr:rowOff>67235</xdr:rowOff>
    </xdr:from>
    <xdr:to>
      <xdr:col>6</xdr:col>
      <xdr:colOff>379320</xdr:colOff>
      <xdr:row>416</xdr:row>
      <xdr:rowOff>193861</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1030942" y="60332470"/>
          <a:ext cx="4200525" cy="4362450"/>
        </a:xfrm>
        <a:prstGeom prst="rect">
          <a:avLst/>
        </a:prstGeom>
        <a:ln>
          <a:solidFill>
            <a:schemeClr val="tx1"/>
          </a:solidFill>
        </a:ln>
      </xdr:spPr>
    </xdr:pic>
    <xdr:clientData/>
  </xdr:twoCellAnchor>
  <xdr:twoCellAnchor>
    <xdr:from>
      <xdr:col>2</xdr:col>
      <xdr:colOff>414618</xdr:colOff>
      <xdr:row>401</xdr:row>
      <xdr:rowOff>100853</xdr:rowOff>
    </xdr:from>
    <xdr:to>
      <xdr:col>3</xdr:col>
      <xdr:colOff>268941</xdr:colOff>
      <xdr:row>407</xdr:row>
      <xdr:rowOff>89647</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a:off x="1972236" y="61576324"/>
          <a:ext cx="705970" cy="1199029"/>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8</xdr:col>
      <xdr:colOff>536762</xdr:colOff>
      <xdr:row>10</xdr:row>
      <xdr:rowOff>161365</xdr:rowOff>
    </xdr:from>
    <xdr:to>
      <xdr:col>14</xdr:col>
      <xdr:colOff>237627</xdr:colOff>
      <xdr:row>22</xdr:row>
      <xdr:rowOff>10734</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7159812" y="2529915"/>
          <a:ext cx="5123765" cy="2840219"/>
          <a:chOff x="6845674" y="2559424"/>
          <a:chExt cx="4889188" cy="2897369"/>
        </a:xfrm>
      </xdr:grpSpPr>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6845674" y="2559424"/>
            <a:ext cx="4889188" cy="2897369"/>
          </a:xfrm>
          <a:prstGeom prst="rect">
            <a:avLst/>
          </a:prstGeom>
        </xdr:spPr>
      </xdr:pic>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flipV="1">
            <a:off x="7956176" y="5121088"/>
            <a:ext cx="2364442" cy="11206"/>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xdr:col>
      <xdr:colOff>739590</xdr:colOff>
      <xdr:row>290</xdr:row>
      <xdr:rowOff>56028</xdr:rowOff>
    </xdr:from>
    <xdr:ext cx="3476625" cy="4270614"/>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t="2953"/>
        <a:stretch/>
      </xdr:blipFill>
      <xdr:spPr>
        <a:xfrm>
          <a:off x="1501590" y="50885910"/>
          <a:ext cx="3476625" cy="4270614"/>
        </a:xfrm>
        <a:prstGeom prst="rect">
          <a:avLst/>
        </a:prstGeom>
        <a:ln>
          <a:solidFill>
            <a:schemeClr val="tx1"/>
          </a:solidFill>
        </a:ln>
      </xdr:spPr>
    </xdr:pic>
    <xdr:clientData/>
  </xdr:oneCellAnchor>
  <xdr:twoCellAnchor editAs="oneCell">
    <xdr:from>
      <xdr:col>1</xdr:col>
      <xdr:colOff>496312</xdr:colOff>
      <xdr:row>333</xdr:row>
      <xdr:rowOff>22412</xdr:rowOff>
    </xdr:from>
    <xdr:to>
      <xdr:col>6</xdr:col>
      <xdr:colOff>445497</xdr:colOff>
      <xdr:row>362</xdr:row>
      <xdr:rowOff>4942</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5"/>
        <a:srcRect l="13167" t="6812"/>
        <a:stretch/>
      </xdr:blipFill>
      <xdr:spPr>
        <a:xfrm>
          <a:off x="1258312" y="50852294"/>
          <a:ext cx="4039332" cy="5832000"/>
        </a:xfrm>
        <a:prstGeom prst="rect">
          <a:avLst/>
        </a:prstGeom>
        <a:ln>
          <a:solidFill>
            <a:schemeClr val="tx1"/>
          </a:solidFill>
        </a:ln>
      </xdr:spPr>
    </xdr:pic>
    <xdr:clientData/>
  </xdr:twoCellAnchor>
  <xdr:twoCellAnchor editAs="oneCell">
    <xdr:from>
      <xdr:col>1</xdr:col>
      <xdr:colOff>549089</xdr:colOff>
      <xdr:row>362</xdr:row>
      <xdr:rowOff>56029</xdr:rowOff>
    </xdr:from>
    <xdr:to>
      <xdr:col>6</xdr:col>
      <xdr:colOff>364942</xdr:colOff>
      <xdr:row>374</xdr:row>
      <xdr:rowOff>76200</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6"/>
        <a:srcRect l="17028" t="21800" r="1006" b="7244"/>
        <a:stretch/>
      </xdr:blipFill>
      <xdr:spPr>
        <a:xfrm>
          <a:off x="1349189" y="56532929"/>
          <a:ext cx="4102103" cy="2382371"/>
        </a:xfrm>
        <a:prstGeom prst="rect">
          <a:avLst/>
        </a:prstGeom>
        <a:ln>
          <a:solidFill>
            <a:schemeClr val="tx1"/>
          </a:solidFill>
        </a:ln>
      </xdr:spPr>
    </xdr:pic>
    <xdr:clientData/>
  </xdr:twoCellAnchor>
  <xdr:twoCellAnchor editAs="oneCell">
    <xdr:from>
      <xdr:col>1</xdr:col>
      <xdr:colOff>19051</xdr:colOff>
      <xdr:row>312</xdr:row>
      <xdr:rowOff>69850</xdr:rowOff>
    </xdr:from>
    <xdr:to>
      <xdr:col>6</xdr:col>
      <xdr:colOff>454462</xdr:colOff>
      <xdr:row>330</xdr:row>
      <xdr:rowOff>126550</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819151" y="48672750"/>
          <a:ext cx="4721661" cy="3600000"/>
        </a:xfrm>
        <a:prstGeom prst="rect">
          <a:avLst/>
        </a:prstGeom>
        <a:ln>
          <a:solidFill>
            <a:schemeClr val="tx1"/>
          </a:solidFill>
        </a:ln>
      </xdr:spPr>
    </xdr:pic>
    <xdr:clientData/>
  </xdr:twoCellAnchor>
  <xdr:twoCellAnchor>
    <xdr:from>
      <xdr:col>0</xdr:col>
      <xdr:colOff>139700</xdr:colOff>
      <xdr:row>250</xdr:row>
      <xdr:rowOff>133350</xdr:rowOff>
    </xdr:from>
    <xdr:to>
      <xdr:col>7</xdr:col>
      <xdr:colOff>650247</xdr:colOff>
      <xdr:row>285</xdr:row>
      <xdr:rowOff>25511</xdr:rowOff>
    </xdr:to>
    <xdr:grpSp>
      <xdr:nvGrpSpPr>
        <xdr:cNvPr id="20" name="Group 19"/>
        <xdr:cNvGrpSpPr/>
      </xdr:nvGrpSpPr>
      <xdr:grpSpPr>
        <a:xfrm>
          <a:off x="139700" y="36741100"/>
          <a:ext cx="6365247" cy="6775561"/>
          <a:chOff x="107950" y="36690300"/>
          <a:chExt cx="6365247" cy="6775561"/>
        </a:xfrm>
      </xdr:grpSpPr>
      <xdr:pic>
        <xdr:nvPicPr>
          <xdr:cNvPr id="29" name="Picture 2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450306" y="40765861"/>
            <a:ext cx="2022891" cy="270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86969" y="36690300"/>
            <a:ext cx="2966907" cy="39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417013" y="36690300"/>
            <a:ext cx="2966907" cy="39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279128" y="40765861"/>
            <a:ext cx="2022891" cy="270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07950" y="40765861"/>
            <a:ext cx="2022891" cy="27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2678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edwYTKzyY6JQvWfm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76"/>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63" t="s">
        <v>167</v>
      </c>
      <c r="B1" s="163"/>
      <c r="C1" s="163"/>
      <c r="D1" s="163"/>
      <c r="E1" s="163"/>
      <c r="F1" s="163"/>
      <c r="G1" s="163"/>
      <c r="H1" s="163"/>
    </row>
    <row r="2" spans="1:26" ht="16.5" customHeight="1" x14ac:dyDescent="0.35">
      <c r="A2" s="164" t="s">
        <v>0</v>
      </c>
      <c r="B2" s="164"/>
      <c r="C2" s="164"/>
      <c r="D2" s="164"/>
      <c r="E2" s="164"/>
      <c r="F2" s="164"/>
      <c r="G2" s="164"/>
      <c r="H2" s="164"/>
    </row>
    <row r="3" spans="1:26" x14ac:dyDescent="0.35">
      <c r="A3" s="131" t="s">
        <v>1</v>
      </c>
      <c r="B3" s="131"/>
      <c r="C3" s="131"/>
      <c r="D3" s="131"/>
      <c r="E3" s="131" t="str">
        <f ca="1">TEXT(TODAY(),"DD/MM/YYYY")</f>
        <v>23/08/2025</v>
      </c>
      <c r="F3" s="131"/>
      <c r="G3" s="131"/>
      <c r="H3" s="131"/>
      <c r="K3" s="55" t="s">
        <v>239</v>
      </c>
      <c r="L3" s="54" t="s">
        <v>237</v>
      </c>
      <c r="M3" s="54" t="s">
        <v>242</v>
      </c>
      <c r="N3" s="54" t="s">
        <v>240</v>
      </c>
      <c r="O3" s="54" t="s">
        <v>241</v>
      </c>
      <c r="P3" s="54" t="s">
        <v>243</v>
      </c>
    </row>
    <row r="4" spans="1:26" ht="15" customHeight="1" x14ac:dyDescent="0.35">
      <c r="A4" s="131" t="s">
        <v>236</v>
      </c>
      <c r="B4" s="131"/>
      <c r="C4" s="131"/>
      <c r="D4" s="131"/>
      <c r="E4" s="159" t="s">
        <v>237</v>
      </c>
      <c r="F4" s="159"/>
      <c r="G4" s="159"/>
      <c r="H4" s="159"/>
      <c r="K4" s="53" t="s">
        <v>238</v>
      </c>
      <c r="L4" s="54" t="s">
        <v>173</v>
      </c>
      <c r="M4" s="54" t="s">
        <v>247</v>
      </c>
      <c r="N4" s="54" t="s">
        <v>249</v>
      </c>
      <c r="O4" s="54" t="s">
        <v>251</v>
      </c>
      <c r="P4" s="54"/>
    </row>
    <row r="5" spans="1:26" ht="15" customHeight="1" x14ac:dyDescent="0.35">
      <c r="A5" s="131" t="s">
        <v>2</v>
      </c>
      <c r="B5" s="131"/>
      <c r="C5" s="131"/>
      <c r="D5" s="131"/>
      <c r="E5" s="159" t="s">
        <v>173</v>
      </c>
      <c r="F5" s="159"/>
      <c r="G5" s="159"/>
      <c r="H5" s="159"/>
      <c r="K5" s="53"/>
      <c r="L5" s="54" t="s">
        <v>244</v>
      </c>
      <c r="M5" s="54" t="s">
        <v>248</v>
      </c>
      <c r="N5" s="54" t="s">
        <v>250</v>
      </c>
      <c r="O5" s="54" t="s">
        <v>252</v>
      </c>
      <c r="P5" s="54"/>
    </row>
    <row r="6" spans="1:26" x14ac:dyDescent="0.35">
      <c r="A6" s="131" t="s">
        <v>3</v>
      </c>
      <c r="B6" s="131"/>
      <c r="C6" s="131"/>
      <c r="D6" s="131"/>
      <c r="E6" s="165">
        <v>45891</v>
      </c>
      <c r="F6" s="131"/>
      <c r="G6" s="131"/>
      <c r="H6" s="131"/>
      <c r="K6" s="53"/>
      <c r="L6" s="54" t="s">
        <v>245</v>
      </c>
      <c r="M6" s="54"/>
      <c r="N6" s="54"/>
      <c r="O6" s="54" t="s">
        <v>253</v>
      </c>
      <c r="P6" s="54"/>
    </row>
    <row r="7" spans="1:26" ht="16.5" customHeight="1" x14ac:dyDescent="0.35">
      <c r="A7" s="131" t="s">
        <v>4</v>
      </c>
      <c r="B7" s="131"/>
      <c r="C7" s="131"/>
      <c r="D7" s="131"/>
      <c r="E7" s="130" t="s">
        <v>335</v>
      </c>
      <c r="F7" s="131"/>
      <c r="G7" s="131"/>
      <c r="H7" s="131"/>
      <c r="K7" s="53"/>
      <c r="L7" s="54" t="s">
        <v>246</v>
      </c>
      <c r="M7" s="54"/>
      <c r="N7" s="54"/>
      <c r="O7" s="54" t="s">
        <v>253</v>
      </c>
      <c r="P7" s="54"/>
    </row>
    <row r="8" spans="1:26" ht="15" customHeight="1" x14ac:dyDescent="0.35">
      <c r="A8" s="131" t="s">
        <v>5</v>
      </c>
      <c r="B8" s="131"/>
      <c r="C8" s="131"/>
      <c r="D8" s="131"/>
      <c r="E8" s="131" t="str">
        <f>E7</f>
        <v xml:space="preserve">Ekta Nagpal Ventures LLP
</v>
      </c>
      <c r="F8" s="131"/>
      <c r="G8" s="131"/>
      <c r="H8" s="131"/>
      <c r="K8" s="53"/>
      <c r="L8" s="54"/>
      <c r="M8" s="54"/>
      <c r="N8" s="54"/>
      <c r="O8" s="54" t="s">
        <v>254</v>
      </c>
      <c r="P8" s="54"/>
    </row>
    <row r="9" spans="1:26" x14ac:dyDescent="0.35">
      <c r="A9" s="131" t="s">
        <v>6</v>
      </c>
      <c r="B9" s="131"/>
      <c r="C9" s="131"/>
      <c r="D9" s="131"/>
      <c r="E9" s="157" t="s">
        <v>336</v>
      </c>
      <c r="F9" s="155"/>
      <c r="G9" s="155"/>
      <c r="H9" s="155"/>
      <c r="K9" s="53"/>
      <c r="L9" s="54"/>
      <c r="M9" s="54"/>
      <c r="N9" s="54"/>
      <c r="O9" s="54" t="s">
        <v>255</v>
      </c>
      <c r="P9" s="54"/>
    </row>
    <row r="10" spans="1:26" x14ac:dyDescent="0.35">
      <c r="A10" s="131" t="s">
        <v>170</v>
      </c>
      <c r="B10" s="131"/>
      <c r="C10" s="131"/>
      <c r="D10" s="131"/>
      <c r="E10" s="131">
        <v>8657416124</v>
      </c>
      <c r="F10" s="131"/>
      <c r="G10" s="131"/>
      <c r="H10" s="131"/>
      <c r="K10" s="53"/>
      <c r="L10" s="54"/>
      <c r="M10" s="54"/>
      <c r="N10" s="54"/>
      <c r="O10" s="54"/>
      <c r="P10" s="54"/>
    </row>
    <row r="11" spans="1:26" x14ac:dyDescent="0.35">
      <c r="A11" s="131" t="s">
        <v>171</v>
      </c>
      <c r="B11" s="131"/>
      <c r="C11" s="131"/>
      <c r="D11" s="131"/>
      <c r="E11" s="131" t="s">
        <v>400</v>
      </c>
      <c r="F11" s="131"/>
      <c r="G11" s="131"/>
      <c r="H11" s="131"/>
    </row>
    <row r="12" spans="1:26" x14ac:dyDescent="0.35">
      <c r="A12" s="131" t="s">
        <v>7</v>
      </c>
      <c r="B12" s="131"/>
      <c r="C12" s="131"/>
      <c r="D12" s="131"/>
      <c r="E12" s="131" t="s">
        <v>119</v>
      </c>
      <c r="F12" s="131"/>
      <c r="G12" s="131"/>
      <c r="H12" s="131"/>
    </row>
    <row r="13" spans="1:26" x14ac:dyDescent="0.35">
      <c r="A13" s="131" t="s">
        <v>174</v>
      </c>
      <c r="B13" s="131"/>
      <c r="C13" s="131"/>
      <c r="D13" s="131"/>
      <c r="E13" s="130" t="s">
        <v>338</v>
      </c>
      <c r="F13" s="131"/>
      <c r="G13" s="131"/>
      <c r="H13" s="131"/>
      <c r="S13" s="54" t="s">
        <v>181</v>
      </c>
      <c r="T13" s="54" t="s">
        <v>191</v>
      </c>
      <c r="U13" s="54" t="s">
        <v>175</v>
      </c>
      <c r="V13" s="54" t="s">
        <v>196</v>
      </c>
      <c r="W13" s="54" t="s">
        <v>214</v>
      </c>
      <c r="X13"/>
      <c r="Y13" t="s">
        <v>196</v>
      </c>
      <c r="Z13" t="e">
        <f ca="1">OFFSET($S$13,1,MATCH($G20,$S$13:$W$13,0)-1,15,1)</f>
        <v>#VALUE!</v>
      </c>
    </row>
    <row r="14" spans="1:26" x14ac:dyDescent="0.35">
      <c r="A14" s="88" t="s">
        <v>282</v>
      </c>
      <c r="B14" s="88"/>
      <c r="C14" s="88"/>
      <c r="D14" s="88"/>
      <c r="E14" s="166" t="s">
        <v>373</v>
      </c>
      <c r="F14" s="166"/>
      <c r="G14" s="166"/>
      <c r="H14" s="166"/>
      <c r="S14" s="54" t="s">
        <v>182</v>
      </c>
      <c r="T14" s="54" t="s">
        <v>189</v>
      </c>
      <c r="U14" s="54" t="s">
        <v>211</v>
      </c>
      <c r="V14" s="54" t="s">
        <v>197</v>
      </c>
      <c r="W14" s="54" t="s">
        <v>215</v>
      </c>
      <c r="X14"/>
      <c r="Y14"/>
      <c r="Z14"/>
    </row>
    <row r="15" spans="1:26" x14ac:dyDescent="0.35">
      <c r="A15" s="88" t="s">
        <v>8</v>
      </c>
      <c r="B15" s="88"/>
      <c r="C15" s="88"/>
      <c r="D15" s="88"/>
      <c r="E15" s="166" t="s">
        <v>337</v>
      </c>
      <c r="F15" s="159"/>
      <c r="G15" s="159"/>
      <c r="H15" s="159"/>
      <c r="I15" s="81" t="e">
        <f ca="1">OFFSET($D$5,1,MATCH($J13,$D$5:$H$5,0)-1,15,1)</f>
        <v>#N/A</v>
      </c>
      <c r="J15" s="82"/>
      <c r="K15" s="82"/>
      <c r="L15" s="82"/>
      <c r="M15" s="82"/>
      <c r="N15" s="82"/>
      <c r="O15" s="82"/>
      <c r="P15" s="82"/>
      <c r="S15" s="54" t="s">
        <v>183</v>
      </c>
      <c r="T15" s="54" t="s">
        <v>190</v>
      </c>
      <c r="U15" s="54" t="s">
        <v>212</v>
      </c>
      <c r="V15" s="54" t="s">
        <v>198</v>
      </c>
      <c r="W15" s="54" t="s">
        <v>228</v>
      </c>
      <c r="X15"/>
      <c r="Y15"/>
      <c r="Z15"/>
    </row>
    <row r="16" spans="1:26" ht="48.75" customHeight="1" x14ac:dyDescent="0.35">
      <c r="A16" s="97" t="s">
        <v>9</v>
      </c>
      <c r="B16" s="97"/>
      <c r="C16" s="97" t="str">
        <f>CONCATENATE((IF(OR(E9="",E9="NA"),"",E9)),", ",(IF(OR(A17="",A17="NA"),"",A17)),".",(IF(OR(C17="",C17="NA"),"",C17)),", near ",(IF(OR(C22="",C22="NA"),"",C22)),", ",(IF(OR(C19="",C19="NA"),"",C19)),", ",(IF(OR(C18="",C18="NA"),"",C18)),", ",(IF(OR(G19="",G19="NA"),"",G19)),", ",(IF(OR(C20="",C20="NA"),"",C20)),", ",(IF(OR(C21="",C21="NA"),"",C21)),", ",(IF(OR(G20="",G20="NA"),"",G20))," - ",(IF(OR(G21="",G21="NA"),"",G21)),".")</f>
        <v>Evaana, Plot No.492/93 &amp; CTS No. E/74, Redevelopement of "Oscar Apartments CHSL", near Regency Terraces, Khar Danda Road, Khar, Bandra, Khar West, Andheri, Mumbai - 400051.</v>
      </c>
      <c r="D16" s="97"/>
      <c r="E16" s="97"/>
      <c r="F16" s="97"/>
      <c r="G16" s="97"/>
      <c r="H16" s="97"/>
      <c r="S16" s="54" t="s">
        <v>184</v>
      </c>
      <c r="T16" s="54" t="s">
        <v>192</v>
      </c>
      <c r="U16" s="54" t="s">
        <v>213</v>
      </c>
      <c r="V16" s="54" t="s">
        <v>199</v>
      </c>
      <c r="W16" s="54" t="s">
        <v>216</v>
      </c>
      <c r="X16"/>
      <c r="Y16"/>
      <c r="Z16"/>
    </row>
    <row r="17" spans="1:26" x14ac:dyDescent="0.35">
      <c r="A17" s="166" t="s">
        <v>339</v>
      </c>
      <c r="B17" s="166"/>
      <c r="C17" s="166" t="s">
        <v>378</v>
      </c>
      <c r="D17" s="166"/>
      <c r="E17" s="166"/>
      <c r="F17" s="166"/>
      <c r="G17" s="166"/>
      <c r="H17" s="166"/>
      <c r="S17" s="54" t="s">
        <v>185</v>
      </c>
      <c r="T17" s="54" t="s">
        <v>193</v>
      </c>
      <c r="U17" s="54" t="s">
        <v>175</v>
      </c>
      <c r="V17" s="54" t="s">
        <v>200</v>
      </c>
      <c r="W17" s="54" t="s">
        <v>217</v>
      </c>
      <c r="X17"/>
      <c r="Y17"/>
      <c r="Z17"/>
    </row>
    <row r="18" spans="1:26" ht="15.75" customHeight="1" x14ac:dyDescent="0.35">
      <c r="A18" s="130" t="s">
        <v>165</v>
      </c>
      <c r="B18" s="130"/>
      <c r="C18" s="130" t="s">
        <v>341</v>
      </c>
      <c r="D18" s="130"/>
      <c r="E18" s="130"/>
      <c r="F18" s="130"/>
      <c r="G18" s="130"/>
      <c r="H18" s="130"/>
      <c r="S18" s="54" t="s">
        <v>186</v>
      </c>
      <c r="T18" s="54" t="s">
        <v>191</v>
      </c>
      <c r="U18" s="54"/>
      <c r="V18" s="54" t="s">
        <v>201</v>
      </c>
      <c r="W18" s="54" t="s">
        <v>218</v>
      </c>
      <c r="X18"/>
      <c r="Y18"/>
      <c r="Z18"/>
    </row>
    <row r="19" spans="1:26" ht="15.75" customHeight="1" x14ac:dyDescent="0.35">
      <c r="A19" s="97" t="s">
        <v>10</v>
      </c>
      <c r="B19" s="97"/>
      <c r="C19" s="131" t="s">
        <v>342</v>
      </c>
      <c r="D19" s="131"/>
      <c r="E19" s="97" t="s">
        <v>70</v>
      </c>
      <c r="F19" s="97"/>
      <c r="G19" s="130" t="s">
        <v>340</v>
      </c>
      <c r="H19" s="130"/>
      <c r="S19" s="54" t="s">
        <v>187</v>
      </c>
      <c r="T19" s="54" t="s">
        <v>194</v>
      </c>
      <c r="U19" s="54"/>
      <c r="V19" s="54" t="s">
        <v>202</v>
      </c>
      <c r="W19" s="54" t="s">
        <v>219</v>
      </c>
      <c r="X19"/>
      <c r="Y19"/>
      <c r="Z19"/>
    </row>
    <row r="20" spans="1:26" x14ac:dyDescent="0.35">
      <c r="A20" s="88" t="s">
        <v>12</v>
      </c>
      <c r="B20" s="88"/>
      <c r="C20" s="130" t="s">
        <v>344</v>
      </c>
      <c r="D20" s="130"/>
      <c r="E20" s="97" t="s">
        <v>11</v>
      </c>
      <c r="F20" s="97"/>
      <c r="G20" s="168" t="s">
        <v>175</v>
      </c>
      <c r="H20" s="168"/>
      <c r="S20" s="54" t="s">
        <v>188</v>
      </c>
      <c r="T20" s="54" t="s">
        <v>195</v>
      </c>
      <c r="U20" s="54"/>
      <c r="V20" s="54" t="s">
        <v>203</v>
      </c>
      <c r="W20" s="54" t="s">
        <v>220</v>
      </c>
      <c r="X20"/>
      <c r="Y20"/>
      <c r="Z20"/>
    </row>
    <row r="21" spans="1:26" x14ac:dyDescent="0.35">
      <c r="A21" s="88" t="s">
        <v>71</v>
      </c>
      <c r="B21" s="88"/>
      <c r="C21" s="166" t="s">
        <v>211</v>
      </c>
      <c r="D21" s="166"/>
      <c r="E21" s="97" t="s">
        <v>13</v>
      </c>
      <c r="F21" s="97"/>
      <c r="G21" s="130">
        <v>400051</v>
      </c>
      <c r="H21" s="130"/>
      <c r="S21" s="54"/>
      <c r="T21" s="54"/>
      <c r="U21" s="54"/>
      <c r="V21" s="54" t="s">
        <v>204</v>
      </c>
      <c r="W21" s="54" t="s">
        <v>221</v>
      </c>
      <c r="X21"/>
      <c r="Y21"/>
      <c r="Z21"/>
    </row>
    <row r="22" spans="1:26" ht="32.25" customHeight="1" x14ac:dyDescent="0.35">
      <c r="A22" s="88" t="s">
        <v>121</v>
      </c>
      <c r="B22" s="88"/>
      <c r="C22" s="130" t="s">
        <v>345</v>
      </c>
      <c r="D22" s="130"/>
      <c r="E22" s="97" t="s">
        <v>14</v>
      </c>
      <c r="F22" s="97"/>
      <c r="G22" s="166" t="s">
        <v>343</v>
      </c>
      <c r="H22" s="166"/>
      <c r="S22" s="54"/>
      <c r="T22" s="54"/>
      <c r="U22" s="54"/>
      <c r="V22" s="54" t="s">
        <v>205</v>
      </c>
      <c r="W22" s="54" t="s">
        <v>222</v>
      </c>
      <c r="X22"/>
      <c r="Y22"/>
      <c r="Z22"/>
    </row>
    <row r="23" spans="1:26" ht="15" customHeight="1" x14ac:dyDescent="0.35">
      <c r="A23" s="97" t="s">
        <v>73</v>
      </c>
      <c r="B23" s="97"/>
      <c r="C23" s="97"/>
      <c r="D23" s="97"/>
      <c r="E23" s="131" t="s">
        <v>15</v>
      </c>
      <c r="F23" s="131"/>
      <c r="G23" s="131"/>
      <c r="H23" s="131"/>
      <c r="S23" s="54"/>
      <c r="T23" s="54"/>
      <c r="U23" s="54"/>
      <c r="V23" s="54" t="s">
        <v>206</v>
      </c>
      <c r="W23" s="54" t="s">
        <v>223</v>
      </c>
      <c r="X23"/>
      <c r="Y23"/>
      <c r="Z23"/>
    </row>
    <row r="24" spans="1:26" ht="18.75" customHeight="1" x14ac:dyDescent="0.35">
      <c r="A24" s="97"/>
      <c r="B24" s="97"/>
      <c r="C24" s="97"/>
      <c r="D24" s="97"/>
      <c r="E24" s="131"/>
      <c r="F24" s="131"/>
      <c r="G24" s="131"/>
      <c r="H24" s="131"/>
      <c r="S24" s="54"/>
      <c r="T24" s="54"/>
      <c r="U24" s="54"/>
      <c r="V24" s="54" t="s">
        <v>207</v>
      </c>
      <c r="W24" s="54" t="s">
        <v>224</v>
      </c>
      <c r="X24"/>
      <c r="Y24"/>
      <c r="Z24"/>
    </row>
    <row r="25" spans="1:26" ht="15" customHeight="1" x14ac:dyDescent="0.35">
      <c r="A25" s="97" t="s">
        <v>16</v>
      </c>
      <c r="B25" s="97"/>
      <c r="C25" s="97"/>
      <c r="D25" s="97"/>
      <c r="E25" s="130" t="s">
        <v>17</v>
      </c>
      <c r="F25" s="130"/>
      <c r="G25" s="130"/>
      <c r="H25" s="130"/>
      <c r="S25" s="54"/>
      <c r="T25" s="54"/>
      <c r="U25" s="54"/>
      <c r="V25" s="54" t="s">
        <v>208</v>
      </c>
      <c r="W25" s="54" t="s">
        <v>225</v>
      </c>
      <c r="X25"/>
      <c r="Y25"/>
      <c r="Z25"/>
    </row>
    <row r="26" spans="1:26" ht="15" customHeight="1" x14ac:dyDescent="0.35">
      <c r="A26" s="88" t="s">
        <v>18</v>
      </c>
      <c r="B26" s="88"/>
      <c r="C26" s="88"/>
      <c r="D26" s="88"/>
      <c r="E26" s="130" t="str">
        <f>IF(AND(G20="Mumbai"),"Upper Class","Middle Class")</f>
        <v>Upper Class</v>
      </c>
      <c r="F26" s="130"/>
      <c r="G26" s="130"/>
      <c r="H26" s="130"/>
      <c r="S26" s="54"/>
      <c r="T26" s="54"/>
      <c r="U26" s="54"/>
      <c r="V26" s="54" t="s">
        <v>209</v>
      </c>
      <c r="W26" s="54" t="s">
        <v>226</v>
      </c>
      <c r="X26"/>
      <c r="Y26"/>
      <c r="Z26"/>
    </row>
    <row r="27" spans="1:26" x14ac:dyDescent="0.35">
      <c r="A27" s="88" t="s">
        <v>19</v>
      </c>
      <c r="B27" s="88"/>
      <c r="C27" s="88"/>
      <c r="D27" s="88"/>
      <c r="E27" s="130" t="s">
        <v>20</v>
      </c>
      <c r="F27" s="130"/>
      <c r="G27" s="130"/>
      <c r="H27" s="130"/>
      <c r="S27" s="54"/>
      <c r="T27" s="54"/>
      <c r="U27" s="54"/>
      <c r="V27" s="54" t="s">
        <v>210</v>
      </c>
      <c r="W27" s="54" t="s">
        <v>227</v>
      </c>
      <c r="X27"/>
      <c r="Y27"/>
      <c r="Z27"/>
    </row>
    <row r="28" spans="1:26" ht="15.75" customHeight="1" x14ac:dyDescent="0.35">
      <c r="A28" s="88" t="s">
        <v>21</v>
      </c>
      <c r="B28" s="88"/>
      <c r="C28" s="88"/>
      <c r="D28" s="88"/>
      <c r="E28" s="130" t="str">
        <f>IF(AND(G20="Mumbai"),"Developed","Developing")</f>
        <v>Developed</v>
      </c>
      <c r="F28" s="130"/>
      <c r="G28" s="130"/>
      <c r="H28" s="130"/>
    </row>
    <row r="29" spans="1:26" x14ac:dyDescent="0.35">
      <c r="A29" s="88" t="s">
        <v>22</v>
      </c>
      <c r="B29" s="88"/>
      <c r="C29" s="88"/>
      <c r="D29" s="88"/>
      <c r="E29" s="130" t="s">
        <v>23</v>
      </c>
      <c r="F29" s="130"/>
      <c r="G29" s="130"/>
      <c r="H29" s="130"/>
    </row>
    <row r="30" spans="1:26" ht="15.75" customHeight="1" x14ac:dyDescent="0.35">
      <c r="A30" s="88" t="s">
        <v>78</v>
      </c>
      <c r="B30" s="88"/>
      <c r="C30" s="88"/>
      <c r="D30" s="88"/>
      <c r="E30" s="130" t="s">
        <v>79</v>
      </c>
      <c r="F30" s="130"/>
      <c r="G30" s="130"/>
      <c r="H30" s="130"/>
    </row>
    <row r="31" spans="1:26" ht="15" customHeight="1" x14ac:dyDescent="0.35">
      <c r="A31" s="88" t="s">
        <v>30</v>
      </c>
      <c r="B31" s="88"/>
      <c r="C31" s="88"/>
      <c r="D31" s="88"/>
      <c r="E31" s="13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30"/>
      <c r="G31" s="130"/>
      <c r="H31" s="130"/>
    </row>
    <row r="32" spans="1:26" ht="15.75" customHeight="1" x14ac:dyDescent="0.35">
      <c r="A32" s="88" t="s">
        <v>90</v>
      </c>
      <c r="B32" s="88"/>
      <c r="C32" s="88"/>
      <c r="D32" s="88"/>
      <c r="E32" s="130" t="s">
        <v>31</v>
      </c>
      <c r="F32" s="130"/>
      <c r="G32" s="130"/>
      <c r="H32" s="130"/>
    </row>
    <row r="33" spans="1:19" s="22" customFormat="1" x14ac:dyDescent="0.35">
      <c r="A33" s="171" t="s">
        <v>91</v>
      </c>
      <c r="B33" s="171"/>
      <c r="C33" s="170" t="s">
        <v>176</v>
      </c>
      <c r="D33" s="170"/>
      <c r="E33" s="170"/>
      <c r="F33" s="170" t="s">
        <v>29</v>
      </c>
      <c r="G33" s="170"/>
      <c r="H33" s="170"/>
      <c r="S33" s="22" t="e">
        <f ca="1">OFFSET($S$13,1,MATCH($G20,$S$13:$W$13,0)-1,15,1)</f>
        <v>#VALUE!</v>
      </c>
    </row>
    <row r="34" spans="1:19" s="22" customFormat="1" x14ac:dyDescent="0.35">
      <c r="A34" s="169" t="s">
        <v>24</v>
      </c>
      <c r="B34" s="169" t="s">
        <v>28</v>
      </c>
      <c r="C34" s="167" t="s">
        <v>348</v>
      </c>
      <c r="D34" s="167"/>
      <c r="E34" s="167"/>
      <c r="F34" s="167" t="s">
        <v>350</v>
      </c>
      <c r="G34" s="167"/>
      <c r="H34" s="167"/>
    </row>
    <row r="35" spans="1:19" x14ac:dyDescent="0.35">
      <c r="A35" s="169" t="s">
        <v>25</v>
      </c>
      <c r="B35" s="169" t="s">
        <v>28</v>
      </c>
      <c r="C35" s="167" t="s">
        <v>347</v>
      </c>
      <c r="D35" s="167"/>
      <c r="E35" s="167"/>
      <c r="F35" s="167" t="s">
        <v>349</v>
      </c>
      <c r="G35" s="167"/>
      <c r="H35" s="167"/>
    </row>
    <row r="36" spans="1:19" s="22" customFormat="1" x14ac:dyDescent="0.35">
      <c r="A36" s="169" t="s">
        <v>27</v>
      </c>
      <c r="B36" s="169" t="s">
        <v>28</v>
      </c>
      <c r="C36" s="167" t="s">
        <v>346</v>
      </c>
      <c r="D36" s="167"/>
      <c r="E36" s="167"/>
      <c r="F36" s="167" t="s">
        <v>342</v>
      </c>
      <c r="G36" s="167"/>
      <c r="H36" s="167"/>
    </row>
    <row r="37" spans="1:19" x14ac:dyDescent="0.35">
      <c r="A37" s="169" t="s">
        <v>26</v>
      </c>
      <c r="B37" s="169" t="s">
        <v>28</v>
      </c>
      <c r="C37" s="167" t="s">
        <v>348</v>
      </c>
      <c r="D37" s="167"/>
      <c r="E37" s="167"/>
      <c r="F37" s="167" t="s">
        <v>351</v>
      </c>
      <c r="G37" s="167"/>
      <c r="H37" s="167"/>
    </row>
    <row r="38" spans="1:19" x14ac:dyDescent="0.35">
      <c r="A38" s="88" t="s">
        <v>283</v>
      </c>
      <c r="B38" s="88"/>
      <c r="C38" s="88"/>
      <c r="D38" s="88"/>
      <c r="E38" s="88"/>
      <c r="F38" s="88"/>
      <c r="G38" s="88"/>
      <c r="H38" s="88"/>
    </row>
    <row r="39" spans="1:19" ht="15.75" customHeight="1" x14ac:dyDescent="0.35">
      <c r="A39" s="88" t="s">
        <v>168</v>
      </c>
      <c r="B39" s="88"/>
      <c r="C39" s="145" t="s">
        <v>353</v>
      </c>
      <c r="D39" s="145"/>
      <c r="E39" s="145"/>
      <c r="F39" s="145"/>
      <c r="G39" s="145"/>
      <c r="H39" s="145"/>
    </row>
    <row r="40" spans="1:19" x14ac:dyDescent="0.35">
      <c r="A40" s="88" t="s">
        <v>164</v>
      </c>
      <c r="B40" s="88"/>
      <c r="C40" s="210" t="s">
        <v>352</v>
      </c>
      <c r="D40" s="130"/>
      <c r="E40" s="130"/>
      <c r="F40" s="130"/>
      <c r="G40" s="130"/>
      <c r="H40" s="130"/>
    </row>
    <row r="41" spans="1:19" x14ac:dyDescent="0.35">
      <c r="A41" s="145" t="s">
        <v>32</v>
      </c>
      <c r="B41" s="145"/>
      <c r="C41" s="145"/>
      <c r="D41" s="145"/>
      <c r="E41" s="145"/>
      <c r="F41" s="145"/>
      <c r="G41" s="145"/>
      <c r="H41" s="145"/>
    </row>
    <row r="42" spans="1:19" x14ac:dyDescent="0.35">
      <c r="A42" s="88" t="s">
        <v>33</v>
      </c>
      <c r="B42" s="88"/>
      <c r="C42" s="88"/>
      <c r="D42" s="88"/>
      <c r="E42" s="178">
        <v>1333.44</v>
      </c>
      <c r="F42" s="178"/>
      <c r="G42" s="178"/>
      <c r="H42" s="178"/>
    </row>
    <row r="43" spans="1:19" x14ac:dyDescent="0.35">
      <c r="A43" s="88" t="s">
        <v>34</v>
      </c>
      <c r="B43" s="88"/>
      <c r="C43" s="88"/>
      <c r="D43" s="88"/>
      <c r="E43" s="184">
        <v>1</v>
      </c>
      <c r="F43" s="184"/>
      <c r="G43" s="184"/>
      <c r="H43" s="184"/>
    </row>
    <row r="44" spans="1:19" x14ac:dyDescent="0.35">
      <c r="A44" s="88" t="s">
        <v>35</v>
      </c>
      <c r="B44" s="88"/>
      <c r="C44" s="88"/>
      <c r="D44" s="88"/>
      <c r="E44" s="184">
        <f>E46/E42-E43</f>
        <v>2.3052030837532995</v>
      </c>
      <c r="F44" s="184"/>
      <c r="G44" s="184"/>
      <c r="H44" s="184"/>
    </row>
    <row r="45" spans="1:19" x14ac:dyDescent="0.35">
      <c r="A45" s="88" t="s">
        <v>36</v>
      </c>
      <c r="B45" s="88"/>
      <c r="C45" s="88"/>
      <c r="D45" s="88"/>
      <c r="E45" s="184">
        <f>E43+E44</f>
        <v>3.3052030837532995</v>
      </c>
      <c r="F45" s="184"/>
      <c r="G45" s="184"/>
      <c r="H45" s="184"/>
    </row>
    <row r="46" spans="1:19" x14ac:dyDescent="0.35">
      <c r="A46" s="88" t="s">
        <v>89</v>
      </c>
      <c r="B46" s="88"/>
      <c r="C46" s="88"/>
      <c r="D46" s="88"/>
      <c r="E46" s="185">
        <v>4407.29</v>
      </c>
      <c r="F46" s="185"/>
      <c r="G46" s="185"/>
      <c r="H46" s="185"/>
    </row>
    <row r="47" spans="1:19" x14ac:dyDescent="0.35">
      <c r="A47" s="131" t="s">
        <v>37</v>
      </c>
      <c r="B47" s="131"/>
      <c r="C47" s="131"/>
      <c r="D47" s="131"/>
      <c r="E47" s="159" t="s">
        <v>119</v>
      </c>
      <c r="F47" s="159"/>
      <c r="G47" s="159"/>
      <c r="H47" s="159"/>
    </row>
    <row r="48" spans="1:19" x14ac:dyDescent="0.35">
      <c r="A48" s="145" t="s">
        <v>38</v>
      </c>
      <c r="B48" s="145"/>
      <c r="C48" s="145"/>
      <c r="D48" s="145"/>
      <c r="E48" s="145"/>
      <c r="F48" s="145"/>
      <c r="G48" s="145"/>
      <c r="H48" s="145"/>
    </row>
    <row r="49" spans="1:24" ht="33.75" customHeight="1" x14ac:dyDescent="0.35">
      <c r="A49" s="97" t="s">
        <v>153</v>
      </c>
      <c r="B49" s="97"/>
      <c r="C49" s="98" t="s">
        <v>258</v>
      </c>
      <c r="D49" s="98"/>
      <c r="E49" s="98"/>
      <c r="F49" s="98"/>
      <c r="G49" s="98"/>
      <c r="H49" s="98"/>
      <c r="R49" t="s">
        <v>256</v>
      </c>
      <c r="S49" t="s">
        <v>175</v>
      </c>
      <c r="T49" t="s">
        <v>181</v>
      </c>
      <c r="U49" t="s">
        <v>196</v>
      </c>
      <c r="V49" t="s">
        <v>191</v>
      </c>
    </row>
    <row r="50" spans="1:24" ht="32.25" customHeight="1" x14ac:dyDescent="0.35">
      <c r="A50" s="104" t="s">
        <v>39</v>
      </c>
      <c r="B50" s="105"/>
      <c r="C50" s="104" t="s">
        <v>399</v>
      </c>
      <c r="D50" s="114"/>
      <c r="E50" s="105"/>
      <c r="F50" s="18" t="s">
        <v>40</v>
      </c>
      <c r="G50" s="109">
        <v>45841</v>
      </c>
      <c r="H50" s="105"/>
      <c r="R50"/>
      <c r="S50" t="s">
        <v>257</v>
      </c>
      <c r="T50" t="s">
        <v>262</v>
      </c>
      <c r="U50" t="s">
        <v>273</v>
      </c>
      <c r="V50" t="s">
        <v>278</v>
      </c>
    </row>
    <row r="51" spans="1:24" ht="30.75" customHeight="1" x14ac:dyDescent="0.35">
      <c r="A51" s="104" t="s">
        <v>41</v>
      </c>
      <c r="B51" s="105"/>
      <c r="C51" s="104" t="str">
        <f>C50</f>
        <v>P-9911/2021/(74)/H/W Ward/BANDRA-E/337/1/Amend</v>
      </c>
      <c r="D51" s="114"/>
      <c r="E51" s="105"/>
      <c r="F51" s="18" t="s">
        <v>40</v>
      </c>
      <c r="G51" s="109">
        <f>G50</f>
        <v>45841</v>
      </c>
      <c r="H51" s="105"/>
      <c r="R51"/>
      <c r="S51" t="s">
        <v>258</v>
      </c>
      <c r="T51" t="s">
        <v>263</v>
      </c>
      <c r="U51" t="s">
        <v>271</v>
      </c>
      <c r="V51" t="s">
        <v>279</v>
      </c>
    </row>
    <row r="52" spans="1:24" s="23" customFormat="1" ht="32.25" customHeight="1" x14ac:dyDescent="0.35">
      <c r="A52" s="110" t="s">
        <v>157</v>
      </c>
      <c r="B52" s="111"/>
      <c r="C52" s="104" t="s">
        <v>383</v>
      </c>
      <c r="D52" s="114"/>
      <c r="E52" s="105"/>
      <c r="F52" s="18" t="s">
        <v>40</v>
      </c>
      <c r="G52" s="109">
        <v>45867</v>
      </c>
      <c r="H52" s="105"/>
      <c r="R52"/>
      <c r="S52" t="s">
        <v>259</v>
      </c>
      <c r="T52" t="s">
        <v>264</v>
      </c>
      <c r="U52" t="s">
        <v>261</v>
      </c>
      <c r="V52" t="s">
        <v>280</v>
      </c>
    </row>
    <row r="53" spans="1:24" s="23" customFormat="1" ht="48.75" customHeight="1" x14ac:dyDescent="0.35">
      <c r="A53" s="112"/>
      <c r="B53" s="113"/>
      <c r="C53" s="104" t="s">
        <v>384</v>
      </c>
      <c r="D53" s="114"/>
      <c r="E53" s="105"/>
      <c r="F53" s="18" t="s">
        <v>120</v>
      </c>
      <c r="G53" s="109">
        <v>46181</v>
      </c>
      <c r="H53" s="105"/>
      <c r="R53"/>
      <c r="S53" t="s">
        <v>260</v>
      </c>
      <c r="T53" t="s">
        <v>267</v>
      </c>
      <c r="U53" t="s">
        <v>274</v>
      </c>
    </row>
    <row r="54" spans="1:24" s="23" customFormat="1" ht="31.5" customHeight="1" x14ac:dyDescent="0.35">
      <c r="A54" s="201" t="s">
        <v>284</v>
      </c>
      <c r="B54" s="202"/>
      <c r="C54" s="104" t="s">
        <v>354</v>
      </c>
      <c r="D54" s="114"/>
      <c r="E54" s="105"/>
      <c r="F54" s="18" t="s">
        <v>40</v>
      </c>
      <c r="G54" s="109">
        <v>44596</v>
      </c>
      <c r="H54" s="105"/>
      <c r="R54"/>
      <c r="S54" t="s">
        <v>259</v>
      </c>
      <c r="T54" t="s">
        <v>264</v>
      </c>
      <c r="U54" t="s">
        <v>261</v>
      </c>
      <c r="V54" t="s">
        <v>280</v>
      </c>
    </row>
    <row r="55" spans="1:24" s="23" customFormat="1" x14ac:dyDescent="0.35">
      <c r="A55" s="203"/>
      <c r="B55" s="204"/>
      <c r="C55" s="196" t="s">
        <v>355</v>
      </c>
      <c r="D55" s="197"/>
      <c r="E55" s="197"/>
      <c r="F55" s="197"/>
      <c r="G55" s="197"/>
      <c r="H55" s="198"/>
      <c r="R55"/>
      <c r="S55" t="s">
        <v>261</v>
      </c>
      <c r="T55" t="s">
        <v>265</v>
      </c>
      <c r="U55" t="s">
        <v>275</v>
      </c>
      <c r="V55" s="21"/>
      <c r="W55" s="21"/>
      <c r="X55" s="21"/>
    </row>
    <row r="56" spans="1:24" s="23" customFormat="1" ht="34.5" hidden="1" customHeight="1" x14ac:dyDescent="0.35">
      <c r="A56" s="205" t="s">
        <v>285</v>
      </c>
      <c r="B56" s="206"/>
      <c r="C56" s="104" t="str">
        <f>C55</f>
        <v>B + G + 1P to 3P + 4th to 17th Floor (Total Height = 59.75 mts)</v>
      </c>
      <c r="D56" s="114"/>
      <c r="E56" s="105"/>
      <c r="F56" s="18" t="s">
        <v>40</v>
      </c>
      <c r="G56" s="104">
        <f>G55</f>
        <v>0</v>
      </c>
      <c r="H56" s="105"/>
      <c r="R56"/>
      <c r="S56" s="21"/>
      <c r="T56" t="s">
        <v>266</v>
      </c>
      <c r="U56" t="s">
        <v>276</v>
      </c>
      <c r="V56" s="21"/>
      <c r="W56" s="21"/>
      <c r="X56" s="21"/>
    </row>
    <row r="57" spans="1:24" s="23" customFormat="1" ht="41.25" hidden="1" customHeight="1" x14ac:dyDescent="0.35">
      <c r="A57" s="207"/>
      <c r="B57" s="208"/>
      <c r="C57" s="104"/>
      <c r="D57" s="114"/>
      <c r="E57" s="114"/>
      <c r="F57" s="114"/>
      <c r="G57" s="114"/>
      <c r="H57" s="105"/>
      <c r="R57"/>
      <c r="S57" s="21"/>
      <c r="T57" t="s">
        <v>268</v>
      </c>
      <c r="U57" t="s">
        <v>277</v>
      </c>
      <c r="V57" s="21"/>
      <c r="W57" s="21"/>
      <c r="X57" s="21"/>
    </row>
    <row r="58" spans="1:24" s="23" customFormat="1" ht="15.75" hidden="1" customHeight="1" x14ac:dyDescent="0.35">
      <c r="A58" s="205" t="s">
        <v>286</v>
      </c>
      <c r="B58" s="206"/>
      <c r="C58" s="104">
        <f>C57</f>
        <v>0</v>
      </c>
      <c r="D58" s="114"/>
      <c r="E58" s="105"/>
      <c r="F58" s="18" t="s">
        <v>40</v>
      </c>
      <c r="G58" s="104">
        <f>G57</f>
        <v>0</v>
      </c>
      <c r="H58" s="105"/>
      <c r="R58"/>
      <c r="S58" s="21"/>
      <c r="T58" t="s">
        <v>269</v>
      </c>
      <c r="U58" s="21" t="s">
        <v>300</v>
      </c>
      <c r="V58" s="21"/>
      <c r="W58" s="21"/>
      <c r="X58" s="21"/>
    </row>
    <row r="59" spans="1:24" s="23" customFormat="1" ht="33.75" hidden="1" customHeight="1" x14ac:dyDescent="0.35">
      <c r="A59" s="207"/>
      <c r="B59" s="208"/>
      <c r="C59" s="104"/>
      <c r="D59" s="114"/>
      <c r="E59" s="114"/>
      <c r="F59" s="114"/>
      <c r="G59" s="114"/>
      <c r="H59" s="105"/>
      <c r="R59"/>
      <c r="S59" s="21"/>
      <c r="T59" t="s">
        <v>270</v>
      </c>
      <c r="U59" s="21"/>
      <c r="V59" s="21"/>
      <c r="W59" s="21"/>
      <c r="X59" s="21"/>
    </row>
    <row r="60" spans="1:24" x14ac:dyDescent="0.35">
      <c r="A60" s="91" t="s">
        <v>42</v>
      </c>
      <c r="B60" s="92"/>
      <c r="C60" s="91" t="s">
        <v>103</v>
      </c>
      <c r="D60" s="93"/>
      <c r="E60" s="92"/>
      <c r="F60" s="45" t="s">
        <v>40</v>
      </c>
      <c r="G60" s="199" t="s">
        <v>28</v>
      </c>
      <c r="H60" s="200"/>
      <c r="R60"/>
      <c r="T60" t="s">
        <v>272</v>
      </c>
    </row>
    <row r="61" spans="1:24" x14ac:dyDescent="0.35">
      <c r="A61" s="153" t="s">
        <v>44</v>
      </c>
      <c r="B61" s="153"/>
      <c r="C61" s="153"/>
      <c r="D61" s="153"/>
      <c r="E61" s="153"/>
      <c r="F61" s="153"/>
      <c r="G61" s="153"/>
      <c r="H61" s="153"/>
      <c r="T61" t="s">
        <v>281</v>
      </c>
    </row>
    <row r="62" spans="1:24" x14ac:dyDescent="0.35">
      <c r="A62" s="97" t="s">
        <v>88</v>
      </c>
      <c r="B62" s="97"/>
      <c r="C62" s="97"/>
      <c r="D62" s="88">
        <f>E46</f>
        <v>4407.29</v>
      </c>
      <c r="E62" s="88"/>
      <c r="F62" s="88"/>
      <c r="G62" s="88"/>
      <c r="H62" s="88"/>
      <c r="R62"/>
    </row>
    <row r="63" spans="1:24" x14ac:dyDescent="0.35">
      <c r="A63" s="130" t="s">
        <v>45</v>
      </c>
      <c r="B63" s="131"/>
      <c r="C63" s="131"/>
      <c r="D63" s="131" t="s">
        <v>395</v>
      </c>
      <c r="E63" s="131"/>
      <c r="F63" s="131"/>
      <c r="G63" s="131"/>
      <c r="H63" s="131"/>
      <c r="I63" s="24"/>
      <c r="R63"/>
    </row>
    <row r="64" spans="1:24" x14ac:dyDescent="0.35">
      <c r="A64" s="128" t="s">
        <v>46</v>
      </c>
      <c r="B64" s="129"/>
      <c r="C64" s="216"/>
      <c r="D64" s="214" t="s">
        <v>394</v>
      </c>
      <c r="E64" s="215"/>
      <c r="F64" s="215"/>
      <c r="G64" s="215"/>
      <c r="H64" s="215"/>
      <c r="R64"/>
    </row>
    <row r="65" spans="1:19" ht="15.75" customHeight="1" x14ac:dyDescent="0.35">
      <c r="A65" s="128" t="s">
        <v>86</v>
      </c>
      <c r="B65" s="129"/>
      <c r="C65" s="129"/>
      <c r="D65" s="130" t="s">
        <v>394</v>
      </c>
      <c r="E65" s="131"/>
      <c r="F65" s="131"/>
      <c r="G65" s="131"/>
      <c r="H65" s="131"/>
      <c r="R65"/>
    </row>
    <row r="66" spans="1:19" ht="15.75" customHeight="1" x14ac:dyDescent="0.35">
      <c r="A66" s="88" t="s">
        <v>43</v>
      </c>
      <c r="B66" s="88"/>
      <c r="C66" s="88"/>
      <c r="D66" s="179" t="s">
        <v>356</v>
      </c>
      <c r="E66" s="179"/>
      <c r="F66" s="179"/>
      <c r="G66" s="179"/>
      <c r="H66" s="179"/>
      <c r="J66" s="25"/>
      <c r="K66" s="24"/>
      <c r="N66" s="24"/>
      <c r="S66"/>
    </row>
    <row r="67" spans="1:19" ht="15.75" customHeight="1" x14ac:dyDescent="0.35">
      <c r="A67" s="88" t="s">
        <v>84</v>
      </c>
      <c r="B67" s="88"/>
      <c r="C67" s="88"/>
      <c r="D67" s="183" t="str">
        <f>(IF(G60="NA","60 Years After Completion",IF(G60&lt;&gt;"NA",""&amp;60-ROUNDDOWN((E3-G60)/360,0)&amp;" Years"," ")))</f>
        <v>60 Years After Completion</v>
      </c>
      <c r="E67" s="183"/>
      <c r="F67" s="183"/>
      <c r="G67" s="183"/>
      <c r="H67" s="183"/>
      <c r="N67" s="24"/>
      <c r="S67"/>
    </row>
    <row r="68" spans="1:19" ht="15.75" customHeight="1" x14ac:dyDescent="0.35">
      <c r="A68" s="88" t="s">
        <v>85</v>
      </c>
      <c r="B68" s="88"/>
      <c r="C68" s="88"/>
      <c r="D68" s="97" t="s">
        <v>23</v>
      </c>
      <c r="E68" s="97"/>
      <c r="F68" s="97"/>
      <c r="G68" s="97"/>
      <c r="H68" s="97"/>
      <c r="J68" s="26"/>
      <c r="K68" s="26"/>
      <c r="S68"/>
    </row>
    <row r="69" spans="1:19" ht="38.5" customHeight="1" x14ac:dyDescent="0.35">
      <c r="A69" s="159" t="s">
        <v>375</v>
      </c>
      <c r="B69" s="159"/>
      <c r="C69" s="159"/>
      <c r="D69" s="130" t="s">
        <v>372</v>
      </c>
      <c r="E69" s="97"/>
      <c r="F69" s="97"/>
      <c r="G69" s="97"/>
      <c r="H69" s="97"/>
      <c r="I69" s="21" t="s">
        <v>374</v>
      </c>
      <c r="S69"/>
    </row>
    <row r="70" spans="1:19" x14ac:dyDescent="0.35">
      <c r="A70" s="97" t="s">
        <v>149</v>
      </c>
      <c r="B70" s="97"/>
      <c r="C70" s="97"/>
      <c r="D70" s="97" t="s">
        <v>28</v>
      </c>
      <c r="E70" s="97"/>
      <c r="F70" s="97"/>
      <c r="G70" s="97"/>
      <c r="H70" s="97"/>
      <c r="I70" s="27"/>
      <c r="J70" s="27"/>
      <c r="K70" s="27"/>
      <c r="L70" s="27"/>
      <c r="M70" s="27"/>
      <c r="N70" s="27"/>
    </row>
    <row r="71" spans="1:19" ht="15.75" customHeight="1" x14ac:dyDescent="0.35">
      <c r="A71" s="88" t="s">
        <v>83</v>
      </c>
      <c r="B71" s="88"/>
      <c r="C71" s="88"/>
      <c r="D71" s="130" t="str">
        <f ca="1">(IF(G77&gt;95%,"Nothing",IF(G77&gt;0%,"Cement, Aggregate, Steel, etc",IF(G77=0%,"Work not yet Started"))))</f>
        <v>Cement, Aggregate, Steel, etc</v>
      </c>
      <c r="E71" s="130"/>
      <c r="F71" s="130"/>
      <c r="G71" s="130"/>
      <c r="H71" s="130"/>
      <c r="J71" s="26"/>
      <c r="S71"/>
    </row>
    <row r="72" spans="1:19" ht="33.75" customHeight="1" thickBot="1" x14ac:dyDescent="0.4">
      <c r="A72" s="97" t="s">
        <v>116</v>
      </c>
      <c r="B72" s="97"/>
      <c r="C72" s="97"/>
      <c r="D72" s="130" t="str">
        <f ca="1">(IF(D71="Nothing","Yes",IF(D71="Cement, Aggregate, Steel, etc","Under Construction",IF(D71="Work not yet Started","Work not yet Started"))))</f>
        <v>Under Construction</v>
      </c>
      <c r="E72" s="130"/>
      <c r="F72" s="130" t="str">
        <f ca="1">(IF(D71="Nothing","Yes",IF(D71="Cement, Aggregate, Steel, etc","Under Construction",IF(D71="Work not yet Started","Work not yet Started"))))</f>
        <v>Under Construction</v>
      </c>
      <c r="G72" s="130"/>
      <c r="H72" s="130"/>
      <c r="S72"/>
    </row>
    <row r="73" spans="1:19" ht="15.75" customHeight="1" x14ac:dyDescent="0.35">
      <c r="A73" s="156" t="s">
        <v>139</v>
      </c>
      <c r="B73" s="156"/>
      <c r="C73" s="156" t="str">
        <f>D65</f>
        <v>1B + Gr/St + P1 to P3 + 4th to 17th Floor</v>
      </c>
      <c r="D73" s="156"/>
      <c r="E73" s="156"/>
      <c r="F73" s="156"/>
      <c r="G73" s="156"/>
      <c r="H73" s="156"/>
      <c r="I73" s="79" t="str">
        <f ca="1">IF(D86=100%,"All work Completed. Possession granted to the Building.",IF(D85=100%,"All work Completed, Waiting for OC",I74&amp;""&amp;I75&amp;""&amp;J74&amp;""&amp;J73&amp;" "&amp;J75))</f>
        <v>Excavation, Plinth Completed, RCC upto 11 Slab, Brickwork upto 8 Floor Completed</v>
      </c>
      <c r="J73" s="5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11 Slab, Brickwork upto 8 Floor</v>
      </c>
      <c r="S73"/>
    </row>
    <row r="74" spans="1:19" x14ac:dyDescent="0.35">
      <c r="A74" s="47" t="s">
        <v>141</v>
      </c>
      <c r="B74" s="47">
        <f>IF(AND(ISNUMBER(SEARCH("1B",C73))),1,IF(AND(ISNUMBER(SEARCH("2B",C73))),2,IF(AND(ISNUMBER(SEARCH("3B",C73))),3,IF(AND(ISNUMBER(SEARCH("4B",C73))),4,IF(ISNUMBER(SEARCH("5B",C73)),5,0)))))</f>
        <v>1</v>
      </c>
      <c r="C74" s="47" t="s">
        <v>69</v>
      </c>
      <c r="D74" s="47">
        <v>1</v>
      </c>
      <c r="E74" s="47" t="s">
        <v>68</v>
      </c>
      <c r="F74" s="75">
        <v>0</v>
      </c>
      <c r="G74" s="48" t="s">
        <v>77</v>
      </c>
      <c r="H74" s="47">
        <f ca="1">--TRIM(RIGHT(SUBSTITUTE(LEFT(C73,_xlfn.AGGREGATE(16,6,FIND({0,1,2,3,4,5,6,7,8,9},C73,ROW(INDIRECT("1:"&amp;LEN(C73)))),1))," ",REPT(" ",LEN(C73))),LEN(C73)))</f>
        <v>17</v>
      </c>
      <c r="I74" s="80" t="str">
        <f ca="1">IF(D77=100%,"Excavation","")&amp;IF(D78=100%,", Plinth","")&amp;IF(D79=100%,", RCC Slab","")&amp;IF(D80=100%,", Brickwork","")&amp;IF(D81=100%,", Internal Plaster","")&amp;IF(D82=100%,", External Plaster","")&amp;IF(D83=100%,", Flooring","")&amp;IF(D84=100%,", Painting","")&amp;IF(D85=100%,", Building common Amenities","")</f>
        <v>Excavation, Plinth</v>
      </c>
      <c r="J74" s="52"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1.5" customHeight="1" x14ac:dyDescent="0.35">
      <c r="A75" s="154" t="s">
        <v>87</v>
      </c>
      <c r="B75" s="155"/>
      <c r="C75" s="157" t="str">
        <f ca="1">I73</f>
        <v>Excavation, Plinth Completed, RCC upto 11 Slab, Brickwork upto 8 Floor Completed</v>
      </c>
      <c r="D75" s="157"/>
      <c r="E75" s="157"/>
      <c r="F75" s="157"/>
      <c r="G75" s="157"/>
      <c r="H75" s="158"/>
      <c r="I75" s="51" t="str">
        <f ca="1">IF(I74&lt;&gt;""," Completed","")</f>
        <v xml:space="preserve"> Completed</v>
      </c>
      <c r="J75" s="52" t="str">
        <f ca="1">IF(J73&lt;&gt;"","Completed","")</f>
        <v>Completed</v>
      </c>
      <c r="S75"/>
    </row>
    <row r="76" spans="1:19" ht="15.75" customHeight="1" x14ac:dyDescent="0.35">
      <c r="A76" s="99" t="s">
        <v>47</v>
      </c>
      <c r="B76" s="100"/>
      <c r="C76" s="43" t="s">
        <v>138</v>
      </c>
      <c r="D76" s="43" t="s">
        <v>80</v>
      </c>
      <c r="E76" s="100" t="s">
        <v>82</v>
      </c>
      <c r="F76" s="100"/>
      <c r="G76" s="100" t="s">
        <v>81</v>
      </c>
      <c r="H76" s="140"/>
      <c r="I76" s="13" t="s">
        <v>140</v>
      </c>
      <c r="J76" s="28">
        <f ca="1">H74*25%</f>
        <v>4.25</v>
      </c>
      <c r="S76"/>
    </row>
    <row r="77" spans="1:19" x14ac:dyDescent="0.35">
      <c r="A77" s="99" t="s">
        <v>127</v>
      </c>
      <c r="B77" s="100"/>
      <c r="C77" s="43">
        <f ca="1">J78</f>
        <v>17</v>
      </c>
      <c r="D77" s="19">
        <f ca="1">((100/H74)*C77)/100</f>
        <v>1</v>
      </c>
      <c r="E77" s="172">
        <f ca="1">(((C78/H74*10)+(40/(D74+F74+H74)*C79)+(7.5/(H74)*C80)+(7.5/(H74)*C81)+(10/H74*C82)+(10/H74*C83)+(5/H74*C84)+(5/H74*C85)+(5/H74*C86))/100)</f>
        <v>0.37973856209150325</v>
      </c>
      <c r="F77" s="180"/>
      <c r="G77" s="172">
        <f ca="1">((((C77/H74)*20)+((C78/H74)*25)+(30/(H74+F74+D74)*C79)+(5/H74*C80)+(5/H74*C81)+(5/H74*C82)+(5/H74*C83)+(0/H74*C84)+(0/H74*C85)+(5/H74*C86))/100)</f>
        <v>0.65686274509803921</v>
      </c>
      <c r="H77" s="173"/>
      <c r="I77" s="13" t="s">
        <v>98</v>
      </c>
      <c r="J77" s="29">
        <f ca="1">H74*50%</f>
        <v>8.5</v>
      </c>
    </row>
    <row r="78" spans="1:19" x14ac:dyDescent="0.35">
      <c r="A78" s="99" t="s">
        <v>48</v>
      </c>
      <c r="B78" s="100"/>
      <c r="C78" s="43">
        <f ca="1">J86</f>
        <v>17</v>
      </c>
      <c r="D78" s="19">
        <f ca="1">((100/H74)*C78)/100</f>
        <v>1</v>
      </c>
      <c r="E78" s="174"/>
      <c r="F78" s="181"/>
      <c r="G78" s="174"/>
      <c r="H78" s="175"/>
      <c r="I78" s="13" t="s">
        <v>99</v>
      </c>
      <c r="J78" s="29">
        <f ca="1">H74</f>
        <v>17</v>
      </c>
      <c r="S78"/>
    </row>
    <row r="79" spans="1:19" ht="15.75" customHeight="1" x14ac:dyDescent="0.35">
      <c r="A79" s="99" t="s">
        <v>128</v>
      </c>
      <c r="B79" s="100"/>
      <c r="C79" s="43">
        <v>11</v>
      </c>
      <c r="D79" s="19">
        <f ca="1">((100/(D74+F74+H74))*C79)/100</f>
        <v>0.61111111111111105</v>
      </c>
      <c r="E79" s="174"/>
      <c r="F79" s="181"/>
      <c r="G79" s="174"/>
      <c r="H79" s="175"/>
      <c r="I79" s="13" t="s">
        <v>100</v>
      </c>
      <c r="J79" s="30">
        <f ca="1">(IF(B74&gt;1,(H74/(B74+2)),H74/4))</f>
        <v>4.25</v>
      </c>
      <c r="S79"/>
    </row>
    <row r="80" spans="1:19" ht="15.75" customHeight="1" x14ac:dyDescent="0.35">
      <c r="A80" s="99" t="s">
        <v>135</v>
      </c>
      <c r="B80" s="100" t="s">
        <v>129</v>
      </c>
      <c r="C80" s="43">
        <v>8</v>
      </c>
      <c r="D80" s="19">
        <f ca="1">((100/H74)*C80)/100</f>
        <v>0.4705882352941177</v>
      </c>
      <c r="E80" s="174"/>
      <c r="F80" s="181"/>
      <c r="G80" s="174"/>
      <c r="H80" s="175"/>
      <c r="I80" s="13" t="s">
        <v>101</v>
      </c>
      <c r="J80" s="30">
        <f ca="1">(IF(B74&gt;1,(H74/(B74+2)+J79),H74/4+J79))</f>
        <v>8.5</v>
      </c>
    </row>
    <row r="81" spans="1:10" ht="15.75" customHeight="1" x14ac:dyDescent="0.35">
      <c r="A81" s="99" t="s">
        <v>136</v>
      </c>
      <c r="B81" s="100" t="s">
        <v>129</v>
      </c>
      <c r="C81" s="43">
        <v>0</v>
      </c>
      <c r="D81" s="19">
        <f ca="1">((100/H74)*C81)/100</f>
        <v>0</v>
      </c>
      <c r="E81" s="174"/>
      <c r="F81" s="181"/>
      <c r="G81" s="174"/>
      <c r="H81" s="175"/>
      <c r="I81" s="13" t="s">
        <v>147</v>
      </c>
      <c r="J81" s="30">
        <f>(IF(B74&gt;1,(H74/(B74+2)+J80),0))</f>
        <v>0</v>
      </c>
    </row>
    <row r="82" spans="1:10" ht="15" customHeight="1" x14ac:dyDescent="0.35">
      <c r="A82" s="99" t="s">
        <v>134</v>
      </c>
      <c r="B82" s="100" t="s">
        <v>131</v>
      </c>
      <c r="C82" s="43">
        <v>0</v>
      </c>
      <c r="D82" s="19">
        <f ca="1">((100/(H74))*C82)/100</f>
        <v>0</v>
      </c>
      <c r="E82" s="174"/>
      <c r="F82" s="181"/>
      <c r="G82" s="174"/>
      <c r="H82" s="175"/>
      <c r="I82" s="13" t="s">
        <v>142</v>
      </c>
      <c r="J82" s="30">
        <f>(IF(B74&gt;2,(H74/(B74+2)+J81),0))</f>
        <v>0</v>
      </c>
    </row>
    <row r="83" spans="1:10" ht="15.75" customHeight="1" x14ac:dyDescent="0.35">
      <c r="A83" s="99" t="s">
        <v>130</v>
      </c>
      <c r="B83" s="100" t="s">
        <v>130</v>
      </c>
      <c r="C83" s="43">
        <v>0</v>
      </c>
      <c r="D83" s="19">
        <f ca="1">((100/H74)*C83)/100</f>
        <v>0</v>
      </c>
      <c r="E83" s="174"/>
      <c r="F83" s="181"/>
      <c r="G83" s="174"/>
      <c r="H83" s="175"/>
      <c r="I83" s="13" t="s">
        <v>143</v>
      </c>
      <c r="J83" s="31">
        <f>(IF(B74&gt;3,(H74/(B74+2)+J82),0))</f>
        <v>0</v>
      </c>
    </row>
    <row r="84" spans="1:10" ht="15.75" customHeight="1" x14ac:dyDescent="0.35">
      <c r="A84" s="99" t="s">
        <v>137</v>
      </c>
      <c r="B84" s="100"/>
      <c r="C84" s="43">
        <v>0</v>
      </c>
      <c r="D84" s="19">
        <f ca="1">((100/H74)*C84)/100</f>
        <v>0</v>
      </c>
      <c r="E84" s="174"/>
      <c r="F84" s="181"/>
      <c r="G84" s="174"/>
      <c r="H84" s="175"/>
      <c r="I84" s="13" t="s">
        <v>144</v>
      </c>
      <c r="J84" s="30">
        <f>(IF(B74&gt;4,(H74/(B74+2)+J83),0))</f>
        <v>0</v>
      </c>
    </row>
    <row r="85" spans="1:10" ht="15.75" customHeight="1" x14ac:dyDescent="0.35">
      <c r="A85" s="99" t="s">
        <v>132</v>
      </c>
      <c r="B85" s="100" t="s">
        <v>132</v>
      </c>
      <c r="C85" s="43">
        <v>0</v>
      </c>
      <c r="D85" s="19">
        <f ca="1">((100/(H74))*C85)/100</f>
        <v>0</v>
      </c>
      <c r="E85" s="174"/>
      <c r="F85" s="181"/>
      <c r="G85" s="174"/>
      <c r="H85" s="175"/>
      <c r="I85" s="13" t="s">
        <v>148</v>
      </c>
      <c r="J85" s="30">
        <f ca="1">(IF(B74=1,(H74/(B74+3)+J80),IF(B74=0,(H74/4+J80),IF(B74&gt;1,0))))</f>
        <v>12.75</v>
      </c>
    </row>
    <row r="86" spans="1:10" ht="16" thickBot="1" x14ac:dyDescent="0.4">
      <c r="A86" s="120" t="s">
        <v>133</v>
      </c>
      <c r="B86" s="121"/>
      <c r="C86" s="44">
        <v>0</v>
      </c>
      <c r="D86" s="20">
        <f ca="1">((100/(H74))*C86)/100</f>
        <v>0</v>
      </c>
      <c r="E86" s="176"/>
      <c r="F86" s="182"/>
      <c r="G86" s="176"/>
      <c r="H86" s="177"/>
      <c r="I86" s="15" t="s">
        <v>102</v>
      </c>
      <c r="J86" s="32">
        <f ca="1">(IF(B74&gt;1.5,(H74/(B74+2)+J80+MAX(0,J81-J80)+MAX(0,J82-J81)+MAX(0,J83-J82)+MAX(0,J84-J83)+MAX(0,J85-J84)),IF(B74=1,(H74/(B74+3)+J85),IF(B74=0,H74/4+J85))))</f>
        <v>17</v>
      </c>
    </row>
    <row r="87" spans="1:10" ht="15.75" hidden="1" customHeight="1" x14ac:dyDescent="0.35">
      <c r="A87" s="189" t="s">
        <v>139</v>
      </c>
      <c r="B87" s="190"/>
      <c r="C87" s="101" t="e">
        <f>#REF!</f>
        <v>#REF!</v>
      </c>
      <c r="D87" s="102"/>
      <c r="E87" s="102"/>
      <c r="F87" s="102"/>
      <c r="G87" s="102"/>
      <c r="H87" s="103"/>
      <c r="I87" s="49" t="e">
        <f ca="1">IF(D100=100%,"All work Completed. Possession granted to the Building.",IF(D99=100%,"All work Completed, Waiting for OC",I88&amp;""&amp;I89&amp;""&amp;J88&amp;""&amp;J87&amp;" "&amp;J89))</f>
        <v>#REF!</v>
      </c>
      <c r="J87" s="50"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row>
    <row r="88" spans="1:10" hidden="1" x14ac:dyDescent="0.35">
      <c r="A88" s="16" t="s">
        <v>141</v>
      </c>
      <c r="B88" s="47">
        <f>IF(AND(ISNUMBER(SEARCH("1B",C87))),1,IF(AND(ISNUMBER(SEARCH("2B",C87))),2,IF(AND(ISNUMBER(SEARCH("3B",C87))),3,IF(AND(ISNUMBER(SEARCH("4B",C87))),4,IF(ISNUMBER(SEARCH("5B",C87)),5,0)))))</f>
        <v>0</v>
      </c>
      <c r="C88" s="47" t="s">
        <v>69</v>
      </c>
      <c r="D88" s="47">
        <v>1</v>
      </c>
      <c r="E88" s="47" t="s">
        <v>68</v>
      </c>
      <c r="F88" s="14">
        <v>0</v>
      </c>
      <c r="G88" s="48" t="s">
        <v>77</v>
      </c>
      <c r="H88" s="17" t="e">
        <f ca="1">--TRIM(RIGHT(SUBSTITUTE(LEFT(C87,_xlfn.AGGREGATE(16,6,FIND({0,1,2,3,4,5,6,7,8,9},C87,ROW(INDIRECT("1:"&amp;LEN(C87)))),1))," ",REPT(" ",LEN(C87))),LEN(C87)))</f>
        <v>#REF!</v>
      </c>
      <c r="I88" s="51" t="e">
        <f ca="1">IF(D91=100%,"Excavation","")&amp;IF(D92=100%,", Plinth","")&amp;IF(D93=100%,", RCC Slab","")&amp;IF(D94=100%,", Brickwork","")&amp;IF(D95=100%,", Internal Plaster","")&amp;IF(D96=100%,", External Plaster","")&amp;IF(D97=100%,", Flooring","")&amp;IF(D98=100%,", Painting","")&amp;IF(D99=100%,", Building common Amenities","")</f>
        <v>#REF!</v>
      </c>
      <c r="J88" s="52"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row>
    <row r="89" spans="1:10" hidden="1" x14ac:dyDescent="0.35">
      <c r="A89" s="154" t="s">
        <v>87</v>
      </c>
      <c r="B89" s="155"/>
      <c r="C89" s="157" t="e">
        <f ca="1">(IF($G$60="NA",I87,"All work Completed. OC Received."))</f>
        <v>#REF!</v>
      </c>
      <c r="D89" s="157"/>
      <c r="E89" s="157"/>
      <c r="F89" s="157"/>
      <c r="G89" s="157"/>
      <c r="H89" s="158"/>
      <c r="I89" s="51" t="e">
        <f ca="1">IF(I88&lt;&gt;""," Completed","")</f>
        <v>#REF!</v>
      </c>
      <c r="J89" s="52" t="e">
        <f ca="1">IF(J87&lt;&gt;"","Completed","")</f>
        <v>#REF!</v>
      </c>
    </row>
    <row r="90" spans="1:10" ht="15.75" hidden="1" customHeight="1" x14ac:dyDescent="0.35">
      <c r="A90" s="99" t="s">
        <v>47</v>
      </c>
      <c r="B90" s="100"/>
      <c r="C90" s="43" t="s">
        <v>138</v>
      </c>
      <c r="D90" s="43" t="s">
        <v>80</v>
      </c>
      <c r="E90" s="100" t="s">
        <v>82</v>
      </c>
      <c r="F90" s="100"/>
      <c r="G90" s="100" t="s">
        <v>81</v>
      </c>
      <c r="H90" s="140"/>
      <c r="I90" s="13" t="s">
        <v>140</v>
      </c>
      <c r="J90" s="28" t="e">
        <f ca="1">H88*25%</f>
        <v>#REF!</v>
      </c>
    </row>
    <row r="91" spans="1:10" hidden="1" x14ac:dyDescent="0.35">
      <c r="A91" s="99" t="s">
        <v>127</v>
      </c>
      <c r="B91" s="100"/>
      <c r="C91" s="59" t="e">
        <f ca="1">J92</f>
        <v>#REF!</v>
      </c>
      <c r="D91" s="19" t="e">
        <f ca="1">((100/H88)*C91)/100</f>
        <v>#REF!</v>
      </c>
      <c r="E91" s="172" t="e">
        <f ca="1">(((C92/H88*10)+(40/(D88+F88+H88)*C93)+(7.5/(H88)*C94)+(7.5/(H88)*C95)+(10/H88*C96)+(10/H88*C97)+(5/H88*C98)+(5/H88*C99)+(5/H88*C100))/100)</f>
        <v>#REF!</v>
      </c>
      <c r="F91" s="180"/>
      <c r="G91" s="172" t="e">
        <f ca="1">((((C91/H88)*20)+((C92/H88)*25)+(30/(H88+F88+D88)*C93)+(5/H88*C94)+(5/H88*C95)+(5/H88*C96)+(5/H88*C97)+(0/H88*C98)+(0/H88*C99)+(5/H88*C100))/100)</f>
        <v>#REF!</v>
      </c>
      <c r="H91" s="173"/>
      <c r="I91" s="13" t="s">
        <v>98</v>
      </c>
      <c r="J91" s="29" t="e">
        <f ca="1">H88*50%</f>
        <v>#REF!</v>
      </c>
    </row>
    <row r="92" spans="1:10" hidden="1" x14ac:dyDescent="0.35">
      <c r="A92" s="99" t="s">
        <v>48</v>
      </c>
      <c r="B92" s="100"/>
      <c r="C92" s="60">
        <v>19</v>
      </c>
      <c r="D92" s="19" t="e">
        <f ca="1">((100/H88)*C92)/100</f>
        <v>#REF!</v>
      </c>
      <c r="E92" s="174"/>
      <c r="F92" s="181"/>
      <c r="G92" s="174"/>
      <c r="H92" s="175"/>
      <c r="I92" s="13" t="s">
        <v>99</v>
      </c>
      <c r="J92" s="29" t="e">
        <f ca="1">H88</f>
        <v>#REF!</v>
      </c>
    </row>
    <row r="93" spans="1:10" ht="15.75" hidden="1" customHeight="1" x14ac:dyDescent="0.35">
      <c r="A93" s="99" t="s">
        <v>128</v>
      </c>
      <c r="B93" s="100"/>
      <c r="C93" s="43">
        <v>0</v>
      </c>
      <c r="D93" s="19" t="e">
        <f ca="1">((100/(D88+F88+H88))*C93)/100</f>
        <v>#REF!</v>
      </c>
      <c r="E93" s="174"/>
      <c r="F93" s="181"/>
      <c r="G93" s="174"/>
      <c r="H93" s="175"/>
      <c r="I93" s="13" t="s">
        <v>100</v>
      </c>
      <c r="J93" s="30" t="e">
        <f ca="1">(IF(B88&gt;1,(H88/(B88+2)),H88/4))</f>
        <v>#REF!</v>
      </c>
    </row>
    <row r="94" spans="1:10" ht="15.75" hidden="1" customHeight="1" x14ac:dyDescent="0.35">
      <c r="A94" s="99" t="s">
        <v>135</v>
      </c>
      <c r="B94" s="100" t="s">
        <v>129</v>
      </c>
      <c r="C94" s="43">
        <v>0</v>
      </c>
      <c r="D94" s="19" t="e">
        <f ca="1">((100/H88)*C94)/100</f>
        <v>#REF!</v>
      </c>
      <c r="E94" s="174"/>
      <c r="F94" s="181"/>
      <c r="G94" s="174"/>
      <c r="H94" s="175"/>
      <c r="I94" s="13" t="s">
        <v>101</v>
      </c>
      <c r="J94" s="30" t="e">
        <f ca="1">(IF(B88&gt;1,(H88/(B88+2)+J93),H88/4+J93))</f>
        <v>#REF!</v>
      </c>
    </row>
    <row r="95" spans="1:10" ht="15.75" hidden="1" customHeight="1" x14ac:dyDescent="0.35">
      <c r="A95" s="99" t="s">
        <v>136</v>
      </c>
      <c r="B95" s="100" t="s">
        <v>129</v>
      </c>
      <c r="C95" s="43">
        <v>0</v>
      </c>
      <c r="D95" s="19" t="e">
        <f ca="1">((100/H88)*C95)/100</f>
        <v>#REF!</v>
      </c>
      <c r="E95" s="174"/>
      <c r="F95" s="181"/>
      <c r="G95" s="174"/>
      <c r="H95" s="175"/>
      <c r="I95" s="13" t="s">
        <v>147</v>
      </c>
      <c r="J95" s="30">
        <f>(IF(B88&gt;1,(H88/(B88+2)+J94),0))</f>
        <v>0</v>
      </c>
    </row>
    <row r="96" spans="1:10" ht="15" hidden="1" customHeight="1" x14ac:dyDescent="0.35">
      <c r="A96" s="99" t="s">
        <v>134</v>
      </c>
      <c r="B96" s="100" t="s">
        <v>131</v>
      </c>
      <c r="C96" s="43">
        <v>0</v>
      </c>
      <c r="D96" s="19" t="e">
        <f ca="1">((100/(H88))*C96)/100</f>
        <v>#REF!</v>
      </c>
      <c r="E96" s="174"/>
      <c r="F96" s="181"/>
      <c r="G96" s="174"/>
      <c r="H96" s="175"/>
      <c r="I96" s="13" t="s">
        <v>142</v>
      </c>
      <c r="J96" s="30">
        <f>(IF(B88&gt;2,(H88/(B88+2)+J95),0))</f>
        <v>0</v>
      </c>
    </row>
    <row r="97" spans="1:10" ht="15.75" hidden="1" customHeight="1" x14ac:dyDescent="0.35">
      <c r="A97" s="99" t="s">
        <v>130</v>
      </c>
      <c r="B97" s="100" t="s">
        <v>130</v>
      </c>
      <c r="C97" s="43">
        <v>0</v>
      </c>
      <c r="D97" s="19" t="e">
        <f ca="1">((100/H88)*C97)/100</f>
        <v>#REF!</v>
      </c>
      <c r="E97" s="174"/>
      <c r="F97" s="181"/>
      <c r="G97" s="174"/>
      <c r="H97" s="175"/>
      <c r="I97" s="13" t="s">
        <v>143</v>
      </c>
      <c r="J97" s="31">
        <f>(IF(B88&gt;3,(H88/(B88+2)+J96),0))</f>
        <v>0</v>
      </c>
    </row>
    <row r="98" spans="1:10" ht="15.75" hidden="1" customHeight="1" x14ac:dyDescent="0.35">
      <c r="A98" s="99" t="s">
        <v>137</v>
      </c>
      <c r="B98" s="100"/>
      <c r="C98" s="43">
        <v>0</v>
      </c>
      <c r="D98" s="19" t="e">
        <f ca="1">((100/H88)*C98)/100</f>
        <v>#REF!</v>
      </c>
      <c r="E98" s="174"/>
      <c r="F98" s="181"/>
      <c r="G98" s="174"/>
      <c r="H98" s="175"/>
      <c r="I98" s="13" t="s">
        <v>144</v>
      </c>
      <c r="J98" s="30">
        <f>(IF(B88&gt;4,(H88/(B88+2)+J97),0))</f>
        <v>0</v>
      </c>
    </row>
    <row r="99" spans="1:10" ht="15.75" hidden="1" customHeight="1" x14ac:dyDescent="0.35">
      <c r="A99" s="99" t="s">
        <v>132</v>
      </c>
      <c r="B99" s="100" t="s">
        <v>132</v>
      </c>
      <c r="C99" s="43">
        <v>0</v>
      </c>
      <c r="D99" s="19" t="e">
        <f ca="1">((100/(H88))*C99)/100</f>
        <v>#REF!</v>
      </c>
      <c r="E99" s="174"/>
      <c r="F99" s="181"/>
      <c r="G99" s="174"/>
      <c r="H99" s="175"/>
      <c r="I99" s="13" t="s">
        <v>148</v>
      </c>
      <c r="J99" s="30" t="e">
        <f ca="1">(IF(B88=1,(H88/(B88+3)+J94),IF(B88=0,(H88/4+J94),IF(B88&gt;1,0))))</f>
        <v>#REF!</v>
      </c>
    </row>
    <row r="100" spans="1:10" ht="16" hidden="1" thickBot="1" x14ac:dyDescent="0.4">
      <c r="A100" s="120" t="s">
        <v>133</v>
      </c>
      <c r="B100" s="121"/>
      <c r="C100" s="44">
        <v>0</v>
      </c>
      <c r="D100" s="20" t="e">
        <f ca="1">((100/(H88))*C100)/100</f>
        <v>#REF!</v>
      </c>
      <c r="E100" s="176"/>
      <c r="F100" s="182"/>
      <c r="G100" s="176"/>
      <c r="H100" s="177"/>
      <c r="I100" s="15" t="s">
        <v>102</v>
      </c>
      <c r="J100" s="32" t="e">
        <f ca="1">(IF(B88&gt;1.5,(H88/(B88+2)+J94+MAX(0,J95-J94)+MAX(0,J96-J95)+MAX(0,J97-J96)+MAX(0,J98-J97)+MAX(0,J99-J98)),IF(B88=1,(H88/(B88+3)+J99),IF(B88=0,H88/4+J99))))</f>
        <v>#REF!</v>
      </c>
    </row>
    <row r="101" spans="1:10" ht="15.75" hidden="1" customHeight="1" x14ac:dyDescent="0.35">
      <c r="A101" s="189" t="s">
        <v>139</v>
      </c>
      <c r="B101" s="190"/>
      <c r="C101" s="101" t="e">
        <f>#REF!</f>
        <v>#REF!</v>
      </c>
      <c r="D101" s="102"/>
      <c r="E101" s="102"/>
      <c r="F101" s="102"/>
      <c r="G101" s="102"/>
      <c r="H101" s="103"/>
      <c r="I101" s="49" t="e">
        <f ca="1">IF(D114=100%,"All work Completed. Possession granted to the Building.",IF(D113=100%,"All work Completed, Waiting for OC",I102&amp;""&amp;I103&amp;""&amp;J102&amp;""&amp;J101&amp;" "&amp;J103))</f>
        <v>#REF!</v>
      </c>
      <c r="J101" s="50" t="e">
        <f ca="1">(IF(C107=(D102+F102+H102),"",IF(C107&gt;0,", RCC upto "&amp;C107&amp;" Slab","")))&amp;(IF(C108=H102,"",IF(C108&gt;0,", Brickwork upto "&amp;C108&amp;" Floor","")))&amp;(IF(C109=H102,"",IF(C109&gt;0,", Internal Plaster upto "&amp;C109&amp;" Floor","")))&amp;(IF(C110=H102,"",IF(C110&gt;0,", External Plaster upto "&amp;C110&amp;" Floor","")))&amp;(IF(C111=H102,"",IF(C111&gt;0,", Flooring upto "&amp;C111&amp;" Floor","")))&amp;(IF(C112=H102,"",IF(C112&gt;0,", Painting upto "&amp;C112&amp;" Floor","")))&amp;(IF(C113=H102,"",IF(C113&gt;0,", Finishing upto "&amp;C113&amp;" Floor","")))&amp;(IF(C114=H102,"",IF(C114&gt;0,", Possession upto "&amp;C114&amp;" Floor","")))</f>
        <v>#REF!</v>
      </c>
    </row>
    <row r="102" spans="1:10" hidden="1" x14ac:dyDescent="0.35">
      <c r="A102" s="16" t="s">
        <v>141</v>
      </c>
      <c r="B102" s="47">
        <f>IF(AND(ISNUMBER(SEARCH("1B",C101))),1,IF(AND(ISNUMBER(SEARCH("2B",C101))),2,IF(AND(ISNUMBER(SEARCH("3B",C101))),3,IF(AND(ISNUMBER(SEARCH("4B",C101))),4,IF(ISNUMBER(SEARCH("5B",C101)),5,0)))))</f>
        <v>0</v>
      </c>
      <c r="C102" s="47" t="s">
        <v>69</v>
      </c>
      <c r="D102" s="47">
        <v>1</v>
      </c>
      <c r="E102" s="47" t="s">
        <v>68</v>
      </c>
      <c r="F102" s="14">
        <v>0</v>
      </c>
      <c r="G102" s="48" t="s">
        <v>77</v>
      </c>
      <c r="H102" s="17" t="e">
        <f ca="1">--TRIM(RIGHT(SUBSTITUTE(LEFT(C101,_xlfn.AGGREGATE(16,6,FIND({0,1,2,3,4,5,6,7,8,9},C101,ROW(INDIRECT("1:"&amp;LEN(C101)))),1))," ",REPT(" ",LEN(C101))),LEN(C101)))</f>
        <v>#REF!</v>
      </c>
      <c r="I102" s="51" t="e">
        <f ca="1">IF(D105=100%,"Excavation","")&amp;IF(D106=100%,", Plinth","")&amp;IF(D107=100%,", RCC Slab","")&amp;IF(D108=100%,", Brickwork","")&amp;IF(D109=100%,", Internal Plaster","")&amp;IF(D110=100%,", External Plaster","")&amp;IF(D111=100%,", Flooring","")&amp;IF(D112=100%,", Painting","")&amp;IF(D113=100%,", Building common Amenities","")</f>
        <v>#REF!</v>
      </c>
      <c r="J102" s="52" t="e">
        <f ca="1">(IF(C105=0,"Work not yet Started.",IF(D105=25%,"Piling work in process",IF(D105=50%,"Excavation work in process",IF(D105=100%,"","0")))))&amp;(IF(C106=0%,"",IF(C106=J107,", Footing work is process",IF(C106=J108,", Footing work Completed",IF(C106=J109,", 1st Basement Completed",IF(C106=J110,", 1st &amp; 2nd Basement Completed",IF(C106=J111,", 1st to 3rd Basement Completed",IF(C106=J112,", 1st to 4th Basement Completed",IF(C106=J113,", Plinth work is process",IF(C106=J114,"","0"))))))))))</f>
        <v>#REF!</v>
      </c>
    </row>
    <row r="103" spans="1:10" hidden="1" x14ac:dyDescent="0.35">
      <c r="A103" s="154" t="s">
        <v>87</v>
      </c>
      <c r="B103" s="155"/>
      <c r="C103" s="157" t="e">
        <f ca="1">(IF($G$60="NA",I101,"All work Completed. OC Received."))</f>
        <v>#REF!</v>
      </c>
      <c r="D103" s="157"/>
      <c r="E103" s="157"/>
      <c r="F103" s="157"/>
      <c r="G103" s="157"/>
      <c r="H103" s="158"/>
      <c r="I103" s="51" t="e">
        <f ca="1">IF(I102&lt;&gt;""," Completed","")</f>
        <v>#REF!</v>
      </c>
      <c r="J103" s="52" t="e">
        <f ca="1">IF(J101&lt;&gt;"","Completed","")</f>
        <v>#REF!</v>
      </c>
    </row>
    <row r="104" spans="1:10" ht="15.75" hidden="1" customHeight="1" x14ac:dyDescent="0.35">
      <c r="A104" s="99" t="s">
        <v>47</v>
      </c>
      <c r="B104" s="100"/>
      <c r="C104" s="43" t="s">
        <v>138</v>
      </c>
      <c r="D104" s="43" t="s">
        <v>80</v>
      </c>
      <c r="E104" s="100" t="s">
        <v>82</v>
      </c>
      <c r="F104" s="100"/>
      <c r="G104" s="100" t="s">
        <v>81</v>
      </c>
      <c r="H104" s="140"/>
      <c r="I104" s="13" t="s">
        <v>140</v>
      </c>
      <c r="J104" s="28" t="e">
        <f ca="1">H102*25%</f>
        <v>#REF!</v>
      </c>
    </row>
    <row r="105" spans="1:10" hidden="1" x14ac:dyDescent="0.35">
      <c r="A105" s="99" t="s">
        <v>127</v>
      </c>
      <c r="B105" s="100"/>
      <c r="C105" s="43" t="e">
        <f ca="1">J106</f>
        <v>#REF!</v>
      </c>
      <c r="D105" s="19" t="e">
        <f ca="1">((100/H102)*C105)/100</f>
        <v>#REF!</v>
      </c>
      <c r="E105" s="172" t="e">
        <f ca="1">(((C106/H102*10)+(40/(D102+F102+H102)*C107)+(7.5/(H102)*C108)+(7.5/(H102)*C109)+(10/H102*C110)+(10/H102*C111)+(5/H102*C112)+(5/H102*C113)+(5/H102*C114))/100)</f>
        <v>#REF!</v>
      </c>
      <c r="F105" s="180"/>
      <c r="G105" s="172" t="e">
        <f ca="1">((((C105/H102)*20)+((C106/H102)*25)+(30/(H102+F102+D102)*C107)+(5/H102*C108)+(5/H102*C109)+(5/H102*C110)+(5/H102*C111)+(0/H102*C112)+(0/H102*C113)+(5/H102*C114))/100)</f>
        <v>#REF!</v>
      </c>
      <c r="H105" s="173"/>
      <c r="I105" s="13" t="s">
        <v>98</v>
      </c>
      <c r="J105" s="29" t="e">
        <f ca="1">H102*50%</f>
        <v>#REF!</v>
      </c>
    </row>
    <row r="106" spans="1:10" hidden="1" x14ac:dyDescent="0.35">
      <c r="A106" s="99" t="s">
        <v>48</v>
      </c>
      <c r="B106" s="100"/>
      <c r="C106" s="43" t="e">
        <f ca="1">J114</f>
        <v>#REF!</v>
      </c>
      <c r="D106" s="19" t="e">
        <f ca="1">((100/H102)*C106)/100</f>
        <v>#REF!</v>
      </c>
      <c r="E106" s="174"/>
      <c r="F106" s="181"/>
      <c r="G106" s="174"/>
      <c r="H106" s="175"/>
      <c r="I106" s="13" t="s">
        <v>99</v>
      </c>
      <c r="J106" s="29" t="e">
        <f ca="1">H102</f>
        <v>#REF!</v>
      </c>
    </row>
    <row r="107" spans="1:10" ht="15.75" hidden="1" customHeight="1" x14ac:dyDescent="0.35">
      <c r="A107" s="99" t="s">
        <v>128</v>
      </c>
      <c r="B107" s="100"/>
      <c r="C107" s="43" t="e">
        <f ca="1">D102+H102</f>
        <v>#REF!</v>
      </c>
      <c r="D107" s="19" t="e">
        <f ca="1">((100/(D102+F102+H102))*C107)/100</f>
        <v>#REF!</v>
      </c>
      <c r="E107" s="174"/>
      <c r="F107" s="181"/>
      <c r="G107" s="174"/>
      <c r="H107" s="175"/>
      <c r="I107" s="13" t="s">
        <v>100</v>
      </c>
      <c r="J107" s="30" t="e">
        <f ca="1">(IF(B102&gt;1,(H102/(B102+2)),H102/4))</f>
        <v>#REF!</v>
      </c>
    </row>
    <row r="108" spans="1:10" ht="15.75" hidden="1" customHeight="1" x14ac:dyDescent="0.35">
      <c r="A108" s="99" t="s">
        <v>135</v>
      </c>
      <c r="B108" s="100" t="s">
        <v>129</v>
      </c>
      <c r="C108" s="43">
        <v>0</v>
      </c>
      <c r="D108" s="19" t="e">
        <f ca="1">((100/H102)*C108)/100</f>
        <v>#REF!</v>
      </c>
      <c r="E108" s="174"/>
      <c r="F108" s="181"/>
      <c r="G108" s="174"/>
      <c r="H108" s="175"/>
      <c r="I108" s="13" t="s">
        <v>101</v>
      </c>
      <c r="J108" s="30" t="e">
        <f ca="1">(IF(B102&gt;1,(H102/(B102+2)+J107),H102/4+J107))</f>
        <v>#REF!</v>
      </c>
    </row>
    <row r="109" spans="1:10" ht="15.75" hidden="1" customHeight="1" x14ac:dyDescent="0.35">
      <c r="A109" s="99" t="s">
        <v>136</v>
      </c>
      <c r="B109" s="100" t="s">
        <v>129</v>
      </c>
      <c r="C109" s="43">
        <v>0</v>
      </c>
      <c r="D109" s="19" t="e">
        <f ca="1">((100/H102)*C109)/100</f>
        <v>#REF!</v>
      </c>
      <c r="E109" s="174"/>
      <c r="F109" s="181"/>
      <c r="G109" s="174"/>
      <c r="H109" s="175"/>
      <c r="I109" s="13" t="s">
        <v>147</v>
      </c>
      <c r="J109" s="30">
        <f>(IF(B102&gt;1,(H102/(B102+2)+J108),0))</f>
        <v>0</v>
      </c>
    </row>
    <row r="110" spans="1:10" ht="15" hidden="1" customHeight="1" x14ac:dyDescent="0.35">
      <c r="A110" s="99" t="s">
        <v>134</v>
      </c>
      <c r="B110" s="100" t="s">
        <v>131</v>
      </c>
      <c r="C110" s="43">
        <v>0</v>
      </c>
      <c r="D110" s="19" t="e">
        <f ca="1">((100/(H102))*C110)/100</f>
        <v>#REF!</v>
      </c>
      <c r="E110" s="174"/>
      <c r="F110" s="181"/>
      <c r="G110" s="174"/>
      <c r="H110" s="175"/>
      <c r="I110" s="13" t="s">
        <v>142</v>
      </c>
      <c r="J110" s="30">
        <f>(IF(B102&gt;2,(H102/(B102+2)+J109),0))</f>
        <v>0</v>
      </c>
    </row>
    <row r="111" spans="1:10" ht="15.75" hidden="1" customHeight="1" x14ac:dyDescent="0.35">
      <c r="A111" s="99" t="s">
        <v>130</v>
      </c>
      <c r="B111" s="100" t="s">
        <v>130</v>
      </c>
      <c r="C111" s="43">
        <v>0</v>
      </c>
      <c r="D111" s="19" t="e">
        <f ca="1">((100/H102)*C111)/100</f>
        <v>#REF!</v>
      </c>
      <c r="E111" s="174"/>
      <c r="F111" s="181"/>
      <c r="G111" s="174"/>
      <c r="H111" s="175"/>
      <c r="I111" s="13" t="s">
        <v>143</v>
      </c>
      <c r="J111" s="31">
        <f>(IF(B102&gt;3,(H102/(B102+2)+J110),0))</f>
        <v>0</v>
      </c>
    </row>
    <row r="112" spans="1:10" ht="15.75" hidden="1" customHeight="1" x14ac:dyDescent="0.35">
      <c r="A112" s="99" t="s">
        <v>137</v>
      </c>
      <c r="B112" s="100"/>
      <c r="C112" s="43">
        <v>0</v>
      </c>
      <c r="D112" s="19" t="e">
        <f ca="1">((100/H102)*C112)/100</f>
        <v>#REF!</v>
      </c>
      <c r="E112" s="174"/>
      <c r="F112" s="181"/>
      <c r="G112" s="174"/>
      <c r="H112" s="175"/>
      <c r="I112" s="13" t="s">
        <v>144</v>
      </c>
      <c r="J112" s="30">
        <f>(IF(B102&gt;4,(H102/(B102+2)+J111),0))</f>
        <v>0</v>
      </c>
    </row>
    <row r="113" spans="1:22" ht="15.75" hidden="1" customHeight="1" x14ac:dyDescent="0.35">
      <c r="A113" s="99" t="s">
        <v>132</v>
      </c>
      <c r="B113" s="100" t="s">
        <v>132</v>
      </c>
      <c r="C113" s="43">
        <v>0</v>
      </c>
      <c r="D113" s="19" t="e">
        <f ca="1">((100/(H102))*C113)/100</f>
        <v>#REF!</v>
      </c>
      <c r="E113" s="174"/>
      <c r="F113" s="181"/>
      <c r="G113" s="174"/>
      <c r="H113" s="175"/>
      <c r="I113" s="13" t="s">
        <v>148</v>
      </c>
      <c r="J113" s="30" t="e">
        <f ca="1">(IF(B102=1,(H102/(B102+3)+J108),IF(B102=0,(H102/4+J108),IF(B102&gt;1,0))))</f>
        <v>#REF!</v>
      </c>
    </row>
    <row r="114" spans="1:22" ht="16" hidden="1" thickBot="1" x14ac:dyDescent="0.4">
      <c r="A114" s="120" t="s">
        <v>133</v>
      </c>
      <c r="B114" s="121"/>
      <c r="C114" s="44">
        <v>0</v>
      </c>
      <c r="D114" s="20" t="e">
        <f ca="1">((100/(H102))*C114)/100</f>
        <v>#REF!</v>
      </c>
      <c r="E114" s="176"/>
      <c r="F114" s="182"/>
      <c r="G114" s="176"/>
      <c r="H114" s="177"/>
      <c r="I114" s="15" t="s">
        <v>102</v>
      </c>
      <c r="J114" s="32" t="e">
        <f ca="1">(IF(B102&gt;1.5,(H102/(B102+2)+J108+MAX(0,J109-J108)+MAX(0,J110-J109)+MAX(0,J111-J110)+MAX(0,J112-J111)+MAX(0,J113-J112)),IF(B102=1,(H102/(B102+3)+J113),IF(B102=0,H102/4+J113))))</f>
        <v>#REF!</v>
      </c>
    </row>
    <row r="115" spans="1:22" x14ac:dyDescent="0.35">
      <c r="A115" s="141" t="s">
        <v>159</v>
      </c>
      <c r="B115" s="141"/>
      <c r="C115" s="141"/>
      <c r="D115" s="141"/>
      <c r="E115" s="141"/>
      <c r="F115" s="133" t="s">
        <v>163</v>
      </c>
      <c r="G115" s="133"/>
      <c r="H115" s="133"/>
      <c r="R115" t="s">
        <v>256</v>
      </c>
      <c r="S115" t="s">
        <v>175</v>
      </c>
      <c r="T115" t="s">
        <v>181</v>
      </c>
      <c r="U115" t="s">
        <v>196</v>
      </c>
      <c r="V115" t="s">
        <v>191</v>
      </c>
    </row>
    <row r="116" spans="1:22" x14ac:dyDescent="0.35">
      <c r="A116" s="88" t="s">
        <v>161</v>
      </c>
      <c r="B116" s="88"/>
      <c r="C116" s="88"/>
      <c r="D116" s="88"/>
      <c r="E116" s="88"/>
      <c r="F116" s="83">
        <v>42000</v>
      </c>
      <c r="G116" s="83"/>
      <c r="H116" s="83"/>
      <c r="R116"/>
      <c r="S116">
        <v>800000</v>
      </c>
      <c r="T116">
        <v>150000</v>
      </c>
      <c r="U116">
        <v>100000</v>
      </c>
      <c r="V116">
        <v>100000</v>
      </c>
    </row>
    <row r="117" spans="1:22" hidden="1" x14ac:dyDescent="0.35">
      <c r="A117" s="88" t="s">
        <v>160</v>
      </c>
      <c r="B117" s="88"/>
      <c r="C117" s="88"/>
      <c r="D117" s="88"/>
      <c r="E117" s="88"/>
      <c r="F117" s="83"/>
      <c r="G117" s="83"/>
      <c r="H117" s="83"/>
      <c r="R117"/>
      <c r="S117">
        <v>900000</v>
      </c>
      <c r="T117">
        <v>200000</v>
      </c>
      <c r="U117">
        <v>150000</v>
      </c>
      <c r="V117">
        <v>150000</v>
      </c>
    </row>
    <row r="118" spans="1:22" hidden="1" x14ac:dyDescent="0.35">
      <c r="A118" s="88" t="s">
        <v>162</v>
      </c>
      <c r="B118" s="88"/>
      <c r="C118" s="88"/>
      <c r="D118" s="88"/>
      <c r="E118" s="88"/>
      <c r="F118" s="83"/>
      <c r="G118" s="83"/>
      <c r="H118" s="83"/>
      <c r="R118"/>
      <c r="S118">
        <v>1000000</v>
      </c>
      <c r="T118">
        <v>250000</v>
      </c>
      <c r="U118">
        <v>200000</v>
      </c>
      <c r="V118">
        <v>200000</v>
      </c>
    </row>
    <row r="119" spans="1:22" s="33" customFormat="1" hidden="1" x14ac:dyDescent="0.35">
      <c r="A119" s="88" t="s">
        <v>177</v>
      </c>
      <c r="B119" s="88"/>
      <c r="C119" s="88"/>
      <c r="D119" s="88"/>
      <c r="E119" s="88"/>
      <c r="F119" s="83"/>
      <c r="G119" s="83"/>
      <c r="H119" s="83"/>
      <c r="R119"/>
      <c r="S119">
        <v>1100000</v>
      </c>
      <c r="T119">
        <v>300000</v>
      </c>
      <c r="U119">
        <v>250000</v>
      </c>
      <c r="V119" s="23">
        <v>250000</v>
      </c>
    </row>
    <row r="120" spans="1:22" s="33" customFormat="1" hidden="1" x14ac:dyDescent="0.35">
      <c r="A120" s="88" t="s">
        <v>92</v>
      </c>
      <c r="B120" s="88"/>
      <c r="C120" s="88"/>
      <c r="D120" s="88"/>
      <c r="E120" s="88"/>
      <c r="F120" s="83"/>
      <c r="G120" s="83"/>
      <c r="H120" s="83"/>
      <c r="R120"/>
      <c r="S120">
        <v>1200000</v>
      </c>
      <c r="T120">
        <v>350000</v>
      </c>
      <c r="U120">
        <v>300000</v>
      </c>
      <c r="V120">
        <v>300000</v>
      </c>
    </row>
    <row r="121" spans="1:22" s="33" customFormat="1" hidden="1" x14ac:dyDescent="0.35">
      <c r="A121" s="88" t="s">
        <v>93</v>
      </c>
      <c r="B121" s="88"/>
      <c r="C121" s="88"/>
      <c r="D121" s="88"/>
      <c r="E121" s="88"/>
      <c r="F121" s="83"/>
      <c r="G121" s="83"/>
      <c r="H121" s="83"/>
      <c r="R121"/>
      <c r="S121">
        <v>1300000</v>
      </c>
      <c r="T121">
        <v>400000</v>
      </c>
      <c r="U121">
        <v>350000</v>
      </c>
      <c r="V121" s="23">
        <v>400000</v>
      </c>
    </row>
    <row r="122" spans="1:22" s="33" customFormat="1" hidden="1" x14ac:dyDescent="0.35">
      <c r="A122" s="88" t="s">
        <v>94</v>
      </c>
      <c r="B122" s="88"/>
      <c r="C122" s="88"/>
      <c r="D122" s="88"/>
      <c r="E122" s="88"/>
      <c r="F122" s="83"/>
      <c r="G122" s="83"/>
      <c r="H122" s="83"/>
      <c r="R122"/>
      <c r="S122">
        <v>1400000</v>
      </c>
      <c r="T122">
        <v>500000</v>
      </c>
      <c r="U122">
        <v>400000</v>
      </c>
      <c r="V122"/>
    </row>
    <row r="123" spans="1:22" s="33" customFormat="1" hidden="1" x14ac:dyDescent="0.35">
      <c r="A123" s="88" t="s">
        <v>95</v>
      </c>
      <c r="B123" s="88"/>
      <c r="C123" s="88"/>
      <c r="D123" s="88"/>
      <c r="E123" s="88"/>
      <c r="F123" s="83"/>
      <c r="G123" s="83"/>
      <c r="H123" s="83"/>
      <c r="R123"/>
      <c r="S123">
        <v>1500000</v>
      </c>
      <c r="T123">
        <v>600000</v>
      </c>
      <c r="U123">
        <v>500000</v>
      </c>
      <c r="V123" s="23"/>
    </row>
    <row r="124" spans="1:22" s="33" customFormat="1" hidden="1" x14ac:dyDescent="0.35">
      <c r="A124" s="88" t="s">
        <v>96</v>
      </c>
      <c r="B124" s="88"/>
      <c r="C124" s="88"/>
      <c r="D124" s="88"/>
      <c r="E124" s="88"/>
      <c r="F124" s="83"/>
      <c r="G124" s="83"/>
      <c r="H124" s="83"/>
      <c r="R124"/>
      <c r="S124">
        <v>1600000</v>
      </c>
      <c r="T124">
        <v>700000</v>
      </c>
      <c r="U124">
        <v>600000</v>
      </c>
      <c r="V124"/>
    </row>
    <row r="125" spans="1:22" s="33" customFormat="1" hidden="1" x14ac:dyDescent="0.35">
      <c r="A125" s="88" t="s">
        <v>97</v>
      </c>
      <c r="B125" s="88"/>
      <c r="C125" s="88"/>
      <c r="D125" s="88"/>
      <c r="E125" s="88"/>
      <c r="F125" s="83"/>
      <c r="G125" s="83"/>
      <c r="H125" s="83"/>
      <c r="R125"/>
      <c r="S125">
        <v>1700000</v>
      </c>
      <c r="T125">
        <v>800000</v>
      </c>
      <c r="U125"/>
      <c r="V125" s="23"/>
    </row>
    <row r="126" spans="1:22" x14ac:dyDescent="0.35">
      <c r="A126" s="88" t="s">
        <v>49</v>
      </c>
      <c r="B126" s="88"/>
      <c r="C126" s="88"/>
      <c r="D126" s="88"/>
      <c r="E126" s="88"/>
      <c r="F126" s="83">
        <v>1000000</v>
      </c>
      <c r="G126" s="83"/>
      <c r="H126" s="83"/>
      <c r="R126"/>
      <c r="S126">
        <v>1800000</v>
      </c>
      <c r="T126">
        <v>900000</v>
      </c>
      <c r="U126"/>
    </row>
    <row r="127" spans="1:22" s="34" customFormat="1" x14ac:dyDescent="0.35">
      <c r="A127" s="145" t="s">
        <v>50</v>
      </c>
      <c r="B127" s="145"/>
      <c r="C127" s="145"/>
      <c r="D127" s="145"/>
      <c r="E127" s="145"/>
      <c r="F127" s="83">
        <f>F116*0.8</f>
        <v>33600</v>
      </c>
      <c r="G127" s="83"/>
      <c r="H127" s="83"/>
      <c r="R127" s="21"/>
      <c r="S127" s="21"/>
      <c r="T127">
        <v>1000000</v>
      </c>
      <c r="U127"/>
      <c r="V127" s="21"/>
    </row>
    <row r="128" spans="1:22" s="35" customFormat="1" ht="15.75" hidden="1" customHeight="1" x14ac:dyDescent="0.35">
      <c r="A128" s="151" t="s">
        <v>72</v>
      </c>
      <c r="B128" s="151"/>
      <c r="C128" s="151"/>
      <c r="D128" s="151"/>
      <c r="E128" s="151"/>
      <c r="F128" s="151"/>
      <c r="G128" s="151"/>
      <c r="H128" s="151"/>
      <c r="R128"/>
      <c r="S128" s="21"/>
      <c r="T128"/>
      <c r="U128"/>
      <c r="V128" s="21"/>
    </row>
    <row r="129" spans="1:22" s="35" customFormat="1" ht="15.75" hidden="1" customHeight="1" x14ac:dyDescent="0.35">
      <c r="A129" s="87" t="s">
        <v>51</v>
      </c>
      <c r="B129" s="87"/>
      <c r="C129" s="96" t="s">
        <v>75</v>
      </c>
      <c r="D129" s="96"/>
      <c r="E129" s="94" t="s">
        <v>52</v>
      </c>
      <c r="F129" s="94"/>
      <c r="G129" s="87" t="s">
        <v>53</v>
      </c>
      <c r="H129" s="87"/>
      <c r="R129"/>
      <c r="S129" s="21"/>
      <c r="T129"/>
      <c r="U129" s="21"/>
      <c r="V129" s="21"/>
    </row>
    <row r="130" spans="1:22" s="35" customFormat="1" hidden="1" x14ac:dyDescent="0.35">
      <c r="A130" s="95"/>
      <c r="B130" s="95"/>
      <c r="C130" s="188"/>
      <c r="D130" s="188"/>
      <c r="E130" s="211"/>
      <c r="F130" s="211"/>
      <c r="G130" s="119"/>
      <c r="H130" s="119"/>
      <c r="R130"/>
      <c r="S130" s="21"/>
      <c r="T130"/>
      <c r="U130" s="21"/>
      <c r="V130" s="21"/>
    </row>
    <row r="131" spans="1:22" s="35" customFormat="1" hidden="1" x14ac:dyDescent="0.35">
      <c r="A131" s="95"/>
      <c r="B131" s="95"/>
      <c r="C131" s="188"/>
      <c r="D131" s="188"/>
      <c r="E131" s="211"/>
      <c r="F131" s="211"/>
      <c r="G131" s="119"/>
      <c r="H131" s="119"/>
      <c r="R131"/>
      <c r="S131" s="21"/>
      <c r="T131"/>
      <c r="U131" s="21"/>
      <c r="V131" s="21"/>
    </row>
    <row r="132" spans="1:22" s="35" customFormat="1" hidden="1" x14ac:dyDescent="0.35">
      <c r="A132" s="151" t="s">
        <v>152</v>
      </c>
      <c r="B132" s="151"/>
      <c r="C132" s="96"/>
      <c r="D132" s="96"/>
      <c r="E132" s="94"/>
      <c r="F132" s="94"/>
      <c r="G132" s="87"/>
      <c r="H132" s="87"/>
      <c r="R132"/>
      <c r="S132" s="21"/>
      <c r="T132"/>
      <c r="U132" s="21"/>
      <c r="V132" s="21"/>
    </row>
    <row r="133" spans="1:22" s="35" customFormat="1" x14ac:dyDescent="0.35">
      <c r="A133" s="151" t="s">
        <v>67</v>
      </c>
      <c r="B133" s="151"/>
      <c r="C133" s="151"/>
      <c r="D133" s="151"/>
      <c r="E133" s="151"/>
      <c r="F133" s="151"/>
      <c r="G133" s="151"/>
      <c r="H133" s="151"/>
      <c r="T133"/>
    </row>
    <row r="134" spans="1:22" s="35" customFormat="1" ht="15.75" customHeight="1" x14ac:dyDescent="0.35">
      <c r="A134" s="87" t="s">
        <v>51</v>
      </c>
      <c r="B134" s="87"/>
      <c r="C134" s="96" t="s">
        <v>75</v>
      </c>
      <c r="D134" s="96"/>
      <c r="E134" s="94" t="s">
        <v>52</v>
      </c>
      <c r="F134" s="94"/>
      <c r="G134" s="87" t="s">
        <v>53</v>
      </c>
      <c r="H134" s="87"/>
      <c r="T134"/>
    </row>
    <row r="135" spans="1:22" s="35" customFormat="1" x14ac:dyDescent="0.35">
      <c r="A135" s="95" t="s">
        <v>371</v>
      </c>
      <c r="B135" s="95"/>
      <c r="C135" s="187">
        <f>COUNT(F155:F157)+COUNT(F159:F161)+COUNT(F163:F165)+COUNT(F167:F168)+COUNT(F170:F172)+COUNT(F174:F176)+COUNT(F178:F180)+COUNT(F182:F184)+COUNT(F186:F188)*2+COUNT(F190:F191)*3+COUNT(F194)</f>
        <v>36</v>
      </c>
      <c r="D135" s="188"/>
      <c r="E135" s="187">
        <f>SUM(F155:F157)+SUM(F159:F161)+SUM(F163:F165)+SUM(F167:F168)+SUM(F170:F172)+SUM(F174:F176)+SUM(F178:F180)+SUM(F182:F184)+SUM(F186:F188)*2+SUM(F190:F191)*3+SUM(F194)</f>
        <v>44269.641000000003</v>
      </c>
      <c r="F135" s="188"/>
      <c r="G135" s="187">
        <f>SUM(H155:H157)+SUM(H159:H161)+SUM(H163:H165)+SUM(H167:H168)+SUM(H170:H172)+SUM(H174:H176)+SUM(H178:H180)+SUM(H182:H184)+SUM(H186:H188)*2+SUM(H190:H191)*3+SUM(H194)</f>
        <v>66404.46149999999</v>
      </c>
      <c r="H135" s="188"/>
      <c r="T135"/>
    </row>
    <row r="136" spans="1:22" s="35" customFormat="1" ht="16" hidden="1" thickBot="1" x14ac:dyDescent="0.4">
      <c r="A136" s="209" t="s">
        <v>152</v>
      </c>
      <c r="B136" s="209"/>
      <c r="C136" s="122">
        <f>SUM(C135)</f>
        <v>36</v>
      </c>
      <c r="D136" s="123"/>
      <c r="E136" s="122">
        <f t="shared" ref="E136" si="0">SUM(E135)</f>
        <v>44269.641000000003</v>
      </c>
      <c r="F136" s="123"/>
      <c r="G136" s="122">
        <f t="shared" ref="G136" si="1">SUM(G135)</f>
        <v>66404.46149999999</v>
      </c>
      <c r="H136" s="123"/>
      <c r="T136"/>
    </row>
    <row r="137" spans="1:22" s="35" customFormat="1" ht="16" hidden="1" thickBot="1" x14ac:dyDescent="0.4">
      <c r="A137" s="136" t="s">
        <v>169</v>
      </c>
      <c r="B137" s="137"/>
      <c r="C137" s="138">
        <f>C132+C136</f>
        <v>36</v>
      </c>
      <c r="D137" s="138"/>
      <c r="E137" s="139">
        <f>E132+E136</f>
        <v>44269.641000000003</v>
      </c>
      <c r="F137" s="139"/>
      <c r="G137" s="212">
        <f>G132+G136</f>
        <v>66404.46149999999</v>
      </c>
      <c r="H137" s="213"/>
      <c r="T137"/>
    </row>
    <row r="138" spans="1:22" s="34" customFormat="1" x14ac:dyDescent="0.35">
      <c r="A138" s="133" t="s">
        <v>54</v>
      </c>
      <c r="B138" s="133"/>
      <c r="C138" s="133"/>
      <c r="D138" s="133"/>
      <c r="E138" s="133"/>
      <c r="F138" s="133"/>
      <c r="G138" s="133"/>
      <c r="H138" s="133"/>
      <c r="T138" s="35"/>
    </row>
    <row r="139" spans="1:22" x14ac:dyDescent="0.35">
      <c r="A139" s="86" t="s">
        <v>370</v>
      </c>
      <c r="B139" s="86"/>
      <c r="C139" s="86"/>
      <c r="D139" s="86"/>
      <c r="E139" s="86"/>
      <c r="F139" s="86"/>
      <c r="G139" s="86"/>
      <c r="H139" s="86"/>
      <c r="T139" s="35"/>
    </row>
    <row r="140" spans="1:22" ht="47.25" hidden="1" customHeight="1" x14ac:dyDescent="0.35">
      <c r="A140" s="117" t="s">
        <v>376</v>
      </c>
      <c r="B140" s="117" t="s">
        <v>178</v>
      </c>
      <c r="C140" s="117" t="s">
        <v>55</v>
      </c>
      <c r="D140" s="117" t="s">
        <v>234</v>
      </c>
      <c r="E140" s="194" t="s">
        <v>158</v>
      </c>
      <c r="F140" s="117" t="s">
        <v>56</v>
      </c>
      <c r="G140" s="194" t="s">
        <v>57</v>
      </c>
      <c r="H140" s="76" t="s">
        <v>150</v>
      </c>
      <c r="T140" s="35"/>
    </row>
    <row r="141" spans="1:22" s="37" customFormat="1" hidden="1" x14ac:dyDescent="0.35">
      <c r="A141" s="118"/>
      <c r="B141" s="118"/>
      <c r="C141" s="118"/>
      <c r="D141" s="118"/>
      <c r="E141" s="195"/>
      <c r="F141" s="118"/>
      <c r="G141" s="195"/>
      <c r="H141" s="77">
        <v>0.45</v>
      </c>
      <c r="T141" s="35"/>
    </row>
    <row r="142" spans="1:22" s="37" customFormat="1" hidden="1" x14ac:dyDescent="0.35">
      <c r="A142" s="191" t="s">
        <v>117</v>
      </c>
      <c r="B142" s="192"/>
      <c r="C142" s="192"/>
      <c r="D142" s="192"/>
      <c r="E142" s="192"/>
      <c r="F142" s="192"/>
      <c r="G142" s="192"/>
      <c r="H142" s="193"/>
      <c r="J142" s="36"/>
      <c r="T142" s="35"/>
    </row>
    <row r="143" spans="1:22" s="37" customFormat="1" ht="15.75" hidden="1" customHeight="1" x14ac:dyDescent="0.35">
      <c r="A143" s="89">
        <v>1</v>
      </c>
      <c r="B143" s="90"/>
      <c r="C143" s="78"/>
      <c r="D143" s="78">
        <v>0</v>
      </c>
      <c r="E143" s="78">
        <v>0</v>
      </c>
      <c r="F143" s="78">
        <f>D143+(IF(E143&lt;201,E143,IF(E143&lt;301,E143/2,E143/3)))</f>
        <v>0</v>
      </c>
      <c r="G143" s="78">
        <v>0</v>
      </c>
      <c r="H143" s="78">
        <f>(F143+(IF(G143&lt;101,G143,IF(G143&lt;201,G143/2,IF(G143&lt;=301,G143/3,G143/4)))))*(($H$141)+1)</f>
        <v>0</v>
      </c>
      <c r="I143" s="36"/>
      <c r="L143" s="186"/>
      <c r="M143" s="186"/>
      <c r="N143" s="36"/>
      <c r="T143" s="35"/>
    </row>
    <row r="144" spans="1:22" s="37" customFormat="1" ht="15.75" hidden="1" customHeight="1" x14ac:dyDescent="0.35">
      <c r="A144" s="89">
        <f>A143+1</f>
        <v>2</v>
      </c>
      <c r="B144" s="90"/>
      <c r="C144" s="78"/>
      <c r="D144" s="78"/>
      <c r="E144" s="78">
        <v>0</v>
      </c>
      <c r="F144" s="78">
        <f t="shared" ref="F144:F146" si="2">D144+(IF(E144&lt;201,E144,IF(E144&lt;301,E144/2,E144/3)))</f>
        <v>0</v>
      </c>
      <c r="G144" s="78">
        <v>0</v>
      </c>
      <c r="H144" s="78">
        <f t="shared" ref="H144:H146" si="3">(F144+(IF(G144&lt;101,G144,IF(G144&lt;201,G144/2,IF(G144&lt;=301,G144/3,G144/4)))))*(($H$141)+1)</f>
        <v>0</v>
      </c>
      <c r="I144" s="36"/>
      <c r="L144" s="186"/>
      <c r="M144" s="186"/>
      <c r="N144" s="36"/>
      <c r="T144" s="34"/>
    </row>
    <row r="145" spans="1:20" s="37" customFormat="1" ht="15.75" hidden="1" customHeight="1" x14ac:dyDescent="0.35">
      <c r="A145" s="89">
        <f>A144+1</f>
        <v>3</v>
      </c>
      <c r="B145" s="90"/>
      <c r="C145" s="78"/>
      <c r="D145" s="78"/>
      <c r="E145" s="78">
        <v>0</v>
      </c>
      <c r="F145" s="78">
        <f t="shared" si="2"/>
        <v>0</v>
      </c>
      <c r="G145" s="78">
        <v>0</v>
      </c>
      <c r="H145" s="78">
        <f t="shared" si="3"/>
        <v>0</v>
      </c>
      <c r="I145" s="36"/>
      <c r="L145" s="186"/>
      <c r="M145" s="186"/>
      <c r="N145" s="36"/>
      <c r="T145" s="21"/>
    </row>
    <row r="146" spans="1:20" s="37" customFormat="1" ht="15.75" hidden="1" customHeight="1" x14ac:dyDescent="0.35">
      <c r="A146" s="89">
        <f>A145+1</f>
        <v>4</v>
      </c>
      <c r="B146" s="90"/>
      <c r="C146" s="78"/>
      <c r="D146" s="78"/>
      <c r="E146" s="78">
        <v>0</v>
      </c>
      <c r="F146" s="78">
        <f t="shared" si="2"/>
        <v>0</v>
      </c>
      <c r="G146" s="78">
        <v>0</v>
      </c>
      <c r="H146" s="78">
        <f t="shared" si="3"/>
        <v>0</v>
      </c>
      <c r="I146" s="36"/>
      <c r="L146" s="186"/>
      <c r="M146" s="186"/>
      <c r="N146" s="36"/>
      <c r="T146" s="21"/>
    </row>
    <row r="147" spans="1:20" s="37" customFormat="1" hidden="1" x14ac:dyDescent="0.35">
      <c r="A147" s="89"/>
      <c r="B147" s="132"/>
      <c r="C147" s="132"/>
      <c r="D147" s="132"/>
      <c r="E147" s="132"/>
      <c r="F147" s="132"/>
      <c r="G147" s="132"/>
      <c r="H147" s="90"/>
      <c r="I147" s="36"/>
      <c r="N147" s="36"/>
    </row>
    <row r="148" spans="1:20" ht="47.25" customHeight="1" x14ac:dyDescent="0.35">
      <c r="A148" s="134" t="s">
        <v>377</v>
      </c>
      <c r="B148" s="117" t="s">
        <v>179</v>
      </c>
      <c r="C148" s="117" t="s">
        <v>55</v>
      </c>
      <c r="D148" s="117" t="s">
        <v>234</v>
      </c>
      <c r="E148" s="117" t="s">
        <v>397</v>
      </c>
      <c r="F148" s="117" t="s">
        <v>56</v>
      </c>
      <c r="G148" s="194" t="s">
        <v>57</v>
      </c>
      <c r="H148" s="76" t="s">
        <v>150</v>
      </c>
      <c r="I148" s="36"/>
      <c r="T148" s="37"/>
    </row>
    <row r="149" spans="1:20" s="37" customFormat="1" x14ac:dyDescent="0.35">
      <c r="A149" s="135"/>
      <c r="B149" s="118"/>
      <c r="C149" s="118"/>
      <c r="D149" s="118"/>
      <c r="E149" s="118"/>
      <c r="F149" s="118"/>
      <c r="G149" s="195"/>
      <c r="H149" s="77">
        <v>0.5</v>
      </c>
      <c r="I149" s="36"/>
    </row>
    <row r="150" spans="1:20" s="37" customFormat="1" x14ac:dyDescent="0.35">
      <c r="A150" s="124" t="s">
        <v>385</v>
      </c>
      <c r="B150" s="125"/>
      <c r="C150" s="125"/>
      <c r="D150" s="125"/>
      <c r="E150" s="125"/>
      <c r="F150" s="125"/>
      <c r="G150" s="125"/>
      <c r="H150" s="126"/>
      <c r="J150" s="36"/>
    </row>
    <row r="151" spans="1:20" s="37" customFormat="1" x14ac:dyDescent="0.35">
      <c r="A151" s="124" t="s">
        <v>357</v>
      </c>
      <c r="B151" s="125"/>
      <c r="C151" s="125"/>
      <c r="D151" s="125"/>
      <c r="E151" s="125"/>
      <c r="F151" s="125"/>
      <c r="G151" s="125"/>
      <c r="H151" s="126"/>
      <c r="J151" s="36"/>
    </row>
    <row r="152" spans="1:20" s="37" customFormat="1" x14ac:dyDescent="0.35">
      <c r="A152" s="124" t="s">
        <v>358</v>
      </c>
      <c r="B152" s="125"/>
      <c r="C152" s="125"/>
      <c r="D152" s="125"/>
      <c r="E152" s="125"/>
      <c r="F152" s="125"/>
      <c r="G152" s="125"/>
      <c r="H152" s="126"/>
      <c r="J152" s="36"/>
    </row>
    <row r="153" spans="1:20" s="37" customFormat="1" x14ac:dyDescent="0.35">
      <c r="A153" s="124" t="s">
        <v>359</v>
      </c>
      <c r="B153" s="125"/>
      <c r="C153" s="125"/>
      <c r="D153" s="125"/>
      <c r="E153" s="125"/>
      <c r="F153" s="125"/>
      <c r="G153" s="125"/>
      <c r="H153" s="126"/>
      <c r="J153" s="36"/>
    </row>
    <row r="154" spans="1:20" s="37" customFormat="1" x14ac:dyDescent="0.35">
      <c r="A154" s="152" t="s">
        <v>360</v>
      </c>
      <c r="B154" s="152"/>
      <c r="C154" s="152"/>
      <c r="D154" s="152"/>
      <c r="E154" s="152"/>
      <c r="F154" s="152"/>
      <c r="G154" s="152"/>
      <c r="H154" s="152"/>
      <c r="I154" s="36"/>
      <c r="J154" s="74">
        <f>10.764</f>
        <v>10.763999999999999</v>
      </c>
      <c r="L154" s="186"/>
      <c r="M154" s="186"/>
    </row>
    <row r="155" spans="1:20" s="37" customFormat="1" x14ac:dyDescent="0.35">
      <c r="A155" s="116">
        <f>LEFT(A154,SUM(LEN(A154)-LEN(SUBSTITUTE(A154,{"0","1","2","3","4","5","6","7","8","9"},""))))*100+1</f>
        <v>401</v>
      </c>
      <c r="B155" s="116"/>
      <c r="C155" s="42" t="s">
        <v>361</v>
      </c>
      <c r="D155" s="74">
        <f>(49.31)*(10.764)</f>
        <v>530.77283999999997</v>
      </c>
      <c r="E155" s="42">
        <v>0</v>
      </c>
      <c r="F155" s="42">
        <f>D155+E155</f>
        <v>530.77283999999997</v>
      </c>
      <c r="G155" s="42">
        <v>0</v>
      </c>
      <c r="H155" s="42">
        <f>F155*(($H$149)+1)+(IF(G155&lt;101,G155,IF(G155&lt;201,G155/2,IF(G155&lt;=301,G155/3,G155/4))))</f>
        <v>796.1592599999999</v>
      </c>
      <c r="I155" s="36">
        <f>(4.6*3.7+3.05*2.45+3.65*3.43+1.5*2.3+1.5*2.3+1.73*0.9+1.5*1)</f>
        <v>46.969000000000008</v>
      </c>
      <c r="N155" s="36"/>
    </row>
    <row r="156" spans="1:20" s="37" customFormat="1" x14ac:dyDescent="0.35">
      <c r="A156" s="116">
        <f>A155+1</f>
        <v>402</v>
      </c>
      <c r="B156" s="116"/>
      <c r="C156" s="42" t="s">
        <v>362</v>
      </c>
      <c r="D156" s="74">
        <f>(69.15)*(10.764)</f>
        <v>744.3306</v>
      </c>
      <c r="E156" s="42">
        <v>0</v>
      </c>
      <c r="F156" s="42">
        <f>D156+E156</f>
        <v>744.3306</v>
      </c>
      <c r="G156" s="42">
        <v>0</v>
      </c>
      <c r="H156" s="42">
        <f>F156*(($H$149)+1)+(IF(G156&lt;101,G156,IF(G156&lt;201,G156/2,IF(G156&lt;=301,G156/3,G156/4))))</f>
        <v>1116.4958999999999</v>
      </c>
      <c r="I156" s="36">
        <f>(3.65*5.4+2.45*3.05+3.35*3.05+3.5*4.05+1.5*2.5+2.3*0.9+3.35*0.9+1.5*2.45+0.6*3.5)</f>
        <v>66.184999999999988</v>
      </c>
      <c r="L156" s="37">
        <f>70000/1.5</f>
        <v>46666.666666666664</v>
      </c>
      <c r="N156" s="36"/>
    </row>
    <row r="157" spans="1:20" s="37" customFormat="1" x14ac:dyDescent="0.35">
      <c r="A157" s="116">
        <f>A156+1</f>
        <v>403</v>
      </c>
      <c r="B157" s="116"/>
      <c r="C157" s="42" t="s">
        <v>361</v>
      </c>
      <c r="D157" s="74">
        <f>(50.41)*(10.764)</f>
        <v>542.61323999999991</v>
      </c>
      <c r="E157" s="42">
        <v>0</v>
      </c>
      <c r="F157" s="42">
        <f>D157+E157</f>
        <v>542.61323999999991</v>
      </c>
      <c r="G157" s="42">
        <v>0</v>
      </c>
      <c r="H157" s="42">
        <f>F157*(($H$149)+1)+(IF(G157&lt;101,G157,IF(G157&lt;201,G157/2,IF(G157&lt;=301,G157/3,G157/4))))</f>
        <v>813.91985999999986</v>
      </c>
      <c r="I157" s="36"/>
      <c r="L157" s="37">
        <f>65000/1.5</f>
        <v>43333.333333333336</v>
      </c>
      <c r="N157" s="36"/>
    </row>
    <row r="158" spans="1:20" s="37" customFormat="1" x14ac:dyDescent="0.35">
      <c r="A158" s="152" t="s">
        <v>386</v>
      </c>
      <c r="B158" s="152"/>
      <c r="C158" s="152"/>
      <c r="D158" s="152"/>
      <c r="E158" s="152"/>
      <c r="F158" s="152"/>
      <c r="G158" s="152"/>
      <c r="H158" s="152"/>
      <c r="I158" s="36"/>
      <c r="L158" s="186"/>
      <c r="M158" s="186"/>
    </row>
    <row r="159" spans="1:20" s="37" customFormat="1" x14ac:dyDescent="0.35">
      <c r="A159" s="116">
        <f>LEFT(A158,SUM(LEN(A158)-LEN(SUBSTITUTE(A158,{"0","1","2","3","4","5","6","7","8","9"},""))))*100+1</f>
        <v>501</v>
      </c>
      <c r="B159" s="116"/>
      <c r="C159" s="42" t="s">
        <v>362</v>
      </c>
      <c r="D159" s="74">
        <f>(77.26)*(10.764)</f>
        <v>831.62663999999995</v>
      </c>
      <c r="E159" s="42">
        <v>0</v>
      </c>
      <c r="F159" s="42">
        <f>D159+E159</f>
        <v>831.62663999999995</v>
      </c>
      <c r="G159" s="42">
        <v>0</v>
      </c>
      <c r="H159" s="42">
        <f>F159*(($H$149)+1)+(IF(G159&lt;101,G159,IF(G159&lt;201,G159/2,IF(G159&lt;=301,G159/3,G159/4))))</f>
        <v>1247.4399599999999</v>
      </c>
      <c r="I159" s="36"/>
      <c r="N159" s="36"/>
    </row>
    <row r="160" spans="1:20" s="37" customFormat="1" x14ac:dyDescent="0.35">
      <c r="A160" s="116">
        <f>A159+1</f>
        <v>502</v>
      </c>
      <c r="B160" s="116"/>
      <c r="C160" s="42" t="s">
        <v>363</v>
      </c>
      <c r="D160" s="74">
        <f>(89.66)*(10.764)</f>
        <v>965.10023999999987</v>
      </c>
      <c r="E160" s="42">
        <v>0</v>
      </c>
      <c r="F160" s="42">
        <f>D160+E160</f>
        <v>965.10023999999987</v>
      </c>
      <c r="G160" s="42">
        <v>0</v>
      </c>
      <c r="H160" s="42">
        <f>F160*(($H$149)+1)+(IF(G160&lt;101,G160,IF(G160&lt;201,G160/2,IF(G160&lt;=301,G160/3,G160/4))))</f>
        <v>1447.6503599999999</v>
      </c>
      <c r="I160" s="36">
        <f>(3.65*6.05+2.45*3.05+3.35*3.05+3.5*4.05+4*3.35+1.5*2.45+5.5*0.9+1.5*2.45+3.5*0.6)</f>
        <v>81.747499999999988</v>
      </c>
      <c r="N160" s="36"/>
    </row>
    <row r="161" spans="1:14" s="37" customFormat="1" x14ac:dyDescent="0.35">
      <c r="A161" s="116">
        <f>A160+1</f>
        <v>503</v>
      </c>
      <c r="B161" s="116"/>
      <c r="C161" s="42" t="s">
        <v>362</v>
      </c>
      <c r="D161" s="74">
        <f>(75.91)*(10.764)</f>
        <v>817.09523999999988</v>
      </c>
      <c r="E161" s="42">
        <v>0</v>
      </c>
      <c r="F161" s="42">
        <f>D161+E161</f>
        <v>817.09523999999988</v>
      </c>
      <c r="G161" s="42">
        <v>0</v>
      </c>
      <c r="H161" s="42">
        <f>F161*(($H$149)+1)+(IF(G161&lt;101,G161,IF(G161&lt;201,G161/2,IF(G161&lt;=301,G161/3,G161/4))))</f>
        <v>1225.6428599999999</v>
      </c>
      <c r="I161" s="36">
        <f>(3.65*6.05+2.45*3.3+3.35*3.15+3.5*4.2+1.5*2.45+1.5*2.45+4.5*0.9+1.75*3.5)</f>
        <v>72.944999999999993</v>
      </c>
      <c r="N161" s="36"/>
    </row>
    <row r="162" spans="1:14" s="37" customFormat="1" x14ac:dyDescent="0.35">
      <c r="A162" s="152" t="s">
        <v>387</v>
      </c>
      <c r="B162" s="152"/>
      <c r="C162" s="152"/>
      <c r="D162" s="152"/>
      <c r="E162" s="152"/>
      <c r="F162" s="152"/>
      <c r="G162" s="152"/>
      <c r="H162" s="152"/>
      <c r="I162" s="36"/>
      <c r="L162" s="186"/>
      <c r="M162" s="186"/>
    </row>
    <row r="163" spans="1:14" s="37" customFormat="1" x14ac:dyDescent="0.35">
      <c r="A163" s="116">
        <f>LEFT(A162,SUM(LEN(A162)-LEN(SUBSTITUTE(A162,{"0","1","2","3","4","5","6","7","8","9"},""))))*100+1</f>
        <v>601</v>
      </c>
      <c r="B163" s="116"/>
      <c r="C163" s="42" t="s">
        <v>362</v>
      </c>
      <c r="D163" s="74">
        <f>(77.45)*(10.764)</f>
        <v>833.67179999999996</v>
      </c>
      <c r="E163" s="42">
        <v>0</v>
      </c>
      <c r="F163" s="42">
        <f>D163+E163</f>
        <v>833.67179999999996</v>
      </c>
      <c r="G163" s="42">
        <v>0</v>
      </c>
      <c r="H163" s="42">
        <f>F163*(($H$149)+1)+(IF(G163&lt;101,G163,IF(G163&lt;201,G163/2,IF(G163&lt;=301,G163/3,G163/4))))</f>
        <v>1250.5076999999999</v>
      </c>
      <c r="I163" s="36"/>
      <c r="N163" s="36"/>
    </row>
    <row r="164" spans="1:14" s="37" customFormat="1" x14ac:dyDescent="0.35">
      <c r="A164" s="116">
        <f>A163+1</f>
        <v>602</v>
      </c>
      <c r="B164" s="116"/>
      <c r="C164" s="42" t="s">
        <v>363</v>
      </c>
      <c r="D164" s="74">
        <f>(89.66)*(10.764)</f>
        <v>965.10023999999987</v>
      </c>
      <c r="E164" s="42">
        <v>0</v>
      </c>
      <c r="F164" s="42">
        <f>D164+E164</f>
        <v>965.10023999999987</v>
      </c>
      <c r="G164" s="42">
        <v>0</v>
      </c>
      <c r="H164" s="42">
        <f>F164*(($H$149)+1)+(IF(G164&lt;101,G164,IF(G164&lt;201,G164/2,IF(G164&lt;=301,G164/3,G164/4))))</f>
        <v>1447.6503599999999</v>
      </c>
      <c r="I164" s="36"/>
      <c r="L164" s="36">
        <f>103700000/H164</f>
        <v>71633.318973512374</v>
      </c>
      <c r="M164" s="37">
        <f>H164*42000</f>
        <v>60801315.119999997</v>
      </c>
      <c r="N164" s="36"/>
    </row>
    <row r="165" spans="1:14" s="37" customFormat="1" x14ac:dyDescent="0.35">
      <c r="A165" s="116">
        <f>A164+1</f>
        <v>603</v>
      </c>
      <c r="B165" s="116"/>
      <c r="C165" s="42" t="s">
        <v>362</v>
      </c>
      <c r="D165" s="74">
        <f>(75.91)*(10.764)</f>
        <v>817.09523999999988</v>
      </c>
      <c r="E165" s="42">
        <v>0</v>
      </c>
      <c r="F165" s="42">
        <f>D165+E165</f>
        <v>817.09523999999988</v>
      </c>
      <c r="G165" s="42">
        <v>0</v>
      </c>
      <c r="H165" s="42">
        <f>F165*(($H$149)+1)+(IF(G165&lt;101,G165,IF(G165&lt;201,G165/2,IF(G165&lt;=301,G165/3,G165/4))))</f>
        <v>1225.6428599999999</v>
      </c>
      <c r="I165" s="36"/>
      <c r="N165" s="36"/>
    </row>
    <row r="166" spans="1:14" s="37" customFormat="1" x14ac:dyDescent="0.35">
      <c r="A166" s="152" t="s">
        <v>365</v>
      </c>
      <c r="B166" s="152"/>
      <c r="C166" s="152"/>
      <c r="D166" s="152"/>
      <c r="E166" s="152"/>
      <c r="F166" s="152"/>
      <c r="G166" s="152"/>
      <c r="H166" s="152"/>
      <c r="I166" s="36"/>
      <c r="L166" s="186"/>
      <c r="M166" s="186"/>
    </row>
    <row r="167" spans="1:14" s="37" customFormat="1" x14ac:dyDescent="0.35">
      <c r="A167" s="116">
        <f>LEFT(A166,SUM(LEN(A166)-LEN(SUBSTITUTE(A166,{"0","1","2","3","4","5","6","7","8","9"},""))))*100+1</f>
        <v>701</v>
      </c>
      <c r="B167" s="116"/>
      <c r="C167" s="42" t="s">
        <v>362</v>
      </c>
      <c r="D167" s="74">
        <f>(79.42)*(10.764)</f>
        <v>854.87687999999991</v>
      </c>
      <c r="E167" s="42">
        <v>0</v>
      </c>
      <c r="F167" s="42">
        <f>D167+E167</f>
        <v>854.87687999999991</v>
      </c>
      <c r="G167" s="42">
        <v>0</v>
      </c>
      <c r="H167" s="42">
        <f>F167*(($H$149)+1)+(IF(G167&lt;101,G167,IF(G167&lt;201,G167/2,IF(G167&lt;=301,G167/3,G167/4))))</f>
        <v>1282.3153199999999</v>
      </c>
      <c r="I167" s="36"/>
      <c r="N167" s="36"/>
    </row>
    <row r="168" spans="1:14" s="37" customFormat="1" x14ac:dyDescent="0.35">
      <c r="A168" s="116">
        <f>A167+1</f>
        <v>702</v>
      </c>
      <c r="B168" s="116"/>
      <c r="C168" s="42" t="s">
        <v>364</v>
      </c>
      <c r="D168" s="74">
        <f>(157.12)*(10.764)</f>
        <v>1691.2396799999999</v>
      </c>
      <c r="E168" s="42">
        <v>0</v>
      </c>
      <c r="F168" s="42">
        <f>D168+E168</f>
        <v>1691.2396799999999</v>
      </c>
      <c r="G168" s="42">
        <v>0</v>
      </c>
      <c r="H168" s="42">
        <f>F168*(($H$149)+1)+(IF(G168&lt;101,G168,IF(G168&lt;201,G168/2,IF(G168&lt;=301,G168/3,G168/4))))</f>
        <v>2536.85952</v>
      </c>
      <c r="I168" s="36">
        <f>(7.45*5+2.45*3.2+2.45*3.05+3.35*3.05+3.5*4.05+4*3.35+4.7*4.2+2.07*4.2+1.5*2.45+1.5*2.45+1.5*2.45+1.5*2.5+5.5*0.9+2.45*0.6+3.05*0.45+2.6*2.45+0.8*1.4+1.5*1.05)</f>
        <v>150.42149999999998</v>
      </c>
      <c r="N168" s="36"/>
    </row>
    <row r="169" spans="1:14" s="37" customFormat="1" x14ac:dyDescent="0.35">
      <c r="A169" s="152" t="s">
        <v>366</v>
      </c>
      <c r="B169" s="152"/>
      <c r="C169" s="152"/>
      <c r="D169" s="152"/>
      <c r="E169" s="152"/>
      <c r="F169" s="152"/>
      <c r="G169" s="152"/>
      <c r="H169" s="152"/>
      <c r="I169" s="36"/>
      <c r="L169" s="186"/>
      <c r="M169" s="186"/>
    </row>
    <row r="170" spans="1:14" s="37" customFormat="1" x14ac:dyDescent="0.35">
      <c r="A170" s="116">
        <f>LEFT(A169,SUM(LEN(A169)-LEN(SUBSTITUTE(A169,{"0","1","2","3","4","5","6","7","8","9"},""))))*100+1</f>
        <v>801</v>
      </c>
      <c r="B170" s="116"/>
      <c r="C170" s="73" t="s">
        <v>363</v>
      </c>
      <c r="D170" s="74">
        <f>(96.96)*(10.764)</f>
        <v>1043.6774399999999</v>
      </c>
      <c r="E170" s="42">
        <v>0</v>
      </c>
      <c r="F170" s="42">
        <f>D170+E170</f>
        <v>1043.6774399999999</v>
      </c>
      <c r="G170" s="42">
        <v>0</v>
      </c>
      <c r="H170" s="42">
        <f>F170*(($H$149)+1)+(IF(G170&lt;101,G170,IF(G170&lt;201,G170/2,IF(G170&lt;=301,G170/3,G170/4))))</f>
        <v>1565.5161599999999</v>
      </c>
      <c r="I170" s="36"/>
      <c r="N170" s="36"/>
    </row>
    <row r="171" spans="1:14" s="37" customFormat="1" x14ac:dyDescent="0.35">
      <c r="A171" s="116">
        <f>A170+1</f>
        <v>802</v>
      </c>
      <c r="B171" s="116"/>
      <c r="C171" s="73" t="s">
        <v>363</v>
      </c>
      <c r="D171" s="74">
        <f>(89.66)*(10.764)</f>
        <v>965.10023999999987</v>
      </c>
      <c r="E171" s="42">
        <v>0</v>
      </c>
      <c r="F171" s="42">
        <f>D171+E171</f>
        <v>965.10023999999987</v>
      </c>
      <c r="G171" s="42">
        <v>0</v>
      </c>
      <c r="H171" s="42">
        <f>F171*(($H$149)+1)+(IF(G171&lt;101,G171,IF(G171&lt;201,G171/2,IF(G171&lt;=301,G171/3,G171/4))))</f>
        <v>1447.6503599999999</v>
      </c>
      <c r="I171" s="36"/>
      <c r="N171" s="36"/>
    </row>
    <row r="172" spans="1:14" s="37" customFormat="1" x14ac:dyDescent="0.35">
      <c r="A172" s="116">
        <f>A171+1</f>
        <v>803</v>
      </c>
      <c r="B172" s="116"/>
      <c r="C172" s="73" t="s">
        <v>363</v>
      </c>
      <c r="D172" s="74">
        <f>(86.83)*(10.764)</f>
        <v>934.63811999999996</v>
      </c>
      <c r="E172" s="42">
        <v>0</v>
      </c>
      <c r="F172" s="42">
        <f>D172+E172</f>
        <v>934.63811999999996</v>
      </c>
      <c r="G172" s="42">
        <v>0</v>
      </c>
      <c r="H172" s="42">
        <f>F172*(($H$149)+1)+(IF(G172&lt;101,G172,IF(G172&lt;201,G172/2,IF(G172&lt;=301,G172/3,G172/4))))</f>
        <v>1401.9571799999999</v>
      </c>
      <c r="I172" s="36">
        <f>(3.65*6.05+2.45*3.15+3.35*3.15+3.5*4.2+3.05*3.35+1.5*2.45+1.5*2.45+4.5*0.9+1.75*3.5)</f>
        <v>82.794999999999987</v>
      </c>
      <c r="N172" s="36"/>
    </row>
    <row r="173" spans="1:14" s="37" customFormat="1" x14ac:dyDescent="0.35">
      <c r="A173" s="152" t="s">
        <v>367</v>
      </c>
      <c r="B173" s="152"/>
      <c r="C173" s="152"/>
      <c r="D173" s="152"/>
      <c r="E173" s="152"/>
      <c r="F173" s="152"/>
      <c r="G173" s="152"/>
      <c r="H173" s="152"/>
      <c r="I173" s="36"/>
      <c r="L173" s="186"/>
      <c r="M173" s="186"/>
    </row>
    <row r="174" spans="1:14" s="37" customFormat="1" x14ac:dyDescent="0.35">
      <c r="A174" s="116">
        <f>LEFT(A173,SUM(LEN(A173)-LEN(SUBSTITUTE(A173,{"0","1","2","3","4","5","6","7","8","9"},""))))*100+1</f>
        <v>901</v>
      </c>
      <c r="B174" s="116"/>
      <c r="C174" s="73" t="s">
        <v>363</v>
      </c>
      <c r="D174" s="74">
        <f>(96.96)*(10.764)</f>
        <v>1043.6774399999999</v>
      </c>
      <c r="E174" s="42">
        <v>0</v>
      </c>
      <c r="F174" s="42">
        <f>D174+E174</f>
        <v>1043.6774399999999</v>
      </c>
      <c r="G174" s="42">
        <v>0</v>
      </c>
      <c r="H174" s="42">
        <f>F174*(($H$149)+1)+(IF(G174&lt;101,G174,IF(G174&lt;201,G174/2,IF(G174&lt;=301,G174/3,G174/4))))</f>
        <v>1565.5161599999999</v>
      </c>
      <c r="I174" s="36"/>
      <c r="N174" s="36"/>
    </row>
    <row r="175" spans="1:14" s="37" customFormat="1" x14ac:dyDescent="0.35">
      <c r="A175" s="116">
        <f>A174+1</f>
        <v>902</v>
      </c>
      <c r="B175" s="116"/>
      <c r="C175" s="73" t="s">
        <v>363</v>
      </c>
      <c r="D175" s="74">
        <f>(100.39)*(10.764)</f>
        <v>1080.5979599999998</v>
      </c>
      <c r="E175" s="42">
        <v>0</v>
      </c>
      <c r="F175" s="42">
        <f>D175+E175</f>
        <v>1080.5979599999998</v>
      </c>
      <c r="G175" s="42">
        <v>0</v>
      </c>
      <c r="H175" s="42">
        <f>F175*(($H$149)+1)+(IF(G175&lt;101,G175,IF(G175&lt;201,G175/2,IF(G175&lt;=301,G175/3,G175/4))))</f>
        <v>1620.8969399999996</v>
      </c>
      <c r="I175" s="36">
        <f>(3.65*7.75+2.45*3.15+3.35*3.15+3.5*4.15+4*3.35+1.5*2.45+1.5*2.45+6.1*0.9+1.75*3.5+1.5*2.5)</f>
        <v>97.197499999999991</v>
      </c>
      <c r="N175" s="36"/>
    </row>
    <row r="176" spans="1:14" s="37" customFormat="1" x14ac:dyDescent="0.35">
      <c r="A176" s="116">
        <f>A175+1</f>
        <v>903</v>
      </c>
      <c r="B176" s="116"/>
      <c r="C176" s="73" t="s">
        <v>363</v>
      </c>
      <c r="D176" s="74">
        <f>(115.4)*(10.764)</f>
        <v>1242.1656</v>
      </c>
      <c r="E176" s="42">
        <v>0</v>
      </c>
      <c r="F176" s="42">
        <f>D176+E176</f>
        <v>1242.1656</v>
      </c>
      <c r="G176" s="42">
        <v>0</v>
      </c>
      <c r="H176" s="42">
        <f>F176*(($H$149)+1)+(IF(G176&lt;101,G176,IF(G176&lt;201,G176/2,IF(G176&lt;=301,G176/3,G176/4))))</f>
        <v>1863.2483999999999</v>
      </c>
      <c r="I176" s="36"/>
      <c r="N176" s="36"/>
    </row>
    <row r="177" spans="1:14" s="37" customFormat="1" x14ac:dyDescent="0.35">
      <c r="A177" s="152" t="s">
        <v>368</v>
      </c>
      <c r="B177" s="152"/>
      <c r="C177" s="152"/>
      <c r="D177" s="152"/>
      <c r="E177" s="152"/>
      <c r="F177" s="152"/>
      <c r="G177" s="152"/>
      <c r="H177" s="152"/>
      <c r="I177" s="36"/>
      <c r="L177" s="186"/>
      <c r="M177" s="186"/>
    </row>
    <row r="178" spans="1:14" s="37" customFormat="1" x14ac:dyDescent="0.35">
      <c r="A178" s="116">
        <f>LEFT(A177,SUM(LEN(A177)-LEN(SUBSTITUTE(A177,{"0","1","2","3","4","5","6","7","8","9"},""))))*100+1</f>
        <v>1001</v>
      </c>
      <c r="B178" s="116"/>
      <c r="C178" s="73" t="s">
        <v>363</v>
      </c>
      <c r="D178" s="74">
        <f>(96.96)*(10.764)</f>
        <v>1043.6774399999999</v>
      </c>
      <c r="E178" s="42">
        <v>0</v>
      </c>
      <c r="F178" s="42">
        <f>D178+E178</f>
        <v>1043.6774399999999</v>
      </c>
      <c r="G178" s="42">
        <v>0</v>
      </c>
      <c r="H178" s="42">
        <f>F178*(($H$149)+1)+(IF(G178&lt;101,G178,IF(G178&lt;201,G178/2,IF(G178&lt;=301,G178/3,G178/4))))</f>
        <v>1565.5161599999999</v>
      </c>
      <c r="I178" s="36"/>
      <c r="N178" s="36"/>
    </row>
    <row r="179" spans="1:14" s="37" customFormat="1" x14ac:dyDescent="0.35">
      <c r="A179" s="116">
        <f>A178+1</f>
        <v>1002</v>
      </c>
      <c r="B179" s="116"/>
      <c r="C179" s="73" t="s">
        <v>363</v>
      </c>
      <c r="D179" s="74">
        <f>(115.04)*(10.764)</f>
        <v>1238.2905599999999</v>
      </c>
      <c r="E179" s="42">
        <v>0</v>
      </c>
      <c r="F179" s="42">
        <f>D179+E179</f>
        <v>1238.2905599999999</v>
      </c>
      <c r="G179" s="42">
        <v>0</v>
      </c>
      <c r="H179" s="42">
        <f>F179*(($H$149)+1)+(IF(G179&lt;101,G179,IF(G179&lt;201,G179/2,IF(G179&lt;=301,G179/3,G179/4))))</f>
        <v>1857.4358399999999</v>
      </c>
      <c r="I179" s="36"/>
      <c r="N179" s="36"/>
    </row>
    <row r="180" spans="1:14" s="37" customFormat="1" x14ac:dyDescent="0.35">
      <c r="A180" s="116">
        <f>A179+1</f>
        <v>1003</v>
      </c>
      <c r="B180" s="116"/>
      <c r="C180" s="73" t="s">
        <v>363</v>
      </c>
      <c r="D180" s="74">
        <f>(115.4)*(10.764)</f>
        <v>1242.1656</v>
      </c>
      <c r="E180" s="42">
        <v>0</v>
      </c>
      <c r="F180" s="42">
        <f>D180+E180</f>
        <v>1242.1656</v>
      </c>
      <c r="G180" s="42">
        <v>0</v>
      </c>
      <c r="H180" s="42">
        <f>F180*(($H$149)+1)+(IF(G180&lt;101,G180,IF(G180&lt;201,G180/2,IF(G180&lt;=301,G180/3,G180/4))))</f>
        <v>1863.2483999999999</v>
      </c>
      <c r="I180" s="36">
        <f>(3.65*7.75+2.45*4.1+3.35*4.1+3.5*5.15+4.55*3.35+1.5*2.45+1.5*1.65+1.5*2.45+1.5*2.45+4.5*0.9+1.75*3.5)</f>
        <v>109.00999999999999</v>
      </c>
      <c r="N180" s="36"/>
    </row>
    <row r="181" spans="1:14" s="37" customFormat="1" x14ac:dyDescent="0.35">
      <c r="A181" s="152" t="s">
        <v>388</v>
      </c>
      <c r="B181" s="152"/>
      <c r="C181" s="152"/>
      <c r="D181" s="152"/>
      <c r="E181" s="152"/>
      <c r="F181" s="152"/>
      <c r="G181" s="152"/>
      <c r="H181" s="152"/>
      <c r="I181" s="36"/>
      <c r="L181" s="186"/>
      <c r="M181" s="186"/>
    </row>
    <row r="182" spans="1:14" s="37" customFormat="1" x14ac:dyDescent="0.35">
      <c r="A182" s="116">
        <f>LEFT(A181,SUM(LEN(A181)-LEN(SUBSTITUTE(A181,{"0","1","2","3","4","5","6","7","8","9"},""))))*100+1</f>
        <v>1101</v>
      </c>
      <c r="B182" s="116"/>
      <c r="C182" s="73" t="s">
        <v>363</v>
      </c>
      <c r="D182" s="74">
        <f>(96.96)*(10.764)</f>
        <v>1043.6774399999999</v>
      </c>
      <c r="E182" s="73">
        <v>0</v>
      </c>
      <c r="F182" s="42">
        <f>D182+E182</f>
        <v>1043.6774399999999</v>
      </c>
      <c r="G182" s="73">
        <v>0</v>
      </c>
      <c r="H182" s="42">
        <f>F182*(($H$149)+1)+(IF(G182&lt;101,G182,IF(G182&lt;201,G182/2,IF(G182&lt;=301,G182/3,G182/4))))</f>
        <v>1565.5161599999999</v>
      </c>
      <c r="I182" s="36"/>
      <c r="N182" s="36"/>
    </row>
    <row r="183" spans="1:14" s="37" customFormat="1" x14ac:dyDescent="0.35">
      <c r="A183" s="116">
        <f>A182+1</f>
        <v>1102</v>
      </c>
      <c r="B183" s="116"/>
      <c r="C183" s="73" t="s">
        <v>363</v>
      </c>
      <c r="D183" s="74">
        <f>(116.61)*(10.764)</f>
        <v>1255.19004</v>
      </c>
      <c r="E183" s="42">
        <f>(5.04)*10.764</f>
        <v>54.25056</v>
      </c>
      <c r="F183" s="42">
        <f>D183+E183</f>
        <v>1309.4405999999999</v>
      </c>
      <c r="G183" s="42">
        <v>0</v>
      </c>
      <c r="H183" s="42">
        <f>F183*(($H$149)+1)+(IF(G183&lt;101,G183,IF(G183&lt;201,G183/2,IF(G183&lt;=301,G183/3,G183/4))))</f>
        <v>1964.1608999999999</v>
      </c>
      <c r="I183" s="36">
        <f>(3.65*7.6+2.45*4.15+3.35*4.15+3.5*5.15+4.55*3.36+1.5*2.55+1.5*2.45+1.5*2.45+1.5*2.45+4.35*0.9+1.75*3.5)</f>
        <v>110.01300000000001</v>
      </c>
      <c r="J183" s="36">
        <f>3.65*1.35</f>
        <v>4.9275000000000002</v>
      </c>
      <c r="K183" s="36">
        <f>I183+J183</f>
        <v>114.9405</v>
      </c>
      <c r="N183" s="36"/>
    </row>
    <row r="184" spans="1:14" s="37" customFormat="1" x14ac:dyDescent="0.35">
      <c r="A184" s="116">
        <f>A183+1</f>
        <v>1103</v>
      </c>
      <c r="B184" s="116"/>
      <c r="C184" s="73" t="s">
        <v>363</v>
      </c>
      <c r="D184" s="74">
        <f>(116.86)*(10.764)</f>
        <v>1257.88104</v>
      </c>
      <c r="E184" s="42">
        <f>(5.04)*10.764</f>
        <v>54.25056</v>
      </c>
      <c r="F184" s="42">
        <f>D184+E184</f>
        <v>1312.1315999999999</v>
      </c>
      <c r="G184" s="42">
        <v>0</v>
      </c>
      <c r="H184" s="42">
        <f>F184*(($H$149)+1)+(IF(G184&lt;101,G184,IF(G184&lt;201,G184/2,IF(G184&lt;=301,G184/3,G184/4))))</f>
        <v>1968.1974</v>
      </c>
      <c r="I184" s="36"/>
      <c r="N184" s="36"/>
    </row>
    <row r="185" spans="1:14" s="37" customFormat="1" x14ac:dyDescent="0.35">
      <c r="A185" s="152" t="s">
        <v>389</v>
      </c>
      <c r="B185" s="152"/>
      <c r="C185" s="152"/>
      <c r="D185" s="152"/>
      <c r="E185" s="152"/>
      <c r="F185" s="152"/>
      <c r="G185" s="152"/>
      <c r="H185" s="152"/>
      <c r="I185" s="36"/>
      <c r="L185" s="186"/>
      <c r="M185" s="186"/>
    </row>
    <row r="186" spans="1:14" s="37" customFormat="1" x14ac:dyDescent="0.35">
      <c r="A186" s="116">
        <v>1</v>
      </c>
      <c r="B186" s="116"/>
      <c r="C186" s="73" t="s">
        <v>363</v>
      </c>
      <c r="D186" s="74">
        <f>(110.15)*(10.764)</f>
        <v>1185.6546000000001</v>
      </c>
      <c r="E186" s="73">
        <f>(5.37)*10.764</f>
        <v>57.802679999999995</v>
      </c>
      <c r="F186" s="42">
        <f>D186+E186</f>
        <v>1243.4572800000001</v>
      </c>
      <c r="G186" s="73">
        <v>0</v>
      </c>
      <c r="H186" s="42">
        <f>F186*(($H$149)+1)+(IF(G186&lt;101,G186,IF(G186&lt;201,G186/2,IF(G186&lt;=301,G186/3,G186/4))))</f>
        <v>1865.1859200000001</v>
      </c>
      <c r="I186" s="36"/>
      <c r="N186" s="36"/>
    </row>
    <row r="187" spans="1:14" s="37" customFormat="1" x14ac:dyDescent="0.35">
      <c r="A187" s="116">
        <f>A186+1</f>
        <v>2</v>
      </c>
      <c r="B187" s="116"/>
      <c r="C187" s="73" t="s">
        <v>363</v>
      </c>
      <c r="D187" s="74">
        <f>(120.57)*(10.764)</f>
        <v>1297.8154799999998</v>
      </c>
      <c r="E187" s="42">
        <f>(5.07)*10.764</f>
        <v>54.573479999999996</v>
      </c>
      <c r="F187" s="42">
        <f>D187+E187</f>
        <v>1352.3889599999998</v>
      </c>
      <c r="G187" s="42">
        <v>0</v>
      </c>
      <c r="H187" s="42">
        <f>F187*(($H$149)+1)+(IF(G187&lt;101,G187,IF(G187&lt;201,G187/2,IF(G187&lt;=301,G187/3,G187/4))))</f>
        <v>2028.5834399999997</v>
      </c>
      <c r="I187" s="36"/>
      <c r="J187" s="36"/>
      <c r="K187" s="36"/>
      <c r="N187" s="36"/>
    </row>
    <row r="188" spans="1:14" s="37" customFormat="1" x14ac:dyDescent="0.35">
      <c r="A188" s="116">
        <f>A187+1</f>
        <v>3</v>
      </c>
      <c r="B188" s="116"/>
      <c r="C188" s="73" t="s">
        <v>363</v>
      </c>
      <c r="D188" s="74">
        <f>(124.06)*(10.764)</f>
        <v>1335.38184</v>
      </c>
      <c r="E188" s="42">
        <f>(5.04)*10.764</f>
        <v>54.25056</v>
      </c>
      <c r="F188" s="42">
        <f>D188+E188</f>
        <v>1389.6324</v>
      </c>
      <c r="G188" s="42">
        <v>0</v>
      </c>
      <c r="H188" s="42">
        <f>F188*(($H$149)+1)+(IF(G188&lt;101,G188,IF(G188&lt;201,G188/2,IF(G188&lt;=301,G188/3,G188/4))))</f>
        <v>2084.4485999999997</v>
      </c>
      <c r="I188" s="36"/>
      <c r="N188" s="36"/>
    </row>
    <row r="189" spans="1:14" s="37" customFormat="1" x14ac:dyDescent="0.35">
      <c r="A189" s="152" t="s">
        <v>390</v>
      </c>
      <c r="B189" s="152"/>
      <c r="C189" s="152"/>
      <c r="D189" s="152"/>
      <c r="E189" s="152"/>
      <c r="F189" s="152"/>
      <c r="G189" s="152"/>
      <c r="H189" s="152"/>
      <c r="I189" s="36"/>
      <c r="L189" s="186"/>
      <c r="M189" s="186"/>
    </row>
    <row r="190" spans="1:14" s="37" customFormat="1" x14ac:dyDescent="0.35">
      <c r="A190" s="116">
        <v>1</v>
      </c>
      <c r="B190" s="116"/>
      <c r="C190" s="73" t="s">
        <v>363</v>
      </c>
      <c r="D190" s="74">
        <f>(110.56)*(10.764)</f>
        <v>1190.0678399999999</v>
      </c>
      <c r="E190" s="73">
        <f>(5.37)*10.764</f>
        <v>57.802679999999995</v>
      </c>
      <c r="F190" s="42">
        <f>D190+E190</f>
        <v>1247.8705199999999</v>
      </c>
      <c r="G190" s="73">
        <v>0</v>
      </c>
      <c r="H190" s="42">
        <f>F190*(($H$149)+1)+(IF(G190&lt;101,G190,IF(G190&lt;201,G190/2,IF(G190&lt;=301,G190/3,G190/4))))</f>
        <v>1871.8057799999999</v>
      </c>
      <c r="I190" s="36"/>
      <c r="N190" s="36"/>
    </row>
    <row r="191" spans="1:14" s="37" customFormat="1" x14ac:dyDescent="0.35">
      <c r="A191" s="116">
        <f>A190+1</f>
        <v>2</v>
      </c>
      <c r="B191" s="116"/>
      <c r="C191" s="73" t="s">
        <v>391</v>
      </c>
      <c r="D191" s="74">
        <f>(234)*(10.764)</f>
        <v>2518.7759999999998</v>
      </c>
      <c r="E191" s="42">
        <f>(10.27)*10.764</f>
        <v>110.54627999999998</v>
      </c>
      <c r="F191" s="42">
        <f>D191+E191</f>
        <v>2629.3222799999999</v>
      </c>
      <c r="G191" s="42">
        <v>0</v>
      </c>
      <c r="H191" s="42">
        <f>F191*(($H$149)+1)+(IF(G191&lt;101,G191,IF(G191&lt;201,G191/2,IF(G191&lt;=301,G191/3,G191/4))))</f>
        <v>3943.9834199999996</v>
      </c>
      <c r="I191" s="36"/>
      <c r="J191" s="36"/>
      <c r="K191" s="36"/>
      <c r="N191" s="36"/>
    </row>
    <row r="192" spans="1:14" s="37" customFormat="1" x14ac:dyDescent="0.35">
      <c r="A192" s="152" t="s">
        <v>392</v>
      </c>
      <c r="B192" s="152"/>
      <c r="C192" s="152"/>
      <c r="D192" s="152"/>
      <c r="E192" s="152"/>
      <c r="F192" s="152"/>
      <c r="G192" s="152"/>
      <c r="H192" s="152"/>
      <c r="I192" s="36"/>
      <c r="L192" s="186"/>
      <c r="M192" s="186"/>
    </row>
    <row r="193" spans="1:20" s="37" customFormat="1" x14ac:dyDescent="0.35">
      <c r="A193" s="116">
        <v>1</v>
      </c>
      <c r="B193" s="116"/>
      <c r="C193" s="217" t="s">
        <v>369</v>
      </c>
      <c r="D193" s="218"/>
      <c r="E193" s="218"/>
      <c r="F193" s="218"/>
      <c r="G193" s="218"/>
      <c r="H193" s="219"/>
      <c r="I193" s="36"/>
      <c r="N193" s="36"/>
    </row>
    <row r="194" spans="1:20" s="37" customFormat="1" x14ac:dyDescent="0.35">
      <c r="A194" s="116">
        <f>A193+1</f>
        <v>2</v>
      </c>
      <c r="B194" s="116"/>
      <c r="C194" s="73" t="s">
        <v>362</v>
      </c>
      <c r="D194" s="74">
        <f>(137.13)*(10.764)</f>
        <v>1476.0673199999999</v>
      </c>
      <c r="E194" s="42">
        <f>(9.13)*10.764</f>
        <v>98.275320000000008</v>
      </c>
      <c r="F194" s="42">
        <f>D194+E194</f>
        <v>1574.3426399999998</v>
      </c>
      <c r="G194" s="42">
        <v>0</v>
      </c>
      <c r="H194" s="42">
        <f>F194*(($H$149)+1)+(IF(G194&lt;101,G194,IF(G194&lt;201,G194/2,IF(G194&lt;=301,G194/3,G194/4))))</f>
        <v>2361.5139599999998</v>
      </c>
      <c r="I194" s="36"/>
      <c r="J194" s="36"/>
      <c r="K194" s="36"/>
      <c r="N194" s="36"/>
    </row>
    <row r="195" spans="1:20" s="37" customFormat="1" hidden="1" x14ac:dyDescent="0.35">
      <c r="A195" s="124" t="s">
        <v>117</v>
      </c>
      <c r="B195" s="125"/>
      <c r="C195" s="125"/>
      <c r="D195" s="125"/>
      <c r="E195" s="125"/>
      <c r="F195" s="125"/>
      <c r="G195" s="125"/>
      <c r="H195" s="126"/>
      <c r="J195" s="36"/>
    </row>
    <row r="196" spans="1:20" s="37" customFormat="1" ht="15.75" hidden="1" customHeight="1" x14ac:dyDescent="0.35">
      <c r="A196" s="84">
        <v>1</v>
      </c>
      <c r="B196" s="85"/>
      <c r="C196" s="42"/>
      <c r="D196" s="42"/>
      <c r="E196" s="42">
        <v>0</v>
      </c>
      <c r="F196" s="42">
        <f>D196+E196</f>
        <v>0</v>
      </c>
      <c r="G196" s="42">
        <v>0</v>
      </c>
      <c r="H196" s="42">
        <f>F196*(($H$149)+1)+(IF(G196&lt;101,G196,IF(G196&lt;201,G196/2,IF(G196&lt;=301,G196/3,G196/4))))</f>
        <v>0</v>
      </c>
      <c r="I196" s="36"/>
      <c r="L196" s="186"/>
      <c r="M196" s="186"/>
      <c r="N196" s="36"/>
    </row>
    <row r="197" spans="1:20" s="37" customFormat="1" ht="15.75" hidden="1" customHeight="1" x14ac:dyDescent="0.35">
      <c r="A197" s="84">
        <f>A196+1</f>
        <v>2</v>
      </c>
      <c r="B197" s="85"/>
      <c r="C197" s="42"/>
      <c r="D197" s="42"/>
      <c r="E197" s="42">
        <v>0</v>
      </c>
      <c r="F197" s="42">
        <f>D197+E197</f>
        <v>0</v>
      </c>
      <c r="G197" s="42">
        <v>0</v>
      </c>
      <c r="H197" s="42">
        <f>F197*(($H$149)+1)+(IF(G197&lt;101,G197,IF(G197&lt;201,G197/2,IF(G197&lt;=301,G197/3,G197/4))))</f>
        <v>0</v>
      </c>
      <c r="I197" s="36"/>
      <c r="L197" s="186"/>
      <c r="M197" s="186"/>
      <c r="N197" s="36"/>
    </row>
    <row r="198" spans="1:20" s="37" customFormat="1" ht="15.75" hidden="1" customHeight="1" x14ac:dyDescent="0.35">
      <c r="A198" s="84">
        <f>A197+1</f>
        <v>3</v>
      </c>
      <c r="B198" s="85"/>
      <c r="C198" s="42"/>
      <c r="D198" s="42"/>
      <c r="E198" s="42">
        <v>0</v>
      </c>
      <c r="F198" s="42">
        <f>D198+E198</f>
        <v>0</v>
      </c>
      <c r="G198" s="42">
        <v>0</v>
      </c>
      <c r="H198" s="42">
        <f>F198*(($H$149)+1)+(IF(G198&lt;101,G198,IF(G198&lt;201,G198/2,IF(G198&lt;=301,G198/3,G198/4))))</f>
        <v>0</v>
      </c>
      <c r="I198" s="36"/>
      <c r="L198" s="186"/>
      <c r="M198" s="186"/>
      <c r="N198" s="36"/>
    </row>
    <row r="199" spans="1:20" s="37" customFormat="1" ht="15.75" hidden="1" customHeight="1" x14ac:dyDescent="0.35">
      <c r="A199" s="84">
        <f>A198+1</f>
        <v>4</v>
      </c>
      <c r="B199" s="85"/>
      <c r="C199" s="42"/>
      <c r="D199" s="42"/>
      <c r="E199" s="42">
        <v>0</v>
      </c>
      <c r="F199" s="42">
        <f>D199+E199</f>
        <v>0</v>
      </c>
      <c r="G199" s="42">
        <v>0</v>
      </c>
      <c r="H199" s="42">
        <f>F199*(($H$149)+1)+(IF(G199&lt;101,G199,IF(G199&lt;201,G199/2,IF(G199&lt;=301,G199/3,G199/4))))</f>
        <v>0</v>
      </c>
      <c r="I199" s="36"/>
      <c r="L199" s="186"/>
      <c r="M199" s="186"/>
      <c r="N199" s="36"/>
      <c r="T199" s="21"/>
    </row>
    <row r="200" spans="1:20" s="37" customFormat="1" hidden="1" x14ac:dyDescent="0.35">
      <c r="A200" s="152" t="s">
        <v>118</v>
      </c>
      <c r="B200" s="152"/>
      <c r="C200" s="152"/>
      <c r="D200" s="152"/>
      <c r="E200" s="152"/>
      <c r="F200" s="152"/>
      <c r="G200" s="152"/>
      <c r="H200" s="152"/>
      <c r="I200" s="36"/>
      <c r="L200" s="186"/>
      <c r="M200" s="186"/>
    </row>
    <row r="201" spans="1:20" s="37" customFormat="1" hidden="1" x14ac:dyDescent="0.35">
      <c r="A201" s="116">
        <f>LEFT(A200,SUM(LEN(A200)-LEN(SUBSTITUTE(A200,{"0","1","2","3","4","5","6","7","8","9"},""))))*100+1</f>
        <v>201</v>
      </c>
      <c r="B201" s="116"/>
      <c r="C201" s="42"/>
      <c r="D201" s="42"/>
      <c r="E201" s="42">
        <v>0</v>
      </c>
      <c r="F201" s="42">
        <f>D201+E201</f>
        <v>0</v>
      </c>
      <c r="G201" s="42">
        <v>0</v>
      </c>
      <c r="H201" s="42">
        <f>F201*(($H$149)+1)+(IF(G201&lt;101,G201,IF(G201&lt;201,G201/2,IF(G201&lt;=301,G201/3,G201/4))))</f>
        <v>0</v>
      </c>
      <c r="I201" s="36"/>
      <c r="N201" s="36"/>
    </row>
    <row r="202" spans="1:20" s="37" customFormat="1" hidden="1" x14ac:dyDescent="0.35">
      <c r="A202" s="116">
        <f>A201+1</f>
        <v>202</v>
      </c>
      <c r="B202" s="116"/>
      <c r="C202" s="42"/>
      <c r="D202" s="42"/>
      <c r="E202" s="42">
        <v>0</v>
      </c>
      <c r="F202" s="42">
        <f>D202+E202</f>
        <v>0</v>
      </c>
      <c r="G202" s="42">
        <v>0</v>
      </c>
      <c r="H202" s="42">
        <f>F202*(($H$149)+1)+(IF(G202&lt;101,G202,IF(G202&lt;201,G202/2,IF(G202&lt;=301,G202/3,G202/4))))</f>
        <v>0</v>
      </c>
      <c r="I202" s="36"/>
      <c r="N202" s="36"/>
    </row>
    <row r="203" spans="1:20" s="37" customFormat="1" hidden="1" x14ac:dyDescent="0.35">
      <c r="A203" s="116">
        <f>A202+1</f>
        <v>203</v>
      </c>
      <c r="B203" s="116"/>
      <c r="C203" s="42"/>
      <c r="D203" s="42"/>
      <c r="E203" s="42">
        <v>0</v>
      </c>
      <c r="F203" s="42">
        <f>D203+E203</f>
        <v>0</v>
      </c>
      <c r="G203" s="42">
        <v>0</v>
      </c>
      <c r="H203" s="42">
        <f>F203*(($H$149)+1)+(IF(G203&lt;101,G203,IF(G203&lt;201,G203/2,IF(G203&lt;=301,G203/3,G203/4))))</f>
        <v>0</v>
      </c>
      <c r="I203" s="36"/>
      <c r="N203" s="36"/>
    </row>
    <row r="204" spans="1:20" s="37" customFormat="1" hidden="1" x14ac:dyDescent="0.35">
      <c r="A204" s="116">
        <f>A203+1</f>
        <v>204</v>
      </c>
      <c r="B204" s="116"/>
      <c r="C204" s="42"/>
      <c r="D204" s="42"/>
      <c r="E204" s="42">
        <v>0</v>
      </c>
      <c r="F204" s="42">
        <f>D204+E204</f>
        <v>0</v>
      </c>
      <c r="G204" s="42">
        <v>0</v>
      </c>
      <c r="H204" s="42">
        <f>F204*(($H$149)+1)+(IF(G204&lt;101,G204,IF(G204&lt;201,G204/2,IF(G204&lt;=301,G204/3,G204/4))))</f>
        <v>0</v>
      </c>
      <c r="I204" s="36"/>
      <c r="N204" s="36"/>
    </row>
    <row r="205" spans="1:20" s="37" customFormat="1" hidden="1" x14ac:dyDescent="0.35">
      <c r="A205" s="116">
        <f>A204+1</f>
        <v>205</v>
      </c>
      <c r="B205" s="116"/>
      <c r="C205" s="42"/>
      <c r="D205" s="42"/>
      <c r="E205" s="42">
        <v>0</v>
      </c>
      <c r="F205" s="42">
        <f>D205+E205</f>
        <v>0</v>
      </c>
      <c r="G205" s="42">
        <v>0</v>
      </c>
      <c r="H205" s="42">
        <f>F205*(($H$149)+1)+(IF(G205&lt;101,G205,IF(G205&lt;201,G205/2,IF(G205&lt;=301,G205/3,G205/4))))</f>
        <v>0</v>
      </c>
      <c r="I205" s="36"/>
      <c r="N205" s="36"/>
    </row>
    <row r="206" spans="1:20" s="37" customFormat="1" ht="15.75" hidden="1" customHeight="1" x14ac:dyDescent="0.35">
      <c r="A206" s="124" t="s">
        <v>151</v>
      </c>
      <c r="B206" s="125"/>
      <c r="C206" s="125"/>
      <c r="D206" s="125"/>
      <c r="E206" s="125"/>
      <c r="F206" s="125"/>
      <c r="G206" s="125"/>
      <c r="H206" s="126"/>
      <c r="I206" s="36"/>
    </row>
    <row r="207" spans="1:20" s="37" customFormat="1" ht="15.75" hidden="1" customHeight="1" x14ac:dyDescent="0.35">
      <c r="A207" s="84"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10^ROW(INDIRECT("1:"&amp;LEN((LEFT(A206,SUM(LEN(A206)-LEN(SUBSTITUTE(A206,{"0","1","2"},""))))))))/10))*100+1&amp;""&amp;" ,..,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",LEN(A206))),LEN(A206)))))))/10))*100+1</f>
        <v>301 ,.., 1501</v>
      </c>
      <c r="B207" s="85"/>
      <c r="C207" s="42"/>
      <c r="D207" s="42"/>
      <c r="E207" s="42">
        <v>0</v>
      </c>
      <c r="F207" s="42">
        <f>D207+E207</f>
        <v>0</v>
      </c>
      <c r="G207" s="42">
        <v>0</v>
      </c>
      <c r="H207" s="42">
        <f>F207*(($H$149)+1)+(IF(G207&lt;101,G207,IF(G207&lt;201,G207/2,IF(G207&lt;=301,G207/3,G207/4))))</f>
        <v>0</v>
      </c>
      <c r="I207" s="36"/>
    </row>
    <row r="208" spans="1:20" s="37" customFormat="1" ht="15.75" hidden="1" customHeight="1" x14ac:dyDescent="0.35">
      <c r="A208" s="84"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302 ,.., 1502</v>
      </c>
      <c r="B208" s="85"/>
      <c r="C208" s="42"/>
      <c r="D208" s="42"/>
      <c r="E208" s="42">
        <v>0</v>
      </c>
      <c r="F208" s="42">
        <f>D208+E208</f>
        <v>0</v>
      </c>
      <c r="G208" s="42">
        <v>0</v>
      </c>
      <c r="H208" s="42">
        <f>F208*(($H$149)+1)+(IF(G208&lt;101,G208,IF(G208&lt;201,G208/2,IF(G208&lt;=301,G208/3,G208/4))))</f>
        <v>0</v>
      </c>
      <c r="I208" s="36"/>
    </row>
    <row r="209" spans="1:20" s="37" customFormat="1" ht="15.75" hidden="1" customHeight="1" x14ac:dyDescent="0.35">
      <c r="A209" s="84"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10^ROW(INDIRECT("1:"&amp;LEN((LEFT(A208,SUM(LEN(A208)-LEN(SUBSTITUTE(A208,{"0","1","2"},""))))))))/10))*1+1&amp;""&amp;" ,..,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",LEN(A208))),LEN(A208)))))))/10))*1+1</f>
        <v>303 ,.., 1503</v>
      </c>
      <c r="B209" s="85"/>
      <c r="C209" s="42"/>
      <c r="D209" s="42"/>
      <c r="E209" s="42">
        <v>0</v>
      </c>
      <c r="F209" s="42">
        <f>D209+E209</f>
        <v>0</v>
      </c>
      <c r="G209" s="42">
        <v>0</v>
      </c>
      <c r="H209" s="42">
        <f>F209*(($H$149)+1)+(IF(G209&lt;101,G209,IF(G209&lt;201,G209/2,IF(G209&lt;=301,G209/3,G209/4))))</f>
        <v>0</v>
      </c>
      <c r="I209" s="36"/>
    </row>
    <row r="210" spans="1:20" s="37" customFormat="1" ht="15.75" hidden="1" customHeight="1" x14ac:dyDescent="0.35">
      <c r="A210" s="84"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10^ROW(INDIRECT("1:"&amp;LEN((LEFT(A209,SUM(LEN(A209)-LEN(SUBSTITUTE(A209,{"0","1","2"},""))))))))/10))*1+1&amp;""&amp;" ,..,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",LEN(A209))),LEN(A209)))))))/10))*1+1</f>
        <v>304 ,.., 1504</v>
      </c>
      <c r="B210" s="85"/>
      <c r="C210" s="42"/>
      <c r="D210" s="42"/>
      <c r="E210" s="42">
        <v>0</v>
      </c>
      <c r="F210" s="42">
        <f>D210+E210</f>
        <v>0</v>
      </c>
      <c r="G210" s="42">
        <v>0</v>
      </c>
      <c r="H210" s="42">
        <f>F210*(($H$149)+1)+(IF(G210&lt;101,G210,IF(G210&lt;201,G210/2,IF(G210&lt;=301,G210/3,G210/4))))</f>
        <v>0</v>
      </c>
      <c r="I210" s="36"/>
    </row>
    <row r="211" spans="1:20" s="37" customFormat="1" ht="15.75" hidden="1" customHeight="1" x14ac:dyDescent="0.35">
      <c r="A211" s="84"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305 ,.., 1505</v>
      </c>
      <c r="B211" s="85"/>
      <c r="C211" s="42"/>
      <c r="D211" s="42"/>
      <c r="E211" s="42">
        <v>0</v>
      </c>
      <c r="F211" s="42">
        <f>D211+E211</f>
        <v>0</v>
      </c>
      <c r="G211" s="42">
        <v>0</v>
      </c>
      <c r="H211" s="42">
        <f>F211*(($H$149)+1)+(IF(G211&lt;101,G211,IF(G211&lt;201,G211/2,IF(G211&lt;=301,G211/3,G211/4))))</f>
        <v>0</v>
      </c>
      <c r="I211" s="36"/>
    </row>
    <row r="212" spans="1:20" s="37" customFormat="1" hidden="1" x14ac:dyDescent="0.35">
      <c r="A212" s="124" t="s">
        <v>145</v>
      </c>
      <c r="B212" s="125"/>
      <c r="C212" s="125"/>
      <c r="D212" s="125"/>
      <c r="E212" s="125"/>
      <c r="F212" s="125"/>
      <c r="G212" s="125"/>
      <c r="H212" s="126"/>
      <c r="I212" s="36"/>
    </row>
    <row r="213" spans="1:20" s="37" customFormat="1" ht="15.75" hidden="1" customHeight="1" x14ac:dyDescent="0.35">
      <c r="A213" s="84"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10^ROW(INDIRECT("1:"&amp;LEN((LEFT(A212,SUM(LEN(A212)-LEN(SUBSTITUTE(A212,{"0","1","2"},""))))))))/10))*100+1&amp;""&amp;" to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",LEN(A212))),LEN(A212)))))))/10))*100+1</f>
        <v>201 to 501</v>
      </c>
      <c r="B213" s="85"/>
      <c r="C213" s="42"/>
      <c r="D213" s="42"/>
      <c r="E213" s="42">
        <v>0</v>
      </c>
      <c r="F213" s="42">
        <f>D213+E213</f>
        <v>0</v>
      </c>
      <c r="G213" s="42">
        <v>0</v>
      </c>
      <c r="H213" s="42">
        <f>F213*(($H$149)+1)+(IF(G213&lt;101,G213,IF(G213&lt;201,G213/2,IF(G213&lt;=301,G213/3,G213/4))))</f>
        <v>0</v>
      </c>
      <c r="I213" s="36"/>
    </row>
    <row r="214" spans="1:20" s="37" customFormat="1" ht="15.75" hidden="1" customHeight="1" x14ac:dyDescent="0.35">
      <c r="A214" s="84"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10^ROW(INDIRECT("1:"&amp;LEN((LEFT(A213,SUM(LEN(A213)-LEN(SUBSTITUTE(A213,{"0","1","2"},""))))))))/10))*1+1&amp;""&amp;" to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",LEN(A213))),LEN(A213)))))))/10))*1+1</f>
        <v>202 to 502</v>
      </c>
      <c r="B214" s="85"/>
      <c r="C214" s="42"/>
      <c r="D214" s="42"/>
      <c r="E214" s="42">
        <v>0</v>
      </c>
      <c r="F214" s="42">
        <f>D214+E214</f>
        <v>0</v>
      </c>
      <c r="G214" s="42">
        <v>0</v>
      </c>
      <c r="H214" s="42">
        <f>F214*(($H$149)+1)+(IF(G214&lt;101,G214,IF(G214&lt;201,G214/2,IF(G214&lt;=301,G214/3,G214/4))))</f>
        <v>0</v>
      </c>
      <c r="I214" s="36"/>
    </row>
    <row r="215" spans="1:20" s="37" customFormat="1" ht="15.75" hidden="1" customHeight="1" x14ac:dyDescent="0.35">
      <c r="A215" s="84" t="str">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10^ROW(INDIRECT("1:"&amp;LEN((LEFT(A214,SUM(LEN(A214)-LEN(SUBSTITUTE(A214,{"0","1","2"},""))))))))/10))*1+1&amp;""&amp;" to "&amp;""&amp;(SUMPRODUCT(MID(0&amp;(--TRIM(RIGHT(SUBSTITUTE(LEFT(A214,_xlfn.AGGREGATE(16,6,FIND({0,1,2,3,4,5,6,7,8,9},A214,ROW(INDIRECT("1:"&amp;LEN(A214)))),1)),"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",LEN(A214))),LEN(A214)))))))/10))*1+1</f>
        <v>203 to 503</v>
      </c>
      <c r="B215" s="85"/>
      <c r="C215" s="42"/>
      <c r="D215" s="42"/>
      <c r="E215" s="42">
        <v>0</v>
      </c>
      <c r="F215" s="42">
        <f>D215+E215</f>
        <v>0</v>
      </c>
      <c r="G215" s="42">
        <v>0</v>
      </c>
      <c r="H215" s="42">
        <f>F215*(($H$149)+1)+(IF(G215&lt;101,G215,IF(G215&lt;201,G215/2,IF(G215&lt;=301,G215/3,G215/4))))</f>
        <v>0</v>
      </c>
      <c r="I215" s="36"/>
    </row>
    <row r="216" spans="1:20" s="37" customFormat="1" ht="15.75" hidden="1" customHeight="1" x14ac:dyDescent="0.35">
      <c r="A216" s="84" t="str">
        <f ca="1">(SUMPRODUCT(MID(0&amp;(LEFT(A215,SUM(LEN(A215)-LEN(SUBSTITUTE(A215,{"0","1","2"},""))))), LARGE(INDEX(ISNUMBER(--MID((LEFT(A215,SUM(LEN(A215)-LEN(SUBSTITUTE(A215,{"0","1","2"},""))))), ROW(INDIRECT("1:"&amp;LEN((LEFT(A215,SUM(LEN(A215)-LEN(SUBSTITUTE(A215,{"0","1","2"},"")))))))), 1)) * ROW(INDIRECT("1:"&amp;LEN((LEFT(A215,SUM(LEN(A215)-LEN(SUBSTITUTE(A215,{"0","1","2"},"")))))))), 0), ROW(INDIRECT("1:"&amp;LEN((LEFT(A215,SUM(LEN(A215)-LEN(SUBSTITUTE(A215,{"0","1","2"},"")))))))))+1, 1) * 10^ROW(INDIRECT("1:"&amp;LEN((LEFT(A215,SUM(LEN(A215)-LEN(SUBSTITUTE(A215,{"0","1","2"},""))))))))/10))*1+1&amp;""&amp;" to "&amp;""&amp;(SUMPRODUCT(MID(0&amp;(--TRIM(RIGHT(SUBSTITUTE(LEFT(A215,_xlfn.AGGREGATE(16,6,FIND({0,1,2,3,4,5,6,7,8,9},A215,ROW(INDIRECT("1:"&amp;LEN(A215)))),1))," ",REPT(" ",LEN(A215))),LEN(A215)))), LARGE(INDEX(ISNUMBER(--MID((--TRIM(RIGHT(SUBSTITUTE(LEFT(A215,_xlfn.AGGREGATE(16,6,FIND({0,1,2,3,4,5,6,7,8,9},A215,ROW(INDIRECT("1:"&amp;LEN(A215)))),1))," ",REPT(" ",LEN(A215))),LEN(A215)))), ROW(INDIRECT("1:"&amp;LEN((--TRIM(RIGHT(SUBSTITUTE(LEFT(A215,_xlfn.AGGREGATE(16,6,FIND({0,1,2,3,4,5,6,7,8,9},A215,ROW(INDIRECT("1:"&amp;LEN(A215)))),1))," ",REPT(" ",LEN(A215))),LEN(A215))))))), 1)) * ROW(INDIRECT("1:"&amp;LEN((--TRIM(RIGHT(SUBSTITUTE(LEFT(A215,_xlfn.AGGREGATE(16,6,FIND({0,1,2,3,4,5,6,7,8,9},A215,ROW(INDIRECT("1:"&amp;LEN(A215)))),1))," ",REPT(" ",LEN(A215))),LEN(A215))))))), 0), ROW(INDIRECT("1:"&amp;LEN((--TRIM(RIGHT(SUBSTITUTE(LEFT(A215,_xlfn.AGGREGATE(16,6,FIND({0,1,2,3,4,5,6,7,8,9},A215,ROW(INDIRECT("1:"&amp;LEN(A215)))),1))," ",REPT(" ",LEN(A215))),LEN(A215))))))))+1, 1) * 10^ROW(INDIRECT("1:"&amp;LEN((--TRIM(RIGHT(SUBSTITUTE(LEFT(A215,_xlfn.AGGREGATE(16,6,FIND({0,1,2,3,4,5,6,7,8,9},A215,ROW(INDIRECT("1:"&amp;LEN(A215)))),1))," ",REPT(" ",LEN(A215))),LEN(A215)))))))/10))*1+1</f>
        <v>204 to 504</v>
      </c>
      <c r="B216" s="85"/>
      <c r="C216" s="42"/>
      <c r="D216" s="42"/>
      <c r="E216" s="42">
        <v>0</v>
      </c>
      <c r="F216" s="42">
        <f>D216+E216</f>
        <v>0</v>
      </c>
      <c r="G216" s="42">
        <v>0</v>
      </c>
      <c r="H216" s="42">
        <f>F216*(($H$149)+1)+(IF(G216&lt;101,G216,IF(G216&lt;201,G216/2,IF(G216&lt;=301,G216/3,G216/4))))</f>
        <v>0</v>
      </c>
      <c r="I216" s="36"/>
    </row>
    <row r="217" spans="1:20" s="37" customFormat="1" ht="15.75" hidden="1" customHeight="1" x14ac:dyDescent="0.35">
      <c r="A217" s="84"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10^ROW(INDIRECT("1:"&amp;LEN((LEFT(A216,SUM(LEN(A216)-LEN(SUBSTITUTE(A216,{"0","1","2"},""))))))))/10))*1+1&amp;""&amp;" to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",LEN(A216))),LEN(A216)))))))/10))*1+1</f>
        <v>205 to 505</v>
      </c>
      <c r="B217" s="85"/>
      <c r="C217" s="42"/>
      <c r="D217" s="42"/>
      <c r="E217" s="42">
        <v>0</v>
      </c>
      <c r="F217" s="42">
        <f>D217+E217</f>
        <v>0</v>
      </c>
      <c r="G217" s="42">
        <v>0</v>
      </c>
      <c r="H217" s="42">
        <f>F217*(($H$149)+1)+(IF(G217&lt;101,G217,IF(G217&lt;201,G217/2,IF(G217&lt;=301,G217/3,G217/4))))</f>
        <v>0</v>
      </c>
      <c r="I217" s="36"/>
    </row>
    <row r="218" spans="1:20" s="37" customFormat="1" hidden="1" x14ac:dyDescent="0.35">
      <c r="A218" s="124" t="s">
        <v>146</v>
      </c>
      <c r="B218" s="125"/>
      <c r="C218" s="125"/>
      <c r="D218" s="125"/>
      <c r="E218" s="125"/>
      <c r="F218" s="125"/>
      <c r="G218" s="125"/>
      <c r="H218" s="126"/>
      <c r="I218" s="36"/>
    </row>
    <row r="219" spans="1:20" s="37" customFormat="1" ht="15.75" hidden="1" customHeight="1" x14ac:dyDescent="0.35">
      <c r="A219" s="84" t="str">
        <f ca="1">(SUMPRODUCT(MID(0&amp;(LEFT(A218,SUM(LEN(A218)-LEN(SUBSTITUTE(A218,{"0","1","2"},""))))), LARGE(INDEX(ISNUMBER(--MID((LEFT(A218,SUM(LEN(A218)-LEN(SUBSTITUTE(A218,{"0","1","2"},""))))), ROW(INDIRECT("1:"&amp;LEN((LEFT(A218,SUM(LEN(A218)-LEN(SUBSTITUTE(A218,{"0","1","2"},"")))))))), 1)) * ROW(INDIRECT("1:"&amp;LEN((LEFT(A218,SUM(LEN(A218)-LEN(SUBSTITUTE(A218,{"0","1","2"},"")))))))), 0), ROW(INDIRECT("1:"&amp;LEN((LEFT(A218,SUM(LEN(A218)-LEN(SUBSTITUTE(A218,{"0","1","2"},"")))))))))+1, 1) * 10^ROW(INDIRECT("1:"&amp;LEN((LEFT(A218,SUM(LEN(A218)-LEN(SUBSTITUTE(A218,{"0","1","2"},""))))))))/10))*100+1&amp;""&amp;" &amp; "&amp;""&amp;(SUMPRODUCT(MID(0&amp;(--TRIM(RIGHT(SUBSTITUTE(LEFT(A218,_xlfn.AGGREGATE(16,6,FIND({0,1,2,3,4,5,6,7,8,9},A218,ROW(INDIRECT("1:"&amp;LEN(A218)))),1))," ",REPT(" ",LEN(A218))),LEN(A218)))), LARGE(INDEX(ISNUMBER(--MID((--TRIM(RIGHT(SUBSTITUTE(LEFT(A218,_xlfn.AGGREGATE(16,6,FIND({0,1,2,3,4,5,6,7,8,9},A218,ROW(INDIRECT("1:"&amp;LEN(A218)))),1))," ",REPT(" ",LEN(A218))),LEN(A218)))), ROW(INDIRECT("1:"&amp;LEN((--TRIM(RIGHT(SUBSTITUTE(LEFT(A218,_xlfn.AGGREGATE(16,6,FIND({0,1,2,3,4,5,6,7,8,9},A218,ROW(INDIRECT("1:"&amp;LEN(A218)))),1))," ",REPT(" ",LEN(A218))),LEN(A218))))))), 1)) * ROW(INDIRECT("1:"&amp;LEN((--TRIM(RIGHT(SUBSTITUTE(LEFT(A218,_xlfn.AGGREGATE(16,6,FIND({0,1,2,3,4,5,6,7,8,9},A218,ROW(INDIRECT("1:"&amp;LEN(A218)))),1))," ",REPT(" ",LEN(A218))),LEN(A218))))))), 0), ROW(INDIRECT("1:"&amp;LEN((--TRIM(RIGHT(SUBSTITUTE(LEFT(A218,_xlfn.AGGREGATE(16,6,FIND({0,1,2,3,4,5,6,7,8,9},A218,ROW(INDIRECT("1:"&amp;LEN(A218)))),1))," ",REPT(" ",LEN(A218))),LEN(A218))))))))+1, 1) * 10^ROW(INDIRECT("1:"&amp;LEN((--TRIM(RIGHT(SUBSTITUTE(LEFT(A218,_xlfn.AGGREGATE(16,6,FIND({0,1,2,3,4,5,6,7,8,9},A218,ROW(INDIRECT("1:"&amp;LEN(A218)))),1))," ",REPT(" ",LEN(A218))),LEN(A218)))))))/10))*100+1</f>
        <v>201 &amp; 501</v>
      </c>
      <c r="B219" s="85"/>
      <c r="C219" s="42"/>
      <c r="D219" s="42"/>
      <c r="E219" s="42">
        <v>0</v>
      </c>
      <c r="F219" s="42">
        <f>D219+E219</f>
        <v>0</v>
      </c>
      <c r="G219" s="42">
        <v>0</v>
      </c>
      <c r="H219" s="42">
        <f>F219*(($H$149)+1)+(IF(G219&lt;101,G219,IF(G219&lt;201,G219/2,IF(G219&lt;=301,G219/3,G219/4))))</f>
        <v>0</v>
      </c>
      <c r="I219" s="36"/>
    </row>
    <row r="220" spans="1:20" s="37" customFormat="1" ht="15.75" hidden="1" customHeight="1" x14ac:dyDescent="0.35">
      <c r="A220" s="84" t="str">
        <f ca="1">(SUMPRODUCT(MID(0&amp;(LEFT(A219,SUM(LEN(A219)-LEN(SUBSTITUTE(A219,{"0","1","2"},""))))), LARGE(INDEX(ISNUMBER(--MID((LEFT(A219,SUM(LEN(A219)-LEN(SUBSTITUTE(A219,{"0","1","2"},""))))), ROW(INDIRECT("1:"&amp;LEN((LEFT(A219,SUM(LEN(A219)-LEN(SUBSTITUTE(A219,{"0","1","2"},"")))))))), 1)) * ROW(INDIRECT("1:"&amp;LEN((LEFT(A219,SUM(LEN(A219)-LEN(SUBSTITUTE(A219,{"0","1","2"},"")))))))), 0), ROW(INDIRECT("1:"&amp;LEN((LEFT(A219,SUM(LEN(A219)-LEN(SUBSTITUTE(A219,{"0","1","2"},"")))))))))+1, 1) * 10^ROW(INDIRECT("1:"&amp;LEN((LEFT(A219,SUM(LEN(A219)-LEN(SUBSTITUTE(A219,{"0","1","2"},""))))))))/10))*1+1&amp;""&amp;" &amp; "&amp;""&amp;(SUMPRODUCT(MID(0&amp;(--TRIM(RIGHT(SUBSTITUTE(LEFT(A219,_xlfn.AGGREGATE(16,6,FIND({0,1,2,3,4,5,6,7,8,9},A219,ROW(INDIRECT("1:"&amp;LEN(A219)))),1))," ",REPT(" ",LEN(A219))),LEN(A219)))), LARGE(INDEX(ISNUMBER(--MID((--TRIM(RIGHT(SUBSTITUTE(LEFT(A219,_xlfn.AGGREGATE(16,6,FIND({0,1,2,3,4,5,6,7,8,9},A219,ROW(INDIRECT("1:"&amp;LEN(A219)))),1))," ",REPT(" ",LEN(A219))),LEN(A219)))), ROW(INDIRECT("1:"&amp;LEN((--TRIM(RIGHT(SUBSTITUTE(LEFT(A219,_xlfn.AGGREGATE(16,6,FIND({0,1,2,3,4,5,6,7,8,9},A219,ROW(INDIRECT("1:"&amp;LEN(A219)))),1))," ",REPT(" ",LEN(A219))),LEN(A219))))))), 1)) * ROW(INDIRECT("1:"&amp;LEN((--TRIM(RIGHT(SUBSTITUTE(LEFT(A219,_xlfn.AGGREGATE(16,6,FIND({0,1,2,3,4,5,6,7,8,9},A219,ROW(INDIRECT("1:"&amp;LEN(A219)))),1))," ",REPT(" ",LEN(A219))),LEN(A219))))))), 0), ROW(INDIRECT("1:"&amp;LEN((--TRIM(RIGHT(SUBSTITUTE(LEFT(A219,_xlfn.AGGREGATE(16,6,FIND({0,1,2,3,4,5,6,7,8,9},A219,ROW(INDIRECT("1:"&amp;LEN(A219)))),1))," ",REPT(" ",LEN(A219))),LEN(A219))))))))+1, 1) * 10^ROW(INDIRECT("1:"&amp;LEN((--TRIM(RIGHT(SUBSTITUTE(LEFT(A219,_xlfn.AGGREGATE(16,6,FIND({0,1,2,3,4,5,6,7,8,9},A219,ROW(INDIRECT("1:"&amp;LEN(A219)))),1))," ",REPT(" ",LEN(A219))),LEN(A219)))))))/10))*1+1</f>
        <v>202 &amp; 502</v>
      </c>
      <c r="B220" s="85"/>
      <c r="C220" s="42"/>
      <c r="D220" s="42"/>
      <c r="E220" s="42">
        <v>0</v>
      </c>
      <c r="F220" s="42">
        <f>D220+E220</f>
        <v>0</v>
      </c>
      <c r="G220" s="42">
        <v>0</v>
      </c>
      <c r="H220" s="42">
        <f>F220*(($H$149)+1)+(IF(G220&lt;101,G220,IF(G220&lt;201,G220/2,IF(G220&lt;=301,G220/3,G220/4))))</f>
        <v>0</v>
      </c>
      <c r="I220" s="36"/>
    </row>
    <row r="221" spans="1:20" s="37" customFormat="1" ht="15.75" hidden="1" customHeight="1" x14ac:dyDescent="0.35">
      <c r="A221" s="84" t="str">
        <f ca="1">(SUMPRODUCT(MID(0&amp;(LEFT(A220,SUM(LEN(A220)-LEN(SUBSTITUTE(A220,{"0","1","2"},""))))), LARGE(INDEX(ISNUMBER(--MID((LEFT(A220,SUM(LEN(A220)-LEN(SUBSTITUTE(A220,{"0","1","2"},""))))), ROW(INDIRECT("1:"&amp;LEN((LEFT(A220,SUM(LEN(A220)-LEN(SUBSTITUTE(A220,{"0","1","2"},"")))))))), 1)) * ROW(INDIRECT("1:"&amp;LEN((LEFT(A220,SUM(LEN(A220)-LEN(SUBSTITUTE(A220,{"0","1","2"},"")))))))), 0), ROW(INDIRECT("1:"&amp;LEN((LEFT(A220,SUM(LEN(A220)-LEN(SUBSTITUTE(A220,{"0","1","2"},"")))))))))+1, 1) * 10^ROW(INDIRECT("1:"&amp;LEN((LEFT(A220,SUM(LEN(A220)-LEN(SUBSTITUTE(A220,{"0","1","2"},""))))))))/10))*1+1&amp;""&amp;" &amp; "&amp;""&amp;(SUMPRODUCT(MID(0&amp;(--TRIM(RIGHT(SUBSTITUTE(LEFT(A220,_xlfn.AGGREGATE(16,6,FIND({0,1,2,3,4,5,6,7,8,9},A220,ROW(INDIRECT("1:"&amp;LEN(A220)))),1))," ",REPT(" ",LEN(A220))),LEN(A220)))), LARGE(INDEX(ISNUMBER(--MID((--TRIM(RIGHT(SUBSTITUTE(LEFT(A220,_xlfn.AGGREGATE(16,6,FIND({0,1,2,3,4,5,6,7,8,9},A220,ROW(INDIRECT("1:"&amp;LEN(A220)))),1))," ",REPT(" ",LEN(A220))),LEN(A220)))), ROW(INDIRECT("1:"&amp;LEN((--TRIM(RIGHT(SUBSTITUTE(LEFT(A220,_xlfn.AGGREGATE(16,6,FIND({0,1,2,3,4,5,6,7,8,9},A220,ROW(INDIRECT("1:"&amp;LEN(A220)))),1))," ",REPT(" ",LEN(A220))),LEN(A220))))))), 1)) * ROW(INDIRECT("1:"&amp;LEN((--TRIM(RIGHT(SUBSTITUTE(LEFT(A220,_xlfn.AGGREGATE(16,6,FIND({0,1,2,3,4,5,6,7,8,9},A220,ROW(INDIRECT("1:"&amp;LEN(A220)))),1))," ",REPT(" ",LEN(A220))),LEN(A220))))))), 0), ROW(INDIRECT("1:"&amp;LEN((--TRIM(RIGHT(SUBSTITUTE(LEFT(A220,_xlfn.AGGREGATE(16,6,FIND({0,1,2,3,4,5,6,7,8,9},A220,ROW(INDIRECT("1:"&amp;LEN(A220)))),1))," ",REPT(" ",LEN(A220))),LEN(A220))))))))+1, 1) * 10^ROW(INDIRECT("1:"&amp;LEN((--TRIM(RIGHT(SUBSTITUTE(LEFT(A220,_xlfn.AGGREGATE(16,6,FIND({0,1,2,3,4,5,6,7,8,9},A220,ROW(INDIRECT("1:"&amp;LEN(A220)))),1))," ",REPT(" ",LEN(A220))),LEN(A220)))))))/10))*1+1</f>
        <v>203 &amp; 503</v>
      </c>
      <c r="B221" s="85"/>
      <c r="C221" s="42"/>
      <c r="D221" s="42"/>
      <c r="E221" s="42">
        <v>0</v>
      </c>
      <c r="F221" s="42">
        <f>D221+E221</f>
        <v>0</v>
      </c>
      <c r="G221" s="42">
        <v>0</v>
      </c>
      <c r="H221" s="42">
        <f>F221*(($H$149)+1)+(IF(G221&lt;101,G221,IF(G221&lt;201,G221/2,IF(G221&lt;=301,G221/3,G221/4))))</f>
        <v>0</v>
      </c>
      <c r="I221" s="36"/>
    </row>
    <row r="222" spans="1:20" s="37" customFormat="1" ht="15.75" hidden="1" customHeight="1" x14ac:dyDescent="0.35">
      <c r="A222" s="84" t="str">
        <f ca="1">(SUMPRODUCT(MID(0&amp;(LEFT(A221,SUM(LEN(A221)-LEN(SUBSTITUTE(A221,{"0","1","2"},""))))), LARGE(INDEX(ISNUMBER(--MID((LEFT(A221,SUM(LEN(A221)-LEN(SUBSTITUTE(A221,{"0","1","2"},""))))), ROW(INDIRECT("1:"&amp;LEN((LEFT(A221,SUM(LEN(A221)-LEN(SUBSTITUTE(A221,{"0","1","2"},"")))))))), 1)) * ROW(INDIRECT("1:"&amp;LEN((LEFT(A221,SUM(LEN(A221)-LEN(SUBSTITUTE(A221,{"0","1","2"},"")))))))), 0), ROW(INDIRECT("1:"&amp;LEN((LEFT(A221,SUM(LEN(A221)-LEN(SUBSTITUTE(A221,{"0","1","2"},"")))))))))+1, 1) * 10^ROW(INDIRECT("1:"&amp;LEN((LEFT(A221,SUM(LEN(A221)-LEN(SUBSTITUTE(A221,{"0","1","2"},""))))))))/10))*1+1&amp;""&amp;" &amp; "&amp;""&amp;(SUMPRODUCT(MID(0&amp;(--TRIM(RIGHT(SUBSTITUTE(LEFT(A221,_xlfn.AGGREGATE(16,6,FIND({0,1,2,3,4,5,6,7,8,9},A221,ROW(INDIRECT("1:"&amp;LEN(A221)))),1))," ",REPT(" ",LEN(A221))),LEN(A221)))), LARGE(INDEX(ISNUMBER(--MID((--TRIM(RIGHT(SUBSTITUTE(LEFT(A221,_xlfn.AGGREGATE(16,6,FIND({0,1,2,3,4,5,6,7,8,9},A221,ROW(INDIRECT("1:"&amp;LEN(A221)))),1))," ",REPT(" ",LEN(A221))),LEN(A221)))), ROW(INDIRECT("1:"&amp;LEN((--TRIM(RIGHT(SUBSTITUTE(LEFT(A221,_xlfn.AGGREGATE(16,6,FIND({0,1,2,3,4,5,6,7,8,9},A221,ROW(INDIRECT("1:"&amp;LEN(A221)))),1))," ",REPT(" ",LEN(A221))),LEN(A221))))))), 1)) * ROW(INDIRECT("1:"&amp;LEN((--TRIM(RIGHT(SUBSTITUTE(LEFT(A221,_xlfn.AGGREGATE(16,6,FIND({0,1,2,3,4,5,6,7,8,9},A221,ROW(INDIRECT("1:"&amp;LEN(A221)))),1))," ",REPT(" ",LEN(A221))),LEN(A221))))))), 0), ROW(INDIRECT("1:"&amp;LEN((--TRIM(RIGHT(SUBSTITUTE(LEFT(A221,_xlfn.AGGREGATE(16,6,FIND({0,1,2,3,4,5,6,7,8,9},A221,ROW(INDIRECT("1:"&amp;LEN(A221)))),1))," ",REPT(" ",LEN(A221))),LEN(A221))))))))+1, 1) * 10^ROW(INDIRECT("1:"&amp;LEN((--TRIM(RIGHT(SUBSTITUTE(LEFT(A221,_xlfn.AGGREGATE(16,6,FIND({0,1,2,3,4,5,6,7,8,9},A221,ROW(INDIRECT("1:"&amp;LEN(A221)))),1))," ",REPT(" ",LEN(A221))),LEN(A221)))))))/10))*1+1</f>
        <v>204 &amp; 504</v>
      </c>
      <c r="B222" s="85"/>
      <c r="C222" s="42"/>
      <c r="D222" s="42"/>
      <c r="E222" s="42">
        <v>0</v>
      </c>
      <c r="F222" s="42">
        <f>D222+E222</f>
        <v>0</v>
      </c>
      <c r="G222" s="42">
        <v>0</v>
      </c>
      <c r="H222" s="42">
        <f>F222*(($H$149)+1)+(IF(G222&lt;101,G222,IF(G222&lt;201,G222/2,IF(G222&lt;=301,G222/3,G222/4))))</f>
        <v>0</v>
      </c>
      <c r="I222" s="36"/>
    </row>
    <row r="223" spans="1:20" s="37" customFormat="1" ht="15.75" hidden="1" customHeight="1" x14ac:dyDescent="0.35">
      <c r="A223" s="84" t="str">
        <f ca="1">(SUMPRODUCT(MID(0&amp;(LEFT(A222,SUM(LEN(A222)-LEN(SUBSTITUTE(A222,{"0","1","2"},""))))), LARGE(INDEX(ISNUMBER(--MID((LEFT(A222,SUM(LEN(A222)-LEN(SUBSTITUTE(A222,{"0","1","2"},""))))), ROW(INDIRECT("1:"&amp;LEN((LEFT(A222,SUM(LEN(A222)-LEN(SUBSTITUTE(A222,{"0","1","2"},"")))))))), 1)) * ROW(INDIRECT("1:"&amp;LEN((LEFT(A222,SUM(LEN(A222)-LEN(SUBSTITUTE(A222,{"0","1","2"},"")))))))), 0), ROW(INDIRECT("1:"&amp;LEN((LEFT(A222,SUM(LEN(A222)-LEN(SUBSTITUTE(A222,{"0","1","2"},"")))))))))+1, 1) * 10^ROW(INDIRECT("1:"&amp;LEN((LEFT(A222,SUM(LEN(A222)-LEN(SUBSTITUTE(A222,{"0","1","2"},""))))))))/10))*1+1&amp;""&amp;" &amp; "&amp;""&amp;(SUMPRODUCT(MID(0&amp;(--TRIM(RIGHT(SUBSTITUTE(LEFT(A222,_xlfn.AGGREGATE(16,6,FIND({0,1,2,3,4,5,6,7,8,9},A222,ROW(INDIRECT("1:"&amp;LEN(A222)))),1))," ",REPT(" ",LEN(A222))),LEN(A222)))), LARGE(INDEX(ISNUMBER(--MID((--TRIM(RIGHT(SUBSTITUTE(LEFT(A222,_xlfn.AGGREGATE(16,6,FIND({0,1,2,3,4,5,6,7,8,9},A222,ROW(INDIRECT("1:"&amp;LEN(A222)))),1))," ",REPT(" ",LEN(A222))),LEN(A222)))), ROW(INDIRECT("1:"&amp;LEN((--TRIM(RIGHT(SUBSTITUTE(LEFT(A222,_xlfn.AGGREGATE(16,6,FIND({0,1,2,3,4,5,6,7,8,9},A222,ROW(INDIRECT("1:"&amp;LEN(A222)))),1))," ",REPT(" ",LEN(A222))),LEN(A222))))))), 1)) * ROW(INDIRECT("1:"&amp;LEN((--TRIM(RIGHT(SUBSTITUTE(LEFT(A222,_xlfn.AGGREGATE(16,6,FIND({0,1,2,3,4,5,6,7,8,9},A222,ROW(INDIRECT("1:"&amp;LEN(A222)))),1))," ",REPT(" ",LEN(A222))),LEN(A222))))))), 0), ROW(INDIRECT("1:"&amp;LEN((--TRIM(RIGHT(SUBSTITUTE(LEFT(A222,_xlfn.AGGREGATE(16,6,FIND({0,1,2,3,4,5,6,7,8,9},A222,ROW(INDIRECT("1:"&amp;LEN(A222)))),1))," ",REPT(" ",LEN(A222))),LEN(A222))))))))+1, 1) * 10^ROW(INDIRECT("1:"&amp;LEN((--TRIM(RIGHT(SUBSTITUTE(LEFT(A222,_xlfn.AGGREGATE(16,6,FIND({0,1,2,3,4,5,6,7,8,9},A222,ROW(INDIRECT("1:"&amp;LEN(A222)))),1))," ",REPT(" ",LEN(A222))),LEN(A222)))))))/10))*1+1</f>
        <v>205 &amp; 505</v>
      </c>
      <c r="B223" s="85"/>
      <c r="C223" s="42"/>
      <c r="D223" s="42"/>
      <c r="E223" s="42">
        <v>0</v>
      </c>
      <c r="F223" s="42">
        <f>D223+E223</f>
        <v>0</v>
      </c>
      <c r="G223" s="42">
        <v>0</v>
      </c>
      <c r="H223" s="42">
        <f>F223*(($H$149)+1)+(IF(G223&lt;101,G223,IF(G223&lt;201,G223/2,IF(G223&lt;=301,G223/3,G223/4))))</f>
        <v>0</v>
      </c>
      <c r="I223" s="36"/>
    </row>
    <row r="224" spans="1:20" s="35" customFormat="1" x14ac:dyDescent="0.35">
      <c r="A224" s="127" t="s">
        <v>65</v>
      </c>
      <c r="B224" s="127"/>
      <c r="C224" s="127"/>
      <c r="D224" s="127"/>
      <c r="E224" s="127"/>
      <c r="F224" s="127"/>
      <c r="G224" s="127"/>
      <c r="H224" s="127"/>
      <c r="T224" s="37"/>
    </row>
    <row r="225" spans="1:20" s="35" customFormat="1" x14ac:dyDescent="0.35">
      <c r="A225" s="46" t="s">
        <v>155</v>
      </c>
      <c r="B225" s="142" t="s">
        <v>381</v>
      </c>
      <c r="C225" s="143"/>
      <c r="D225" s="143"/>
      <c r="E225" s="143"/>
      <c r="F225" s="143"/>
      <c r="G225" s="143"/>
      <c r="H225" s="144"/>
      <c r="T225" s="37"/>
    </row>
    <row r="226" spans="1:20" s="35" customFormat="1" x14ac:dyDescent="0.35">
      <c r="A226" s="46" t="s">
        <v>155</v>
      </c>
      <c r="B226" s="146" t="str">
        <f>(IF(H148="Saleable area Loading :","We have considered Saleable area of Flats as per our Calculation.","We considered Saleable area of Flat as per Builder area Sheet."))</f>
        <v>We have considered Saleable area of Flats as per our Calculation.</v>
      </c>
      <c r="C226" s="147"/>
      <c r="D226" s="147"/>
      <c r="E226" s="147"/>
      <c r="F226" s="147"/>
      <c r="G226" s="147"/>
      <c r="H226" s="148"/>
      <c r="T226" s="37"/>
    </row>
    <row r="227" spans="1:20" s="35" customFormat="1" x14ac:dyDescent="0.35">
      <c r="A227" s="46" t="s">
        <v>155</v>
      </c>
      <c r="B227" s="146" t="str">
        <f>(IF(H140="Saleable area Loading :","We have considered Saleable area of Commercial as per our Calculation.","We considered Saleable area of Commercial as per Builder area Sheet."))</f>
        <v>We have considered Saleable area of Commercial as per our Calculation.</v>
      </c>
      <c r="C227" s="147"/>
      <c r="D227" s="147"/>
      <c r="E227" s="147"/>
      <c r="F227" s="147"/>
      <c r="G227" s="147"/>
      <c r="H227" s="148"/>
      <c r="T227" s="37"/>
    </row>
    <row r="228" spans="1:20" s="35" customFormat="1" x14ac:dyDescent="0.35">
      <c r="A228" s="46" t="s">
        <v>155</v>
      </c>
      <c r="B228" s="106" t="s">
        <v>122</v>
      </c>
      <c r="C228" s="107"/>
      <c r="D228" s="107"/>
      <c r="E228" s="107"/>
      <c r="F228" s="107"/>
      <c r="G228" s="107"/>
      <c r="H228" s="108"/>
      <c r="T228" s="37"/>
    </row>
    <row r="229" spans="1:20" s="35" customFormat="1" x14ac:dyDescent="0.35">
      <c r="A229" s="46" t="s">
        <v>155</v>
      </c>
      <c r="B229" s="106" t="s">
        <v>393</v>
      </c>
      <c r="C229" s="107"/>
      <c r="D229" s="107"/>
      <c r="E229" s="107"/>
      <c r="F229" s="107"/>
      <c r="G229" s="107"/>
      <c r="H229" s="108"/>
      <c r="T229" s="37"/>
    </row>
    <row r="230" spans="1:20" s="35" customFormat="1" x14ac:dyDescent="0.35">
      <c r="A230" s="46" t="s">
        <v>155</v>
      </c>
      <c r="B230" s="106" t="s">
        <v>154</v>
      </c>
      <c r="C230" s="107"/>
      <c r="D230" s="107"/>
      <c r="E230" s="107"/>
      <c r="F230" s="107"/>
      <c r="G230" s="107"/>
      <c r="H230" s="108"/>
    </row>
    <row r="231" spans="1:20" s="35" customFormat="1" x14ac:dyDescent="0.35">
      <c r="A231" s="46" t="s">
        <v>155</v>
      </c>
      <c r="B231" s="106" t="s">
        <v>123</v>
      </c>
      <c r="C231" s="107"/>
      <c r="D231" s="107"/>
      <c r="E231" s="107"/>
      <c r="F231" s="107"/>
      <c r="G231" s="107"/>
      <c r="H231" s="108"/>
    </row>
    <row r="232" spans="1:20" s="35" customFormat="1" ht="34.5" customHeight="1" x14ac:dyDescent="0.35">
      <c r="A232" s="46" t="s">
        <v>155</v>
      </c>
      <c r="B232" s="106" t="s">
        <v>156</v>
      </c>
      <c r="C232" s="107"/>
      <c r="D232" s="107"/>
      <c r="E232" s="107"/>
      <c r="F232" s="107"/>
      <c r="G232" s="107"/>
      <c r="H232" s="108"/>
    </row>
    <row r="233" spans="1:20" s="35" customFormat="1" x14ac:dyDescent="0.35">
      <c r="A233" s="46" t="s">
        <v>155</v>
      </c>
      <c r="B233" s="106" t="s">
        <v>124</v>
      </c>
      <c r="C233" s="107"/>
      <c r="D233" s="107"/>
      <c r="E233" s="107"/>
      <c r="F233" s="107"/>
      <c r="G233" s="107"/>
      <c r="H233" s="108"/>
    </row>
    <row r="234" spans="1:20" s="35" customFormat="1" ht="32.25" customHeight="1" x14ac:dyDescent="0.35">
      <c r="A234" s="46" t="s">
        <v>155</v>
      </c>
      <c r="B234" s="142" t="s">
        <v>180</v>
      </c>
      <c r="C234" s="143"/>
      <c r="D234" s="143"/>
      <c r="E234" s="143"/>
      <c r="F234" s="143"/>
      <c r="G234" s="143"/>
      <c r="H234" s="144"/>
    </row>
    <row r="235" spans="1:20" s="35" customFormat="1" hidden="1" x14ac:dyDescent="0.35">
      <c r="A235" s="46" t="s">
        <v>155</v>
      </c>
      <c r="B235" s="160" t="s">
        <v>235</v>
      </c>
      <c r="C235" s="161"/>
      <c r="D235" s="161"/>
      <c r="E235" s="161"/>
      <c r="F235" s="161"/>
      <c r="G235" s="161"/>
      <c r="H235" s="162"/>
    </row>
    <row r="236" spans="1:20" s="35" customFormat="1" ht="35.25" customHeight="1" x14ac:dyDescent="0.35">
      <c r="A236" s="46" t="s">
        <v>155</v>
      </c>
      <c r="B236" s="142" t="s">
        <v>379</v>
      </c>
      <c r="C236" s="143"/>
      <c r="D236" s="143"/>
      <c r="E236" s="143"/>
      <c r="F236" s="143"/>
      <c r="G236" s="143"/>
      <c r="H236" s="144"/>
    </row>
    <row r="237" spans="1:20" s="35" customFormat="1" x14ac:dyDescent="0.35">
      <c r="A237" s="46" t="s">
        <v>155</v>
      </c>
      <c r="B237" s="106" t="s">
        <v>396</v>
      </c>
      <c r="C237" s="107"/>
      <c r="D237" s="107"/>
      <c r="E237" s="107"/>
      <c r="F237" s="107"/>
      <c r="G237" s="107"/>
      <c r="H237" s="108"/>
    </row>
    <row r="238" spans="1:20" x14ac:dyDescent="0.35">
      <c r="A238" s="153" t="s">
        <v>58</v>
      </c>
      <c r="B238" s="153"/>
      <c r="C238" s="153"/>
      <c r="D238" s="153"/>
      <c r="E238" s="153"/>
      <c r="F238" s="153"/>
      <c r="G238" s="153"/>
      <c r="H238" s="153"/>
      <c r="T238" s="35"/>
    </row>
    <row r="239" spans="1:20" x14ac:dyDescent="0.35">
      <c r="A239" s="88" t="s">
        <v>59</v>
      </c>
      <c r="B239" s="88"/>
      <c r="C239" s="88"/>
      <c r="D239" s="88"/>
      <c r="E239" s="88"/>
      <c r="F239" s="88"/>
      <c r="G239" s="88"/>
      <c r="H239" s="88"/>
      <c r="T239" s="35"/>
    </row>
    <row r="240" spans="1:20" ht="15.75" customHeight="1" x14ac:dyDescent="0.35">
      <c r="A240" s="115" t="s">
        <v>60</v>
      </c>
      <c r="B240" s="115"/>
      <c r="C240" s="115"/>
      <c r="D240" s="115"/>
      <c r="E240" s="115"/>
      <c r="F240" s="115"/>
      <c r="G240" s="115"/>
      <c r="H240" s="115"/>
      <c r="T240" s="35"/>
    </row>
    <row r="241" spans="1:20" x14ac:dyDescent="0.35">
      <c r="A241" s="88" t="s">
        <v>61</v>
      </c>
      <c r="B241" s="88"/>
      <c r="C241" s="88"/>
      <c r="D241" s="88"/>
      <c r="E241" s="88"/>
      <c r="F241" s="88"/>
      <c r="G241" s="88"/>
      <c r="H241" s="88"/>
      <c r="T241" s="35"/>
    </row>
    <row r="242" spans="1:20" x14ac:dyDescent="0.35">
      <c r="A242" s="88" t="s">
        <v>62</v>
      </c>
      <c r="B242" s="88"/>
      <c r="C242" s="88"/>
      <c r="D242" s="88"/>
      <c r="E242" s="88"/>
      <c r="F242" s="88"/>
      <c r="G242" s="88"/>
      <c r="H242" s="88"/>
      <c r="T242" s="35"/>
    </row>
    <row r="243" spans="1:20" x14ac:dyDescent="0.35">
      <c r="A243" s="88" t="s">
        <v>125</v>
      </c>
      <c r="B243" s="88"/>
      <c r="C243" s="88"/>
      <c r="D243" s="88"/>
      <c r="E243" s="88"/>
      <c r="F243" s="88"/>
      <c r="G243" s="88"/>
      <c r="H243" s="88"/>
      <c r="T243" s="35"/>
    </row>
    <row r="244" spans="1:20" x14ac:dyDescent="0.35">
      <c r="A244" s="97" t="s">
        <v>126</v>
      </c>
      <c r="B244" s="97"/>
      <c r="C244" s="97"/>
      <c r="D244" s="97"/>
      <c r="E244" s="97"/>
      <c r="F244" s="97"/>
      <c r="G244" s="97"/>
      <c r="H244" s="97"/>
    </row>
    <row r="245" spans="1:20" x14ac:dyDescent="0.35">
      <c r="A245" s="150" t="s">
        <v>74</v>
      </c>
      <c r="B245" s="150"/>
      <c r="C245" s="150" t="s">
        <v>398</v>
      </c>
      <c r="D245" s="150"/>
      <c r="E245" s="150" t="s">
        <v>104</v>
      </c>
      <c r="F245" s="150"/>
      <c r="G245" s="150" t="s">
        <v>382</v>
      </c>
      <c r="H245" s="150"/>
    </row>
    <row r="246" spans="1:20" x14ac:dyDescent="0.35">
      <c r="A246" s="149" t="s">
        <v>76</v>
      </c>
      <c r="B246" s="149"/>
      <c r="C246" s="149"/>
      <c r="D246" s="149"/>
      <c r="E246" s="149"/>
      <c r="F246" s="149"/>
      <c r="G246" s="149"/>
      <c r="H246" s="149"/>
    </row>
    <row r="247" spans="1:20" x14ac:dyDescent="0.35">
      <c r="A247" s="149"/>
      <c r="B247" s="149"/>
      <c r="C247" s="149"/>
      <c r="D247" s="149"/>
      <c r="E247" s="149"/>
      <c r="F247" s="149"/>
      <c r="G247" s="149"/>
      <c r="H247" s="149"/>
    </row>
    <row r="248" spans="1:20" x14ac:dyDescent="0.35">
      <c r="A248" s="149"/>
      <c r="B248" s="149"/>
      <c r="C248" s="149"/>
      <c r="D248" s="149"/>
      <c r="E248" s="149"/>
      <c r="F248" s="149"/>
      <c r="G248" s="149"/>
      <c r="H248" s="149"/>
    </row>
    <row r="249" spans="1:20" x14ac:dyDescent="0.35">
      <c r="A249" s="149"/>
      <c r="B249" s="149"/>
      <c r="C249" s="149"/>
      <c r="D249" s="149"/>
      <c r="E249" s="149"/>
      <c r="F249" s="149"/>
      <c r="G249" s="149"/>
      <c r="H249" s="149"/>
    </row>
    <row r="250" spans="1:20" x14ac:dyDescent="0.35">
      <c r="A250" s="38" t="s">
        <v>63</v>
      </c>
      <c r="B250" s="39"/>
      <c r="C250" s="39"/>
      <c r="D250" s="38" t="str">
        <f>E9</f>
        <v>Evaana</v>
      </c>
      <c r="F250" s="39"/>
      <c r="G250" s="39"/>
      <c r="H250" s="39"/>
    </row>
    <row r="251" spans="1:20" x14ac:dyDescent="0.35">
      <c r="A251" s="39"/>
      <c r="B251" s="39"/>
      <c r="C251" s="39"/>
      <c r="D251" s="39"/>
      <c r="E251" s="39"/>
      <c r="F251" s="39"/>
      <c r="G251" s="39"/>
      <c r="H251" s="39"/>
    </row>
    <row r="252" spans="1:20" x14ac:dyDescent="0.35">
      <c r="A252" s="39"/>
      <c r="B252" s="39"/>
      <c r="C252" s="39"/>
      <c r="D252" s="39"/>
      <c r="E252" s="39"/>
      <c r="F252" s="39"/>
      <c r="G252" s="39"/>
      <c r="H252" s="39"/>
    </row>
    <row r="253" spans="1:20" ht="15" customHeight="1" x14ac:dyDescent="0.35"/>
    <row r="290" spans="1:1" x14ac:dyDescent="0.35">
      <c r="A290" s="41" t="s">
        <v>166</v>
      </c>
    </row>
    <row r="333" spans="1:1" x14ac:dyDescent="0.35">
      <c r="A333" s="41" t="s">
        <v>380</v>
      </c>
    </row>
    <row r="376" spans="1:1" x14ac:dyDescent="0.35">
      <c r="A376" s="41" t="s">
        <v>64</v>
      </c>
    </row>
  </sheetData>
  <mergeCells count="414">
    <mergeCell ref="L192:M192"/>
    <mergeCell ref="A193:B193"/>
    <mergeCell ref="A194:B194"/>
    <mergeCell ref="C193:H193"/>
    <mergeCell ref="L185:M185"/>
    <mergeCell ref="A186:B186"/>
    <mergeCell ref="A187:B187"/>
    <mergeCell ref="A188:B188"/>
    <mergeCell ref="A189:H189"/>
    <mergeCell ref="L189:M189"/>
    <mergeCell ref="A190:B190"/>
    <mergeCell ref="A191:B191"/>
    <mergeCell ref="B236:H236"/>
    <mergeCell ref="L173:M173"/>
    <mergeCell ref="A174:B174"/>
    <mergeCell ref="A175:B175"/>
    <mergeCell ref="A176:B176"/>
    <mergeCell ref="L177:M177"/>
    <mergeCell ref="A178:B178"/>
    <mergeCell ref="A179:B179"/>
    <mergeCell ref="A180:B180"/>
    <mergeCell ref="A181:H181"/>
    <mergeCell ref="L181:M181"/>
    <mergeCell ref="A215:B215"/>
    <mergeCell ref="A204:B204"/>
    <mergeCell ref="A211:B211"/>
    <mergeCell ref="L200:M200"/>
    <mergeCell ref="A205:B205"/>
    <mergeCell ref="A202:B202"/>
    <mergeCell ref="A203:B203"/>
    <mergeCell ref="A213:B213"/>
    <mergeCell ref="L199:M199"/>
    <mergeCell ref="L196:M196"/>
    <mergeCell ref="A197:B197"/>
    <mergeCell ref="L197:M197"/>
    <mergeCell ref="B230:H230"/>
    <mergeCell ref="L162:M162"/>
    <mergeCell ref="A163:B163"/>
    <mergeCell ref="A164:B164"/>
    <mergeCell ref="A165:B165"/>
    <mergeCell ref="A166:H166"/>
    <mergeCell ref="L166:M166"/>
    <mergeCell ref="A167:B167"/>
    <mergeCell ref="A168:B168"/>
    <mergeCell ref="L169:M169"/>
    <mergeCell ref="L154:M154"/>
    <mergeCell ref="A155:B155"/>
    <mergeCell ref="A156:B156"/>
    <mergeCell ref="A157:B157"/>
    <mergeCell ref="A158:H158"/>
    <mergeCell ref="L158:M158"/>
    <mergeCell ref="A159:B159"/>
    <mergeCell ref="A160:B160"/>
    <mergeCell ref="A161:B161"/>
    <mergeCell ref="E91:F100"/>
    <mergeCell ref="F115:H115"/>
    <mergeCell ref="F120:H120"/>
    <mergeCell ref="A196:B196"/>
    <mergeCell ref="A146:B146"/>
    <mergeCell ref="A153:H153"/>
    <mergeCell ref="A150:H150"/>
    <mergeCell ref="A151:H151"/>
    <mergeCell ref="A152:H152"/>
    <mergeCell ref="A154:H154"/>
    <mergeCell ref="A162:H162"/>
    <mergeCell ref="A169:H169"/>
    <mergeCell ref="A177:H177"/>
    <mergeCell ref="C140:C141"/>
    <mergeCell ref="B148:B149"/>
    <mergeCell ref="A170:B170"/>
    <mergeCell ref="A171:B171"/>
    <mergeCell ref="A172:B172"/>
    <mergeCell ref="A173:H173"/>
    <mergeCell ref="A182:B182"/>
    <mergeCell ref="A183:B183"/>
    <mergeCell ref="A184:B184"/>
    <mergeCell ref="A185:H185"/>
    <mergeCell ref="A192:H192"/>
    <mergeCell ref="G104:H104"/>
    <mergeCell ref="A103:B103"/>
    <mergeCell ref="G140:G141"/>
    <mergeCell ref="E136:F136"/>
    <mergeCell ref="C103:H103"/>
    <mergeCell ref="A104:B104"/>
    <mergeCell ref="A125:E125"/>
    <mergeCell ref="G136:H136"/>
    <mergeCell ref="C131:D131"/>
    <mergeCell ref="E131:F131"/>
    <mergeCell ref="G131:H131"/>
    <mergeCell ref="A132:B132"/>
    <mergeCell ref="C132:D132"/>
    <mergeCell ref="E132:F132"/>
    <mergeCell ref="G132:H132"/>
    <mergeCell ref="E105:F114"/>
    <mergeCell ref="A106:B106"/>
    <mergeCell ref="A107:B107"/>
    <mergeCell ref="A122:E122"/>
    <mergeCell ref="A108:B108"/>
    <mergeCell ref="A109:B109"/>
    <mergeCell ref="A119:E119"/>
    <mergeCell ref="A110:B110"/>
    <mergeCell ref="A112:B112"/>
    <mergeCell ref="A40:B40"/>
    <mergeCell ref="C40:H40"/>
    <mergeCell ref="F140:F141"/>
    <mergeCell ref="C130:D130"/>
    <mergeCell ref="E130:F130"/>
    <mergeCell ref="B140:B141"/>
    <mergeCell ref="A140:A141"/>
    <mergeCell ref="C148:C149"/>
    <mergeCell ref="G148:G149"/>
    <mergeCell ref="G137:H137"/>
    <mergeCell ref="D64:H64"/>
    <mergeCell ref="A64:C64"/>
    <mergeCell ref="A83:B83"/>
    <mergeCell ref="C89:H89"/>
    <mergeCell ref="A45:D45"/>
    <mergeCell ref="C50:E50"/>
    <mergeCell ref="C53:E53"/>
    <mergeCell ref="G53:H53"/>
    <mergeCell ref="G50:H50"/>
    <mergeCell ref="G52:H52"/>
    <mergeCell ref="G91:H100"/>
    <mergeCell ref="A92:B92"/>
    <mergeCell ref="A93:B93"/>
    <mergeCell ref="A94:B94"/>
    <mergeCell ref="A51:B51"/>
    <mergeCell ref="A61:H61"/>
    <mergeCell ref="A62:C62"/>
    <mergeCell ref="A63:C63"/>
    <mergeCell ref="A198:B198"/>
    <mergeCell ref="L198:M198"/>
    <mergeCell ref="C55:H55"/>
    <mergeCell ref="A199:B199"/>
    <mergeCell ref="A76:B76"/>
    <mergeCell ref="G60:H60"/>
    <mergeCell ref="A54:B55"/>
    <mergeCell ref="C54:E54"/>
    <mergeCell ref="G54:H54"/>
    <mergeCell ref="A56:B57"/>
    <mergeCell ref="C56:E56"/>
    <mergeCell ref="G56:H56"/>
    <mergeCell ref="A58:B59"/>
    <mergeCell ref="C58:E58"/>
    <mergeCell ref="G58:H58"/>
    <mergeCell ref="A100:B100"/>
    <mergeCell ref="A105:B105"/>
    <mergeCell ref="A136:B136"/>
    <mergeCell ref="F117:H117"/>
    <mergeCell ref="A117:E117"/>
    <mergeCell ref="A39:B39"/>
    <mergeCell ref="C39:H39"/>
    <mergeCell ref="A46:D46"/>
    <mergeCell ref="L146:M146"/>
    <mergeCell ref="L145:M145"/>
    <mergeCell ref="L144:M144"/>
    <mergeCell ref="L143:M143"/>
    <mergeCell ref="A84:B84"/>
    <mergeCell ref="C135:D135"/>
    <mergeCell ref="E135:F135"/>
    <mergeCell ref="G135:H135"/>
    <mergeCell ref="A116:E116"/>
    <mergeCell ref="A101:B101"/>
    <mergeCell ref="C101:H101"/>
    <mergeCell ref="A142:H142"/>
    <mergeCell ref="E140:E141"/>
    <mergeCell ref="A91:B91"/>
    <mergeCell ref="A47:D47"/>
    <mergeCell ref="A48:H48"/>
    <mergeCell ref="A71:C71"/>
    <mergeCell ref="E43:H43"/>
    <mergeCell ref="A43:D43"/>
    <mergeCell ref="A87:B87"/>
    <mergeCell ref="D63:H63"/>
    <mergeCell ref="A38:H38"/>
    <mergeCell ref="A37:B37"/>
    <mergeCell ref="C37:E37"/>
    <mergeCell ref="G105:H114"/>
    <mergeCell ref="A42:D42"/>
    <mergeCell ref="E42:H42"/>
    <mergeCell ref="A41:H41"/>
    <mergeCell ref="A66:C66"/>
    <mergeCell ref="A67:C67"/>
    <mergeCell ref="D66:H66"/>
    <mergeCell ref="E77:F86"/>
    <mergeCell ref="G77:H86"/>
    <mergeCell ref="A85:B85"/>
    <mergeCell ref="A86:B86"/>
    <mergeCell ref="D67:H67"/>
    <mergeCell ref="A44:D44"/>
    <mergeCell ref="E44:H44"/>
    <mergeCell ref="E45:H45"/>
    <mergeCell ref="E46:H46"/>
    <mergeCell ref="A90:B90"/>
    <mergeCell ref="E47:H47"/>
    <mergeCell ref="C57:H57"/>
    <mergeCell ref="C59:H59"/>
    <mergeCell ref="A89:B89"/>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39:H239"/>
    <mergeCell ref="A75:B75"/>
    <mergeCell ref="A73:B73"/>
    <mergeCell ref="C73:H73"/>
    <mergeCell ref="A81:B81"/>
    <mergeCell ref="A68:C68"/>
    <mergeCell ref="D68:H68"/>
    <mergeCell ref="C75:H75"/>
    <mergeCell ref="A78:B78"/>
    <mergeCell ref="A80:B80"/>
    <mergeCell ref="E76:F76"/>
    <mergeCell ref="A69:C69"/>
    <mergeCell ref="D69:H69"/>
    <mergeCell ref="A72:C72"/>
    <mergeCell ref="D72:H72"/>
    <mergeCell ref="A70:C70"/>
    <mergeCell ref="D71:H71"/>
    <mergeCell ref="A77:B77"/>
    <mergeCell ref="G76:H76"/>
    <mergeCell ref="B235:H235"/>
    <mergeCell ref="A120:E120"/>
    <mergeCell ref="A98:B98"/>
    <mergeCell ref="A99:B99"/>
    <mergeCell ref="E104:F104"/>
    <mergeCell ref="F126:H126"/>
    <mergeCell ref="A127:E127"/>
    <mergeCell ref="F127:H127"/>
    <mergeCell ref="A214:B214"/>
    <mergeCell ref="D140:D141"/>
    <mergeCell ref="B226:H226"/>
    <mergeCell ref="B228:H228"/>
    <mergeCell ref="B229:H229"/>
    <mergeCell ref="A246:H249"/>
    <mergeCell ref="A245:B245"/>
    <mergeCell ref="E245:F245"/>
    <mergeCell ref="C245:D245"/>
    <mergeCell ref="G245:H245"/>
    <mergeCell ref="A128:H128"/>
    <mergeCell ref="A200:H200"/>
    <mergeCell ref="A135:B135"/>
    <mergeCell ref="A209:B209"/>
    <mergeCell ref="A130:B130"/>
    <mergeCell ref="A241:H241"/>
    <mergeCell ref="A133:H133"/>
    <mergeCell ref="A244:H244"/>
    <mergeCell ref="A242:H242"/>
    <mergeCell ref="A238:H238"/>
    <mergeCell ref="G134:H134"/>
    <mergeCell ref="A217:B217"/>
    <mergeCell ref="A212:H212"/>
    <mergeCell ref="A206:H206"/>
    <mergeCell ref="B234:H234"/>
    <mergeCell ref="B232:H232"/>
    <mergeCell ref="A218:H218"/>
    <mergeCell ref="A219:B219"/>
    <mergeCell ref="A220:B220"/>
    <mergeCell ref="A223:B223"/>
    <mergeCell ref="A222:B222"/>
    <mergeCell ref="B225:H225"/>
    <mergeCell ref="B233:H233"/>
    <mergeCell ref="B231:H231"/>
    <mergeCell ref="B227:H227"/>
    <mergeCell ref="A221:B221"/>
    <mergeCell ref="A65:C65"/>
    <mergeCell ref="D65:H65"/>
    <mergeCell ref="C51:E51"/>
    <mergeCell ref="A147:H147"/>
    <mergeCell ref="E134:F134"/>
    <mergeCell ref="A138:H138"/>
    <mergeCell ref="A148:A149"/>
    <mergeCell ref="F148:F149"/>
    <mergeCell ref="A207:B207"/>
    <mergeCell ref="A143:B143"/>
    <mergeCell ref="A137:B137"/>
    <mergeCell ref="C137:D137"/>
    <mergeCell ref="E137:F137"/>
    <mergeCell ref="A145:B145"/>
    <mergeCell ref="E90:F90"/>
    <mergeCell ref="G90:H90"/>
    <mergeCell ref="A121:E121"/>
    <mergeCell ref="F121:H121"/>
    <mergeCell ref="A123:E123"/>
    <mergeCell ref="A113:B113"/>
    <mergeCell ref="A118:E118"/>
    <mergeCell ref="A115:E115"/>
    <mergeCell ref="F119:H119"/>
    <mergeCell ref="A126:E126"/>
    <mergeCell ref="B237:H237"/>
    <mergeCell ref="G51:H51"/>
    <mergeCell ref="A52:B53"/>
    <mergeCell ref="C52:E52"/>
    <mergeCell ref="A243:H243"/>
    <mergeCell ref="A240:H240"/>
    <mergeCell ref="A201:B201"/>
    <mergeCell ref="A134:B134"/>
    <mergeCell ref="D148:D149"/>
    <mergeCell ref="E148:E149"/>
    <mergeCell ref="A95:B95"/>
    <mergeCell ref="A96:B96"/>
    <mergeCell ref="A97:B97"/>
    <mergeCell ref="A111:B111"/>
    <mergeCell ref="F116:H116"/>
    <mergeCell ref="G130:H130"/>
    <mergeCell ref="A114:B114"/>
    <mergeCell ref="F122:H122"/>
    <mergeCell ref="C129:D129"/>
    <mergeCell ref="C136:D136"/>
    <mergeCell ref="A195:H195"/>
    <mergeCell ref="A210:B210"/>
    <mergeCell ref="A224:H224"/>
    <mergeCell ref="A216:B216"/>
    <mergeCell ref="I15:P15"/>
    <mergeCell ref="F125:H125"/>
    <mergeCell ref="F123:H123"/>
    <mergeCell ref="A208:B208"/>
    <mergeCell ref="A139:H139"/>
    <mergeCell ref="G129:H129"/>
    <mergeCell ref="A124:E124"/>
    <mergeCell ref="A144:B144"/>
    <mergeCell ref="A60:B60"/>
    <mergeCell ref="C60:E60"/>
    <mergeCell ref="D62:H62"/>
    <mergeCell ref="F124:H124"/>
    <mergeCell ref="E129:F129"/>
    <mergeCell ref="A129:B129"/>
    <mergeCell ref="A131:B131"/>
    <mergeCell ref="C134:D134"/>
    <mergeCell ref="D70:H70"/>
    <mergeCell ref="A49:B49"/>
    <mergeCell ref="C49:H49"/>
    <mergeCell ref="A79:B79"/>
    <mergeCell ref="C87:H87"/>
    <mergeCell ref="A82:B82"/>
    <mergeCell ref="A50:B50"/>
    <mergeCell ref="F118:H118"/>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0:E141">
      <formula1>"Attached Loft area,Attached Otla area,Attached Mezzanine area"</formula1>
    </dataValidation>
    <dataValidation type="list" allowBlank="1" showInputMessage="1" showErrorMessage="1" sqref="G245:H245">
      <formula1>"Kunal Kadam,Pranita Mhatre,Shruti Fule,Pooja Kawale,Neha Dhokale,Shruti Tathare, Hitakshi Mhatre, Sachin Sawant"</formula1>
    </dataValidation>
    <dataValidation type="list" allowBlank="1" showInputMessage="1" showErrorMessage="1" sqref="F115:H115">
      <formula1>"On Saleable Area,On Builtup Area,On Carpet Area,On Plot Area"</formula1>
    </dataValidation>
    <dataValidation type="list" allowBlank="1" showInputMessage="1" showErrorMessage="1" sqref="F126:H126">
      <formula1>OFFSET($S$115,1,MATCH($G20,$S$115:$W$115,0)-1,15,1)</formula1>
    </dataValidation>
    <dataValidation type="list" allowBlank="1" showInputMessage="1" showErrorMessage="1" sqref="B140:B141">
      <formula1>"Shop No. (Sale Plan),Sale / Rehab,Sale / Mhada"</formula1>
    </dataValidation>
    <dataValidation type="list" allowBlank="1" showInputMessage="1" showErrorMessage="1" sqref="B148:B14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48:E149">
      <formula1>"Fungible area,Deck Area,Balcony Area,Chajja Area,Cornice Area,AP Area,WS Area"</formula1>
    </dataValidation>
    <dataValidation type="list" allowBlank="1" showInputMessage="1" showErrorMessage="1" sqref="H141 H14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40 H148">
      <formula1>"Saleable area Loading :,Builder Saleable Area"</formula1>
    </dataValidation>
    <dataValidation type="list" allowBlank="1" showInputMessage="1" showErrorMessage="1" sqref="D140:D141 D148:D149">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5" manualBreakCount="5">
    <brk id="72" max="16383" man="1"/>
    <brk id="249" max="16383" man="1"/>
    <brk id="289" max="16383" man="1"/>
    <brk id="332" max="16383" man="1"/>
    <brk id="37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20" t="s">
        <v>105</v>
      </c>
      <c r="C3" s="220"/>
      <c r="D3" s="220"/>
      <c r="E3" s="220"/>
      <c r="F3" s="220"/>
      <c r="G3" s="220"/>
      <c r="H3" s="220"/>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3"/>
      <c r="C4" s="53" t="s">
        <v>11</v>
      </c>
      <c r="D4" s="54" t="s">
        <v>181</v>
      </c>
      <c r="E4" s="54" t="s">
        <v>191</v>
      </c>
      <c r="F4" s="54" t="s">
        <v>175</v>
      </c>
      <c r="G4" s="54" t="s">
        <v>196</v>
      </c>
      <c r="H4" s="54" t="s">
        <v>214</v>
      </c>
      <c r="J4" t="s">
        <v>196</v>
      </c>
      <c r="K4" t="s">
        <v>212</v>
      </c>
    </row>
    <row r="5" spans="2:11" x14ac:dyDescent="0.35">
      <c r="B5" s="53"/>
      <c r="C5" s="53"/>
      <c r="D5" s="54" t="s">
        <v>182</v>
      </c>
      <c r="E5" s="54" t="s">
        <v>189</v>
      </c>
      <c r="F5" s="54" t="s">
        <v>211</v>
      </c>
      <c r="G5" s="54" t="s">
        <v>197</v>
      </c>
      <c r="H5" s="54" t="s">
        <v>215</v>
      </c>
    </row>
    <row r="6" spans="2:11" x14ac:dyDescent="0.35">
      <c r="B6" s="53"/>
      <c r="C6" s="53"/>
      <c r="D6" s="54" t="s">
        <v>183</v>
      </c>
      <c r="E6" s="54" t="s">
        <v>190</v>
      </c>
      <c r="F6" s="54" t="s">
        <v>212</v>
      </c>
      <c r="G6" s="54" t="s">
        <v>198</v>
      </c>
      <c r="H6" s="54" t="s">
        <v>228</v>
      </c>
    </row>
    <row r="7" spans="2:11" x14ac:dyDescent="0.35">
      <c r="B7" s="53"/>
      <c r="C7" s="53"/>
      <c r="D7" s="54" t="s">
        <v>184</v>
      </c>
      <c r="E7" s="54" t="s">
        <v>192</v>
      </c>
      <c r="F7" s="54" t="s">
        <v>213</v>
      </c>
      <c r="G7" s="54" t="s">
        <v>199</v>
      </c>
      <c r="H7" s="54" t="s">
        <v>216</v>
      </c>
    </row>
    <row r="8" spans="2:11" x14ac:dyDescent="0.35">
      <c r="B8" s="53"/>
      <c r="C8" s="53"/>
      <c r="D8" s="54" t="s">
        <v>185</v>
      </c>
      <c r="E8" s="54" t="s">
        <v>193</v>
      </c>
      <c r="F8" s="54"/>
      <c r="G8" s="54" t="s">
        <v>200</v>
      </c>
      <c r="H8" s="54" t="s">
        <v>217</v>
      </c>
    </row>
    <row r="9" spans="2:11" x14ac:dyDescent="0.35">
      <c r="B9" s="53"/>
      <c r="C9" s="53"/>
      <c r="D9" s="54" t="s">
        <v>186</v>
      </c>
      <c r="E9" s="54" t="s">
        <v>191</v>
      </c>
      <c r="F9" s="54"/>
      <c r="G9" s="54" t="s">
        <v>201</v>
      </c>
      <c r="H9" s="54" t="s">
        <v>218</v>
      </c>
    </row>
    <row r="10" spans="2:11" x14ac:dyDescent="0.35">
      <c r="B10" s="53"/>
      <c r="C10" s="53"/>
      <c r="D10" s="54" t="s">
        <v>187</v>
      </c>
      <c r="E10" s="54" t="s">
        <v>194</v>
      </c>
      <c r="F10" s="54"/>
      <c r="G10" s="54" t="s">
        <v>202</v>
      </c>
      <c r="H10" s="54" t="s">
        <v>219</v>
      </c>
    </row>
    <row r="11" spans="2:11" x14ac:dyDescent="0.35">
      <c r="B11" s="53"/>
      <c r="C11" s="53"/>
      <c r="D11" s="54" t="s">
        <v>188</v>
      </c>
      <c r="E11" s="54" t="s">
        <v>195</v>
      </c>
      <c r="F11" s="54"/>
      <c r="G11" s="54" t="s">
        <v>203</v>
      </c>
      <c r="H11" s="54" t="s">
        <v>220</v>
      </c>
    </row>
    <row r="12" spans="2:11" x14ac:dyDescent="0.35">
      <c r="B12" s="53"/>
      <c r="C12" s="53"/>
      <c r="D12" s="54"/>
      <c r="E12" s="54"/>
      <c r="F12" s="54"/>
      <c r="G12" s="54" t="s">
        <v>204</v>
      </c>
      <c r="H12" s="54" t="s">
        <v>221</v>
      </c>
    </row>
    <row r="13" spans="2:11" x14ac:dyDescent="0.35">
      <c r="B13" s="53"/>
      <c r="C13" s="53"/>
      <c r="D13" s="54"/>
      <c r="E13" s="54"/>
      <c r="F13" s="54"/>
      <c r="G13" s="54" t="s">
        <v>205</v>
      </c>
      <c r="H13" s="54" t="s">
        <v>222</v>
      </c>
    </row>
    <row r="14" spans="2:11" x14ac:dyDescent="0.35">
      <c r="B14" s="53"/>
      <c r="C14" s="53"/>
      <c r="D14" s="54"/>
      <c r="E14" s="54"/>
      <c r="F14" s="54"/>
      <c r="G14" s="54" t="s">
        <v>206</v>
      </c>
      <c r="H14" s="54" t="s">
        <v>223</v>
      </c>
    </row>
    <row r="15" spans="2:11" x14ac:dyDescent="0.35">
      <c r="B15" s="53"/>
      <c r="C15" s="53"/>
      <c r="D15" s="54"/>
      <c r="E15" s="54"/>
      <c r="F15" s="54"/>
      <c r="G15" s="54" t="s">
        <v>207</v>
      </c>
      <c r="H15" s="54" t="s">
        <v>224</v>
      </c>
    </row>
    <row r="16" spans="2:11" x14ac:dyDescent="0.35">
      <c r="B16" s="53"/>
      <c r="C16" s="53"/>
      <c r="D16" s="54"/>
      <c r="E16" s="54"/>
      <c r="F16" s="54"/>
      <c r="G16" s="54" t="s">
        <v>208</v>
      </c>
      <c r="H16" s="54" t="s">
        <v>225</v>
      </c>
    </row>
    <row r="17" spans="2:8" x14ac:dyDescent="0.35">
      <c r="B17" s="53"/>
      <c r="C17" s="53"/>
      <c r="D17" s="54"/>
      <c r="E17" s="54"/>
      <c r="F17" s="54"/>
      <c r="G17" s="54" t="s">
        <v>209</v>
      </c>
      <c r="H17" s="54" t="s">
        <v>226</v>
      </c>
    </row>
    <row r="18" spans="2:8" x14ac:dyDescent="0.35">
      <c r="B18" s="53"/>
      <c r="C18" s="53"/>
      <c r="D18" s="54"/>
      <c r="E18" s="54"/>
      <c r="F18" s="54"/>
      <c r="G18" s="54" t="s">
        <v>210</v>
      </c>
      <c r="H18" s="54" t="s">
        <v>227</v>
      </c>
    </row>
    <row r="24" spans="2:8" x14ac:dyDescent="0.35">
      <c r="C24" t="s">
        <v>172</v>
      </c>
    </row>
    <row r="25" spans="2:8" x14ac:dyDescent="0.35">
      <c r="C25" t="s">
        <v>229</v>
      </c>
    </row>
    <row r="26" spans="2:8" x14ac:dyDescent="0.35">
      <c r="C26" t="s">
        <v>230</v>
      </c>
    </row>
    <row r="27" spans="2:8" x14ac:dyDescent="0.35">
      <c r="C27" t="s">
        <v>231</v>
      </c>
    </row>
    <row r="28" spans="2:8" x14ac:dyDescent="0.35">
      <c r="C28" t="s">
        <v>232</v>
      </c>
    </row>
    <row r="29" spans="2:8" x14ac:dyDescent="0.35">
      <c r="C29" t="s">
        <v>233</v>
      </c>
    </row>
    <row r="30" spans="2:8" x14ac:dyDescent="0.35">
      <c r="C30" t="s">
        <v>172</v>
      </c>
    </row>
    <row r="33" spans="3:11" x14ac:dyDescent="0.35">
      <c r="J33">
        <v>1</v>
      </c>
      <c r="K33">
        <v>2</v>
      </c>
    </row>
    <row r="34" spans="3:11" x14ac:dyDescent="0.35">
      <c r="C34" s="55" t="s">
        <v>239</v>
      </c>
      <c r="D34" s="54" t="s">
        <v>237</v>
      </c>
      <c r="E34" s="54" t="s">
        <v>242</v>
      </c>
      <c r="F34" s="54" t="s">
        <v>240</v>
      </c>
      <c r="G34" s="54" t="s">
        <v>241</v>
      </c>
      <c r="H34" s="54" t="s">
        <v>243</v>
      </c>
      <c r="J34" t="s">
        <v>196</v>
      </c>
      <c r="K34" t="s">
        <v>212</v>
      </c>
    </row>
    <row r="35" spans="3:11" x14ac:dyDescent="0.35">
      <c r="C35" s="53" t="s">
        <v>238</v>
      </c>
      <c r="D35" s="54" t="s">
        <v>173</v>
      </c>
      <c r="E35" s="54" t="s">
        <v>247</v>
      </c>
      <c r="F35" s="54" t="s">
        <v>249</v>
      </c>
      <c r="G35" s="54" t="s">
        <v>251</v>
      </c>
      <c r="H35" s="54"/>
    </row>
    <row r="36" spans="3:11" x14ac:dyDescent="0.35">
      <c r="C36" s="53"/>
      <c r="D36" s="54" t="s">
        <v>244</v>
      </c>
      <c r="E36" s="54" t="s">
        <v>248</v>
      </c>
      <c r="F36" s="54" t="s">
        <v>250</v>
      </c>
      <c r="G36" s="54" t="s">
        <v>252</v>
      </c>
      <c r="H36" s="54"/>
    </row>
    <row r="37" spans="3:11" x14ac:dyDescent="0.35">
      <c r="C37" s="53"/>
      <c r="D37" s="54" t="s">
        <v>245</v>
      </c>
      <c r="E37" s="54"/>
      <c r="F37" s="54"/>
      <c r="G37" s="54" t="s">
        <v>253</v>
      </c>
      <c r="H37" s="54"/>
    </row>
    <row r="38" spans="3:11" x14ac:dyDescent="0.35">
      <c r="C38" s="53"/>
      <c r="D38" s="54" t="s">
        <v>246</v>
      </c>
      <c r="E38" s="54"/>
      <c r="F38" s="54"/>
      <c r="G38" s="54" t="s">
        <v>253</v>
      </c>
      <c r="H38" s="54"/>
    </row>
    <row r="39" spans="3:11" x14ac:dyDescent="0.35">
      <c r="C39" s="53"/>
      <c r="D39" s="54"/>
      <c r="E39" s="54"/>
      <c r="F39" s="54"/>
      <c r="G39" s="54" t="s">
        <v>254</v>
      </c>
      <c r="H39" s="54"/>
    </row>
    <row r="40" spans="3:11" x14ac:dyDescent="0.35">
      <c r="C40" s="53"/>
      <c r="D40" s="54"/>
      <c r="E40" s="54"/>
      <c r="F40" s="54"/>
      <c r="G40" s="54" t="s">
        <v>255</v>
      </c>
      <c r="H40" s="54"/>
    </row>
    <row r="41" spans="3:11" x14ac:dyDescent="0.35">
      <c r="C41" s="53"/>
      <c r="D41" s="54"/>
      <c r="E41" s="54"/>
      <c r="F41" s="54"/>
      <c r="G41" s="54"/>
      <c r="H41" s="54"/>
    </row>
    <row r="43" spans="3:11" x14ac:dyDescent="0.35">
      <c r="C43" t="s">
        <v>256</v>
      </c>
    </row>
    <row r="44" spans="3:11" x14ac:dyDescent="0.35">
      <c r="C44" t="s">
        <v>175</v>
      </c>
      <c r="D44" t="s">
        <v>257</v>
      </c>
    </row>
    <row r="45" spans="3:11" x14ac:dyDescent="0.35">
      <c r="D45" t="s">
        <v>258</v>
      </c>
    </row>
    <row r="46" spans="3:11" x14ac:dyDescent="0.35">
      <c r="D46" t="s">
        <v>259</v>
      </c>
    </row>
    <row r="47" spans="3:11" x14ac:dyDescent="0.35">
      <c r="D47" t="s">
        <v>260</v>
      </c>
    </row>
    <row r="48" spans="3:11" x14ac:dyDescent="0.35">
      <c r="D48" t="s">
        <v>261</v>
      </c>
    </row>
    <row r="49" spans="3:4" x14ac:dyDescent="0.35">
      <c r="C49" t="s">
        <v>181</v>
      </c>
      <c r="D49" t="s">
        <v>262</v>
      </c>
    </row>
    <row r="50" spans="3:4" x14ac:dyDescent="0.35">
      <c r="D50" t="s">
        <v>263</v>
      </c>
    </row>
    <row r="51" spans="3:4" x14ac:dyDescent="0.35">
      <c r="D51" t="s">
        <v>264</v>
      </c>
    </row>
    <row r="52" spans="3:4" x14ac:dyDescent="0.35">
      <c r="D52" t="s">
        <v>267</v>
      </c>
    </row>
    <row r="53" spans="3:4" x14ac:dyDescent="0.35">
      <c r="D53" t="s">
        <v>265</v>
      </c>
    </row>
    <row r="54" spans="3:4" x14ac:dyDescent="0.35">
      <c r="D54" t="s">
        <v>266</v>
      </c>
    </row>
    <row r="55" spans="3:4" x14ac:dyDescent="0.35">
      <c r="D55" t="s">
        <v>268</v>
      </c>
    </row>
    <row r="56" spans="3:4" x14ac:dyDescent="0.35">
      <c r="D56" t="s">
        <v>269</v>
      </c>
    </row>
    <row r="57" spans="3:4" x14ac:dyDescent="0.35">
      <c r="D57" t="s">
        <v>270</v>
      </c>
    </row>
    <row r="58" spans="3:4" x14ac:dyDescent="0.35">
      <c r="D58" t="s">
        <v>272</v>
      </c>
    </row>
    <row r="59" spans="3:4" x14ac:dyDescent="0.35">
      <c r="D59" t="s">
        <v>281</v>
      </c>
    </row>
    <row r="60" spans="3:4" x14ac:dyDescent="0.35">
      <c r="C60" t="s">
        <v>196</v>
      </c>
      <c r="D60" t="s">
        <v>273</v>
      </c>
    </row>
    <row r="61" spans="3:4" x14ac:dyDescent="0.35">
      <c r="D61" t="s">
        <v>271</v>
      </c>
    </row>
    <row r="62" spans="3:4" x14ac:dyDescent="0.35">
      <c r="D62" t="s">
        <v>261</v>
      </c>
    </row>
    <row r="63" spans="3:4" x14ac:dyDescent="0.35">
      <c r="D63" t="s">
        <v>274</v>
      </c>
    </row>
    <row r="64" spans="3:4" x14ac:dyDescent="0.35">
      <c r="D64" t="s">
        <v>275</v>
      </c>
    </row>
    <row r="65" spans="3:4" x14ac:dyDescent="0.35">
      <c r="D65" t="s">
        <v>276</v>
      </c>
    </row>
    <row r="66" spans="3:4" x14ac:dyDescent="0.35">
      <c r="D66" t="s">
        <v>277</v>
      </c>
    </row>
    <row r="67" spans="3:4" x14ac:dyDescent="0.35">
      <c r="C67" t="s">
        <v>191</v>
      </c>
      <c r="D67" t="s">
        <v>278</v>
      </c>
    </row>
    <row r="68" spans="3:4" x14ac:dyDescent="0.35">
      <c r="D68" t="s">
        <v>279</v>
      </c>
    </row>
    <row r="69" spans="3:4" x14ac:dyDescent="0.35">
      <c r="D69" t="s">
        <v>280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19" workbookViewId="0">
      <selection activeCell="E24" sqref="E24"/>
    </sheetView>
  </sheetViews>
  <sheetFormatPr defaultRowHeight="14.5" x14ac:dyDescent="0.35"/>
  <cols>
    <col min="2" max="2" width="3" bestFit="1" customWidth="1"/>
    <col min="3" max="3" width="130" customWidth="1"/>
  </cols>
  <sheetData>
    <row r="2" spans="2:3" ht="15" customHeight="1" x14ac:dyDescent="0.35">
      <c r="B2" s="56">
        <v>1</v>
      </c>
      <c r="C2" s="58" t="s">
        <v>287</v>
      </c>
    </row>
    <row r="3" spans="2:3" x14ac:dyDescent="0.35">
      <c r="B3" s="56">
        <v>2</v>
      </c>
      <c r="C3" s="57" t="s">
        <v>288</v>
      </c>
    </row>
    <row r="4" spans="2:3" x14ac:dyDescent="0.35">
      <c r="B4" s="56">
        <v>3</v>
      </c>
      <c r="C4" s="56" t="s">
        <v>289</v>
      </c>
    </row>
    <row r="5" spans="2:3" x14ac:dyDescent="0.35">
      <c r="B5" s="56">
        <v>4</v>
      </c>
      <c r="C5" s="57" t="s">
        <v>290</v>
      </c>
    </row>
    <row r="6" spans="2:3" x14ac:dyDescent="0.35">
      <c r="B6" s="56">
        <v>5</v>
      </c>
      <c r="C6" s="56" t="s">
        <v>291</v>
      </c>
    </row>
    <row r="7" spans="2:3" ht="29" x14ac:dyDescent="0.35">
      <c r="B7" s="56">
        <v>6</v>
      </c>
      <c r="C7" s="57" t="s">
        <v>292</v>
      </c>
    </row>
    <row r="8" spans="2:3" ht="72.5" x14ac:dyDescent="0.35">
      <c r="B8" s="56">
        <v>7</v>
      </c>
      <c r="C8" s="57" t="s">
        <v>293</v>
      </c>
    </row>
    <row r="9" spans="2:3" x14ac:dyDescent="0.35">
      <c r="B9" s="56">
        <v>8</v>
      </c>
      <c r="C9" s="56" t="s">
        <v>294</v>
      </c>
    </row>
    <row r="10" spans="2:3" x14ac:dyDescent="0.35">
      <c r="B10" s="56">
        <v>9</v>
      </c>
      <c r="C10" s="56" t="s">
        <v>295</v>
      </c>
    </row>
    <row r="11" spans="2:3" x14ac:dyDescent="0.35">
      <c r="B11" s="56">
        <v>10</v>
      </c>
      <c r="C11" s="56" t="s">
        <v>296</v>
      </c>
    </row>
    <row r="12" spans="2:3" x14ac:dyDescent="0.35">
      <c r="B12" s="56">
        <v>11</v>
      </c>
      <c r="C12" s="56" t="s">
        <v>297</v>
      </c>
    </row>
    <row r="13" spans="2:3" x14ac:dyDescent="0.35">
      <c r="B13" s="56">
        <v>12</v>
      </c>
      <c r="C13" s="56" t="s">
        <v>298</v>
      </c>
    </row>
    <row r="14" spans="2:3" x14ac:dyDescent="0.35">
      <c r="B14" s="56">
        <v>13</v>
      </c>
      <c r="C14" s="56" t="s">
        <v>299</v>
      </c>
    </row>
    <row r="15" spans="2:3" x14ac:dyDescent="0.35">
      <c r="B15" s="56">
        <v>14</v>
      </c>
      <c r="C15" s="56" t="s">
        <v>289</v>
      </c>
    </row>
    <row r="16" spans="2:3" x14ac:dyDescent="0.35">
      <c r="B16" s="56">
        <v>15</v>
      </c>
      <c r="C16" s="56" t="s">
        <v>301</v>
      </c>
    </row>
    <row r="17" spans="2:3" ht="31.5" customHeight="1" x14ac:dyDescent="0.35">
      <c r="B17" s="61">
        <v>16</v>
      </c>
      <c r="C17" s="63" t="s">
        <v>302</v>
      </c>
    </row>
    <row r="18" spans="2:3" x14ac:dyDescent="0.35">
      <c r="B18" s="62">
        <v>17</v>
      </c>
      <c r="C18" s="63" t="s">
        <v>303</v>
      </c>
    </row>
    <row r="19" spans="2:3" x14ac:dyDescent="0.35">
      <c r="B19" s="61">
        <v>18</v>
      </c>
      <c r="C19" s="56" t="s">
        <v>304</v>
      </c>
    </row>
    <row r="20" spans="2:3" x14ac:dyDescent="0.35">
      <c r="B20" s="62">
        <v>19</v>
      </c>
      <c r="C20" s="56" t="s">
        <v>305</v>
      </c>
    </row>
    <row r="21" spans="2:3" x14ac:dyDescent="0.35">
      <c r="B21" s="56">
        <v>20</v>
      </c>
      <c r="C21" s="56" t="s">
        <v>306</v>
      </c>
    </row>
    <row r="22" spans="2:3" x14ac:dyDescent="0.35">
      <c r="B22" s="62">
        <v>21</v>
      </c>
      <c r="C22" s="56" t="s">
        <v>304</v>
      </c>
    </row>
    <row r="23" spans="2:3" s="71" customFormat="1" ht="29.25" customHeight="1" x14ac:dyDescent="0.35">
      <c r="B23" s="70">
        <v>22</v>
      </c>
      <c r="C23" s="58" t="s">
        <v>333</v>
      </c>
    </row>
    <row r="24" spans="2:3" s="71" customFormat="1" ht="30.75" customHeight="1" x14ac:dyDescent="0.35">
      <c r="B24" s="72">
        <v>23</v>
      </c>
      <c r="C24" s="58" t="s">
        <v>334</v>
      </c>
    </row>
    <row r="25" spans="2:3" x14ac:dyDescent="0.35">
      <c r="B25" s="56">
        <v>24</v>
      </c>
      <c r="C25" s="56"/>
    </row>
    <row r="26" spans="2:3" x14ac:dyDescent="0.35">
      <c r="B26" s="62">
        <v>25</v>
      </c>
      <c r="C26" s="56"/>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53"/>
    <col min="2" max="2" width="12.26953125" style="53" customWidth="1"/>
    <col min="3" max="16384" width="9.1796875" style="53"/>
  </cols>
  <sheetData>
    <row r="2" spans="1:12" x14ac:dyDescent="0.35">
      <c r="B2" s="64" t="s">
        <v>307</v>
      </c>
      <c r="C2" s="221"/>
      <c r="D2" s="221"/>
    </row>
    <row r="3" spans="1:12" x14ac:dyDescent="0.35">
      <c r="D3" s="65"/>
      <c r="E3" s="65"/>
      <c r="F3" s="65"/>
      <c r="G3" s="65"/>
      <c r="H3" s="65"/>
      <c r="I3" s="65"/>
    </row>
    <row r="4" spans="1:12" x14ac:dyDescent="0.35">
      <c r="A4" s="64" t="s">
        <v>66</v>
      </c>
      <c r="B4" s="66" t="s">
        <v>308</v>
      </c>
      <c r="C4" s="222" t="s">
        <v>309</v>
      </c>
      <c r="D4" s="222"/>
      <c r="E4" s="222"/>
      <c r="F4" s="66"/>
      <c r="G4" s="223" t="s">
        <v>310</v>
      </c>
      <c r="H4" s="223"/>
      <c r="I4" s="223"/>
      <c r="J4" s="224" t="s">
        <v>311</v>
      </c>
      <c r="K4" s="224"/>
      <c r="L4" s="224"/>
    </row>
    <row r="5" spans="1:12" x14ac:dyDescent="0.35">
      <c r="A5" s="64"/>
      <c r="B5" s="66"/>
      <c r="C5" s="66" t="s">
        <v>312</v>
      </c>
      <c r="D5" s="66" t="s">
        <v>313</v>
      </c>
      <c r="E5" s="66" t="s">
        <v>314</v>
      </c>
      <c r="F5" s="66"/>
      <c r="G5" s="66" t="s">
        <v>312</v>
      </c>
      <c r="H5" s="66" t="s">
        <v>313</v>
      </c>
      <c r="I5" s="66" t="s">
        <v>314</v>
      </c>
      <c r="J5" s="66" t="s">
        <v>312</v>
      </c>
      <c r="K5" s="66" t="s">
        <v>313</v>
      </c>
      <c r="L5" s="66" t="s">
        <v>314</v>
      </c>
    </row>
    <row r="6" spans="1:12" x14ac:dyDescent="0.35">
      <c r="B6" s="54" t="s">
        <v>315</v>
      </c>
      <c r="C6" s="54"/>
      <c r="D6" s="54"/>
      <c r="E6" s="54">
        <f>C6*D6</f>
        <v>0</v>
      </c>
      <c r="F6" s="54" t="s">
        <v>332</v>
      </c>
      <c r="G6" s="54"/>
      <c r="H6" s="54"/>
      <c r="I6" s="54">
        <f>G6*H6</f>
        <v>0</v>
      </c>
      <c r="J6" s="54"/>
      <c r="K6" s="54"/>
      <c r="L6" s="54">
        <f>J6*K6</f>
        <v>0</v>
      </c>
    </row>
    <row r="7" spans="1:12" x14ac:dyDescent="0.35">
      <c r="B7" s="54"/>
      <c r="C7" s="54"/>
      <c r="D7" s="54"/>
      <c r="E7" s="54">
        <f t="shared" ref="E7:E41" si="0">C7*D7</f>
        <v>0</v>
      </c>
      <c r="F7" s="54" t="s">
        <v>332</v>
      </c>
      <c r="G7" s="54"/>
      <c r="H7" s="54"/>
      <c r="I7" s="54">
        <f t="shared" ref="I7:I35" si="1">G7*H7</f>
        <v>0</v>
      </c>
      <c r="J7" s="54"/>
      <c r="K7" s="54"/>
      <c r="L7" s="54">
        <f t="shared" ref="L7:L35" si="2">J7*K7</f>
        <v>0</v>
      </c>
    </row>
    <row r="8" spans="1:12" x14ac:dyDescent="0.35">
      <c r="B8" s="54"/>
      <c r="C8" s="54"/>
      <c r="D8" s="54"/>
      <c r="E8" s="54">
        <f t="shared" si="0"/>
        <v>0</v>
      </c>
      <c r="F8" s="54"/>
      <c r="G8" s="54"/>
      <c r="H8" s="54"/>
      <c r="I8" s="54">
        <f t="shared" si="1"/>
        <v>0</v>
      </c>
      <c r="J8" s="54"/>
      <c r="K8" s="54"/>
      <c r="L8" s="54">
        <f t="shared" si="2"/>
        <v>0</v>
      </c>
    </row>
    <row r="9" spans="1:12" x14ac:dyDescent="0.35">
      <c r="B9" s="54"/>
      <c r="C9" s="54"/>
      <c r="D9" s="54"/>
      <c r="E9" s="54">
        <f t="shared" si="0"/>
        <v>0</v>
      </c>
      <c r="F9" s="54" t="s">
        <v>316</v>
      </c>
      <c r="G9" s="54"/>
      <c r="H9" s="54"/>
      <c r="I9" s="54">
        <f t="shared" si="1"/>
        <v>0</v>
      </c>
      <c r="J9" s="54"/>
      <c r="K9" s="54"/>
      <c r="L9" s="54">
        <f t="shared" si="2"/>
        <v>0</v>
      </c>
    </row>
    <row r="10" spans="1:12" x14ac:dyDescent="0.35">
      <c r="B10" s="54" t="s">
        <v>317</v>
      </c>
      <c r="C10" s="54"/>
      <c r="D10" s="54"/>
      <c r="E10" s="54">
        <f t="shared" si="0"/>
        <v>0</v>
      </c>
      <c r="F10" s="54" t="s">
        <v>316</v>
      </c>
      <c r="G10" s="54"/>
      <c r="H10" s="54"/>
      <c r="I10" s="54">
        <f t="shared" si="1"/>
        <v>0</v>
      </c>
      <c r="J10" s="54"/>
      <c r="K10" s="54"/>
      <c r="L10" s="54">
        <f t="shared" si="2"/>
        <v>0</v>
      </c>
    </row>
    <row r="11" spans="1:12" x14ac:dyDescent="0.35">
      <c r="B11" s="54"/>
      <c r="C11" s="54"/>
      <c r="D11" s="54"/>
      <c r="E11" s="54">
        <f t="shared" si="0"/>
        <v>0</v>
      </c>
      <c r="F11" s="54" t="s">
        <v>318</v>
      </c>
      <c r="G11" s="54"/>
      <c r="H11" s="54"/>
      <c r="I11" s="54">
        <f t="shared" si="1"/>
        <v>0</v>
      </c>
      <c r="J11" s="54"/>
      <c r="K11" s="54"/>
      <c r="L11" s="54">
        <f t="shared" si="2"/>
        <v>0</v>
      </c>
    </row>
    <row r="12" spans="1:12" x14ac:dyDescent="0.35">
      <c r="B12" s="54"/>
      <c r="C12" s="54"/>
      <c r="D12" s="54"/>
      <c r="E12" s="54">
        <f t="shared" si="0"/>
        <v>0</v>
      </c>
      <c r="F12" s="54"/>
      <c r="G12" s="54"/>
      <c r="H12" s="54"/>
      <c r="I12" s="54">
        <f t="shared" si="1"/>
        <v>0</v>
      </c>
      <c r="J12" s="54"/>
      <c r="K12" s="54"/>
      <c r="L12" s="54">
        <f t="shared" si="2"/>
        <v>0</v>
      </c>
    </row>
    <row r="13" spans="1:12" x14ac:dyDescent="0.35">
      <c r="B13" s="54"/>
      <c r="C13" s="54"/>
      <c r="D13" s="54"/>
      <c r="E13" s="54">
        <f t="shared" si="0"/>
        <v>0</v>
      </c>
      <c r="F13" s="54"/>
      <c r="G13" s="54"/>
      <c r="H13" s="54"/>
      <c r="I13" s="54">
        <f t="shared" si="1"/>
        <v>0</v>
      </c>
      <c r="J13" s="54"/>
      <c r="K13" s="54"/>
      <c r="L13" s="54">
        <f t="shared" si="2"/>
        <v>0</v>
      </c>
    </row>
    <row r="14" spans="1:12" x14ac:dyDescent="0.35">
      <c r="B14" s="54" t="s">
        <v>319</v>
      </c>
      <c r="C14" s="54"/>
      <c r="D14" s="54"/>
      <c r="E14" s="54">
        <f t="shared" si="0"/>
        <v>0</v>
      </c>
      <c r="F14" s="54" t="s">
        <v>316</v>
      </c>
      <c r="G14" s="54"/>
      <c r="H14" s="54"/>
      <c r="I14" s="54">
        <f t="shared" si="1"/>
        <v>0</v>
      </c>
      <c r="J14" s="54"/>
      <c r="K14" s="54"/>
      <c r="L14" s="54">
        <f t="shared" si="2"/>
        <v>0</v>
      </c>
    </row>
    <row r="15" spans="1:12" x14ac:dyDescent="0.35">
      <c r="B15" s="54"/>
      <c r="C15" s="54"/>
      <c r="D15" s="54"/>
      <c r="E15" s="54">
        <f t="shared" si="0"/>
        <v>0</v>
      </c>
      <c r="F15" s="54" t="s">
        <v>318</v>
      </c>
      <c r="G15" s="54"/>
      <c r="H15" s="54"/>
      <c r="I15" s="54">
        <f t="shared" si="1"/>
        <v>0</v>
      </c>
      <c r="J15" s="54"/>
      <c r="K15" s="54"/>
      <c r="L15" s="54">
        <f t="shared" si="2"/>
        <v>0</v>
      </c>
    </row>
    <row r="16" spans="1:12" x14ac:dyDescent="0.35">
      <c r="B16" s="54"/>
      <c r="C16" s="54"/>
      <c r="D16" s="54"/>
      <c r="E16" s="54">
        <f t="shared" si="0"/>
        <v>0</v>
      </c>
      <c r="F16" s="54"/>
      <c r="G16" s="54"/>
      <c r="H16" s="54"/>
      <c r="I16" s="54">
        <f t="shared" si="1"/>
        <v>0</v>
      </c>
      <c r="J16" s="54"/>
      <c r="K16" s="54"/>
      <c r="L16" s="54">
        <f t="shared" si="2"/>
        <v>0</v>
      </c>
    </row>
    <row r="17" spans="2:12" x14ac:dyDescent="0.35">
      <c r="B17" s="54"/>
      <c r="C17" s="54"/>
      <c r="D17" s="54"/>
      <c r="E17" s="54">
        <f t="shared" si="0"/>
        <v>0</v>
      </c>
      <c r="F17" s="54"/>
      <c r="G17" s="54"/>
      <c r="H17" s="54"/>
      <c r="I17" s="54">
        <f t="shared" si="1"/>
        <v>0</v>
      </c>
      <c r="J17" s="54"/>
      <c r="K17" s="54"/>
      <c r="L17" s="54">
        <f t="shared" si="2"/>
        <v>0</v>
      </c>
    </row>
    <row r="18" spans="2:12" x14ac:dyDescent="0.35">
      <c r="B18" s="54" t="s">
        <v>320</v>
      </c>
      <c r="C18" s="54"/>
      <c r="D18" s="54"/>
      <c r="E18" s="54">
        <f t="shared" si="0"/>
        <v>0</v>
      </c>
      <c r="F18" s="54" t="s">
        <v>316</v>
      </c>
      <c r="G18" s="54"/>
      <c r="H18" s="54"/>
      <c r="I18" s="54">
        <f t="shared" si="1"/>
        <v>0</v>
      </c>
      <c r="J18" s="54"/>
      <c r="K18" s="54"/>
      <c r="L18" s="54">
        <f t="shared" si="2"/>
        <v>0</v>
      </c>
    </row>
    <row r="19" spans="2:12" x14ac:dyDescent="0.35">
      <c r="B19" s="54"/>
      <c r="C19" s="54"/>
      <c r="D19" s="54"/>
      <c r="E19" s="54">
        <f t="shared" si="0"/>
        <v>0</v>
      </c>
      <c r="F19" s="54" t="s">
        <v>318</v>
      </c>
      <c r="G19" s="54"/>
      <c r="H19" s="54"/>
      <c r="I19" s="54">
        <f t="shared" si="1"/>
        <v>0</v>
      </c>
      <c r="J19" s="54"/>
      <c r="K19" s="54"/>
      <c r="L19" s="54">
        <f t="shared" si="2"/>
        <v>0</v>
      </c>
    </row>
    <row r="20" spans="2:12" x14ac:dyDescent="0.35">
      <c r="B20" s="54"/>
      <c r="C20" s="54"/>
      <c r="D20" s="54"/>
      <c r="E20" s="54">
        <f t="shared" si="0"/>
        <v>0</v>
      </c>
      <c r="F20" s="54"/>
      <c r="G20" s="54"/>
      <c r="H20" s="54"/>
      <c r="I20" s="54">
        <f t="shared" si="1"/>
        <v>0</v>
      </c>
      <c r="J20" s="54"/>
      <c r="K20" s="54"/>
      <c r="L20" s="54">
        <f t="shared" si="2"/>
        <v>0</v>
      </c>
    </row>
    <row r="21" spans="2:12" x14ac:dyDescent="0.35">
      <c r="B21" s="54" t="s">
        <v>321</v>
      </c>
      <c r="C21" s="54"/>
      <c r="D21" s="54"/>
      <c r="E21" s="54">
        <f t="shared" si="0"/>
        <v>0</v>
      </c>
      <c r="F21" s="54" t="s">
        <v>316</v>
      </c>
      <c r="G21" s="54"/>
      <c r="H21" s="54"/>
      <c r="I21" s="54">
        <f t="shared" si="1"/>
        <v>0</v>
      </c>
      <c r="J21" s="54"/>
      <c r="K21" s="54"/>
      <c r="L21" s="54">
        <f t="shared" si="2"/>
        <v>0</v>
      </c>
    </row>
    <row r="22" spans="2:12" x14ac:dyDescent="0.35">
      <c r="B22" s="54"/>
      <c r="C22" s="54"/>
      <c r="D22" s="54"/>
      <c r="E22" s="54">
        <f t="shared" si="0"/>
        <v>0</v>
      </c>
      <c r="F22" s="54" t="s">
        <v>318</v>
      </c>
      <c r="G22" s="54"/>
      <c r="H22" s="54"/>
      <c r="I22" s="54">
        <f t="shared" si="1"/>
        <v>0</v>
      </c>
      <c r="J22" s="54"/>
      <c r="K22" s="54"/>
      <c r="L22" s="54">
        <f t="shared" si="2"/>
        <v>0</v>
      </c>
    </row>
    <row r="23" spans="2:12" x14ac:dyDescent="0.35">
      <c r="B23" s="54"/>
      <c r="C23" s="54"/>
      <c r="D23" s="54"/>
      <c r="E23" s="54">
        <f t="shared" si="0"/>
        <v>0</v>
      </c>
      <c r="F23" s="54"/>
      <c r="G23" s="54"/>
      <c r="H23" s="54"/>
      <c r="I23" s="54">
        <f t="shared" si="1"/>
        <v>0</v>
      </c>
      <c r="J23" s="54"/>
      <c r="K23" s="54"/>
      <c r="L23" s="54">
        <f t="shared" si="2"/>
        <v>0</v>
      </c>
    </row>
    <row r="24" spans="2:12" x14ac:dyDescent="0.35">
      <c r="B24" s="54" t="s">
        <v>322</v>
      </c>
      <c r="C24" s="54"/>
      <c r="D24" s="54"/>
      <c r="E24" s="54">
        <f t="shared" si="0"/>
        <v>0</v>
      </c>
      <c r="F24" s="54" t="s">
        <v>323</v>
      </c>
      <c r="G24" s="54"/>
      <c r="H24" s="54"/>
      <c r="I24" s="54">
        <f t="shared" si="1"/>
        <v>0</v>
      </c>
      <c r="J24" s="54"/>
      <c r="K24" s="54"/>
      <c r="L24" s="54">
        <f t="shared" si="2"/>
        <v>0</v>
      </c>
    </row>
    <row r="25" spans="2:12" x14ac:dyDescent="0.35">
      <c r="B25" s="54"/>
      <c r="C25" s="54"/>
      <c r="D25" s="54"/>
      <c r="E25" s="54">
        <f t="shared" ref="E25:E27" si="3">C25*D25</f>
        <v>0</v>
      </c>
      <c r="F25" s="54" t="s">
        <v>323</v>
      </c>
      <c r="G25" s="54"/>
      <c r="H25" s="54"/>
      <c r="I25" s="54">
        <f t="shared" ref="I25:I27" si="4">G25*H25</f>
        <v>0</v>
      </c>
      <c r="J25" s="54"/>
      <c r="K25" s="54"/>
      <c r="L25" s="54">
        <f t="shared" ref="L25:L27" si="5">J25*K25</f>
        <v>0</v>
      </c>
    </row>
    <row r="26" spans="2:12" x14ac:dyDescent="0.35">
      <c r="B26" s="54"/>
      <c r="C26" s="54"/>
      <c r="D26" s="54"/>
      <c r="E26" s="54">
        <f t="shared" si="3"/>
        <v>0</v>
      </c>
      <c r="F26" s="54" t="s">
        <v>323</v>
      </c>
      <c r="G26" s="54"/>
      <c r="H26" s="54"/>
      <c r="I26" s="54">
        <f t="shared" si="4"/>
        <v>0</v>
      </c>
      <c r="J26" s="54"/>
      <c r="K26" s="54"/>
      <c r="L26" s="54">
        <f t="shared" si="5"/>
        <v>0</v>
      </c>
    </row>
    <row r="27" spans="2:12" x14ac:dyDescent="0.35">
      <c r="B27" s="54"/>
      <c r="C27" s="54"/>
      <c r="D27" s="54"/>
      <c r="E27" s="54">
        <f t="shared" si="3"/>
        <v>0</v>
      </c>
      <c r="F27" s="54" t="s">
        <v>323</v>
      </c>
      <c r="G27" s="54"/>
      <c r="H27" s="54"/>
      <c r="I27" s="54">
        <f t="shared" si="4"/>
        <v>0</v>
      </c>
      <c r="J27" s="54"/>
      <c r="K27" s="54"/>
      <c r="L27" s="54">
        <f t="shared" si="5"/>
        <v>0</v>
      </c>
    </row>
    <row r="28" spans="2:12" x14ac:dyDescent="0.35">
      <c r="B28" s="54" t="s">
        <v>324</v>
      </c>
      <c r="C28" s="54"/>
      <c r="D28" s="54"/>
      <c r="E28" s="54">
        <f t="shared" si="0"/>
        <v>0</v>
      </c>
      <c r="F28" s="54" t="s">
        <v>323</v>
      </c>
      <c r="G28" s="54"/>
      <c r="H28" s="54"/>
      <c r="I28" s="54">
        <f t="shared" si="1"/>
        <v>0</v>
      </c>
      <c r="J28" s="54"/>
      <c r="K28" s="54"/>
      <c r="L28" s="54">
        <f t="shared" si="2"/>
        <v>0</v>
      </c>
    </row>
    <row r="29" spans="2:12" x14ac:dyDescent="0.35">
      <c r="B29" s="54" t="s">
        <v>325</v>
      </c>
      <c r="C29" s="54"/>
      <c r="D29" s="54"/>
      <c r="E29" s="54">
        <f t="shared" si="0"/>
        <v>0</v>
      </c>
      <c r="F29" s="54" t="s">
        <v>323</v>
      </c>
      <c r="G29" s="54"/>
      <c r="H29" s="54"/>
      <c r="I29" s="54">
        <f t="shared" si="1"/>
        <v>0</v>
      </c>
      <c r="J29" s="54"/>
      <c r="K29" s="54"/>
      <c r="L29" s="54">
        <f t="shared" si="2"/>
        <v>0</v>
      </c>
    </row>
    <row r="30" spans="2:12" x14ac:dyDescent="0.35">
      <c r="B30" s="54" t="s">
        <v>329</v>
      </c>
      <c r="C30" s="54"/>
      <c r="D30" s="54"/>
      <c r="E30" s="54">
        <f t="shared" si="0"/>
        <v>0</v>
      </c>
      <c r="F30" s="54"/>
      <c r="G30" s="54"/>
      <c r="H30" s="54"/>
      <c r="I30" s="54">
        <f t="shared" si="1"/>
        <v>0</v>
      </c>
      <c r="J30" s="54"/>
      <c r="K30" s="54"/>
      <c r="L30" s="54">
        <f t="shared" si="2"/>
        <v>0</v>
      </c>
    </row>
    <row r="31" spans="2:12" x14ac:dyDescent="0.35">
      <c r="B31" s="54"/>
      <c r="C31" s="54"/>
      <c r="D31" s="54"/>
      <c r="E31" s="54">
        <f t="shared" ref="E31:E32" si="6">C31*D31</f>
        <v>0</v>
      </c>
      <c r="F31" s="54"/>
      <c r="G31" s="54"/>
      <c r="H31" s="54"/>
      <c r="I31" s="54">
        <f t="shared" ref="I31:I32" si="7">G31*H31</f>
        <v>0</v>
      </c>
      <c r="J31" s="54"/>
      <c r="K31" s="54"/>
      <c r="L31" s="54">
        <f t="shared" ref="L31:L32" si="8">J31*K31</f>
        <v>0</v>
      </c>
    </row>
    <row r="32" spans="2:12" x14ac:dyDescent="0.35">
      <c r="B32" s="54"/>
      <c r="C32" s="54"/>
      <c r="D32" s="54"/>
      <c r="E32" s="54">
        <f t="shared" si="6"/>
        <v>0</v>
      </c>
      <c r="F32" s="54"/>
      <c r="G32" s="54"/>
      <c r="H32" s="54"/>
      <c r="I32" s="54">
        <f t="shared" si="7"/>
        <v>0</v>
      </c>
      <c r="J32" s="54"/>
      <c r="K32" s="54"/>
      <c r="L32" s="54">
        <f t="shared" si="8"/>
        <v>0</v>
      </c>
    </row>
    <row r="33" spans="2:12" x14ac:dyDescent="0.35">
      <c r="B33" s="54" t="s">
        <v>326</v>
      </c>
      <c r="C33" s="54"/>
      <c r="D33" s="54"/>
      <c r="E33" s="54">
        <f t="shared" si="0"/>
        <v>0</v>
      </c>
      <c r="F33" s="54"/>
      <c r="G33" s="54"/>
      <c r="H33" s="54"/>
      <c r="I33" s="54">
        <f t="shared" si="1"/>
        <v>0</v>
      </c>
      <c r="J33" s="54"/>
      <c r="K33" s="54"/>
      <c r="L33" s="54">
        <f t="shared" si="2"/>
        <v>0</v>
      </c>
    </row>
    <row r="34" spans="2:12" x14ac:dyDescent="0.35">
      <c r="B34" s="54" t="s">
        <v>330</v>
      </c>
      <c r="C34" s="54"/>
      <c r="D34" s="54"/>
      <c r="E34" s="54">
        <f t="shared" si="0"/>
        <v>0</v>
      </c>
      <c r="F34" s="54"/>
      <c r="G34" s="54"/>
      <c r="H34" s="54"/>
      <c r="I34" s="54">
        <f t="shared" si="1"/>
        <v>0</v>
      </c>
      <c r="J34" s="54"/>
      <c r="K34" s="54"/>
      <c r="L34" s="54">
        <f t="shared" si="2"/>
        <v>0</v>
      </c>
    </row>
    <row r="35" spans="2:12" x14ac:dyDescent="0.35">
      <c r="B35" s="54" t="s">
        <v>327</v>
      </c>
      <c r="C35" s="54"/>
      <c r="D35" s="54"/>
      <c r="E35" s="54">
        <f t="shared" si="0"/>
        <v>0</v>
      </c>
      <c r="F35" s="54"/>
      <c r="G35" s="54"/>
      <c r="H35" s="54"/>
      <c r="I35" s="54">
        <f t="shared" si="1"/>
        <v>0</v>
      </c>
      <c r="J35" s="54"/>
      <c r="K35" s="54"/>
      <c r="L35" s="54">
        <f t="shared" si="2"/>
        <v>0</v>
      </c>
    </row>
    <row r="36" spans="2:12" x14ac:dyDescent="0.35">
      <c r="B36" s="54" t="s">
        <v>328</v>
      </c>
      <c r="C36" s="54"/>
      <c r="D36" s="54"/>
      <c r="E36" s="54">
        <f t="shared" si="0"/>
        <v>0</v>
      </c>
      <c r="F36" s="54"/>
      <c r="G36" s="54"/>
      <c r="H36" s="54"/>
      <c r="I36" s="54">
        <f>G36*H36</f>
        <v>0</v>
      </c>
      <c r="J36" s="54"/>
      <c r="K36" s="54"/>
      <c r="L36" s="54">
        <f>J36*K36</f>
        <v>0</v>
      </c>
    </row>
    <row r="37" spans="2:12" x14ac:dyDescent="0.35">
      <c r="B37" s="54"/>
      <c r="C37" s="54"/>
      <c r="D37" s="54"/>
      <c r="E37" s="54">
        <f t="shared" ref="E37:E38" si="9">C37*D37</f>
        <v>0</v>
      </c>
      <c r="F37" s="54"/>
      <c r="G37" s="54"/>
      <c r="H37" s="54"/>
      <c r="I37" s="54">
        <f t="shared" ref="I37:I38" si="10">G37*H37</f>
        <v>0</v>
      </c>
      <c r="J37" s="54"/>
      <c r="K37" s="54"/>
      <c r="L37" s="54">
        <f t="shared" ref="L37:L38" si="11">J37*K37</f>
        <v>0</v>
      </c>
    </row>
    <row r="38" spans="2:12" x14ac:dyDescent="0.35">
      <c r="B38" s="54" t="s">
        <v>331</v>
      </c>
      <c r="C38" s="54"/>
      <c r="D38" s="54"/>
      <c r="E38" s="54">
        <f t="shared" si="9"/>
        <v>0</v>
      </c>
      <c r="F38" s="54"/>
      <c r="G38" s="54"/>
      <c r="H38" s="54"/>
      <c r="I38" s="54">
        <f t="shared" si="10"/>
        <v>0</v>
      </c>
      <c r="J38" s="54"/>
      <c r="K38" s="54"/>
      <c r="L38" s="54">
        <f t="shared" si="11"/>
        <v>0</v>
      </c>
    </row>
    <row r="39" spans="2:12" x14ac:dyDescent="0.35">
      <c r="B39" s="54"/>
      <c r="C39" s="54"/>
      <c r="D39" s="54"/>
      <c r="E39" s="54">
        <f t="shared" si="0"/>
        <v>0</v>
      </c>
      <c r="F39" s="54"/>
      <c r="G39" s="54"/>
      <c r="H39" s="54"/>
      <c r="I39" s="54">
        <f>G39*H39</f>
        <v>0</v>
      </c>
      <c r="J39" s="54"/>
      <c r="K39" s="54"/>
      <c r="L39" s="54">
        <f>J39*K39</f>
        <v>0</v>
      </c>
    </row>
    <row r="40" spans="2:12" x14ac:dyDescent="0.35">
      <c r="B40" s="54"/>
      <c r="C40" s="54"/>
      <c r="D40" s="54"/>
      <c r="E40" s="54">
        <f t="shared" si="0"/>
        <v>0</v>
      </c>
      <c r="F40" s="54"/>
      <c r="G40" s="54"/>
      <c r="H40" s="54"/>
      <c r="I40" s="54">
        <f>G40*H40</f>
        <v>0</v>
      </c>
      <c r="J40" s="54"/>
      <c r="K40" s="54"/>
      <c r="L40" s="54">
        <f>J40*K40</f>
        <v>0</v>
      </c>
    </row>
    <row r="41" spans="2:12" x14ac:dyDescent="0.35">
      <c r="B41" s="54"/>
      <c r="C41" s="54"/>
      <c r="D41" s="54"/>
      <c r="E41" s="54">
        <f t="shared" si="0"/>
        <v>0</v>
      </c>
      <c r="F41" s="54"/>
      <c r="G41" s="54"/>
      <c r="H41" s="54"/>
      <c r="I41" s="54">
        <f>G41*H41</f>
        <v>0</v>
      </c>
      <c r="J41" s="54"/>
      <c r="K41" s="54"/>
      <c r="L41" s="54">
        <f>J41*K41</f>
        <v>0</v>
      </c>
    </row>
    <row r="42" spans="2:12" x14ac:dyDescent="0.35">
      <c r="B42" s="54" t="s">
        <v>152</v>
      </c>
      <c r="C42" s="54"/>
      <c r="D42" s="54">
        <f>E42*10.764</f>
        <v>0</v>
      </c>
      <c r="E42" s="69">
        <f>SUM(E6:E41)</f>
        <v>0</v>
      </c>
      <c r="F42" s="54"/>
      <c r="G42" s="54"/>
      <c r="H42" s="54">
        <f>I42*10.764</f>
        <v>0</v>
      </c>
      <c r="I42" s="68">
        <f>SUM(I6:I41)</f>
        <v>0</v>
      </c>
      <c r="J42" s="54"/>
      <c r="K42" s="54">
        <f>L42*10.764</f>
        <v>0</v>
      </c>
      <c r="L42" s="67">
        <f>SUM(L6:L41)</f>
        <v>0</v>
      </c>
    </row>
    <row r="44" spans="2:12" x14ac:dyDescent="0.35">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2024-07-31T12:16:01Z</cp:lastPrinted>
  <dcterms:created xsi:type="dcterms:W3CDTF">2019-07-16T09:29:46Z</dcterms:created>
  <dcterms:modified xsi:type="dcterms:W3CDTF">2025-08-23T07:03:10Z</dcterms:modified>
</cp:coreProperties>
</file>