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13-08-2025\"/>
    </mc:Choice>
  </mc:AlternateContent>
  <bookViews>
    <workbookView xWindow="0" yWindow="0" windowWidth="11480" windowHeight="597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5" i="1" l="1"/>
  <c r="D174" i="1"/>
  <c r="F174" i="1" s="1"/>
  <c r="H174" i="1" s="1"/>
  <c r="D173" i="1"/>
  <c r="D172" i="1"/>
  <c r="F172" i="1" s="1"/>
  <c r="H172" i="1" s="1"/>
  <c r="D171" i="1"/>
  <c r="F171" i="1" s="1"/>
  <c r="H171" i="1" s="1"/>
  <c r="J171" i="1" s="1"/>
  <c r="D169" i="1"/>
  <c r="D168" i="1"/>
  <c r="F168" i="1" s="1"/>
  <c r="H168" i="1" s="1"/>
  <c r="D167" i="1"/>
  <c r="F167" i="1" s="1"/>
  <c r="H167" i="1" s="1"/>
  <c r="D165" i="1"/>
  <c r="F165" i="1" s="1"/>
  <c r="H165" i="1" s="1"/>
  <c r="D164" i="1"/>
  <c r="F164" i="1" s="1"/>
  <c r="H164" i="1" s="1"/>
  <c r="J164" i="1" s="1"/>
  <c r="D163" i="1"/>
  <c r="F163" i="1" s="1"/>
  <c r="H163" i="1" s="1"/>
  <c r="D162" i="1"/>
  <c r="F162" i="1" s="1"/>
  <c r="H162" i="1" s="1"/>
  <c r="D161" i="1"/>
  <c r="D160" i="1"/>
  <c r="D159" i="1"/>
  <c r="D158" i="1"/>
  <c r="I171" i="1"/>
  <c r="F183" i="1"/>
  <c r="H183" i="1" s="1"/>
  <c r="F182" i="1"/>
  <c r="H182" i="1" s="1"/>
  <c r="F181" i="1"/>
  <c r="H181" i="1" s="1"/>
  <c r="F180" i="1"/>
  <c r="H180" i="1" s="1"/>
  <c r="F179" i="1"/>
  <c r="H179" i="1" s="1"/>
  <c r="F178" i="1"/>
  <c r="H178" i="1" s="1"/>
  <c r="F177" i="1"/>
  <c r="H177" i="1" s="1"/>
  <c r="A177" i="1"/>
  <c r="A178" i="1" s="1"/>
  <c r="A179" i="1" s="1"/>
  <c r="A180" i="1" s="1"/>
  <c r="A181" i="1" s="1"/>
  <c r="A182" i="1" s="1"/>
  <c r="A183" i="1" s="1"/>
  <c r="F176" i="1"/>
  <c r="H176" i="1" s="1"/>
  <c r="I159" i="1"/>
  <c r="I161" i="1"/>
  <c r="I164" i="1"/>
  <c r="F173" i="1"/>
  <c r="H173" i="1" s="1"/>
  <c r="F169" i="1"/>
  <c r="H169" i="1" s="1"/>
  <c r="A168" i="1"/>
  <c r="A169" i="1" s="1"/>
  <c r="A170" i="1" s="1"/>
  <c r="A171" i="1" s="1"/>
  <c r="A172" i="1" s="1"/>
  <c r="A173" i="1" s="1"/>
  <c r="A174" i="1" s="1"/>
  <c r="D151" i="1"/>
  <c r="F151" i="1" s="1"/>
  <c r="H151" i="1" s="1"/>
  <c r="D150" i="1"/>
  <c r="F150" i="1" s="1"/>
  <c r="H150" i="1" s="1"/>
  <c r="D149" i="1"/>
  <c r="D148" i="1"/>
  <c r="D147" i="1"/>
  <c r="D146" i="1"/>
  <c r="C132" i="1" s="1"/>
  <c r="C134" i="1" s="1"/>
  <c r="I147" i="1"/>
  <c r="I149" i="1"/>
  <c r="I146" i="1"/>
  <c r="E43" i="1"/>
  <c r="C137" i="1" l="1"/>
  <c r="C139" i="1" s="1"/>
  <c r="F146" i="1"/>
  <c r="F158" i="1"/>
  <c r="H158" i="1" l="1"/>
  <c r="J159"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E42" i="7"/>
  <c r="D42" i="7" s="1"/>
  <c r="D44" i="7" s="1"/>
  <c r="I42" i="7"/>
  <c r="H42" i="7" s="1"/>
  <c r="E44" i="7" l="1"/>
  <c r="E31" i="1"/>
  <c r="B210" i="1" l="1"/>
  <c r="F147" i="1" l="1"/>
  <c r="F148" i="1"/>
  <c r="H148" i="1" s="1"/>
  <c r="F149" i="1"/>
  <c r="H149" i="1" s="1"/>
  <c r="H146" i="1"/>
  <c r="H147" i="1" l="1"/>
  <c r="G132" i="1" s="1"/>
  <c r="G134" i="1" s="1"/>
  <c r="E132" i="1"/>
  <c r="E134" i="1" s="1"/>
  <c r="G58" i="1"/>
  <c r="C58" i="1"/>
  <c r="G56" i="1"/>
  <c r="C56" i="1"/>
  <c r="S33" i="1" l="1"/>
  <c r="F11" i="5" l="1"/>
  <c r="G11" i="5" s="1"/>
  <c r="F10" i="5"/>
  <c r="G10" i="5" s="1"/>
  <c r="F9" i="5"/>
  <c r="G9" i="5" s="1"/>
  <c r="G8" i="5"/>
  <c r="F8" i="5"/>
  <c r="F7" i="5"/>
  <c r="G7" i="5" s="1"/>
  <c r="G6" i="5"/>
  <c r="F6" i="5"/>
  <c r="F5" i="5"/>
  <c r="G5" i="5" s="1"/>
  <c r="G12" i="5" s="1"/>
  <c r="D235" i="1"/>
  <c r="B211" i="1"/>
  <c r="F207" i="1"/>
  <c r="H207" i="1" s="1"/>
  <c r="F206" i="1"/>
  <c r="H206" i="1" s="1"/>
  <c r="F205" i="1"/>
  <c r="H205" i="1" s="1"/>
  <c r="F204" i="1"/>
  <c r="H204" i="1" s="1"/>
  <c r="F203" i="1"/>
  <c r="H203" i="1" s="1"/>
  <c r="F201" i="1"/>
  <c r="H201" i="1" s="1"/>
  <c r="F200" i="1"/>
  <c r="H200" i="1" s="1"/>
  <c r="F199" i="1"/>
  <c r="H199" i="1" s="1"/>
  <c r="F198" i="1"/>
  <c r="H198" i="1" s="1"/>
  <c r="F197" i="1"/>
  <c r="H197" i="1" s="1"/>
  <c r="F195" i="1"/>
  <c r="H195" i="1" s="1"/>
  <c r="F194" i="1"/>
  <c r="H194" i="1" s="1"/>
  <c r="F193" i="1"/>
  <c r="H193" i="1" s="1"/>
  <c r="F192" i="1"/>
  <c r="H192" i="1" s="1"/>
  <c r="F191" i="1"/>
  <c r="H191" i="1" s="1"/>
  <c r="F189" i="1"/>
  <c r="H189" i="1" s="1"/>
  <c r="F188" i="1"/>
  <c r="H188" i="1" s="1"/>
  <c r="F187" i="1"/>
  <c r="H187" i="1" s="1"/>
  <c r="F186" i="1"/>
  <c r="H186" i="1" s="1"/>
  <c r="F185" i="1"/>
  <c r="H185" i="1" s="1"/>
  <c r="A185" i="1"/>
  <c r="A186" i="1" s="1"/>
  <c r="A187" i="1" s="1"/>
  <c r="A188" i="1" s="1"/>
  <c r="A189" i="1" s="1"/>
  <c r="F161" i="1"/>
  <c r="H161" i="1" s="1"/>
  <c r="F160" i="1"/>
  <c r="H160" i="1" s="1"/>
  <c r="J160" i="1" s="1"/>
  <c r="F159" i="1"/>
  <c r="A159" i="1"/>
  <c r="A160" i="1" s="1"/>
  <c r="A161" i="1" s="1"/>
  <c r="A162" i="1" s="1"/>
  <c r="A163" i="1" s="1"/>
  <c r="A164" i="1" s="1"/>
  <c r="A165" i="1" s="1"/>
  <c r="A147" i="1"/>
  <c r="A148" i="1" s="1"/>
  <c r="A149" i="1" s="1"/>
  <c r="A150" i="1" s="1"/>
  <c r="A151" i="1" s="1"/>
  <c r="C140" i="1"/>
  <c r="F129" i="1"/>
  <c r="C103" i="1"/>
  <c r="C89" i="1"/>
  <c r="C75" i="1"/>
  <c r="D69" i="1"/>
  <c r="C51" i="1"/>
  <c r="C52" i="1" s="1"/>
  <c r="E44" i="1"/>
  <c r="E45" i="1" s="1"/>
  <c r="E28" i="1"/>
  <c r="E26" i="1"/>
  <c r="C16" i="1"/>
  <c r="I15" i="1"/>
  <c r="Z13" i="1"/>
  <c r="E8" i="1"/>
  <c r="E3" i="1"/>
  <c r="A203" i="1"/>
  <c r="H104" i="1"/>
  <c r="H76" i="1"/>
  <c r="A191" i="1"/>
  <c r="H90" i="1"/>
  <c r="A197" i="1"/>
  <c r="H159" i="1" l="1"/>
  <c r="E137" i="1"/>
  <c r="E139" i="1" s="1"/>
  <c r="E140" i="1" s="1"/>
  <c r="G137" i="1"/>
  <c r="G139" i="1" s="1"/>
  <c r="G140" i="1" s="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204" i="1"/>
  <c r="A192" i="1"/>
  <c r="A198" i="1"/>
  <c r="C93" i="1" l="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A199" i="1"/>
  <c r="A193" i="1"/>
  <c r="A205" i="1"/>
  <c r="G93" i="1" l="1"/>
  <c r="J76" i="1"/>
  <c r="J101" i="1"/>
  <c r="J102" i="1" s="1"/>
  <c r="J90" i="1" s="1"/>
  <c r="I89" i="1" s="1"/>
  <c r="C91" i="1" s="1"/>
  <c r="D108" i="1"/>
  <c r="I104" i="1" s="1"/>
  <c r="J104" i="1"/>
  <c r="G107" i="1"/>
  <c r="E79" i="1"/>
  <c r="D80" i="1"/>
  <c r="I76" i="1" s="1"/>
  <c r="G79" i="1"/>
  <c r="D73" i="1" s="1"/>
  <c r="A206" i="1"/>
  <c r="A194" i="1"/>
  <c r="A200" i="1"/>
  <c r="F74" i="1" l="1"/>
  <c r="D74" i="1"/>
  <c r="I105" i="1"/>
  <c r="I103" i="1" s="1"/>
  <c r="C105" i="1" s="1"/>
  <c r="I77" i="1"/>
  <c r="I75" i="1" s="1"/>
  <c r="C77" i="1" s="1"/>
  <c r="A207" i="1"/>
  <c r="A195" i="1"/>
  <c r="A201"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<sst xmlns="http://schemas.openxmlformats.org/spreadsheetml/2006/main" count="687" uniqueCount="393">
  <si>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</si>
  <si>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</si>
  <si>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</si>
  <si>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</si>
  <si>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</si>
  <si>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</si>
  <si>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</si>
  <si>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</si>
  <si>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</si>
  <si>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</si>
  <si>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</si>
  <si>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</si>
  <si>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</si>
  <si>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</si>
  <si>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</si>
  <si>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</si>
  <si>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</si>
  <si>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</si>
  <si>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</si>
  <si>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</si>
  <si>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</si>
  <si>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</si>
  <si>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</si>
  <si>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</si>
  <si>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</si>
  <si>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</si>
  <si>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</si>
  <si>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</si>
  <si>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</si>
  <si>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</si>
  <si>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</si>
  <si>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</si>
  <si>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</si>
  <si>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</si>
  <si>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</si>
  <si>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</si>
  <si>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</si>
  <si>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</si>
  <si>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</si>
  <si>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</si>
  <si>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</si>
  <si>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</si>
  <si>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</si>
  <si>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</si>
  <si>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</si>
  <si>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</si>
  <si>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</si>
  <si>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</si>
  <si>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</si>
  <si>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</si>
  <si>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</si>
  <si>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</si>
  <si>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</si>
  <si>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</si>
  <si>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</si>
  <si>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</si>
  <si>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</si>
  <si>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</si>
  <si>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</si>
  <si>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</si>
  <si>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</si>
  <si>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</si>
  <si>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</si>
  <si>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</si>
  <si>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</si>
  <si>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</si>
  <si>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</si>
  <si>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</si>
  <si>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</si>
  <si>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</si>
  <si>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</si>
  <si>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</si>
  <si>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</si>
  <si>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</si>
  <si>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</si>
  <si>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</si>
  <si>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</si>
  <si>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</si>
  <si>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</si>
  <si>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</si>
  <si>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</si>
  <si>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</si>
  <si>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</si>
  <si>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</si>
  <si>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</si>
  <si>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</si>
  <si>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</si>
  <si>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</si>
  <si>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</si>
  <si>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</si>
  <si>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</si>
  <si>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</si>
  <si>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</si>
  <si>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</si>
  <si>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</si>
  <si>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</si>
  <si>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</si>
  <si>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</si>
  <si>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</si>
  <si>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</si>
  <si>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</si>
  <si>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</si>
  <si>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</si>
  <si>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</si>
  <si>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</si>
  <si>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</si>
  <si>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</si>
  <si>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</si>
  <si>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</si>
  <si>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</si>
  <si>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</si>
  <si>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</si>
  <si>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</si>
  <si>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</si>
  <si>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</si>
  <si>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</si>
  <si>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</si>
  <si>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</si>
  <si>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</si>
  <si>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</si>
  <si>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</si>
  <si>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</si>
  <si>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</si>
  <si>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</si>
  <si>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</si>
  <si>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</si>
  <si>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</si>
  <si>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</si>
  <si>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</si>
  <si>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</si>
  <si>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</si>
  <si>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</si>
  <si>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</si>
  <si>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</si>
  <si>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</si>
  <si>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</si>
  <si>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</si>
  <si>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</si>
  <si>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</si>
  <si>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</si>
  <si>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</si>
  <si>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</si>
  <si>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</si>
  <si>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</si>
  <si>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</si>
  <si>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</si>
  <si>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</si>
  <si>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</si>
  <si>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</si>
  <si>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</si>
  <si>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</si>
  <si>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</si>
  <si>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</si>
  <si>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</si>
  <si>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</si>
  <si>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</si>
  <si>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</si>
  <si>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</si>
  <si>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</si>
  <si>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</si>
  <si>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</si>
  <si>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</si>
  <si>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</si>
  <si>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</si>
  <si>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</si>
  <si>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</si>
  <si>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</si>
  <si>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</si>
  <si>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</si>
  <si>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</si>
  <si>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</si>
  <si>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</si>
  <si>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</si>
  <si>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</si>
  <si>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</si>
  <si>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</si>
  <si>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</si>
  <si>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</si>
  <si>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</si>
  <si>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</si>
  <si>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</si>
  <si>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</si>
  <si>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</si>
  <si>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</si>
  <si>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</si>
  <si>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</si>
  <si>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</si>
  <si>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</si>
  <si>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</si>
  <si>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</si>
  <si>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</si>
  <si>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</si>
  <si>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</si>
  <si>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</si>
  <si>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</si>
  <si>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</si>
  <si>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</si>
  <si>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</si>
  <si>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</si>
  <si>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</si>
  <si>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</si>
  <si>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</si>
  <si>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</si>
  <si>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</si>
  <si>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</si>
  <si>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</si>
  <si>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</si>
  <si>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</si>
  <si>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</si>
  <si>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</si>
  <si>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</si>
  <si>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</si>
  <si>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</si>
  <si>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</si>
  <si>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</si>
  <si>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</si>
  <si>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</si>
  <si>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</si>
  <si>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</si>
  <si>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</si>
  <si>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</si>
  <si>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</si>
  <si>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</si>
  <si>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</si>
  <si>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</si>
  <si>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</si>
  <si>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</si>
  <si>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</si>
  <si>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</si>
  <si>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</si>
  <si>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</si>
  <si>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</si>
  <si>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</si>
  <si>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</si>
  <si>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</si>
  <si>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</si>
  <si>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</si>
  <si>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</si>
  <si>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</si>
  <si>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</si>
  <si>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</si>
  <si>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</si>
  <si>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</si>
  <si>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</si>
  <si>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</si>
  <si>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</si>
  <si>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</si>
  <si>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</si>
  <si>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</si>
  <si>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</si>
  <si>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</si>
  <si>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</si>
  <si>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</si>
  <si>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</si>
  <si>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</si>
  <si>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</si>
  <si>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</si>
  <si>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</si>
  <si>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</si>
  <si>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</si>
  <si>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</si>
  <si>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</si>
  <si>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</si>
  <si>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</si>
  <si>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</si>
  <si>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</si>
  <si>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</si>
  <si>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</si>
  <si>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</si>
  <si>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</si>
  <si>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</si>
  <si>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</si>
  <si>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</si>
  <si>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</si>
  <si>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</si>
  <si>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</si>
  <si>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</si>
  <si>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</si>
  <si>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</si>
  <si>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</si>
  <si>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</si>
  <si>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</si>
  <si>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</si>
  <si>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</si>
  <si>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</si>
  <si>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</si>
  <si>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</si>
  <si>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</si>
  <si>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</si>
  <si>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</si>
  <si>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</si>
  <si>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</si>
  <si>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</si>
  <si>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</si>
  <si>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</si>
  <si>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</si>
  <si>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</si>
  <si>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</si>
  <si>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</si>
  <si>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</si>
  <si>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</si>
  <si>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</si>
  <si>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</si>
  <si>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</si>
  <si>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</si>
  <si>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</si>
  <si>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</si>
  <si>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</si>
  <si>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</si>
  <si>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</si>
  <si>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</si>
  <si>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</si>
  <si>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</si>
  <si>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</si>
  <si>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</si>
  <si>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</si>
  <si>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</si>
  <si>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</si>
  <si>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</si>
  <si>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</si>
  <si>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</si>
  <si>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</si>
  <si>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</si>
  <si>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</si>
  <si>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</si>
  <si>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</si>
  <si>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</si>
  <si>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</si>
  <si>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</si>
  <si>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</si>
  <si>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</si>
  <si>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</si>
  <si>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</si>
  <si>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</si>
  <si>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</si>
  <si>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</si>
  <si>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</si>
  <si>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</si>
  <si>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P51700056323</t>
  </si>
  <si>
    <t>Walchand Avenue</t>
  </si>
  <si>
    <t>Building No.1</t>
  </si>
  <si>
    <t>Survey No</t>
  </si>
  <si>
    <t>272(OLD) 84(NEW), H No.3(pt), 4</t>
  </si>
  <si>
    <t>Navghar</t>
  </si>
  <si>
    <t>Mira Bhayander Municipal Corporation</t>
  </si>
  <si>
    <t>MBMC/B/2024/APL/00197</t>
  </si>
  <si>
    <t>Building No.1 = Gr. + 3P + 1st to 29th Floor</t>
  </si>
  <si>
    <t>Shop</t>
  </si>
  <si>
    <t>Ground Floor For Commercial, Entrance Lobby, Meter Room &amp; Parking</t>
  </si>
  <si>
    <t>1st to 3rd Podium</t>
  </si>
  <si>
    <t>1st, 3rd to 6th, 8th to 11th, 13th to 16th, 18th to 21st, 23rd to 26th and 28th Floor For Residential</t>
  </si>
  <si>
    <t>1BHK</t>
  </si>
  <si>
    <t>2BHK</t>
  </si>
  <si>
    <t>2nd, 7th, 12th, 17th, 22nd &amp; 27th Floor(Part Refuge)</t>
  </si>
  <si>
    <t>Refuge Area</t>
  </si>
  <si>
    <t>3BHK</t>
  </si>
  <si>
    <t>29th Floor For Fitness Centre,Society Office &amp; Recreational Area</t>
  </si>
  <si>
    <t>Shops</t>
  </si>
  <si>
    <t>Gym, Gazebo, Yoga Deck, Mini Party Hall, etc.</t>
  </si>
  <si>
    <t>As per builders website</t>
  </si>
  <si>
    <t>https://www.walchandavenue.com/?gad_source=1&amp;gclid=Cj0KCQjw97SzBhDaARIsAFHXUWA6ivVvrQHaCG9UEOY39bq1tnAoeT5Ib2aXT6JdT146K17cMpzy4eQaAsx</t>
  </si>
  <si>
    <t>As per RERA - 31/12/2028</t>
  </si>
  <si>
    <t>15.00 M wide Road</t>
  </si>
  <si>
    <t xml:space="preserve">30.00 M wide Road </t>
  </si>
  <si>
    <t>S No.273 (77)</t>
  </si>
  <si>
    <t>S No.285(86)</t>
  </si>
  <si>
    <t>19.297413,72.879789</t>
  </si>
  <si>
    <t>https://maps.app.goo.gl/KW8rPhpRNvc4XwEM7</t>
  </si>
  <si>
    <t>Gaurav City</t>
  </si>
  <si>
    <t>Shiv Sena Gali Road</t>
  </si>
  <si>
    <t>Bhayander</t>
  </si>
  <si>
    <t>3.6KM from Bhayander Railway Station</t>
  </si>
  <si>
    <t>Open Plot</t>
  </si>
  <si>
    <t>Surya Heritage Apartment</t>
  </si>
  <si>
    <t>Artificial Water Body/ Open Plot</t>
  </si>
  <si>
    <t>Construction work is in process at the time of Visit (labour found).</t>
  </si>
  <si>
    <t>We considered Gross carpet area = Net carpet.</t>
  </si>
  <si>
    <t xml:space="preserve">Ground + 1 to 3 Podium + 1st to 29th Floor. </t>
  </si>
  <si>
    <r>
      <t xml:space="preserve">Shop No.
</t>
    </r>
    <r>
      <rPr>
        <b/>
        <sz val="11"/>
        <rFont val="Times New Roman"/>
        <family val="1"/>
      </rPr>
      <t>(Approved Plan)</t>
    </r>
  </si>
  <si>
    <r>
      <t xml:space="preserve">Flat No.
</t>
    </r>
    <r>
      <rPr>
        <b/>
        <sz val="11"/>
        <rFont val="Times New Roman"/>
        <family val="1"/>
      </rPr>
      <t>(Approved Plan)</t>
    </r>
  </si>
  <si>
    <t>Pramanik Homes LLP</t>
  </si>
  <si>
    <t>Flats - 218, Shops - 06</t>
  </si>
  <si>
    <r>
      <t xml:space="preserve">Proposed Amenities :                                                                                                                                                                                                                         </t>
    </r>
    <r>
      <rPr>
        <b/>
        <sz val="12"/>
        <rFont val="Times New Roman"/>
        <family val="1"/>
      </rPr>
      <t xml:space="preserve">                                               </t>
    </r>
  </si>
  <si>
    <t xml:space="preserve">CRZ Noc No
Valid Up to: </t>
  </si>
  <si>
    <t>Fungible area</t>
  </si>
  <si>
    <t xml:space="preserve">As per the Google Map, the project Walchand Avenue is adjacent to mangroves. 
</t>
  </si>
  <si>
    <t>City Layout :</t>
  </si>
  <si>
    <t xml:space="preserve">The city layout according to which Survey No. 272(OLD), 84(NEW), H No. 3(pt), and 4 do not fall under the CRZ zone is attached below.
</t>
  </si>
  <si>
    <t>Mr. Harish : 8928815755</t>
  </si>
  <si>
    <t>Pooja Kawale</t>
  </si>
  <si>
    <t>Ranjan Sharma</t>
  </si>
  <si>
    <t>rate 10000, park 5L by akash mote from index2 1303 1304 on 27/09/2025</t>
  </si>
  <si>
    <t>Recommended Rates &amp; Other charges of the Property have been revised on 27/09/2025.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</si>
</sst>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3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9" xfId="0" applyFont="1" applyBorder="1" applyProtection="1">
      <protection hidden="1"/>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8" xfId="1" applyFont="1" applyBorder="1"/>
    <xf numFmtId="0" fontId="17"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6" fillId="0" borderId="0" xfId="1" applyFont="1" applyProtection="1">
      <protection locked="0"/>
    </xf>
    <xf numFmtId="0" fontId="23" fillId="2" borderId="25" xfId="0" applyFont="1" applyFill="1" applyBorder="1"/>
    <xf numFmtId="0" fontId="24" fillId="0" borderId="26"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3" xfId="0" applyFill="1" applyBorder="1"/>
    <xf numFmtId="0" fontId="0" fillId="0" borderId="6"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6"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25" fillId="0" borderId="0" xfId="10"/>
    <xf numFmtId="9" fontId="12" fillId="0" borderId="14" xfId="8" applyFont="1" applyFill="1" applyBorder="1" applyAlignment="1" applyProtection="1">
      <alignment horizontal="center" vertical="top" wrapText="1"/>
      <protection locked="0"/>
    </xf>
    <xf numFmtId="1" fontId="11" fillId="0" borderId="1" xfId="1" applyNumberFormat="1" applyFont="1" applyFill="1" applyBorder="1" applyAlignment="1" applyProtection="1">
      <alignment horizontal="center" vertical="center" wrapText="1"/>
      <protection locked="0"/>
    </xf>
    <xf numFmtId="9" fontId="11" fillId="0" borderId="1" xfId="8" applyFont="1" applyFill="1" applyBorder="1" applyAlignment="1" applyProtection="1">
      <alignment horizontal="center" vertical="top" wrapText="1"/>
      <protection locked="0"/>
    </xf>
    <xf numFmtId="0" fontId="5" fillId="0" borderId="1" xfId="1" applyFont="1" applyFill="1" applyBorder="1" applyAlignment="1" applyProtection="1">
      <alignment vertical="top" wrapText="1"/>
      <protection locked="0"/>
    </xf>
    <xf numFmtId="0" fontId="7" fillId="0" borderId="1" xfId="1" applyFont="1" applyFill="1" applyBorder="1" applyAlignment="1" applyProtection="1">
      <alignment vertical="top"/>
      <protection locked="0"/>
    </xf>
    <xf numFmtId="0" fontId="11" fillId="0" borderId="4" xfId="1" applyFont="1" applyFill="1" applyBorder="1" applyAlignment="1" applyProtection="1">
      <alignment horizontal="center" vertical="top"/>
      <protection locked="0"/>
    </xf>
    <xf numFmtId="0" fontId="11" fillId="0" borderId="1" xfId="1" applyFont="1" applyFill="1" applyBorder="1" applyAlignment="1" applyProtection="1">
      <alignment horizontal="center" vertical="top"/>
      <protection locked="0"/>
    </xf>
    <xf numFmtId="0" fontId="11" fillId="0" borderId="5" xfId="1" applyFont="1" applyFill="1" applyBorder="1" applyAlignment="1" applyProtection="1">
      <alignment horizontal="center" vertical="top"/>
      <protection locked="0"/>
    </xf>
    <xf numFmtId="0" fontId="11" fillId="0" borderId="1"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protection locked="0"/>
    </xf>
    <xf numFmtId="0" fontId="5" fillId="0" borderId="1" xfId="1" applyFont="1" applyFill="1" applyBorder="1" applyAlignment="1" applyProtection="1">
      <alignment horizontal="center" vertical="top"/>
      <protection locked="0"/>
    </xf>
    <xf numFmtId="0" fontId="14" fillId="0" borderId="1" xfId="1" applyFont="1" applyFill="1" applyBorder="1" applyAlignment="1" applyProtection="1">
      <alignment horizontal="center" vertical="top" wrapText="1"/>
      <protection locked="0"/>
    </xf>
    <xf numFmtId="1" fontId="14" fillId="0" borderId="1" xfId="1" applyNumberFormat="1" applyFont="1" applyFill="1" applyBorder="1" applyAlignment="1" applyProtection="1">
      <alignment horizontal="center" vertical="top" wrapText="1"/>
      <protection locked="0"/>
    </xf>
    <xf numFmtId="1" fontId="12" fillId="0" borderId="3" xfId="1" applyNumberFormat="1" applyFont="1" applyFill="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7" fillId="0" borderId="0" xfId="1" applyFont="1" applyFill="1" applyAlignment="1" applyProtection="1">
      <alignment vertical="top"/>
      <protection locked="0"/>
    </xf>
    <xf numFmtId="0" fontId="7" fillId="0" borderId="0" xfId="1" applyFont="1" applyFill="1" applyAlignment="1" applyProtection="1">
      <alignment vertical="top" wrapText="1"/>
      <protection locked="0"/>
    </xf>
    <xf numFmtId="0" fontId="6" fillId="0" borderId="0" xfId="1" applyFont="1" applyFill="1" applyProtection="1">
      <protection locked="0"/>
    </xf>
    <xf numFmtId="0" fontId="9" fillId="0" borderId="0" xfId="1" applyFont="1" applyFill="1" applyProtection="1">
      <protection locked="0"/>
    </xf>
    <xf numFmtId="1" fontId="5" fillId="0" borderId="1" xfId="0"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11" fillId="0" borderId="1" xfId="1" applyFont="1" applyFill="1" applyBorder="1" applyAlignment="1" applyProtection="1">
      <alignment horizontal="center" vertical="top" wrapText="1"/>
      <protection locked="0"/>
    </xf>
    <xf numFmtId="1" fontId="5" fillId="0" borderId="1" xfId="0"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top" wrapText="1"/>
      <protection locked="0"/>
    </xf>
    <xf numFmtId="0" fontId="23" fillId="2" borderId="13" xfId="0" applyFont="1" applyFill="1" applyBorder="1"/>
    <xf numFmtId="0" fontId="24" fillId="0" borderId="7" xfId="0" applyFont="1" applyBorder="1"/>
    <xf numFmtId="1" fontId="12" fillId="0" borderId="6" xfId="0" applyNumberFormat="1" applyFont="1" applyFill="1" applyBorder="1" applyAlignment="1" applyProtection="1">
      <alignment vertical="top" wrapText="1"/>
      <protection locked="0"/>
    </xf>
    <xf numFmtId="1" fontId="12" fillId="0" borderId="19" xfId="0" applyNumberFormat="1" applyFont="1" applyFill="1" applyBorder="1" applyAlignment="1" applyProtection="1">
      <alignment vertical="top" wrapText="1"/>
      <protection locked="0"/>
    </xf>
    <xf numFmtId="1" fontId="12" fillId="0" borderId="7" xfId="0" applyNumberFormat="1" applyFont="1" applyFill="1" applyBorder="1" applyAlignment="1" applyProtection="1">
      <alignment vertical="top" wrapText="1"/>
      <protection locked="0"/>
    </xf>
    <xf numFmtId="1" fontId="16" fillId="0" borderId="6" xfId="0" applyNumberFormat="1" applyFont="1" applyFill="1" applyBorder="1" applyAlignment="1" applyProtection="1">
      <alignment vertical="top" wrapText="1"/>
      <protection locked="0"/>
    </xf>
    <xf numFmtId="1" fontId="16" fillId="0" borderId="19" xfId="0" applyNumberFormat="1" applyFont="1" applyFill="1" applyBorder="1" applyAlignment="1" applyProtection="1">
      <alignment vertical="top" wrapText="1"/>
      <protection locked="0"/>
    </xf>
    <xf numFmtId="1" fontId="16" fillId="0" borderId="7" xfId="0" applyNumberFormat="1" applyFont="1" applyFill="1" applyBorder="1" applyAlignment="1" applyProtection="1">
      <alignment vertical="top" wrapText="1"/>
      <protection locked="0"/>
    </xf>
    <xf numFmtId="0" fontId="5"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center" vertical="top" wrapText="1"/>
      <protection locked="0"/>
    </xf>
    <xf numFmtId="1" fontId="7" fillId="0" borderId="3" xfId="0" applyNumberFormat="1" applyFont="1" applyFill="1" applyBorder="1" applyAlignment="1" applyProtection="1">
      <alignment horizontal="center" vertical="center" wrapText="1"/>
      <protection locked="0"/>
    </xf>
    <xf numFmtId="1" fontId="9" fillId="0" borderId="3"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12" fillId="0" borderId="1" xfId="1"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top" wrapText="1"/>
      <protection locked="0"/>
    </xf>
    <xf numFmtId="1" fontId="5" fillId="0" borderId="1" xfId="0" applyNumberFormat="1" applyFont="1" applyFill="1" applyBorder="1" applyAlignment="1" applyProtection="1">
      <alignment horizontal="center" vertical="top" wrapText="1"/>
      <protection locked="0"/>
    </xf>
    <xf numFmtId="1" fontId="7" fillId="0" borderId="1" xfId="0" applyNumberFormat="1" applyFont="1" applyFill="1" applyBorder="1" applyAlignment="1" applyProtection="1">
      <alignment horizontal="center" vertical="center" wrapText="1"/>
      <protection locked="0"/>
    </xf>
    <xf numFmtId="1"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1" fontId="5" fillId="0" borderId="1" xfId="0" applyNumberFormat="1" applyFont="1" applyFill="1" applyBorder="1" applyAlignment="1" applyProtection="1">
      <alignment horizontal="center" vertical="center" wrapText="1"/>
      <protection locked="0"/>
    </xf>
    <xf numFmtId="1" fontId="7" fillId="0" borderId="6" xfId="0" applyNumberFormat="1" applyFont="1" applyFill="1" applyBorder="1" applyAlignment="1" applyProtection="1">
      <alignment vertical="top" wrapText="1"/>
      <protection locked="0"/>
    </xf>
    <xf numFmtId="1" fontId="7" fillId="0" borderId="19" xfId="0" applyNumberFormat="1" applyFont="1" applyFill="1" applyBorder="1" applyAlignment="1" applyProtection="1">
      <alignment vertical="top" wrapText="1"/>
      <protection locked="0"/>
    </xf>
    <xf numFmtId="1" fontId="7" fillId="0" borderId="7" xfId="0" applyNumberFormat="1" applyFont="1" applyFill="1" applyBorder="1" applyAlignment="1" applyProtection="1">
      <alignment vertical="top" wrapText="1"/>
      <protection locked="0"/>
    </xf>
    <xf numFmtId="1" fontId="5" fillId="0" borderId="6" xfId="1" applyNumberFormat="1" applyFont="1" applyFill="1" applyBorder="1" applyAlignment="1" applyProtection="1">
      <alignment horizontal="center" vertical="center" wrapText="1"/>
      <protection locked="0"/>
    </xf>
    <xf numFmtId="1" fontId="5" fillId="0" borderId="7" xfId="1" applyNumberFormat="1" applyFont="1" applyFill="1" applyBorder="1" applyAlignment="1" applyProtection="1">
      <alignment horizontal="center" vertical="center" wrapText="1"/>
      <protection locked="0"/>
    </xf>
    <xf numFmtId="0" fontId="11" fillId="0" borderId="6" xfId="1" applyFont="1" applyFill="1" applyBorder="1" applyAlignment="1" applyProtection="1">
      <alignment horizontal="left" vertical="top" wrapText="1"/>
      <protection locked="0"/>
    </xf>
    <xf numFmtId="0" fontId="11" fillId="0" borderId="7" xfId="1" applyFont="1" applyFill="1" applyBorder="1" applyAlignment="1" applyProtection="1">
      <alignment horizontal="left" vertical="top" wrapText="1"/>
      <protection locked="0"/>
    </xf>
    <xf numFmtId="0" fontId="12" fillId="0" borderId="6" xfId="1" applyFont="1" applyFill="1" applyBorder="1" applyAlignment="1" applyProtection="1">
      <alignment horizontal="left" vertical="top"/>
      <protection locked="0"/>
    </xf>
    <xf numFmtId="0" fontId="12" fillId="0" borderId="19" xfId="1" applyFont="1" applyFill="1" applyBorder="1" applyAlignment="1" applyProtection="1">
      <alignment horizontal="left" vertical="top"/>
      <protection locked="0"/>
    </xf>
    <xf numFmtId="0" fontId="12" fillId="0" borderId="7" xfId="1" applyFont="1" applyFill="1" applyBorder="1" applyAlignment="1" applyProtection="1">
      <alignment horizontal="left" vertical="top"/>
      <protection locked="0"/>
    </xf>
    <xf numFmtId="9" fontId="6" fillId="0" borderId="1" xfId="8" applyFont="1" applyFill="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1" fontId="12" fillId="0" borderId="3" xfId="1" applyNumberFormat="1" applyFont="1" applyFill="1" applyBorder="1" applyAlignment="1" applyProtection="1">
      <alignment horizontal="center" vertical="top" wrapText="1"/>
      <protection locked="0"/>
    </xf>
    <xf numFmtId="1" fontId="12" fillId="0" borderId="14" xfId="1" applyNumberFormat="1" applyFont="1" applyFill="1" applyBorder="1" applyAlignment="1" applyProtection="1">
      <alignment horizontal="center" vertical="top" wrapText="1"/>
      <protection locked="0"/>
    </xf>
    <xf numFmtId="0" fontId="7" fillId="0"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1" fontId="29" fillId="0" borderId="3" xfId="1" applyNumberFormat="1" applyFont="1" applyFill="1" applyBorder="1" applyAlignment="1" applyProtection="1">
      <alignment horizontal="center" vertical="top" wrapText="1"/>
      <protection locked="0"/>
    </xf>
    <xf numFmtId="1" fontId="29" fillId="0" borderId="14" xfId="1" applyNumberFormat="1" applyFont="1" applyFill="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1" fontId="6" fillId="0" borderId="1" xfId="0" applyNumberFormat="1" applyFont="1" applyFill="1" applyBorder="1" applyAlignment="1" applyProtection="1">
      <alignment horizontal="center" vertical="center"/>
      <protection locked="0"/>
    </xf>
    <xf numFmtId="1" fontId="7" fillId="0" borderId="28" xfId="0" applyNumberFormat="1" applyFont="1" applyFill="1" applyBorder="1" applyAlignment="1" applyProtection="1">
      <alignment horizontal="center" vertical="top" wrapText="1"/>
      <protection locked="0"/>
    </xf>
    <xf numFmtId="1" fontId="7" fillId="0" borderId="29" xfId="0" applyNumberFormat="1" applyFont="1" applyFill="1" applyBorder="1" applyAlignment="1" applyProtection="1">
      <alignment horizontal="center" vertical="top" wrapText="1"/>
      <protection locked="0"/>
    </xf>
    <xf numFmtId="0" fontId="5" fillId="0" borderId="6" xfId="1" applyFont="1" applyFill="1" applyBorder="1" applyAlignment="1" applyProtection="1">
      <alignment vertical="top" wrapText="1"/>
      <protection locked="0"/>
    </xf>
    <xf numFmtId="0" fontId="5" fillId="0" borderId="19" xfId="1" applyFont="1" applyFill="1" applyBorder="1" applyAlignment="1" applyProtection="1">
      <alignment vertical="top" wrapText="1"/>
      <protection locked="0"/>
    </xf>
    <xf numFmtId="0" fontId="5" fillId="0" borderId="7" xfId="1" applyFont="1" applyFill="1" applyBorder="1" applyAlignment="1" applyProtection="1">
      <alignment vertical="top" wrapText="1"/>
      <protection locked="0"/>
    </xf>
    <xf numFmtId="0" fontId="7" fillId="0" borderId="1" xfId="1" applyFont="1" applyFill="1" applyBorder="1" applyAlignment="1" applyProtection="1">
      <alignment horizontal="left" vertical="top" wrapText="1"/>
      <protection locked="0"/>
    </xf>
    <xf numFmtId="1" fontId="12" fillId="0" borderId="6" xfId="1" applyNumberFormat="1" applyFont="1" applyFill="1" applyBorder="1" applyAlignment="1" applyProtection="1">
      <alignment horizontal="center" vertical="center" wrapText="1"/>
      <protection locked="0"/>
    </xf>
    <xf numFmtId="1" fontId="12" fillId="0" borderId="19" xfId="1" applyNumberFormat="1" applyFont="1" applyFill="1" applyBorder="1" applyAlignment="1" applyProtection="1">
      <alignment horizontal="center" vertical="center" wrapText="1"/>
      <protection locked="0"/>
    </xf>
    <xf numFmtId="1" fontId="12" fillId="0" borderId="7" xfId="1" applyNumberFormat="1" applyFont="1" applyFill="1" applyBorder="1" applyAlignment="1" applyProtection="1">
      <alignment horizontal="center" vertical="center" wrapText="1"/>
      <protection locked="0"/>
    </xf>
    <xf numFmtId="0" fontId="11" fillId="0" borderId="1" xfId="1" applyFont="1" applyFill="1" applyBorder="1" applyAlignment="1" applyProtection="1">
      <alignment horizontal="left" vertical="top"/>
      <protection locked="0"/>
    </xf>
    <xf numFmtId="0" fontId="11" fillId="0" borderId="3" xfId="1" applyFont="1" applyFill="1" applyBorder="1" applyAlignment="1" applyProtection="1">
      <alignment horizontal="left" vertical="top" wrapText="1"/>
      <protection locked="0"/>
    </xf>
    <xf numFmtId="0" fontId="11" fillId="0" borderId="3" xfId="1" applyFont="1" applyFill="1" applyBorder="1" applyAlignment="1" applyProtection="1">
      <alignment horizontal="left" vertical="top"/>
      <protection locked="0"/>
    </xf>
    <xf numFmtId="0" fontId="11" fillId="0" borderId="15" xfId="1" applyFont="1" applyFill="1" applyBorder="1" applyAlignment="1" applyProtection="1">
      <alignment horizontal="left" vertical="top" wrapText="1"/>
      <protection locked="0"/>
    </xf>
    <xf numFmtId="0" fontId="11" fillId="0" borderId="22" xfId="1" applyFont="1" applyFill="1" applyBorder="1" applyAlignment="1" applyProtection="1">
      <alignment horizontal="left" vertical="top" wrapText="1"/>
      <protection locked="0"/>
    </xf>
    <xf numFmtId="0" fontId="11" fillId="0" borderId="16" xfId="1" applyFont="1" applyFill="1" applyBorder="1" applyAlignment="1" applyProtection="1">
      <alignment horizontal="left" vertical="top" wrapText="1"/>
      <protection locked="0"/>
    </xf>
    <xf numFmtId="0" fontId="11" fillId="0" borderId="1" xfId="1" applyFont="1" applyFill="1" applyBorder="1" applyAlignment="1" applyProtection="1">
      <alignment horizontal="center"/>
      <protection locked="0"/>
    </xf>
    <xf numFmtId="0" fontId="11" fillId="0" borderId="6" xfId="1" applyFont="1" applyFill="1" applyBorder="1" applyAlignment="1" applyProtection="1">
      <alignment horizontal="center" vertical="top"/>
      <protection locked="0"/>
    </xf>
    <xf numFmtId="0" fontId="11" fillId="0" borderId="19" xfId="1" applyFont="1" applyFill="1" applyBorder="1" applyAlignment="1" applyProtection="1">
      <alignment horizontal="center" vertical="top"/>
      <protection locked="0"/>
    </xf>
    <xf numFmtId="0" fontId="11" fillId="0" borderId="7" xfId="1" applyFont="1" applyFill="1" applyBorder="1" applyAlignment="1" applyProtection="1">
      <alignment horizontal="center" vertical="top"/>
      <protection locked="0"/>
    </xf>
    <xf numFmtId="2" fontId="11" fillId="0" borderId="1" xfId="1" applyNumberFormat="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1" fontId="5" fillId="0" borderId="1" xfId="1" applyNumberFormat="1" applyFont="1" applyFill="1" applyBorder="1" applyAlignment="1" applyProtection="1">
      <alignment horizontal="left" vertical="top" wrapText="1"/>
      <protection locked="0"/>
    </xf>
    <xf numFmtId="164" fontId="11" fillId="0" borderId="1" xfId="1" applyNumberFormat="1" applyFont="1" applyFill="1" applyBorder="1" applyAlignment="1" applyProtection="1">
      <alignment horizontal="left" vertical="top"/>
      <protection locked="0"/>
    </xf>
    <xf numFmtId="2" fontId="11" fillId="0" borderId="1" xfId="1" applyNumberFormat="1" applyFont="1" applyFill="1" applyBorder="1" applyAlignment="1" applyProtection="1">
      <alignment horizontal="left" vertical="top"/>
      <protection locked="0"/>
    </xf>
    <xf numFmtId="0" fontId="5" fillId="0" borderId="6" xfId="1" applyFont="1" applyFill="1" applyBorder="1" applyAlignment="1" applyProtection="1">
      <alignment horizontal="left" vertical="top" wrapText="1"/>
      <protection locked="0"/>
    </xf>
    <xf numFmtId="0" fontId="5" fillId="0" borderId="19"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12" fillId="0" borderId="6" xfId="1" applyFont="1" applyFill="1" applyBorder="1" applyAlignment="1" applyProtection="1">
      <alignment horizontal="center" vertical="top"/>
      <protection locked="0"/>
    </xf>
    <xf numFmtId="0" fontId="12" fillId="0" borderId="19" xfId="1" applyFont="1" applyFill="1" applyBorder="1" applyAlignment="1" applyProtection="1">
      <alignment horizontal="center" vertical="top"/>
      <protection locked="0"/>
    </xf>
    <xf numFmtId="0" fontId="12" fillId="0" borderId="7" xfId="1" applyFont="1" applyFill="1" applyBorder="1" applyAlignment="1" applyProtection="1">
      <alignment horizontal="center" vertical="top"/>
      <protection locked="0"/>
    </xf>
    <xf numFmtId="0" fontId="12" fillId="0" borderId="1" xfId="1" applyFont="1" applyFill="1" applyBorder="1" applyAlignment="1" applyProtection="1">
      <alignment horizontal="center"/>
      <protection locked="0"/>
    </xf>
    <xf numFmtId="0" fontId="11" fillId="0" borderId="1" xfId="1" applyFont="1" applyFill="1" applyBorder="1" applyAlignment="1" applyProtection="1">
      <alignment horizontal="left"/>
      <protection locked="0"/>
    </xf>
    <xf numFmtId="0" fontId="10" fillId="0" borderId="1" xfId="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protection locked="0"/>
    </xf>
    <xf numFmtId="14" fontId="11" fillId="0" borderId="1" xfId="1" applyNumberFormat="1" applyFont="1" applyFill="1" applyBorder="1" applyAlignment="1" applyProtection="1">
      <alignment horizontal="left" vertical="top"/>
      <protection locked="0"/>
    </xf>
    <xf numFmtId="0" fontId="12" fillId="0" borderId="4" xfId="1" applyFont="1" applyFill="1" applyBorder="1" applyAlignment="1" applyProtection="1">
      <alignment horizontal="left" vertical="top"/>
      <protection locked="0"/>
    </xf>
    <xf numFmtId="0" fontId="7" fillId="0" borderId="20" xfId="1" applyFont="1" applyFill="1" applyBorder="1" applyAlignment="1" applyProtection="1">
      <alignment horizontal="left" vertical="top" wrapText="1"/>
      <protection locked="0"/>
    </xf>
    <xf numFmtId="0" fontId="7" fillId="0" borderId="13" xfId="1" applyFont="1" applyFill="1" applyBorder="1" applyAlignment="1" applyProtection="1">
      <alignment horizontal="left" vertical="top" wrapText="1"/>
      <protection locked="0"/>
    </xf>
    <xf numFmtId="0" fontId="7" fillId="0" borderId="11" xfId="1" applyFont="1" applyFill="1" applyBorder="1" applyAlignment="1" applyProtection="1">
      <alignment horizontal="left" vertical="top" wrapText="1"/>
      <protection locked="0"/>
    </xf>
    <xf numFmtId="0" fontId="7" fillId="0" borderId="12" xfId="1" applyFont="1" applyFill="1" applyBorder="1" applyAlignment="1" applyProtection="1">
      <alignment horizontal="left" vertical="top" wrapText="1"/>
      <protection locked="0"/>
    </xf>
    <xf numFmtId="0" fontId="7" fillId="0" borderId="21" xfId="1" applyFont="1" applyFill="1" applyBorder="1" applyAlignment="1" applyProtection="1">
      <alignment horizontal="left" vertical="top" wrapText="1"/>
      <protection locked="0"/>
    </xf>
    <xf numFmtId="0" fontId="12" fillId="0" borderId="5" xfId="1" applyFont="1" applyFill="1" applyBorder="1" applyAlignment="1" applyProtection="1">
      <alignment horizontal="left" vertical="top" wrapText="1"/>
      <protection locked="0"/>
    </xf>
    <xf numFmtId="0" fontId="11" fillId="0" borderId="1" xfId="1" applyFont="1" applyFill="1" applyBorder="1" applyAlignment="1" applyProtection="1">
      <alignment horizontal="center" vertical="top" wrapText="1"/>
      <protection locked="0"/>
    </xf>
    <xf numFmtId="0" fontId="5" fillId="0" borderId="3" xfId="1" applyFont="1" applyFill="1" applyBorder="1" applyAlignment="1" applyProtection="1">
      <alignment horizontal="left" vertical="top" wrapText="1"/>
      <protection locked="0"/>
    </xf>
    <xf numFmtId="0" fontId="11" fillId="0" borderId="5"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vertical="top" wrapText="1"/>
      <protection locked="0"/>
    </xf>
    <xf numFmtId="1" fontId="7" fillId="0" borderId="1" xfId="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vertical="top"/>
      <protection locked="0"/>
    </xf>
    <xf numFmtId="1" fontId="7" fillId="0" borderId="1" xfId="0" applyNumberFormat="1" applyFont="1" applyFill="1" applyBorder="1" applyAlignment="1" applyProtection="1">
      <alignment horizontal="center" vertical="top" wrapText="1"/>
      <protection locked="0"/>
    </xf>
    <xf numFmtId="1" fontId="11" fillId="0" borderId="6" xfId="1" applyNumberFormat="1" applyFont="1" applyFill="1" applyBorder="1" applyAlignment="1" applyProtection="1">
      <alignment horizontal="center" vertical="center" wrapText="1"/>
      <protection locked="0"/>
    </xf>
    <xf numFmtId="1" fontId="11" fillId="0" borderId="7" xfId="1" applyNumberFormat="1" applyFont="1" applyFill="1" applyBorder="1" applyAlignment="1" applyProtection="1">
      <alignment horizontal="center" vertical="center" wrapText="1"/>
      <protection locked="0"/>
    </xf>
    <xf numFmtId="1" fontId="11" fillId="0" borderId="19" xfId="1"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top" wrapText="1"/>
      <protection locked="0"/>
    </xf>
    <xf numFmtId="0" fontId="7" fillId="0" borderId="14" xfId="1" applyFont="1" applyFill="1" applyBorder="1" applyAlignment="1" applyProtection="1">
      <alignment horizontal="center" vertical="top"/>
      <protection locked="0"/>
    </xf>
    <xf numFmtId="1" fontId="12" fillId="0" borderId="15" xfId="1" applyNumberFormat="1" applyFont="1" applyFill="1" applyBorder="1" applyAlignment="1" applyProtection="1">
      <alignment horizontal="center" vertical="top" wrapText="1"/>
      <protection locked="0"/>
    </xf>
    <xf numFmtId="1" fontId="12" fillId="0" borderId="17" xfId="1" applyNumberFormat="1" applyFont="1" applyFill="1" applyBorder="1" applyAlignment="1" applyProtection="1">
      <alignment horizontal="center" vertical="top" wrapText="1"/>
      <protection locked="0"/>
    </xf>
    <xf numFmtId="1" fontId="7" fillId="0" borderId="27" xfId="0" applyNumberFormat="1" applyFont="1" applyFill="1" applyBorder="1" applyAlignment="1" applyProtection="1">
      <alignment horizontal="center" vertical="center" wrapText="1"/>
      <protection locked="0"/>
    </xf>
    <xf numFmtId="1" fontId="7" fillId="0" borderId="28" xfId="0" applyNumberFormat="1"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protection locked="0"/>
    </xf>
    <xf numFmtId="1" fontId="9" fillId="0" borderId="28" xfId="0" applyNumberFormat="1" applyFont="1" applyFill="1" applyBorder="1" applyAlignment="1" applyProtection="1">
      <alignment horizontal="center" vertical="top" wrapText="1"/>
      <protection locked="0"/>
    </xf>
    <xf numFmtId="1" fontId="7" fillId="0" borderId="6" xfId="1" applyNumberFormat="1" applyFont="1" applyFill="1" applyBorder="1" applyAlignment="1" applyProtection="1">
      <alignment horizontal="center" vertical="center" wrapText="1"/>
      <protection locked="0"/>
    </xf>
    <xf numFmtId="1" fontId="7" fillId="0" borderId="19" xfId="1" applyNumberFormat="1" applyFont="1" applyFill="1" applyBorder="1" applyAlignment="1" applyProtection="1">
      <alignment horizontal="center" vertical="center" wrapText="1"/>
      <protection locked="0"/>
    </xf>
    <xf numFmtId="1" fontId="7" fillId="0" borderId="7" xfId="1"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left" vertical="top" wrapText="1"/>
      <protection locked="0"/>
    </xf>
    <xf numFmtId="0" fontId="14" fillId="0" borderId="17" xfId="1" applyFont="1" applyFill="1" applyBorder="1" applyAlignment="1" applyProtection="1">
      <alignment horizontal="left" vertical="top"/>
      <protection locked="0"/>
    </xf>
    <xf numFmtId="0" fontId="14" fillId="0" borderId="2" xfId="1" applyFont="1" applyFill="1" applyBorder="1" applyAlignment="1" applyProtection="1">
      <alignment horizontal="left" vertical="top"/>
      <protection locked="0"/>
    </xf>
    <xf numFmtId="0" fontId="14" fillId="0" borderId="18" xfId="1" applyFont="1" applyFill="1" applyBorder="1" applyAlignment="1" applyProtection="1">
      <alignment horizontal="left" vertical="top"/>
      <protection locked="0"/>
    </xf>
    <xf numFmtId="0" fontId="11" fillId="0" borderId="23" xfId="1" applyFont="1" applyFill="1" applyBorder="1" applyAlignment="1" applyProtection="1">
      <alignment horizontal="left" vertical="top" wrapText="1"/>
      <protection locked="0"/>
    </xf>
    <xf numFmtId="0" fontId="11" fillId="0" borderId="0" xfId="1" applyFont="1" applyFill="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protection locked="0"/>
    </xf>
    <xf numFmtId="0" fontId="11" fillId="0" borderId="22" xfId="1" applyFont="1" applyFill="1" applyBorder="1" applyAlignment="1" applyProtection="1">
      <alignment horizontal="left" vertical="top"/>
      <protection locked="0"/>
    </xf>
    <xf numFmtId="0" fontId="11" fillId="0" borderId="16" xfId="1" applyFont="1" applyFill="1" applyBorder="1" applyAlignment="1" applyProtection="1">
      <alignment horizontal="left" vertical="top"/>
      <protection locked="0"/>
    </xf>
    <xf numFmtId="0" fontId="14" fillId="0" borderId="23" xfId="1" applyFont="1" applyFill="1" applyBorder="1" applyAlignment="1" applyProtection="1">
      <alignment horizontal="left" vertical="top"/>
      <protection locked="0"/>
    </xf>
    <xf numFmtId="0" fontId="14" fillId="0" borderId="0" xfId="1" applyFont="1" applyFill="1" applyAlignment="1" applyProtection="1">
      <alignment horizontal="left" vertical="top"/>
      <protection locked="0"/>
    </xf>
    <xf numFmtId="0" fontId="14" fillId="0" borderId="24" xfId="1" applyFont="1" applyFill="1" applyBorder="1" applyAlignment="1" applyProtection="1">
      <alignment horizontal="left" vertical="top"/>
      <protection locked="0"/>
    </xf>
    <xf numFmtId="0" fontId="5" fillId="0" borderId="1" xfId="1" applyFont="1" applyFill="1" applyBorder="1" applyAlignment="1" applyProtection="1">
      <alignment vertical="top"/>
      <protection locked="0"/>
    </xf>
    <xf numFmtId="14" fontId="5" fillId="0" borderId="6" xfId="1" applyNumberFormat="1" applyFont="1" applyFill="1" applyBorder="1" applyAlignment="1" applyProtection="1">
      <alignment horizontal="left" vertical="top" wrapText="1"/>
      <protection locked="0"/>
    </xf>
    <xf numFmtId="0" fontId="7" fillId="0" borderId="6" xfId="1" applyFont="1" applyFill="1" applyBorder="1" applyAlignment="1" applyProtection="1">
      <alignment horizontal="left" vertical="top"/>
      <protection locked="0"/>
    </xf>
    <xf numFmtId="0" fontId="7" fillId="0" borderId="7" xfId="1" applyFont="1" applyFill="1" applyBorder="1" applyAlignment="1" applyProtection="1">
      <alignment horizontal="left" vertical="top"/>
      <protection locked="0"/>
    </xf>
    <xf numFmtId="0" fontId="14" fillId="0" borderId="15" xfId="1" applyFont="1" applyFill="1" applyBorder="1" applyAlignment="1" applyProtection="1">
      <alignment horizontal="left" vertical="top" wrapText="1"/>
      <protection locked="0"/>
    </xf>
    <xf numFmtId="0" fontId="14" fillId="0" borderId="16" xfId="1" applyFont="1" applyFill="1" applyBorder="1" applyAlignment="1" applyProtection="1">
      <alignment horizontal="left" vertical="top" wrapText="1"/>
      <protection locked="0"/>
    </xf>
    <xf numFmtId="0" fontId="14" fillId="0" borderId="17" xfId="1" applyFont="1" applyFill="1" applyBorder="1" applyAlignment="1" applyProtection="1">
      <alignment horizontal="left" vertical="top" wrapText="1"/>
      <protection locked="0"/>
    </xf>
    <xf numFmtId="0" fontId="14" fillId="0" borderId="18" xfId="1" applyFont="1" applyFill="1" applyBorder="1" applyAlignment="1" applyProtection="1">
      <alignment horizontal="left" vertical="top" wrapText="1"/>
      <protection locked="0"/>
    </xf>
    <xf numFmtId="0" fontId="5" fillId="0" borderId="15" xfId="1" applyFont="1" applyFill="1" applyBorder="1" applyAlignment="1" applyProtection="1">
      <alignment horizontal="left" vertical="top" wrapText="1"/>
      <protection locked="0"/>
    </xf>
    <xf numFmtId="0" fontId="5" fillId="0" borderId="16" xfId="1" applyFont="1" applyFill="1" applyBorder="1" applyAlignment="1" applyProtection="1">
      <alignment horizontal="left" vertical="top" wrapText="1"/>
      <protection locked="0"/>
    </xf>
    <xf numFmtId="0" fontId="5" fillId="0" borderId="17" xfId="1" applyFont="1" applyFill="1" applyBorder="1" applyAlignment="1" applyProtection="1">
      <alignment horizontal="left" vertical="top" wrapText="1"/>
      <protection locked="0"/>
    </xf>
    <xf numFmtId="0" fontId="5" fillId="0" borderId="18" xfId="1" applyFont="1" applyFill="1" applyBorder="1" applyAlignment="1" applyProtection="1">
      <alignment horizontal="left" vertical="top" wrapText="1"/>
      <protection locked="0"/>
    </xf>
    <xf numFmtId="0" fontId="6" fillId="0" borderId="23" xfId="1" applyFont="1" applyBorder="1" applyAlignment="1">
      <alignment horizontal="center"/>
    </xf>
    <xf numFmtId="0" fontId="6" fillId="0" borderId="0" xfId="1" applyFont="1" applyAlignment="1">
      <alignment horizontal="center"/>
    </xf>
    <xf numFmtId="0" fontId="12" fillId="0" borderId="1" xfId="1" applyFont="1" applyFill="1" applyBorder="1" applyAlignment="1" applyProtection="1">
      <alignment horizontal="center" vertical="top"/>
      <protection locked="0"/>
    </xf>
    <xf numFmtId="0" fontId="7" fillId="0" borderId="6" xfId="1" applyFont="1" applyFill="1" applyBorder="1" applyAlignment="1" applyProtection="1">
      <alignment horizontal="left" vertical="top" wrapText="1"/>
      <protection locked="0"/>
    </xf>
    <xf numFmtId="0" fontId="7" fillId="0" borderId="7" xfId="1" applyFont="1" applyFill="1" applyBorder="1" applyAlignment="1" applyProtection="1">
      <alignment horizontal="left" vertical="top" wrapText="1"/>
      <protection locked="0"/>
    </xf>
    <xf numFmtId="0" fontId="7" fillId="0" borderId="19" xfId="1" applyFont="1" applyFill="1" applyBorder="1" applyAlignment="1" applyProtection="1">
      <alignment horizontal="left" vertical="top" wrapText="1"/>
      <protection locked="0"/>
    </xf>
    <xf numFmtId="0" fontId="5" fillId="0" borderId="3" xfId="1" applyFont="1" applyFill="1" applyBorder="1" applyAlignment="1" applyProtection="1">
      <alignment horizontal="left" vertical="top"/>
      <protection locked="0"/>
    </xf>
    <xf numFmtId="1" fontId="5" fillId="0" borderId="19" xfId="1" applyNumberFormat="1"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8</xdr:col>
      <xdr:colOff>257175</xdr:colOff>
      <xdr:row>45</xdr:row>
      <xdr:rowOff>133351</xdr:rowOff>
    </xdr:from>
    <xdr:to>
      <xdr:col>11</xdr:col>
      <xdr:colOff>148275</xdr:colOff>
      <xdr:row>49</xdr:row>
      <xdr:rowOff>189854</xdr:rowOff>
    </xdr:to>
    <xdr:pic>
      <xdr:nvPicPr>
        <xdr:cNvPr id="2" name="Picture 1"/>
        <xdr:cNvPicPr>
          <a:picLocks noChangeAspect="1"/>
        </xdr:cNvPicPr>
      </xdr:nvPicPr>
      <xdr:blipFill>
        <a:blip xmlns:r="http://schemas.openxmlformats.org/officeDocument/2006/relationships" r:embed="rId1"/>
        <a:stretch>
          <a:fillRect/>
        </a:stretch>
      </xdr:blipFill>
      <xdr:spPr>
        <a:xfrm>
          <a:off x="6572250" y="10353676"/>
          <a:ext cx="2520000" cy="1085203"/>
        </a:xfrm>
        <a:prstGeom prst="rect">
          <a:avLst/>
        </a:prstGeom>
        <a:ln>
          <a:solidFill>
            <a:schemeClr val="tx1"/>
          </a:solidFill>
        </a:ln>
      </xdr:spPr>
    </xdr:pic>
    <xdr:clientData/>
  </xdr:twoCellAnchor>
  <xdr:twoCellAnchor editAs="oneCell">
    <xdr:from>
      <xdr:col>8</xdr:col>
      <xdr:colOff>266700</xdr:colOff>
      <xdr:row>50</xdr:row>
      <xdr:rowOff>66675</xdr:rowOff>
    </xdr:from>
    <xdr:to>
      <xdr:col>10</xdr:col>
      <xdr:colOff>571221</xdr:colOff>
      <xdr:row>52</xdr:row>
      <xdr:rowOff>152339</xdr:rowOff>
    </xdr:to>
    <xdr:pic>
      <xdr:nvPicPr>
        <xdr:cNvPr id="3" name="Picture 2"/>
        <xdr:cNvPicPr>
          <a:picLocks noChangeAspect="1"/>
        </xdr:cNvPicPr>
      </xdr:nvPicPr>
      <xdr:blipFill>
        <a:blip xmlns:r="http://schemas.openxmlformats.org/officeDocument/2006/relationships" r:embed="rId2"/>
        <a:stretch>
          <a:fillRect/>
        </a:stretch>
      </xdr:blipFill>
      <xdr:spPr>
        <a:xfrm>
          <a:off x="6581775" y="11515725"/>
          <a:ext cx="2228571" cy="485714"/>
        </a:xfrm>
        <a:prstGeom prst="rect">
          <a:avLst/>
        </a:prstGeom>
        <a:ln>
          <a:solidFill>
            <a:schemeClr val="tx1"/>
          </a:solidFill>
        </a:ln>
      </xdr:spPr>
    </xdr:pic>
    <xdr:clientData/>
  </xdr:twoCellAnchor>
  <xdr:twoCellAnchor editAs="oneCell">
    <xdr:from>
      <xdr:col>8</xdr:col>
      <xdr:colOff>180975</xdr:colOff>
      <xdr:row>60</xdr:row>
      <xdr:rowOff>85725</xdr:rowOff>
    </xdr:from>
    <xdr:to>
      <xdr:col>14</xdr:col>
      <xdr:colOff>399375</xdr:colOff>
      <xdr:row>62</xdr:row>
      <xdr:rowOff>96108</xdr:rowOff>
    </xdr:to>
    <xdr:pic>
      <xdr:nvPicPr>
        <xdr:cNvPr id="4" name="Picture 3"/>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496050" y="12144375"/>
          <a:ext cx="5400000" cy="410432"/>
        </a:xfrm>
        <a:prstGeom prst="rect">
          <a:avLst/>
        </a:prstGeom>
        <a:ln>
          <a:solidFill>
            <a:schemeClr val="tx1"/>
          </a:solidFill>
        </a:ln>
      </xdr:spPr>
    </xdr:pic>
    <xdr:clientData/>
  </xdr:twoCellAnchor>
  <xdr:twoCellAnchor editAs="oneCell">
    <xdr:from>
      <xdr:col>8</xdr:col>
      <xdr:colOff>304800</xdr:colOff>
      <xdr:row>15</xdr:row>
      <xdr:rowOff>76200</xdr:rowOff>
    </xdr:from>
    <xdr:to>
      <xdr:col>12</xdr:col>
      <xdr:colOff>323404</xdr:colOff>
      <xdr:row>16</xdr:row>
      <xdr:rowOff>28504</xdr:rowOff>
    </xdr:to>
    <xdr:pic>
      <xdr:nvPicPr>
        <xdr:cNvPr id="5" name="Picture 4"/>
        <xdr:cNvPicPr>
          <a:picLocks noChangeAspect="1"/>
        </xdr:cNvPicPr>
      </xdr:nvPicPr>
      <xdr:blipFill>
        <a:blip xmlns:r="http://schemas.openxmlformats.org/officeDocument/2006/relationships" r:embed="rId4"/>
        <a:stretch>
          <a:fillRect/>
        </a:stretch>
      </xdr:blipFill>
      <xdr:spPr>
        <a:xfrm>
          <a:off x="6619875" y="3667125"/>
          <a:ext cx="3571429" cy="571429"/>
        </a:xfrm>
        <a:prstGeom prst="rect">
          <a:avLst/>
        </a:prstGeom>
        <a:ln>
          <a:solidFill>
            <a:schemeClr val="tx1"/>
          </a:solidFill>
        </a:ln>
      </xdr:spPr>
    </xdr:pic>
    <xdr:clientData/>
  </xdr:twoCellAnchor>
  <xdr:twoCellAnchor editAs="oneCell">
    <xdr:from>
      <xdr:col>12</xdr:col>
      <xdr:colOff>401732</xdr:colOff>
      <xdr:row>154</xdr:row>
      <xdr:rowOff>81243</xdr:rowOff>
    </xdr:from>
    <xdr:to>
      <xdr:col>19</xdr:col>
      <xdr:colOff>687207</xdr:colOff>
      <xdr:row>172</xdr:row>
      <xdr:rowOff>80793</xdr:rowOff>
    </xdr:to>
    <xdr:pic>
      <xdr:nvPicPr>
        <xdr:cNvPr id="12" name="Picture 11"/>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0262908" y="24398008"/>
          <a:ext cx="5451387" cy="3630256"/>
        </a:xfrm>
        <a:prstGeom prst="rect">
          <a:avLst/>
        </a:prstGeom>
        <a:ln>
          <a:solidFill>
            <a:schemeClr val="tx1"/>
          </a:solidFill>
        </a:ln>
      </xdr:spPr>
    </xdr:pic>
    <xdr:clientData/>
  </xdr:twoCellAnchor>
  <xdr:twoCellAnchor>
    <xdr:from>
      <xdr:col>1</xdr:col>
      <xdr:colOff>267916</xdr:colOff>
      <xdr:row>364</xdr:row>
      <xdr:rowOff>28574</xdr:rowOff>
    </xdr:from>
    <xdr:to>
      <xdr:col>6</xdr:col>
      <xdr:colOff>709232</xdr:colOff>
      <xdr:row>378</xdr:row>
      <xdr:rowOff>107861</xdr:rowOff>
    </xdr:to>
    <xdr:pic>
      <xdr:nvPicPr>
        <xdr:cNvPr id="14" name="Picture 13"/>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029916" y="52071709"/>
          <a:ext cx="4529739" cy="2848864"/>
        </a:xfrm>
        <a:prstGeom prst="rect">
          <a:avLst/>
        </a:prstGeom>
        <a:ln>
          <a:solidFill>
            <a:schemeClr val="tx1"/>
          </a:solidFill>
        </a:ln>
      </xdr:spPr>
    </xdr:pic>
    <xdr:clientData/>
  </xdr:twoCellAnchor>
  <xdr:twoCellAnchor>
    <xdr:from>
      <xdr:col>0</xdr:col>
      <xdr:colOff>480437</xdr:colOff>
      <xdr:row>380</xdr:row>
      <xdr:rowOff>114092</xdr:rowOff>
    </xdr:from>
    <xdr:to>
      <xdr:col>7</xdr:col>
      <xdr:colOff>487054</xdr:colOff>
      <xdr:row>398</xdr:row>
      <xdr:rowOff>160351</xdr:rowOff>
    </xdr:to>
    <xdr:grpSp>
      <xdr:nvGrpSpPr>
        <xdr:cNvPr id="24" name="Group 23"/>
        <xdr:cNvGrpSpPr/>
      </xdr:nvGrpSpPr>
      <xdr:grpSpPr>
        <a:xfrm>
          <a:off x="480437" y="61886892"/>
          <a:ext cx="5861317" cy="3589559"/>
          <a:chOff x="460375" y="71438"/>
          <a:chExt cx="5589732" cy="3607144"/>
        </a:xfrm>
      </xdr:grpSpPr>
      <xdr:sp macro="" textlink="">
        <xdr:nvSpPr>
          <xdr:cNvPr id="32" name="TextBox 15"/>
          <xdr:cNvSpPr txBox="1"/>
        </xdr:nvSpPr>
        <xdr:spPr>
          <a:xfrm>
            <a:off x="704850" y="1981200"/>
            <a:ext cx="23756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a:t> </a:t>
            </a:r>
          </a:p>
        </xdr:txBody>
      </xdr:sp>
      <xdr:sp macro="" textlink="">
        <xdr:nvSpPr>
          <xdr:cNvPr id="33" name="TextBox 2"/>
          <xdr:cNvSpPr txBox="1"/>
        </xdr:nvSpPr>
        <xdr:spPr>
          <a:xfrm>
            <a:off x="2384612" y="2605177"/>
            <a:ext cx="1847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grpSp>
        <xdr:nvGrpSpPr>
          <xdr:cNvPr id="34" name="Group 33"/>
          <xdr:cNvGrpSpPr/>
        </xdr:nvGrpSpPr>
        <xdr:grpSpPr>
          <a:xfrm>
            <a:off x="460375" y="77979"/>
            <a:ext cx="5581464" cy="3561081"/>
            <a:chOff x="0" y="0"/>
            <a:chExt cx="5072332" cy="2915729"/>
          </a:xfrm>
        </xdr:grpSpPr>
        <xdr:pic>
          <xdr:nvPicPr>
            <xdr:cNvPr id="52" name="Picture 51"/>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0" y="0"/>
              <a:ext cx="5072332" cy="2915729"/>
            </a:xfrm>
            <a:prstGeom prst="rect">
              <a:avLst/>
            </a:prstGeom>
            <a:ln>
              <a:solidFill>
                <a:schemeClr val="tx1"/>
              </a:solidFill>
            </a:ln>
          </xdr:spPr>
        </xdr:pic>
        <xdr:sp macro="" textlink="">
          <xdr:nvSpPr>
            <xdr:cNvPr id="53" name="Freeform 52"/>
            <xdr:cNvSpPr/>
          </xdr:nvSpPr>
          <xdr:spPr>
            <a:xfrm>
              <a:off x="2403184" y="786570"/>
              <a:ext cx="862013" cy="1095375"/>
            </a:xfrm>
            <a:custGeom>
              <a:avLst/>
              <a:gdLst>
                <a:gd name="connsiteX0" fmla="*/ 61913 w 862013"/>
                <a:gd name="connsiteY0" fmla="*/ 733425 h 1095375"/>
                <a:gd name="connsiteX1" fmla="*/ 0 w 862013"/>
                <a:gd name="connsiteY1" fmla="*/ 847725 h 1095375"/>
                <a:gd name="connsiteX2" fmla="*/ 66675 w 862013"/>
                <a:gd name="connsiteY2" fmla="*/ 971550 h 1095375"/>
                <a:gd name="connsiteX3" fmla="*/ 109538 w 862013"/>
                <a:gd name="connsiteY3" fmla="*/ 971550 h 1095375"/>
                <a:gd name="connsiteX4" fmla="*/ 200025 w 862013"/>
                <a:gd name="connsiteY4" fmla="*/ 1052513 h 1095375"/>
                <a:gd name="connsiteX5" fmla="*/ 400050 w 862013"/>
                <a:gd name="connsiteY5" fmla="*/ 1095375 h 1095375"/>
                <a:gd name="connsiteX6" fmla="*/ 400050 w 862013"/>
                <a:gd name="connsiteY6" fmla="*/ 990600 h 1095375"/>
                <a:gd name="connsiteX7" fmla="*/ 438150 w 862013"/>
                <a:gd name="connsiteY7" fmla="*/ 919163 h 1095375"/>
                <a:gd name="connsiteX8" fmla="*/ 862013 w 862013"/>
                <a:gd name="connsiteY8" fmla="*/ 266700 h 1095375"/>
                <a:gd name="connsiteX9" fmla="*/ 481013 w 862013"/>
                <a:gd name="connsiteY9" fmla="*/ 0 h 1095375"/>
                <a:gd name="connsiteX10" fmla="*/ 61913 w 862013"/>
                <a:gd name="connsiteY10" fmla="*/ 733425 h 1095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62013" h="1095375">
                  <a:moveTo>
                    <a:pt x="61913" y="733425"/>
                  </a:moveTo>
                  <a:lnTo>
                    <a:pt x="0" y="847725"/>
                  </a:lnTo>
                  <a:lnTo>
                    <a:pt x="66675" y="971550"/>
                  </a:lnTo>
                  <a:lnTo>
                    <a:pt x="109538" y="971550"/>
                  </a:lnTo>
                  <a:lnTo>
                    <a:pt x="200025" y="1052513"/>
                  </a:lnTo>
                  <a:lnTo>
                    <a:pt x="400050" y="1095375"/>
                  </a:lnTo>
                  <a:lnTo>
                    <a:pt x="400050" y="990600"/>
                  </a:lnTo>
                  <a:lnTo>
                    <a:pt x="438150" y="919163"/>
                  </a:lnTo>
                  <a:lnTo>
                    <a:pt x="862013" y="266700"/>
                  </a:lnTo>
                  <a:lnTo>
                    <a:pt x="481013" y="0"/>
                  </a:lnTo>
                  <a:lnTo>
                    <a:pt x="61913" y="733425"/>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35" name="Freeform 34"/>
          <xdr:cNvSpPr/>
        </xdr:nvSpPr>
        <xdr:spPr>
          <a:xfrm>
            <a:off x="3096509" y="249636"/>
            <a:ext cx="1667820" cy="3322239"/>
          </a:xfrm>
          <a:custGeom>
            <a:avLst/>
            <a:gdLst>
              <a:gd name="connsiteX0" fmla="*/ 199141 w 1667820"/>
              <a:gd name="connsiteY0" fmla="*/ 3322239 h 3322239"/>
              <a:gd name="connsiteX1" fmla="*/ 199141 w 1667820"/>
              <a:gd name="connsiteY1" fmla="*/ 3046014 h 3322239"/>
              <a:gd name="connsiteX2" fmla="*/ 18166 w 1667820"/>
              <a:gd name="connsiteY2" fmla="*/ 3026964 h 3322239"/>
              <a:gd name="connsiteX3" fmla="*/ 18166 w 1667820"/>
              <a:gd name="connsiteY3" fmla="*/ 2655489 h 3322239"/>
              <a:gd name="connsiteX4" fmla="*/ 122941 w 1667820"/>
              <a:gd name="connsiteY4" fmla="*/ 2322114 h 3322239"/>
              <a:gd name="connsiteX5" fmla="*/ 284866 w 1667820"/>
              <a:gd name="connsiteY5" fmla="*/ 2607864 h 3322239"/>
              <a:gd name="connsiteX6" fmla="*/ 313441 w 1667820"/>
              <a:gd name="connsiteY6" fmla="*/ 2845989 h 3322239"/>
              <a:gd name="connsiteX7" fmla="*/ 475366 w 1667820"/>
              <a:gd name="connsiteY7" fmla="*/ 2760264 h 3322239"/>
              <a:gd name="connsiteX8" fmla="*/ 475366 w 1667820"/>
              <a:gd name="connsiteY8" fmla="*/ 2588814 h 3322239"/>
              <a:gd name="connsiteX9" fmla="*/ 322966 w 1667820"/>
              <a:gd name="connsiteY9" fmla="*/ 2341164 h 3322239"/>
              <a:gd name="connsiteX10" fmla="*/ 570616 w 1667820"/>
              <a:gd name="connsiteY10" fmla="*/ 2331639 h 3322239"/>
              <a:gd name="connsiteX11" fmla="*/ 732541 w 1667820"/>
              <a:gd name="connsiteY11" fmla="*/ 2388789 h 3322239"/>
              <a:gd name="connsiteX12" fmla="*/ 913516 w 1667820"/>
              <a:gd name="connsiteY12" fmla="*/ 2255439 h 3322239"/>
              <a:gd name="connsiteX13" fmla="*/ 875416 w 1667820"/>
              <a:gd name="connsiteY13" fmla="*/ 1988739 h 3322239"/>
              <a:gd name="connsiteX14" fmla="*/ 694441 w 1667820"/>
              <a:gd name="connsiteY14" fmla="*/ 2064939 h 3322239"/>
              <a:gd name="connsiteX15" fmla="*/ 627766 w 1667820"/>
              <a:gd name="connsiteY15" fmla="*/ 1893489 h 3322239"/>
              <a:gd name="connsiteX16" fmla="*/ 418216 w 1667820"/>
              <a:gd name="connsiteY16" fmla="*/ 1607739 h 3322239"/>
              <a:gd name="connsiteX17" fmla="*/ 351541 w 1667820"/>
              <a:gd name="connsiteY17" fmla="*/ 1321989 h 3322239"/>
              <a:gd name="connsiteX18" fmla="*/ 427741 w 1667820"/>
              <a:gd name="connsiteY18" fmla="*/ 1083864 h 3322239"/>
              <a:gd name="connsiteX19" fmla="*/ 627766 w 1667820"/>
              <a:gd name="connsiteY19" fmla="*/ 1036239 h 3322239"/>
              <a:gd name="connsiteX20" fmla="*/ 1084966 w 1667820"/>
              <a:gd name="connsiteY20" fmla="*/ 950514 h 3322239"/>
              <a:gd name="connsiteX21" fmla="*/ 1513591 w 1667820"/>
              <a:gd name="connsiteY21" fmla="*/ 636189 h 3322239"/>
              <a:gd name="connsiteX22" fmla="*/ 1665991 w 1667820"/>
              <a:gd name="connsiteY22" fmla="*/ 340914 h 3322239"/>
              <a:gd name="connsiteX23" fmla="*/ 1646941 w 1667820"/>
              <a:gd name="connsiteY23" fmla="*/ 159939 h 33222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667820" h="3322239">
                <a:moveTo>
                  <a:pt x="199141" y="3322239"/>
                </a:moveTo>
                <a:cubicBezTo>
                  <a:pt x="214222" y="3208732"/>
                  <a:pt x="229303" y="3095226"/>
                  <a:pt x="199141" y="3046014"/>
                </a:cubicBezTo>
                <a:cubicBezTo>
                  <a:pt x="168979" y="2996802"/>
                  <a:pt x="48328" y="3092051"/>
                  <a:pt x="18166" y="3026964"/>
                </a:cubicBezTo>
                <a:cubicBezTo>
                  <a:pt x="-11996" y="2961877"/>
                  <a:pt x="704" y="2772964"/>
                  <a:pt x="18166" y="2655489"/>
                </a:cubicBezTo>
                <a:cubicBezTo>
                  <a:pt x="35628" y="2538014"/>
                  <a:pt x="78491" y="2330051"/>
                  <a:pt x="122941" y="2322114"/>
                </a:cubicBezTo>
                <a:cubicBezTo>
                  <a:pt x="167391" y="2314177"/>
                  <a:pt x="253116" y="2520552"/>
                  <a:pt x="284866" y="2607864"/>
                </a:cubicBezTo>
                <a:cubicBezTo>
                  <a:pt x="316616" y="2695176"/>
                  <a:pt x="281691" y="2820589"/>
                  <a:pt x="313441" y="2845989"/>
                </a:cubicBezTo>
                <a:cubicBezTo>
                  <a:pt x="345191" y="2871389"/>
                  <a:pt x="448379" y="2803126"/>
                  <a:pt x="475366" y="2760264"/>
                </a:cubicBezTo>
                <a:cubicBezTo>
                  <a:pt x="502353" y="2717402"/>
                  <a:pt x="500766" y="2658664"/>
                  <a:pt x="475366" y="2588814"/>
                </a:cubicBezTo>
                <a:cubicBezTo>
                  <a:pt x="449966" y="2518964"/>
                  <a:pt x="307091" y="2384026"/>
                  <a:pt x="322966" y="2341164"/>
                </a:cubicBezTo>
                <a:cubicBezTo>
                  <a:pt x="338841" y="2298302"/>
                  <a:pt x="502354" y="2323701"/>
                  <a:pt x="570616" y="2331639"/>
                </a:cubicBezTo>
                <a:cubicBezTo>
                  <a:pt x="638879" y="2339576"/>
                  <a:pt x="675391" y="2401489"/>
                  <a:pt x="732541" y="2388789"/>
                </a:cubicBezTo>
                <a:cubicBezTo>
                  <a:pt x="789691" y="2376089"/>
                  <a:pt x="889704" y="2322114"/>
                  <a:pt x="913516" y="2255439"/>
                </a:cubicBezTo>
                <a:cubicBezTo>
                  <a:pt x="937329" y="2188764"/>
                  <a:pt x="911928" y="2020489"/>
                  <a:pt x="875416" y="1988739"/>
                </a:cubicBezTo>
                <a:cubicBezTo>
                  <a:pt x="838904" y="1956989"/>
                  <a:pt x="735716" y="2080814"/>
                  <a:pt x="694441" y="2064939"/>
                </a:cubicBezTo>
                <a:cubicBezTo>
                  <a:pt x="653166" y="2049064"/>
                  <a:pt x="673804" y="1969689"/>
                  <a:pt x="627766" y="1893489"/>
                </a:cubicBezTo>
                <a:cubicBezTo>
                  <a:pt x="581729" y="1817289"/>
                  <a:pt x="464254" y="1702989"/>
                  <a:pt x="418216" y="1607739"/>
                </a:cubicBezTo>
                <a:cubicBezTo>
                  <a:pt x="372179" y="1512489"/>
                  <a:pt x="349954" y="1409301"/>
                  <a:pt x="351541" y="1321989"/>
                </a:cubicBezTo>
                <a:cubicBezTo>
                  <a:pt x="353128" y="1234677"/>
                  <a:pt x="381704" y="1131489"/>
                  <a:pt x="427741" y="1083864"/>
                </a:cubicBezTo>
                <a:cubicBezTo>
                  <a:pt x="473779" y="1036239"/>
                  <a:pt x="518229" y="1058464"/>
                  <a:pt x="627766" y="1036239"/>
                </a:cubicBezTo>
                <a:cubicBezTo>
                  <a:pt x="737303" y="1014014"/>
                  <a:pt x="937329" y="1017189"/>
                  <a:pt x="1084966" y="950514"/>
                </a:cubicBezTo>
                <a:cubicBezTo>
                  <a:pt x="1232603" y="883839"/>
                  <a:pt x="1416754" y="737789"/>
                  <a:pt x="1513591" y="636189"/>
                </a:cubicBezTo>
                <a:cubicBezTo>
                  <a:pt x="1610428" y="534589"/>
                  <a:pt x="1643766" y="420289"/>
                  <a:pt x="1665991" y="340914"/>
                </a:cubicBezTo>
                <a:cubicBezTo>
                  <a:pt x="1688216" y="261539"/>
                  <a:pt x="1497716" y="-255986"/>
                  <a:pt x="1646941" y="159939"/>
                </a:cubicBez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Freeform 35"/>
          <xdr:cNvSpPr/>
        </xdr:nvSpPr>
        <xdr:spPr>
          <a:xfrm>
            <a:off x="3941071" y="71438"/>
            <a:ext cx="740467" cy="1107730"/>
          </a:xfrm>
          <a:custGeom>
            <a:avLst/>
            <a:gdLst>
              <a:gd name="connsiteX0" fmla="*/ 740467 w 740467"/>
              <a:gd name="connsiteY0" fmla="*/ 171450 h 1107730"/>
              <a:gd name="connsiteX1" fmla="*/ 40379 w 740467"/>
              <a:gd name="connsiteY1" fmla="*/ 1095375 h 1107730"/>
              <a:gd name="connsiteX2" fmla="*/ 130867 w 740467"/>
              <a:gd name="connsiteY2" fmla="*/ 657225 h 1107730"/>
              <a:gd name="connsiteX3" fmla="*/ 516629 w 740467"/>
              <a:gd name="connsiteY3" fmla="*/ 0 h 1107730"/>
            </a:gdLst>
            <a:ahLst/>
            <a:cxnLst>
              <a:cxn ang="0">
                <a:pos x="connsiteX0" y="connsiteY0"/>
              </a:cxn>
              <a:cxn ang="0">
                <a:pos x="connsiteX1" y="connsiteY1"/>
              </a:cxn>
              <a:cxn ang="0">
                <a:pos x="connsiteX2" y="connsiteY2"/>
              </a:cxn>
              <a:cxn ang="0">
                <a:pos x="connsiteX3" y="connsiteY3"/>
              </a:cxn>
            </a:cxnLst>
            <a:rect l="l" t="t" r="r" b="b"/>
            <a:pathLst>
              <a:path w="740467" h="1107730">
                <a:moveTo>
                  <a:pt x="740467" y="171450"/>
                </a:moveTo>
                <a:cubicBezTo>
                  <a:pt x="441223" y="592931"/>
                  <a:pt x="141979" y="1014413"/>
                  <a:pt x="40379" y="1095375"/>
                </a:cubicBezTo>
                <a:cubicBezTo>
                  <a:pt x="-61221" y="1176337"/>
                  <a:pt x="51492" y="839788"/>
                  <a:pt x="130867" y="657225"/>
                </a:cubicBezTo>
                <a:cubicBezTo>
                  <a:pt x="210242" y="474663"/>
                  <a:pt x="363435" y="237331"/>
                  <a:pt x="516629" y="0"/>
                </a:cubicBez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TextBox 31"/>
          <xdr:cNvSpPr txBox="1"/>
        </xdr:nvSpPr>
        <xdr:spPr>
          <a:xfrm>
            <a:off x="4525006" y="1789747"/>
            <a:ext cx="12482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Mangroves</a:t>
            </a:r>
            <a:endParaRPr lang="en-IN" b="1">
              <a:solidFill>
                <a:srgbClr val="FF0000"/>
              </a:solidFill>
            </a:endParaRPr>
          </a:p>
        </xdr:txBody>
      </xdr:sp>
      <xdr:cxnSp macro="">
        <xdr:nvCxnSpPr>
          <xdr:cNvPr id="38" name="Straight Arrow Connector 37"/>
          <xdr:cNvCxnSpPr/>
        </xdr:nvCxnSpPr>
        <xdr:spPr>
          <a:xfrm flipH="1">
            <a:off x="3322320" y="830580"/>
            <a:ext cx="38100" cy="95916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9" name="TextBox 34"/>
          <xdr:cNvSpPr txBox="1"/>
        </xdr:nvSpPr>
        <xdr:spPr>
          <a:xfrm>
            <a:off x="2851748" y="605528"/>
            <a:ext cx="1247457"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Walchand Avenue</a:t>
            </a:r>
            <a:endParaRPr lang="en-IN" sz="1100" b="1">
              <a:solidFill>
                <a:srgbClr val="FF0000"/>
              </a:solidFill>
            </a:endParaRPr>
          </a:p>
        </xdr:txBody>
      </xdr:sp>
      <xdr:cxnSp macro="">
        <xdr:nvCxnSpPr>
          <xdr:cNvPr id="40" name="Straight Connector 39"/>
          <xdr:cNvCxnSpPr>
            <a:stCxn id="35" idx="11"/>
          </xdr:cNvCxnSpPr>
        </xdr:nvCxnSpPr>
        <xdr:spPr>
          <a:xfrm>
            <a:off x="3829050" y="2638425"/>
            <a:ext cx="1116834" cy="100063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a:stCxn id="35" idx="13"/>
          </xdr:cNvCxnSpPr>
        </xdr:nvCxnSpPr>
        <xdr:spPr>
          <a:xfrm>
            <a:off x="3971925" y="2238375"/>
            <a:ext cx="1423035" cy="1407226"/>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a:off x="4663068" y="776682"/>
            <a:ext cx="1378771" cy="1481888"/>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a:stCxn id="35" idx="23"/>
            <a:endCxn id="52" idx="3"/>
          </xdr:cNvCxnSpPr>
        </xdr:nvCxnSpPr>
        <xdr:spPr>
          <a:xfrm>
            <a:off x="4743450" y="409575"/>
            <a:ext cx="1298389" cy="144894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3475476" y="1491713"/>
            <a:ext cx="2345009" cy="214734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a:stCxn id="35" idx="19"/>
          </xdr:cNvCxnSpPr>
        </xdr:nvCxnSpPr>
        <xdr:spPr>
          <a:xfrm>
            <a:off x="3724275" y="1285875"/>
            <a:ext cx="2325832" cy="205200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a:stCxn id="35" idx="7"/>
          </xdr:cNvCxnSpPr>
        </xdr:nvCxnSpPr>
        <xdr:spPr>
          <a:xfrm>
            <a:off x="3571875" y="3009900"/>
            <a:ext cx="739388" cy="63570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a:stCxn id="35" idx="9"/>
          </xdr:cNvCxnSpPr>
        </xdr:nvCxnSpPr>
        <xdr:spPr>
          <a:xfrm>
            <a:off x="3419475" y="2590800"/>
            <a:ext cx="1179886" cy="100903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a:stCxn id="35" idx="3"/>
          </xdr:cNvCxnSpPr>
        </xdr:nvCxnSpPr>
        <xdr:spPr>
          <a:xfrm>
            <a:off x="3114675" y="2905125"/>
            <a:ext cx="815744" cy="77345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4326614" y="1124954"/>
            <a:ext cx="826616" cy="78119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a:off x="5291495" y="2064358"/>
            <a:ext cx="745273" cy="70340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a:off x="4987390" y="108390"/>
            <a:ext cx="1049378" cy="1098189"/>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285750</xdr:colOff>
      <xdr:row>279</xdr:row>
      <xdr:rowOff>9525</xdr:rowOff>
    </xdr:from>
    <xdr:to>
      <xdr:col>7</xdr:col>
      <xdr:colOff>104100</xdr:colOff>
      <xdr:row>319</xdr:row>
      <xdr:rowOff>92405</xdr:rowOff>
    </xdr:to>
    <xdr:grpSp>
      <xdr:nvGrpSpPr>
        <xdr:cNvPr id="54" name="Group 53"/>
        <xdr:cNvGrpSpPr/>
      </xdr:nvGrpSpPr>
      <xdr:grpSpPr>
        <a:xfrm>
          <a:off x="285750" y="41900475"/>
          <a:ext cx="5673050" cy="7956880"/>
          <a:chOff x="361950" y="44929425"/>
          <a:chExt cx="5400000" cy="8083880"/>
        </a:xfrm>
      </xdr:grpSpPr>
      <xdr:grpSp>
        <xdr:nvGrpSpPr>
          <xdr:cNvPr id="55" name="Group 54"/>
          <xdr:cNvGrpSpPr/>
        </xdr:nvGrpSpPr>
        <xdr:grpSpPr>
          <a:xfrm>
            <a:off x="1242675" y="44929425"/>
            <a:ext cx="3619500" cy="4680000"/>
            <a:chOff x="1793421" y="360968"/>
            <a:chExt cx="3619500" cy="4857750"/>
          </a:xfrm>
        </xdr:grpSpPr>
        <xdr:pic>
          <xdr:nvPicPr>
            <xdr:cNvPr id="57" name="Picture 56"/>
            <xdr:cNvPicPr>
              <a:picLocks noChangeAspect="1"/>
            </xdr:cNvPicPr>
          </xdr:nvPicPr>
          <xdr:blipFill>
            <a:blip xmlns:r="http://schemas.openxmlformats.org/officeDocument/2006/relationships" r:embed="rId8"/>
            <a:stretch>
              <a:fillRect/>
            </a:stretch>
          </xdr:blipFill>
          <xdr:spPr>
            <a:xfrm>
              <a:off x="1793421" y="360968"/>
              <a:ext cx="3619500" cy="4857750"/>
            </a:xfrm>
            <a:prstGeom prst="rect">
              <a:avLst/>
            </a:prstGeom>
            <a:ln>
              <a:solidFill>
                <a:schemeClr val="tx1"/>
              </a:solidFill>
            </a:ln>
          </xdr:spPr>
        </xdr:pic>
        <xdr:sp macro="" textlink="">
          <xdr:nvSpPr>
            <xdr:cNvPr id="58" name="Freeform 57"/>
            <xdr:cNvSpPr/>
          </xdr:nvSpPr>
          <xdr:spPr>
            <a:xfrm>
              <a:off x="2423886" y="508000"/>
              <a:ext cx="2873828" cy="4209143"/>
            </a:xfrm>
            <a:custGeom>
              <a:avLst/>
              <a:gdLst>
                <a:gd name="connsiteX0" fmla="*/ 0 w 2873828"/>
                <a:gd name="connsiteY0" fmla="*/ 406400 h 4209143"/>
                <a:gd name="connsiteX1" fmla="*/ 1306285 w 2873828"/>
                <a:gd name="connsiteY1" fmla="*/ 0 h 4209143"/>
                <a:gd name="connsiteX2" fmla="*/ 1901371 w 2873828"/>
                <a:gd name="connsiteY2" fmla="*/ 1016000 h 4209143"/>
                <a:gd name="connsiteX3" fmla="*/ 2873828 w 2873828"/>
                <a:gd name="connsiteY3" fmla="*/ 3730171 h 4209143"/>
                <a:gd name="connsiteX4" fmla="*/ 2264228 w 2873828"/>
                <a:gd name="connsiteY4" fmla="*/ 3991429 h 4209143"/>
                <a:gd name="connsiteX5" fmla="*/ 1291771 w 2873828"/>
                <a:gd name="connsiteY5" fmla="*/ 4209143 h 4209143"/>
                <a:gd name="connsiteX6" fmla="*/ 943428 w 2873828"/>
                <a:gd name="connsiteY6" fmla="*/ 4122057 h 4209143"/>
                <a:gd name="connsiteX7" fmla="*/ 783771 w 2873828"/>
                <a:gd name="connsiteY7" fmla="*/ 3672114 h 4209143"/>
                <a:gd name="connsiteX8" fmla="*/ 783771 w 2873828"/>
                <a:gd name="connsiteY8" fmla="*/ 3193143 h 4209143"/>
                <a:gd name="connsiteX9" fmla="*/ 0 w 2873828"/>
                <a:gd name="connsiteY9" fmla="*/ 406400 h 42091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873828" h="4209143">
                  <a:moveTo>
                    <a:pt x="0" y="406400"/>
                  </a:moveTo>
                  <a:lnTo>
                    <a:pt x="1306285" y="0"/>
                  </a:lnTo>
                  <a:lnTo>
                    <a:pt x="1901371" y="1016000"/>
                  </a:lnTo>
                  <a:lnTo>
                    <a:pt x="2873828" y="3730171"/>
                  </a:lnTo>
                  <a:lnTo>
                    <a:pt x="2264228" y="3991429"/>
                  </a:lnTo>
                  <a:lnTo>
                    <a:pt x="1291771" y="4209143"/>
                  </a:lnTo>
                  <a:lnTo>
                    <a:pt x="943428" y="4122057"/>
                  </a:lnTo>
                  <a:lnTo>
                    <a:pt x="783771" y="3672114"/>
                  </a:lnTo>
                  <a:lnTo>
                    <a:pt x="783771" y="3193143"/>
                  </a:lnTo>
                  <a:lnTo>
                    <a:pt x="0" y="40640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pic>
        <xdr:nvPicPr>
          <xdr:cNvPr id="56" name="Picture 55"/>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61950" y="49856472"/>
            <a:ext cx="5400000" cy="3156833"/>
          </a:xfrm>
          <a:prstGeom prst="rect">
            <a:avLst/>
          </a:prstGeom>
          <a:ln>
            <a:solidFill>
              <a:schemeClr val="tx1"/>
            </a:solidFill>
          </a:ln>
        </xdr:spPr>
      </xdr:pic>
    </xdr:grpSp>
    <xdr:clientData/>
  </xdr:twoCellAnchor>
  <xdr:twoCellAnchor editAs="oneCell">
    <xdr:from>
      <xdr:col>0</xdr:col>
      <xdr:colOff>89649</xdr:colOff>
      <xdr:row>321</xdr:row>
      <xdr:rowOff>100854</xdr:rowOff>
    </xdr:from>
    <xdr:to>
      <xdr:col>7</xdr:col>
      <xdr:colOff>738359</xdr:colOff>
      <xdr:row>344</xdr:row>
      <xdr:rowOff>105619</xdr:rowOff>
    </xdr:to>
    <xdr:pic>
      <xdr:nvPicPr>
        <xdr:cNvPr id="59" name="Picture 58"/>
        <xdr:cNvPicPr>
          <a:picLocks noChangeAspect="1"/>
        </xdr:cNvPicPr>
      </xdr:nvPicPr>
      <xdr:blipFill>
        <a:blip xmlns:r="http://schemas.openxmlformats.org/officeDocument/2006/relationships" r:embed="rId10"/>
        <a:stretch>
          <a:fillRect/>
        </a:stretch>
      </xdr:blipFill>
      <xdr:spPr>
        <a:xfrm>
          <a:off x="89649" y="51535854"/>
          <a:ext cx="6666269" cy="4644000"/>
        </a:xfrm>
        <a:prstGeom prst="rect">
          <a:avLst/>
        </a:prstGeom>
        <a:ln>
          <a:solidFill>
            <a:schemeClr val="tx1"/>
          </a:solidFill>
        </a:ln>
      </xdr:spPr>
    </xdr:pic>
    <xdr:clientData/>
  </xdr:twoCellAnchor>
  <xdr:twoCellAnchor editAs="oneCell">
    <xdr:from>
      <xdr:col>0</xdr:col>
      <xdr:colOff>114614</xdr:colOff>
      <xdr:row>345</xdr:row>
      <xdr:rowOff>66259</xdr:rowOff>
    </xdr:from>
    <xdr:to>
      <xdr:col>3</xdr:col>
      <xdr:colOff>822801</xdr:colOff>
      <xdr:row>357</xdr:row>
      <xdr:rowOff>93788</xdr:rowOff>
    </xdr:to>
    <xdr:pic>
      <xdr:nvPicPr>
        <xdr:cNvPr id="60" name="Picture 59"/>
        <xdr:cNvPicPr>
          <a:picLocks noChangeAspect="1"/>
        </xdr:cNvPicPr>
      </xdr:nvPicPr>
      <xdr:blipFill>
        <a:blip xmlns:r="http://schemas.openxmlformats.org/officeDocument/2006/relationships" r:embed="rId11"/>
        <a:stretch>
          <a:fillRect/>
        </a:stretch>
      </xdr:blipFill>
      <xdr:spPr>
        <a:xfrm>
          <a:off x="114614" y="56342200"/>
          <a:ext cx="3307952" cy="2448000"/>
        </a:xfrm>
        <a:prstGeom prst="rect">
          <a:avLst/>
        </a:prstGeom>
        <a:ln>
          <a:solidFill>
            <a:schemeClr val="tx1"/>
          </a:solidFill>
        </a:ln>
      </xdr:spPr>
    </xdr:pic>
    <xdr:clientData/>
  </xdr:twoCellAnchor>
  <xdr:twoCellAnchor editAs="oneCell">
    <xdr:from>
      <xdr:col>3</xdr:col>
      <xdr:colOff>885897</xdr:colOff>
      <xdr:row>345</xdr:row>
      <xdr:rowOff>66259</xdr:rowOff>
    </xdr:from>
    <xdr:to>
      <xdr:col>7</xdr:col>
      <xdr:colOff>759373</xdr:colOff>
      <xdr:row>357</xdr:row>
      <xdr:rowOff>93788</xdr:rowOff>
    </xdr:to>
    <xdr:pic>
      <xdr:nvPicPr>
        <xdr:cNvPr id="61" name="Picture 60"/>
        <xdr:cNvPicPr>
          <a:picLocks noChangeAspect="1"/>
        </xdr:cNvPicPr>
      </xdr:nvPicPr>
      <xdr:blipFill>
        <a:blip xmlns:r="http://schemas.openxmlformats.org/officeDocument/2006/relationships" r:embed="rId12"/>
        <a:stretch>
          <a:fillRect/>
        </a:stretch>
      </xdr:blipFill>
      <xdr:spPr>
        <a:xfrm>
          <a:off x="3485662" y="56342200"/>
          <a:ext cx="3291270" cy="2448000"/>
        </a:xfrm>
        <a:prstGeom prst="rect">
          <a:avLst/>
        </a:prstGeom>
        <a:ln>
          <a:solidFill>
            <a:schemeClr val="tx1"/>
          </a:solidFill>
        </a:ln>
      </xdr:spPr>
    </xdr:pic>
    <xdr:clientData/>
  </xdr:twoCellAnchor>
  <xdr:twoCellAnchor>
    <xdr:from>
      <xdr:col>0</xdr:col>
      <xdr:colOff>44450</xdr:colOff>
      <xdr:row>235</xdr:row>
      <xdr:rowOff>101600</xdr:rowOff>
    </xdr:from>
    <xdr:to>
      <xdr:col>7</xdr:col>
      <xdr:colOff>706987</xdr:colOff>
      <xdr:row>267</xdr:row>
      <xdr:rowOff>35961</xdr:rowOff>
    </xdr:to>
    <xdr:grpSp>
      <xdr:nvGrpSpPr>
        <xdr:cNvPr id="6" name="Group 5"/>
        <xdr:cNvGrpSpPr/>
      </xdr:nvGrpSpPr>
      <xdr:grpSpPr>
        <a:xfrm>
          <a:off x="44450" y="33337500"/>
          <a:ext cx="6517237" cy="6227211"/>
          <a:chOff x="44450" y="33140650"/>
          <a:chExt cx="6517237" cy="6227211"/>
        </a:xfrm>
      </xdr:grpSpPr>
      <xdr:pic>
        <xdr:nvPicPr>
          <xdr:cNvPr id="62" name="Picture 6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111019" y="37207861"/>
            <a:ext cx="1450668" cy="216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394646" y="37207861"/>
            <a:ext cx="1620000" cy="216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760823" y="37207861"/>
            <a:ext cx="1553877" cy="2160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4450" y="37207861"/>
            <a:ext cx="1620000" cy="2160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66997" y="33140650"/>
            <a:ext cx="2970000" cy="396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380823" y="33140650"/>
            <a:ext cx="2970000"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KW8rPhpRNvc4XwEM7" TargetMode="External"/><Relationship Id="rId1" Type="http://schemas.openxmlformats.org/officeDocument/2006/relationships/hyperlink" Target="https://www.walchandavenue.com/?gad_source=1&amp;gclid=Cj0KCQjw97SzBhDaARIsAFHXUWA6ivVvrQHaCG9UEOY39bq1tnAoeT5Ib2aXT6JdT146K17cMpzy4eQaAsx"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05"/>
  <sheetViews>
    <sheetView tabSelected="1" view="pageBreakPreview" zoomScaleNormal="100" zoomScaleSheetLayoutView="100" zoomScalePageLayoutView="85" workbookViewId="0">
      <selection activeCell="B222" sqref="B222:H222"/>
    </sheetView>
  </sheetViews>
  <sheetFormatPr defaultColWidth="9.1796875" defaultRowHeight="15.5" x14ac:dyDescent="0.35"/>
  <cols>
    <col min="1" max="1" width="11.453125" style="33" customWidth="1"/>
    <col min="2" max="2" width="12" style="33" customWidth="1"/>
    <col min="3" max="3" width="12.7265625" style="33" customWidth="1"/>
    <col min="4" max="4" width="13.7265625" style="33" customWidth="1"/>
    <col min="5" max="5" width="11.7265625" style="33" customWidth="1"/>
    <col min="6" max="6" width="11.1796875" style="33" customWidth="1"/>
    <col min="7" max="8" width="11" style="33"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65" t="s">
        <v>165</v>
      </c>
      <c r="B1" s="165"/>
      <c r="C1" s="165"/>
      <c r="D1" s="165"/>
      <c r="E1" s="165"/>
      <c r="F1" s="165"/>
      <c r="G1" s="165"/>
      <c r="H1" s="165"/>
    </row>
    <row r="2" spans="1:26" ht="16.5" customHeight="1" x14ac:dyDescent="0.35">
      <c r="A2" s="166" t="s">
        <v>0</v>
      </c>
      <c r="B2" s="166"/>
      <c r="C2" s="166"/>
      <c r="D2" s="166"/>
      <c r="E2" s="166"/>
      <c r="F2" s="166"/>
      <c r="G2" s="166"/>
      <c r="H2" s="166"/>
    </row>
    <row r="3" spans="1:26" x14ac:dyDescent="0.35">
      <c r="A3" s="141" t="s">
        <v>1</v>
      </c>
      <c r="B3" s="141"/>
      <c r="C3" s="141"/>
      <c r="D3" s="141"/>
      <c r="E3" s="141" t="str">
        <f ca="1">TEXT(TODAY(),"DD/MM/YYYY")</f>
        <v>27/09/2025</v>
      </c>
      <c r="F3" s="141"/>
      <c r="G3" s="141"/>
      <c r="H3" s="141"/>
      <c r="K3" s="40" t="s">
        <v>239</v>
      </c>
      <c r="L3" s="39" t="s">
        <v>237</v>
      </c>
      <c r="M3" s="39" t="s">
        <v>242</v>
      </c>
      <c r="N3" s="39" t="s">
        <v>240</v>
      </c>
      <c r="O3" s="39" t="s">
        <v>241</v>
      </c>
      <c r="P3" s="39" t="s">
        <v>243</v>
      </c>
    </row>
    <row r="4" spans="1:26" ht="15" customHeight="1" x14ac:dyDescent="0.35">
      <c r="A4" s="141" t="s">
        <v>236</v>
      </c>
      <c r="B4" s="141"/>
      <c r="C4" s="141"/>
      <c r="D4" s="141"/>
      <c r="E4" s="141" t="s">
        <v>237</v>
      </c>
      <c r="F4" s="141"/>
      <c r="G4" s="141"/>
      <c r="H4" s="141"/>
      <c r="K4" s="38" t="s">
        <v>238</v>
      </c>
      <c r="L4" s="39" t="s">
        <v>172</v>
      </c>
      <c r="M4" s="39" t="s">
        <v>247</v>
      </c>
      <c r="N4" s="39" t="s">
        <v>249</v>
      </c>
      <c r="O4" s="39" t="s">
        <v>251</v>
      </c>
      <c r="P4" s="39"/>
    </row>
    <row r="5" spans="1:26" ht="15" customHeight="1" x14ac:dyDescent="0.35">
      <c r="A5" s="141" t="s">
        <v>2</v>
      </c>
      <c r="B5" s="141"/>
      <c r="C5" s="141"/>
      <c r="D5" s="141"/>
      <c r="E5" s="141" t="s">
        <v>172</v>
      </c>
      <c r="F5" s="141"/>
      <c r="G5" s="141"/>
      <c r="H5" s="141"/>
      <c r="K5" s="38"/>
      <c r="L5" s="39" t="s">
        <v>244</v>
      </c>
      <c r="M5" s="39" t="s">
        <v>248</v>
      </c>
      <c r="N5" s="39" t="s">
        <v>250</v>
      </c>
      <c r="O5" s="39" t="s">
        <v>252</v>
      </c>
      <c r="P5" s="39"/>
    </row>
    <row r="6" spans="1:26" x14ac:dyDescent="0.35">
      <c r="A6" s="141" t="s">
        <v>3</v>
      </c>
      <c r="B6" s="141"/>
      <c r="C6" s="141"/>
      <c r="D6" s="141"/>
      <c r="E6" s="167">
        <v>45882</v>
      </c>
      <c r="F6" s="141"/>
      <c r="G6" s="141"/>
      <c r="H6" s="141"/>
      <c r="K6" s="38"/>
      <c r="L6" s="39" t="s">
        <v>245</v>
      </c>
      <c r="M6" s="39"/>
      <c r="N6" s="39"/>
      <c r="O6" s="39" t="s">
        <v>253</v>
      </c>
      <c r="P6" s="39"/>
    </row>
    <row r="7" spans="1:26" ht="16.5" customHeight="1" x14ac:dyDescent="0.35">
      <c r="A7" s="141" t="s">
        <v>4</v>
      </c>
      <c r="B7" s="141"/>
      <c r="C7" s="141"/>
      <c r="D7" s="141"/>
      <c r="E7" s="141" t="s">
        <v>380</v>
      </c>
      <c r="F7" s="141"/>
      <c r="G7" s="141"/>
      <c r="H7" s="141"/>
      <c r="K7" s="38"/>
      <c r="L7" s="39" t="s">
        <v>246</v>
      </c>
      <c r="M7" s="39"/>
      <c r="N7" s="39"/>
      <c r="O7" s="39" t="s">
        <v>253</v>
      </c>
      <c r="P7" s="39"/>
    </row>
    <row r="8" spans="1:26" ht="15" customHeight="1" x14ac:dyDescent="0.35">
      <c r="A8" s="141" t="s">
        <v>5</v>
      </c>
      <c r="B8" s="141"/>
      <c r="C8" s="141"/>
      <c r="D8" s="141"/>
      <c r="E8" s="141" t="str">
        <f>E7</f>
        <v>Pramanik Homes LLP</v>
      </c>
      <c r="F8" s="141"/>
      <c r="G8" s="141"/>
      <c r="H8" s="141"/>
      <c r="K8" s="38"/>
      <c r="L8" s="39"/>
      <c r="M8" s="39"/>
      <c r="N8" s="39"/>
      <c r="O8" s="39" t="s">
        <v>254</v>
      </c>
      <c r="P8" s="39"/>
    </row>
    <row r="9" spans="1:26" x14ac:dyDescent="0.35">
      <c r="A9" s="141" t="s">
        <v>6</v>
      </c>
      <c r="B9" s="141"/>
      <c r="C9" s="141"/>
      <c r="D9" s="141"/>
      <c r="E9" s="124" t="s">
        <v>339</v>
      </c>
      <c r="F9" s="124"/>
      <c r="G9" s="124"/>
      <c r="H9" s="124"/>
      <c r="K9" s="38"/>
      <c r="L9" s="39"/>
      <c r="M9" s="39"/>
      <c r="N9" s="39"/>
      <c r="O9" s="39" t="s">
        <v>255</v>
      </c>
      <c r="P9" s="39"/>
    </row>
    <row r="10" spans="1:26" x14ac:dyDescent="0.35">
      <c r="A10" s="141" t="s">
        <v>168</v>
      </c>
      <c r="B10" s="141"/>
      <c r="C10" s="141"/>
      <c r="D10" s="141"/>
      <c r="E10" s="141">
        <v>8928815755</v>
      </c>
      <c r="F10" s="141"/>
      <c r="G10" s="141"/>
      <c r="H10" s="141"/>
      <c r="K10" s="38"/>
      <c r="L10" s="39"/>
      <c r="M10" s="39"/>
      <c r="N10" s="39"/>
      <c r="O10" s="39"/>
      <c r="P10" s="39"/>
    </row>
    <row r="11" spans="1:26" x14ac:dyDescent="0.35">
      <c r="A11" s="141" t="s">
        <v>169</v>
      </c>
      <c r="B11" s="141"/>
      <c r="C11" s="141"/>
      <c r="D11" s="141"/>
      <c r="E11" s="141" t="s">
        <v>388</v>
      </c>
      <c r="F11" s="141"/>
      <c r="G11" s="141"/>
      <c r="H11" s="141"/>
    </row>
    <row r="12" spans="1:26" x14ac:dyDescent="0.35">
      <c r="A12" s="141" t="s">
        <v>7</v>
      </c>
      <c r="B12" s="141"/>
      <c r="C12" s="141"/>
      <c r="D12" s="141"/>
      <c r="E12" s="141" t="s">
        <v>340</v>
      </c>
      <c r="F12" s="141"/>
      <c r="G12" s="141"/>
      <c r="H12" s="141"/>
    </row>
    <row r="13" spans="1:26" x14ac:dyDescent="0.35">
      <c r="A13" s="141" t="s">
        <v>173</v>
      </c>
      <c r="B13" s="141"/>
      <c r="C13" s="141"/>
      <c r="D13" s="141"/>
      <c r="E13" s="141" t="s">
        <v>28</v>
      </c>
      <c r="F13" s="141"/>
      <c r="G13" s="141"/>
      <c r="H13" s="141"/>
      <c r="S13" s="39" t="s">
        <v>182</v>
      </c>
      <c r="T13" s="39" t="s">
        <v>191</v>
      </c>
      <c r="U13" s="39" t="s">
        <v>174</v>
      </c>
      <c r="V13" s="39" t="s">
        <v>196</v>
      </c>
      <c r="W13" s="39" t="s">
        <v>214</v>
      </c>
      <c r="X13"/>
      <c r="Y13" t="s">
        <v>196</v>
      </c>
      <c r="Z13" t="e">
        <f ca="1">OFFSET($S$13,1,MATCH($G20,$S$13:$W$13,0)-1,15,1)</f>
        <v>#VALUE!</v>
      </c>
    </row>
    <row r="14" spans="1:26" ht="15.75" customHeight="1" x14ac:dyDescent="0.35">
      <c r="A14" s="96" t="s">
        <v>282</v>
      </c>
      <c r="B14" s="96"/>
      <c r="C14" s="96"/>
      <c r="D14" s="96"/>
      <c r="E14" s="130" t="s">
        <v>229</v>
      </c>
      <c r="F14" s="130"/>
      <c r="G14" s="130"/>
      <c r="H14" s="130"/>
      <c r="S14" s="39" t="s">
        <v>182</v>
      </c>
      <c r="T14" s="39" t="s">
        <v>189</v>
      </c>
      <c r="U14" s="39" t="s">
        <v>211</v>
      </c>
      <c r="V14" s="39" t="s">
        <v>197</v>
      </c>
      <c r="W14" s="39" t="s">
        <v>215</v>
      </c>
      <c r="X14"/>
      <c r="Y14"/>
      <c r="Z14"/>
    </row>
    <row r="15" spans="1:26" x14ac:dyDescent="0.35">
      <c r="A15" s="96" t="s">
        <v>8</v>
      </c>
      <c r="B15" s="96"/>
      <c r="C15" s="96"/>
      <c r="D15" s="96"/>
      <c r="E15" s="130" t="s">
        <v>338</v>
      </c>
      <c r="F15" s="141"/>
      <c r="G15" s="141"/>
      <c r="H15" s="141"/>
      <c r="I15" s="224" t="e">
        <f ca="1">OFFSET($D$5,1,MATCH($J13,$D$5:$H$5,0)-1,15,1)</f>
        <v>#N/A</v>
      </c>
      <c r="J15" s="225"/>
      <c r="K15" s="225"/>
      <c r="L15" s="225"/>
      <c r="M15" s="225"/>
      <c r="N15" s="225"/>
      <c r="O15" s="225"/>
      <c r="P15" s="225"/>
      <c r="S15" s="39" t="s">
        <v>183</v>
      </c>
      <c r="T15" s="39" t="s">
        <v>190</v>
      </c>
      <c r="U15" s="39" t="s">
        <v>212</v>
      </c>
      <c r="V15" s="39" t="s">
        <v>198</v>
      </c>
      <c r="W15" s="39" t="s">
        <v>228</v>
      </c>
      <c r="X15"/>
      <c r="Y15"/>
      <c r="Z15"/>
    </row>
    <row r="16" spans="1:26" ht="48.75" customHeight="1" x14ac:dyDescent="0.35">
      <c r="A16" s="152" t="s">
        <v>9</v>
      </c>
      <c r="B16" s="152"/>
      <c r="C16" s="152" t="str">
        <f>CONCATENATE((IF(OR(E9="",E9="NA"),"",E9)),", ",(IF(OR(A17="",A17="NA"),"",A17)),".",(IF(OR(C17="",C17="NA"),"",C17)),", near ",(IF(OR(C22="",C22="NA"),"",C22)),", ",(IF(OR(C19="",C19="NA"),"",C19)),", ",(IF(OR(C18="",C18="NA"),"",C18)),", ",(IF(OR(G19="",G19="NA"),"",G19)),", ",(IF(OR(C20="",C20="NA"),"",C20)),", ",(IF(OR(C21="",C21="NA"),"",C21)),", ",(IF(OR(G20="",G20="NA"),"",G20))," - ",(IF(OR(G21="",G21="NA"),"",G21)),".")</f>
        <v>Walchand Avenue, Survey No.272(OLD) 84(NEW), H No.3(pt), 4, near Surya Heritage Apartment, Shiv Sena Gali Road, Gaurav City, Navghar, Bhayander, Thane, Thane - 401107.</v>
      </c>
      <c r="D16" s="152"/>
      <c r="E16" s="152"/>
      <c r="F16" s="152"/>
      <c r="G16" s="152"/>
      <c r="H16" s="152"/>
      <c r="S16" s="39" t="s">
        <v>184</v>
      </c>
      <c r="T16" s="39" t="s">
        <v>192</v>
      </c>
      <c r="U16" s="39" t="s">
        <v>213</v>
      </c>
      <c r="V16" s="39" t="s">
        <v>199</v>
      </c>
      <c r="W16" s="39" t="s">
        <v>216</v>
      </c>
      <c r="X16"/>
      <c r="Y16"/>
      <c r="Z16"/>
    </row>
    <row r="17" spans="1:26" x14ac:dyDescent="0.35">
      <c r="A17" s="130" t="s">
        <v>341</v>
      </c>
      <c r="B17" s="130"/>
      <c r="C17" s="130" t="s">
        <v>342</v>
      </c>
      <c r="D17" s="130"/>
      <c r="E17" s="130"/>
      <c r="F17" s="130"/>
      <c r="G17" s="130"/>
      <c r="H17" s="130"/>
      <c r="S17" s="39" t="s">
        <v>185</v>
      </c>
      <c r="T17" s="39" t="s">
        <v>193</v>
      </c>
      <c r="U17" s="39" t="s">
        <v>174</v>
      </c>
      <c r="V17" s="39" t="s">
        <v>200</v>
      </c>
      <c r="W17" s="39" t="s">
        <v>217</v>
      </c>
      <c r="X17"/>
      <c r="Y17"/>
      <c r="Z17"/>
    </row>
    <row r="18" spans="1:26" ht="15.75" customHeight="1" x14ac:dyDescent="0.35">
      <c r="A18" s="130" t="s">
        <v>163</v>
      </c>
      <c r="B18" s="130"/>
      <c r="C18" s="130" t="s">
        <v>368</v>
      </c>
      <c r="D18" s="130"/>
      <c r="E18" s="130"/>
      <c r="F18" s="130"/>
      <c r="G18" s="130"/>
      <c r="H18" s="130"/>
      <c r="S18" s="39" t="s">
        <v>186</v>
      </c>
      <c r="T18" s="39" t="s">
        <v>191</v>
      </c>
      <c r="U18" s="39"/>
      <c r="V18" s="39" t="s">
        <v>201</v>
      </c>
      <c r="W18" s="39" t="s">
        <v>218</v>
      </c>
      <c r="X18"/>
      <c r="Y18"/>
      <c r="Z18"/>
    </row>
    <row r="19" spans="1:26" ht="15.75" customHeight="1" x14ac:dyDescent="0.35">
      <c r="A19" s="152" t="s">
        <v>10</v>
      </c>
      <c r="B19" s="152"/>
      <c r="C19" s="141" t="s">
        <v>369</v>
      </c>
      <c r="D19" s="141"/>
      <c r="E19" s="152" t="s">
        <v>70</v>
      </c>
      <c r="F19" s="152"/>
      <c r="G19" s="130" t="s">
        <v>343</v>
      </c>
      <c r="H19" s="130"/>
      <c r="S19" s="39" t="s">
        <v>187</v>
      </c>
      <c r="T19" s="39" t="s">
        <v>194</v>
      </c>
      <c r="U19" s="39"/>
      <c r="V19" s="39" t="s">
        <v>202</v>
      </c>
      <c r="W19" s="39" t="s">
        <v>219</v>
      </c>
      <c r="X19"/>
      <c r="Y19"/>
      <c r="Z19"/>
    </row>
    <row r="20" spans="1:26" x14ac:dyDescent="0.35">
      <c r="A20" s="96" t="s">
        <v>12</v>
      </c>
      <c r="B20" s="96"/>
      <c r="C20" s="130" t="s">
        <v>370</v>
      </c>
      <c r="D20" s="130"/>
      <c r="E20" s="152" t="s">
        <v>11</v>
      </c>
      <c r="F20" s="152"/>
      <c r="G20" s="164" t="s">
        <v>182</v>
      </c>
      <c r="H20" s="164"/>
      <c r="S20" s="39" t="s">
        <v>188</v>
      </c>
      <c r="T20" s="39" t="s">
        <v>195</v>
      </c>
      <c r="U20" s="39"/>
      <c r="V20" s="39" t="s">
        <v>203</v>
      </c>
      <c r="W20" s="39" t="s">
        <v>220</v>
      </c>
      <c r="X20"/>
      <c r="Y20"/>
      <c r="Z20"/>
    </row>
    <row r="21" spans="1:26" x14ac:dyDescent="0.35">
      <c r="A21" s="96" t="s">
        <v>71</v>
      </c>
      <c r="B21" s="96"/>
      <c r="C21" s="130" t="s">
        <v>182</v>
      </c>
      <c r="D21" s="130"/>
      <c r="E21" s="130" t="s">
        <v>13</v>
      </c>
      <c r="F21" s="130"/>
      <c r="G21" s="130">
        <v>401107</v>
      </c>
      <c r="H21" s="130"/>
      <c r="S21" s="39"/>
      <c r="T21" s="39"/>
      <c r="U21" s="39"/>
      <c r="V21" s="39" t="s">
        <v>204</v>
      </c>
      <c r="W21" s="39" t="s">
        <v>221</v>
      </c>
      <c r="X21"/>
      <c r="Y21"/>
      <c r="Z21"/>
    </row>
    <row r="22" spans="1:26" ht="32.25" customHeight="1" x14ac:dyDescent="0.35">
      <c r="A22" s="96" t="s">
        <v>119</v>
      </c>
      <c r="B22" s="96"/>
      <c r="C22" s="130" t="s">
        <v>373</v>
      </c>
      <c r="D22" s="130"/>
      <c r="E22" s="130" t="s">
        <v>14</v>
      </c>
      <c r="F22" s="130"/>
      <c r="G22" s="130" t="s">
        <v>371</v>
      </c>
      <c r="H22" s="130"/>
      <c r="S22" s="39"/>
      <c r="T22" s="39"/>
      <c r="U22" s="39"/>
      <c r="V22" s="39" t="s">
        <v>205</v>
      </c>
      <c r="W22" s="39" t="s">
        <v>222</v>
      </c>
      <c r="X22"/>
      <c r="Y22"/>
      <c r="Z22"/>
    </row>
    <row r="23" spans="1:26" ht="15" customHeight="1" x14ac:dyDescent="0.35">
      <c r="A23" s="152" t="s">
        <v>73</v>
      </c>
      <c r="B23" s="152"/>
      <c r="C23" s="152"/>
      <c r="D23" s="152"/>
      <c r="E23" s="141" t="s">
        <v>15</v>
      </c>
      <c r="F23" s="141"/>
      <c r="G23" s="141"/>
      <c r="H23" s="141"/>
      <c r="S23" s="39"/>
      <c r="T23" s="39"/>
      <c r="U23" s="39"/>
      <c r="V23" s="39" t="s">
        <v>206</v>
      </c>
      <c r="W23" s="39" t="s">
        <v>223</v>
      </c>
      <c r="X23"/>
      <c r="Y23"/>
      <c r="Z23"/>
    </row>
    <row r="24" spans="1:26" ht="18.75" customHeight="1" x14ac:dyDescent="0.35">
      <c r="A24" s="152"/>
      <c r="B24" s="152"/>
      <c r="C24" s="152"/>
      <c r="D24" s="152"/>
      <c r="E24" s="141"/>
      <c r="F24" s="141"/>
      <c r="G24" s="141"/>
      <c r="H24" s="141"/>
      <c r="S24" s="39"/>
      <c r="T24" s="39"/>
      <c r="U24" s="39"/>
      <c r="V24" s="39" t="s">
        <v>207</v>
      </c>
      <c r="W24" s="39" t="s">
        <v>224</v>
      </c>
      <c r="X24"/>
      <c r="Y24"/>
      <c r="Z24"/>
    </row>
    <row r="25" spans="1:26" ht="15" customHeight="1" x14ac:dyDescent="0.35">
      <c r="A25" s="152" t="s">
        <v>16</v>
      </c>
      <c r="B25" s="152"/>
      <c r="C25" s="152"/>
      <c r="D25" s="152"/>
      <c r="E25" s="130" t="s">
        <v>17</v>
      </c>
      <c r="F25" s="130"/>
      <c r="G25" s="130"/>
      <c r="H25" s="130"/>
      <c r="S25" s="39"/>
      <c r="T25" s="39"/>
      <c r="U25" s="39"/>
      <c r="V25" s="39" t="s">
        <v>208</v>
      </c>
      <c r="W25" s="39" t="s">
        <v>225</v>
      </c>
      <c r="X25"/>
      <c r="Y25"/>
      <c r="Z25"/>
    </row>
    <row r="26" spans="1:26" ht="15" customHeight="1" x14ac:dyDescent="0.35">
      <c r="A26" s="96" t="s">
        <v>18</v>
      </c>
      <c r="B26" s="96"/>
      <c r="C26" s="96"/>
      <c r="D26" s="96"/>
      <c r="E26" s="130" t="str">
        <f>IF(AND(G20="Mumbai"),"Upper Class","Middle Class")</f>
        <v>Middle Class</v>
      </c>
      <c r="F26" s="130"/>
      <c r="G26" s="130"/>
      <c r="H26" s="130"/>
      <c r="S26" s="39"/>
      <c r="T26" s="39"/>
      <c r="U26" s="39"/>
      <c r="V26" s="39" t="s">
        <v>209</v>
      </c>
      <c r="W26" s="39" t="s">
        <v>226</v>
      </c>
      <c r="X26"/>
      <c r="Y26"/>
      <c r="Z26"/>
    </row>
    <row r="27" spans="1:26" x14ac:dyDescent="0.35">
      <c r="A27" s="96" t="s">
        <v>19</v>
      </c>
      <c r="B27" s="96"/>
      <c r="C27" s="96"/>
      <c r="D27" s="96"/>
      <c r="E27" s="130" t="s">
        <v>20</v>
      </c>
      <c r="F27" s="130"/>
      <c r="G27" s="130"/>
      <c r="H27" s="130"/>
      <c r="S27" s="39"/>
      <c r="T27" s="39"/>
      <c r="U27" s="39"/>
      <c r="V27" s="39" t="s">
        <v>210</v>
      </c>
      <c r="W27" s="39" t="s">
        <v>227</v>
      </c>
      <c r="X27"/>
      <c r="Y27"/>
      <c r="Z27"/>
    </row>
    <row r="28" spans="1:26" ht="15.75" customHeight="1" x14ac:dyDescent="0.35">
      <c r="A28" s="96" t="s">
        <v>21</v>
      </c>
      <c r="B28" s="96"/>
      <c r="C28" s="96"/>
      <c r="D28" s="96"/>
      <c r="E28" s="130" t="str">
        <f>IF(AND(G20="Mumbai"),"Developed","Developing")</f>
        <v>Developing</v>
      </c>
      <c r="F28" s="130"/>
      <c r="G28" s="130"/>
      <c r="H28" s="130"/>
    </row>
    <row r="29" spans="1:26" x14ac:dyDescent="0.35">
      <c r="A29" s="96" t="s">
        <v>22</v>
      </c>
      <c r="B29" s="96"/>
      <c r="C29" s="96"/>
      <c r="D29" s="96"/>
      <c r="E29" s="130" t="s">
        <v>23</v>
      </c>
      <c r="F29" s="130"/>
      <c r="G29" s="130"/>
      <c r="H29" s="130"/>
    </row>
    <row r="30" spans="1:26" ht="15.75" customHeight="1" x14ac:dyDescent="0.35">
      <c r="A30" s="96" t="s">
        <v>78</v>
      </c>
      <c r="B30" s="96"/>
      <c r="C30" s="96"/>
      <c r="D30" s="96"/>
      <c r="E30" s="130" t="s">
        <v>79</v>
      </c>
      <c r="F30" s="130"/>
      <c r="G30" s="130"/>
      <c r="H30" s="130"/>
    </row>
    <row r="31" spans="1:26" ht="15" customHeight="1" x14ac:dyDescent="0.35">
      <c r="A31" s="96" t="s">
        <v>30</v>
      </c>
      <c r="B31" s="96"/>
      <c r="C31" s="96"/>
      <c r="D31" s="96"/>
      <c r="E31" s="13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0"/>
      <c r="G31" s="130"/>
      <c r="H31" s="130"/>
    </row>
    <row r="32" spans="1:26" ht="15.75" customHeight="1" x14ac:dyDescent="0.35">
      <c r="A32" s="96" t="s">
        <v>90</v>
      </c>
      <c r="B32" s="96"/>
      <c r="C32" s="96"/>
      <c r="D32" s="96"/>
      <c r="E32" s="130" t="s">
        <v>31</v>
      </c>
      <c r="F32" s="130"/>
      <c r="G32" s="130"/>
      <c r="H32" s="130"/>
    </row>
    <row r="33" spans="1:19" s="17" customFormat="1" x14ac:dyDescent="0.35">
      <c r="A33" s="163" t="s">
        <v>91</v>
      </c>
      <c r="B33" s="163"/>
      <c r="C33" s="160" t="s">
        <v>175</v>
      </c>
      <c r="D33" s="161"/>
      <c r="E33" s="162"/>
      <c r="F33" s="160" t="s">
        <v>29</v>
      </c>
      <c r="G33" s="161"/>
      <c r="H33" s="162"/>
      <c r="S33" s="17" t="e">
        <f ca="1">OFFSET($S$13,1,MATCH($G20,$S$13:$W$13,0)-1,15,1)</f>
        <v>#VALUE!</v>
      </c>
    </row>
    <row r="34" spans="1:19" s="17" customFormat="1" x14ac:dyDescent="0.35">
      <c r="A34" s="147" t="s">
        <v>24</v>
      </c>
      <c r="B34" s="147" t="s">
        <v>28</v>
      </c>
      <c r="C34" s="148" t="s">
        <v>364</v>
      </c>
      <c r="D34" s="149"/>
      <c r="E34" s="150"/>
      <c r="F34" s="148" t="s">
        <v>374</v>
      </c>
      <c r="G34" s="149"/>
      <c r="H34" s="150"/>
    </row>
    <row r="35" spans="1:19" x14ac:dyDescent="0.35">
      <c r="A35" s="147" t="s">
        <v>25</v>
      </c>
      <c r="B35" s="147" t="s">
        <v>28</v>
      </c>
      <c r="C35" s="148" t="s">
        <v>362</v>
      </c>
      <c r="D35" s="149"/>
      <c r="E35" s="150"/>
      <c r="F35" s="148" t="s">
        <v>10</v>
      </c>
      <c r="G35" s="149"/>
      <c r="H35" s="150"/>
    </row>
    <row r="36" spans="1:19" s="17" customFormat="1" x14ac:dyDescent="0.35">
      <c r="A36" s="147" t="s">
        <v>27</v>
      </c>
      <c r="B36" s="147" t="s">
        <v>28</v>
      </c>
      <c r="C36" s="148" t="s">
        <v>363</v>
      </c>
      <c r="D36" s="149"/>
      <c r="E36" s="150"/>
      <c r="F36" s="148" t="s">
        <v>372</v>
      </c>
      <c r="G36" s="149"/>
      <c r="H36" s="150"/>
    </row>
    <row r="37" spans="1:19" x14ac:dyDescent="0.35">
      <c r="A37" s="147" t="s">
        <v>26</v>
      </c>
      <c r="B37" s="147" t="s">
        <v>28</v>
      </c>
      <c r="C37" s="148" t="s">
        <v>365</v>
      </c>
      <c r="D37" s="149"/>
      <c r="E37" s="150"/>
      <c r="F37" s="148" t="s">
        <v>373</v>
      </c>
      <c r="G37" s="149"/>
      <c r="H37" s="150"/>
    </row>
    <row r="38" spans="1:19" x14ac:dyDescent="0.35">
      <c r="A38" s="96" t="s">
        <v>283</v>
      </c>
      <c r="B38" s="96"/>
      <c r="C38" s="96"/>
      <c r="D38" s="96"/>
      <c r="E38" s="96"/>
      <c r="F38" s="96"/>
      <c r="G38" s="96"/>
      <c r="H38" s="96"/>
    </row>
    <row r="39" spans="1:19" ht="15.75" customHeight="1" x14ac:dyDescent="0.35">
      <c r="A39" s="96" t="s">
        <v>166</v>
      </c>
      <c r="B39" s="96"/>
      <c r="C39" s="123" t="s">
        <v>366</v>
      </c>
      <c r="D39" s="123"/>
      <c r="E39" s="123"/>
      <c r="F39" s="123"/>
      <c r="G39" s="123"/>
      <c r="H39" s="123"/>
    </row>
    <row r="40" spans="1:19" x14ac:dyDescent="0.35">
      <c r="A40" s="96" t="s">
        <v>162</v>
      </c>
      <c r="B40" s="96"/>
      <c r="C40" s="129" t="s">
        <v>367</v>
      </c>
      <c r="D40" s="130"/>
      <c r="E40" s="130"/>
      <c r="F40" s="130"/>
      <c r="G40" s="130"/>
      <c r="H40" s="130"/>
    </row>
    <row r="41" spans="1:19" x14ac:dyDescent="0.35">
      <c r="A41" s="123" t="s">
        <v>32</v>
      </c>
      <c r="B41" s="123"/>
      <c r="C41" s="123"/>
      <c r="D41" s="123"/>
      <c r="E41" s="123"/>
      <c r="F41" s="123"/>
      <c r="G41" s="123"/>
      <c r="H41" s="123"/>
    </row>
    <row r="42" spans="1:19" x14ac:dyDescent="0.35">
      <c r="A42" s="96" t="s">
        <v>33</v>
      </c>
      <c r="B42" s="96"/>
      <c r="C42" s="96"/>
      <c r="D42" s="96"/>
      <c r="E42" s="151">
        <v>1497</v>
      </c>
      <c r="F42" s="151"/>
      <c r="G42" s="151"/>
      <c r="H42" s="151"/>
    </row>
    <row r="43" spans="1:19" x14ac:dyDescent="0.35">
      <c r="A43" s="96" t="s">
        <v>34</v>
      </c>
      <c r="B43" s="96"/>
      <c r="C43" s="96"/>
      <c r="D43" s="96"/>
      <c r="E43" s="155">
        <f>1646.7/E42</f>
        <v>1.1000000000000001</v>
      </c>
      <c r="F43" s="155"/>
      <c r="G43" s="155"/>
      <c r="H43" s="155"/>
    </row>
    <row r="44" spans="1:19" x14ac:dyDescent="0.35">
      <c r="A44" s="96" t="s">
        <v>35</v>
      </c>
      <c r="B44" s="96"/>
      <c r="C44" s="96"/>
      <c r="D44" s="96"/>
      <c r="E44" s="155">
        <f>E46/E42-E43</f>
        <v>9.1611155644622571</v>
      </c>
      <c r="F44" s="155"/>
      <c r="G44" s="155"/>
      <c r="H44" s="155"/>
    </row>
    <row r="45" spans="1:19" x14ac:dyDescent="0.35">
      <c r="A45" s="96" t="s">
        <v>36</v>
      </c>
      <c r="B45" s="96"/>
      <c r="C45" s="96"/>
      <c r="D45" s="96"/>
      <c r="E45" s="155">
        <f>E43+E44</f>
        <v>10.261115564462257</v>
      </c>
      <c r="F45" s="155"/>
      <c r="G45" s="155"/>
      <c r="H45" s="155"/>
    </row>
    <row r="46" spans="1:19" x14ac:dyDescent="0.35">
      <c r="A46" s="96" t="s">
        <v>89</v>
      </c>
      <c r="B46" s="96"/>
      <c r="C46" s="96"/>
      <c r="D46" s="96"/>
      <c r="E46" s="156">
        <v>15360.89</v>
      </c>
      <c r="F46" s="156"/>
      <c r="G46" s="156"/>
      <c r="H46" s="156"/>
    </row>
    <row r="47" spans="1:19" x14ac:dyDescent="0.35">
      <c r="A47" s="141" t="s">
        <v>37</v>
      </c>
      <c r="B47" s="141"/>
      <c r="C47" s="141"/>
      <c r="D47" s="141"/>
      <c r="E47" s="141" t="s">
        <v>118</v>
      </c>
      <c r="F47" s="141"/>
      <c r="G47" s="141"/>
      <c r="H47" s="141"/>
    </row>
    <row r="48" spans="1:19" x14ac:dyDescent="0.35">
      <c r="A48" s="124" t="s">
        <v>38</v>
      </c>
      <c r="B48" s="124"/>
      <c r="C48" s="124"/>
      <c r="D48" s="124"/>
      <c r="E48" s="124"/>
      <c r="F48" s="124"/>
      <c r="G48" s="124"/>
      <c r="H48" s="124"/>
    </row>
    <row r="49" spans="1:24" ht="33.75" customHeight="1" x14ac:dyDescent="0.35">
      <c r="A49" s="114" t="s">
        <v>151</v>
      </c>
      <c r="B49" s="115"/>
      <c r="C49" s="116" t="s">
        <v>344</v>
      </c>
      <c r="D49" s="117"/>
      <c r="E49" s="117"/>
      <c r="F49" s="117"/>
      <c r="G49" s="117"/>
      <c r="H49" s="118"/>
      <c r="R49" t="s">
        <v>256</v>
      </c>
      <c r="S49" t="s">
        <v>174</v>
      </c>
      <c r="T49" t="s">
        <v>181</v>
      </c>
      <c r="U49" t="s">
        <v>196</v>
      </c>
      <c r="V49" t="s">
        <v>191</v>
      </c>
    </row>
    <row r="50" spans="1:24" ht="15.75" customHeight="1" x14ac:dyDescent="0.35">
      <c r="A50" s="157" t="s">
        <v>39</v>
      </c>
      <c r="B50" s="159"/>
      <c r="C50" s="157" t="s">
        <v>345</v>
      </c>
      <c r="D50" s="158"/>
      <c r="E50" s="159"/>
      <c r="F50" s="65" t="s">
        <v>40</v>
      </c>
      <c r="G50" s="213">
        <v>45379</v>
      </c>
      <c r="H50" s="159"/>
      <c r="R50"/>
      <c r="S50" t="s">
        <v>257</v>
      </c>
      <c r="T50" t="s">
        <v>262</v>
      </c>
      <c r="U50" t="s">
        <v>273</v>
      </c>
      <c r="V50" t="s">
        <v>278</v>
      </c>
    </row>
    <row r="51" spans="1:24" x14ac:dyDescent="0.35">
      <c r="A51" s="157" t="s">
        <v>41</v>
      </c>
      <c r="B51" s="159"/>
      <c r="C51" s="157" t="str">
        <f>C50</f>
        <v>MBMC/B/2024/APL/00197</v>
      </c>
      <c r="D51" s="158"/>
      <c r="E51" s="159"/>
      <c r="F51" s="65" t="s">
        <v>40</v>
      </c>
      <c r="G51" s="213">
        <v>45379</v>
      </c>
      <c r="H51" s="159"/>
      <c r="R51"/>
      <c r="S51" t="s">
        <v>258</v>
      </c>
      <c r="T51" t="s">
        <v>263</v>
      </c>
      <c r="U51" t="s">
        <v>271</v>
      </c>
      <c r="V51" t="s">
        <v>279</v>
      </c>
    </row>
    <row r="52" spans="1:24" s="18" customFormat="1" ht="15.75" customHeight="1" x14ac:dyDescent="0.35">
      <c r="A52" s="220" t="s">
        <v>155</v>
      </c>
      <c r="B52" s="221"/>
      <c r="C52" s="157" t="str">
        <f>C51</f>
        <v>MBMC/B/2024/APL/00197</v>
      </c>
      <c r="D52" s="158"/>
      <c r="E52" s="159"/>
      <c r="F52" s="65" t="s">
        <v>40</v>
      </c>
      <c r="G52" s="213">
        <v>45379</v>
      </c>
      <c r="H52" s="159"/>
      <c r="R52"/>
      <c r="S52" t="s">
        <v>259</v>
      </c>
      <c r="T52" t="s">
        <v>264</v>
      </c>
      <c r="U52" t="s">
        <v>261</v>
      </c>
      <c r="V52" t="s">
        <v>280</v>
      </c>
    </row>
    <row r="53" spans="1:24" s="18" customFormat="1" ht="18" customHeight="1" x14ac:dyDescent="0.35">
      <c r="A53" s="222"/>
      <c r="B53" s="223"/>
      <c r="C53" s="157" t="s">
        <v>377</v>
      </c>
      <c r="D53" s="158"/>
      <c r="E53" s="158"/>
      <c r="F53" s="158"/>
      <c r="G53" s="158"/>
      <c r="H53" s="159"/>
      <c r="R53"/>
      <c r="S53" t="s">
        <v>260</v>
      </c>
      <c r="T53" t="s">
        <v>267</v>
      </c>
      <c r="U53" t="s">
        <v>274</v>
      </c>
    </row>
    <row r="54" spans="1:24" s="18" customFormat="1" hidden="1" x14ac:dyDescent="0.35">
      <c r="A54" s="216" t="s">
        <v>383</v>
      </c>
      <c r="B54" s="217"/>
      <c r="C54" s="157"/>
      <c r="D54" s="158"/>
      <c r="E54" s="159"/>
      <c r="F54" s="65" t="s">
        <v>40</v>
      </c>
      <c r="G54" s="157"/>
      <c r="H54" s="159"/>
      <c r="R54"/>
      <c r="S54" t="s">
        <v>259</v>
      </c>
      <c r="T54" t="s">
        <v>264</v>
      </c>
      <c r="U54" t="s">
        <v>261</v>
      </c>
      <c r="V54" t="s">
        <v>280</v>
      </c>
    </row>
    <row r="55" spans="1:24" s="18" customFormat="1" ht="32.25" hidden="1" customHeight="1" x14ac:dyDescent="0.35">
      <c r="A55" s="218"/>
      <c r="B55" s="219"/>
      <c r="C55" s="134"/>
      <c r="D55" s="135"/>
      <c r="E55" s="135"/>
      <c r="F55" s="135"/>
      <c r="G55" s="135"/>
      <c r="H55" s="136"/>
      <c r="R55"/>
      <c r="S55" t="s">
        <v>261</v>
      </c>
      <c r="T55" t="s">
        <v>265</v>
      </c>
      <c r="U55" t="s">
        <v>275</v>
      </c>
      <c r="V55" s="16"/>
      <c r="W55" s="16"/>
      <c r="X55" s="16"/>
    </row>
    <row r="56" spans="1:24" s="18" customFormat="1" ht="34.5" hidden="1" customHeight="1" x14ac:dyDescent="0.35">
      <c r="A56" s="216" t="s">
        <v>284</v>
      </c>
      <c r="B56" s="217"/>
      <c r="C56" s="157">
        <f>C55</f>
        <v>0</v>
      </c>
      <c r="D56" s="158"/>
      <c r="E56" s="159"/>
      <c r="F56" s="65" t="s">
        <v>40</v>
      </c>
      <c r="G56" s="157">
        <f>G55</f>
        <v>0</v>
      </c>
      <c r="H56" s="159"/>
      <c r="R56"/>
      <c r="S56" s="16"/>
      <c r="T56" t="s">
        <v>266</v>
      </c>
      <c r="U56" t="s">
        <v>276</v>
      </c>
      <c r="V56" s="16"/>
      <c r="W56" s="16"/>
      <c r="X56" s="16"/>
    </row>
    <row r="57" spans="1:24" s="18" customFormat="1" ht="41.25" hidden="1" customHeight="1" x14ac:dyDescent="0.35">
      <c r="A57" s="218"/>
      <c r="B57" s="219"/>
      <c r="C57" s="157"/>
      <c r="D57" s="158"/>
      <c r="E57" s="158"/>
      <c r="F57" s="158"/>
      <c r="G57" s="158"/>
      <c r="H57" s="159"/>
      <c r="R57"/>
      <c r="S57" s="16"/>
      <c r="T57" t="s">
        <v>268</v>
      </c>
      <c r="U57" t="s">
        <v>277</v>
      </c>
      <c r="V57" s="16"/>
      <c r="W57" s="16"/>
      <c r="X57" s="16"/>
    </row>
    <row r="58" spans="1:24" s="18" customFormat="1" ht="15.75" hidden="1" customHeight="1" x14ac:dyDescent="0.35">
      <c r="A58" s="216" t="s">
        <v>285</v>
      </c>
      <c r="B58" s="217"/>
      <c r="C58" s="157">
        <f>C57</f>
        <v>0</v>
      </c>
      <c r="D58" s="158"/>
      <c r="E58" s="159"/>
      <c r="F58" s="65" t="s">
        <v>40</v>
      </c>
      <c r="G58" s="157">
        <f>G57</f>
        <v>0</v>
      </c>
      <c r="H58" s="159"/>
      <c r="R58"/>
      <c r="S58" s="16"/>
      <c r="T58" t="s">
        <v>269</v>
      </c>
      <c r="U58" s="16" t="s">
        <v>299</v>
      </c>
      <c r="V58" s="16"/>
      <c r="W58" s="16"/>
      <c r="X58" s="16"/>
    </row>
    <row r="59" spans="1:24" s="18" customFormat="1" ht="33.75" hidden="1" customHeight="1" x14ac:dyDescent="0.35">
      <c r="A59" s="218"/>
      <c r="B59" s="219"/>
      <c r="C59" s="157"/>
      <c r="D59" s="158"/>
      <c r="E59" s="158"/>
      <c r="F59" s="158"/>
      <c r="G59" s="158"/>
      <c r="H59" s="159"/>
      <c r="R59"/>
      <c r="S59" s="16"/>
      <c r="T59" t="s">
        <v>270</v>
      </c>
      <c r="U59" s="16"/>
      <c r="V59" s="16"/>
      <c r="W59" s="16"/>
      <c r="X59" s="16"/>
    </row>
    <row r="60" spans="1:24" x14ac:dyDescent="0.35">
      <c r="A60" s="227" t="s">
        <v>42</v>
      </c>
      <c r="B60" s="228"/>
      <c r="C60" s="227" t="s">
        <v>103</v>
      </c>
      <c r="D60" s="229"/>
      <c r="E60" s="228"/>
      <c r="F60" s="66" t="s">
        <v>40</v>
      </c>
      <c r="G60" s="214" t="s">
        <v>28</v>
      </c>
      <c r="H60" s="215"/>
      <c r="R60"/>
      <c r="T60" t="s">
        <v>272</v>
      </c>
    </row>
    <row r="61" spans="1:24" x14ac:dyDescent="0.35">
      <c r="A61" s="182" t="s">
        <v>44</v>
      </c>
      <c r="B61" s="182"/>
      <c r="C61" s="182"/>
      <c r="D61" s="182"/>
      <c r="E61" s="182"/>
      <c r="F61" s="182"/>
      <c r="G61" s="182"/>
      <c r="H61" s="182"/>
      <c r="T61" t="s">
        <v>281</v>
      </c>
    </row>
    <row r="62" spans="1:24" x14ac:dyDescent="0.35">
      <c r="A62" s="152" t="s">
        <v>88</v>
      </c>
      <c r="B62" s="152"/>
      <c r="C62" s="152"/>
      <c r="D62" s="96">
        <v>15360.89</v>
      </c>
      <c r="E62" s="96"/>
      <c r="F62" s="96"/>
      <c r="G62" s="96"/>
      <c r="H62" s="96"/>
      <c r="R62"/>
    </row>
    <row r="63" spans="1:24" x14ac:dyDescent="0.35">
      <c r="A63" s="130" t="s">
        <v>45</v>
      </c>
      <c r="B63" s="141"/>
      <c r="C63" s="141"/>
      <c r="D63" s="141" t="s">
        <v>381</v>
      </c>
      <c r="E63" s="141"/>
      <c r="F63" s="141"/>
      <c r="G63" s="141"/>
      <c r="H63" s="141"/>
      <c r="I63" s="19"/>
      <c r="R63"/>
    </row>
    <row r="64" spans="1:24" ht="16.5" customHeight="1" x14ac:dyDescent="0.35">
      <c r="A64" s="144" t="s">
        <v>46</v>
      </c>
      <c r="B64" s="145"/>
      <c r="C64" s="146"/>
      <c r="D64" s="142" t="s">
        <v>346</v>
      </c>
      <c r="E64" s="143"/>
      <c r="F64" s="143"/>
      <c r="G64" s="143"/>
      <c r="H64" s="143"/>
      <c r="R64"/>
    </row>
    <row r="65" spans="1:19" ht="15.75" customHeight="1" x14ac:dyDescent="0.35">
      <c r="A65" s="144" t="s">
        <v>86</v>
      </c>
      <c r="B65" s="145"/>
      <c r="C65" s="145"/>
      <c r="D65" s="206" t="s">
        <v>346</v>
      </c>
      <c r="E65" s="207"/>
      <c r="F65" s="207"/>
      <c r="G65" s="207"/>
      <c r="H65" s="208"/>
      <c r="R65"/>
    </row>
    <row r="66" spans="1:19" ht="15.75" hidden="1" customHeight="1" x14ac:dyDescent="0.35">
      <c r="A66" s="202"/>
      <c r="B66" s="203"/>
      <c r="C66" s="203"/>
      <c r="D66" s="209" t="s">
        <v>300</v>
      </c>
      <c r="E66" s="210"/>
      <c r="F66" s="210"/>
      <c r="G66" s="210"/>
      <c r="H66" s="211"/>
      <c r="R66"/>
    </row>
    <row r="67" spans="1:19" ht="15.75" hidden="1" customHeight="1" x14ac:dyDescent="0.35">
      <c r="A67" s="204"/>
      <c r="B67" s="205"/>
      <c r="C67" s="205"/>
      <c r="D67" s="199" t="s">
        <v>170</v>
      </c>
      <c r="E67" s="200"/>
      <c r="F67" s="200"/>
      <c r="G67" s="200"/>
      <c r="H67" s="201"/>
      <c r="S67"/>
    </row>
    <row r="68" spans="1:19" ht="15.75" customHeight="1" x14ac:dyDescent="0.35">
      <c r="A68" s="96" t="s">
        <v>43</v>
      </c>
      <c r="B68" s="96"/>
      <c r="C68" s="96"/>
      <c r="D68" s="152" t="s">
        <v>361</v>
      </c>
      <c r="E68" s="152"/>
      <c r="F68" s="152"/>
      <c r="G68" s="152"/>
      <c r="H68" s="152"/>
      <c r="J68" s="20"/>
      <c r="K68" s="19"/>
      <c r="N68" s="19"/>
      <c r="S68"/>
    </row>
    <row r="69" spans="1:19" ht="15.75" customHeight="1" x14ac:dyDescent="0.35">
      <c r="A69" s="96" t="s">
        <v>84</v>
      </c>
      <c r="B69" s="96"/>
      <c r="C69" s="96"/>
      <c r="D69" s="154" t="str">
        <f>(IF(G60="NA","60 Years After Completion",IF(G60&lt;&gt;"NA",""&amp;60-ROUNDDOWN((E3-G60)/360,0)&amp;" Years"," ")))</f>
        <v>60 Years After Completion</v>
      </c>
      <c r="E69" s="154"/>
      <c r="F69" s="154"/>
      <c r="G69" s="154"/>
      <c r="H69" s="154"/>
      <c r="N69" s="19"/>
      <c r="S69"/>
    </row>
    <row r="70" spans="1:19" ht="15.75" customHeight="1" x14ac:dyDescent="0.35">
      <c r="A70" s="96" t="s">
        <v>85</v>
      </c>
      <c r="B70" s="96"/>
      <c r="C70" s="96"/>
      <c r="D70" s="152" t="s">
        <v>23</v>
      </c>
      <c r="E70" s="152"/>
      <c r="F70" s="152"/>
      <c r="G70" s="152"/>
      <c r="H70" s="152"/>
      <c r="J70" s="21"/>
      <c r="K70" s="21"/>
      <c r="S70"/>
    </row>
    <row r="71" spans="1:19" ht="16.5" customHeight="1" x14ac:dyDescent="0.35">
      <c r="A71" s="141" t="s">
        <v>382</v>
      </c>
      <c r="B71" s="141"/>
      <c r="C71" s="141"/>
      <c r="D71" s="130" t="s">
        <v>358</v>
      </c>
      <c r="E71" s="152"/>
      <c r="F71" s="152"/>
      <c r="G71" s="152"/>
      <c r="H71" s="152"/>
      <c r="I71" s="16" t="s">
        <v>359</v>
      </c>
      <c r="J71" s="61" t="s">
        <v>360</v>
      </c>
      <c r="S71"/>
    </row>
    <row r="72" spans="1:19" x14ac:dyDescent="0.35">
      <c r="A72" s="152" t="s">
        <v>147</v>
      </c>
      <c r="B72" s="152"/>
      <c r="C72" s="152"/>
      <c r="D72" s="152" t="s">
        <v>28</v>
      </c>
      <c r="E72" s="152"/>
      <c r="F72" s="152"/>
      <c r="G72" s="152"/>
      <c r="H72" s="152"/>
      <c r="I72" s="22"/>
      <c r="J72" s="22"/>
      <c r="K72" s="22"/>
      <c r="L72" s="22"/>
      <c r="M72" s="22"/>
      <c r="N72" s="22"/>
    </row>
    <row r="73" spans="1:19" ht="15.75" customHeight="1" x14ac:dyDescent="0.35">
      <c r="A73" s="230" t="s">
        <v>83</v>
      </c>
      <c r="B73" s="230"/>
      <c r="C73" s="230"/>
      <c r="D73" s="142" t="str">
        <f ca="1">(IF(G79&gt;95%,"Nothing",IF(G79&gt;0%,"Cement, Aggregate, Steel, etc",IF(G79=0%,"Work not yet Started"))))</f>
        <v>Cement, Aggregate, Steel, etc</v>
      </c>
      <c r="E73" s="142"/>
      <c r="F73" s="142"/>
      <c r="G73" s="142"/>
      <c r="H73" s="142"/>
      <c r="J73" s="21"/>
      <c r="S73"/>
    </row>
    <row r="74" spans="1:19" ht="33.75" customHeight="1" thickBot="1" x14ac:dyDescent="0.4">
      <c r="A74" s="176" t="s">
        <v>116</v>
      </c>
      <c r="B74" s="176"/>
      <c r="C74" s="176"/>
      <c r="D74" s="142" t="str">
        <f ca="1">(IF(D73="Nothing","Yes",IF(D73="Cement, Aggregate, Steel, etc","Under Construction",IF(D73="Work not yet Started","Work not yet Started"))))</f>
        <v>Under Construction</v>
      </c>
      <c r="E74" s="142"/>
      <c r="F74" s="142" t="str">
        <f ca="1">(IF(D73="Nothing","Yes",IF(D73="Cement, Aggregate, Steel, etc","Under Construction",IF(D73="Work not yet Started","Work not yet Started"))))</f>
        <v>Under Construction</v>
      </c>
      <c r="G74" s="142"/>
      <c r="H74" s="142"/>
      <c r="S74"/>
    </row>
    <row r="75" spans="1:19" ht="15.75" customHeight="1" x14ac:dyDescent="0.35">
      <c r="A75" s="169" t="s">
        <v>137</v>
      </c>
      <c r="B75" s="170"/>
      <c r="C75" s="171" t="str">
        <f>D65</f>
        <v>Building No.1 = Gr. + 3P + 1st to 29th Floor</v>
      </c>
      <c r="D75" s="172"/>
      <c r="E75" s="172"/>
      <c r="F75" s="172"/>
      <c r="G75" s="172"/>
      <c r="H75" s="173"/>
      <c r="I75" s="34" t="str">
        <f ca="1">IF(D88=100%,"All work Completed. Possession granted to the Building.",IF(D87=100%,"All work Completed, Waiting for OC",I76&amp;""&amp;I77&amp;""&amp;J76&amp;""&amp;J75&amp;" "&amp;J77))</f>
        <v>Excavation, Plinth Completed, RCC upto 3 Slab Completed</v>
      </c>
      <c r="J75" s="35"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3 Slab</v>
      </c>
      <c r="S75"/>
    </row>
    <row r="76" spans="1:19" x14ac:dyDescent="0.35">
      <c r="A76" s="67" t="s">
        <v>139</v>
      </c>
      <c r="B76" s="68">
        <f>IF(AND(ISNUMBER(SEARCH("1B",C75))),1,IF(AND(ISNUMBER(SEARCH("2B",C75))),2,IF(AND(ISNUMBER(SEARCH("3B",C75))),3,IF(AND(ISNUMBER(SEARCH("4B",C75))),4,IF(ISNUMBER(SEARCH("5B",C75)),5,0)))))</f>
        <v>0</v>
      </c>
      <c r="C76" s="68" t="s">
        <v>69</v>
      </c>
      <c r="D76" s="68">
        <v>1</v>
      </c>
      <c r="E76" s="68" t="s">
        <v>68</v>
      </c>
      <c r="F76" s="68">
        <v>3</v>
      </c>
      <c r="G76" s="68" t="s">
        <v>77</v>
      </c>
      <c r="H76" s="69">
        <f ca="1">--TRIM(RIGHT(SUBSTITUTE(LEFT(C75,_xlfn.AGGREGATE(16,6,FIND({0,1,2,3,4,5,6,7,8,9},C75,ROW(INDIRECT("1:"&amp;LEN(C75)))),1))," ",REPT(" ",LEN(C75))),LEN(C75)))</f>
        <v>29</v>
      </c>
      <c r="I76" s="36" t="str">
        <f ca="1">IF(D79=100%,"Excavation","")&amp;IF(D80=100%,", Plinth","")&amp;IF(D81=100%,", RCC Slab","")&amp;IF(D82=100%,", Brickwork","")&amp;IF(D83=100%,", Internal Plaster","")&amp;IF(D84=100%,", External Plaster","")&amp;IF(D85=100%,", Flooring","")&amp;IF(D86=100%,", Painting","")&amp;IF(D87=100%,", Building common Amenities","")</f>
        <v>Excavation, Plinth</v>
      </c>
      <c r="J76" s="37"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5">
      <c r="A77" s="168" t="s">
        <v>87</v>
      </c>
      <c r="B77" s="124"/>
      <c r="C77" s="101" t="str">
        <f ca="1">I75</f>
        <v>Excavation, Plinth Completed, RCC upto 3 Slab Completed</v>
      </c>
      <c r="D77" s="101"/>
      <c r="E77" s="101"/>
      <c r="F77" s="101"/>
      <c r="G77" s="101"/>
      <c r="H77" s="174"/>
      <c r="I77" s="36" t="str">
        <f ca="1">IF(I76&lt;&gt;""," Completed","")</f>
        <v xml:space="preserve"> Completed</v>
      </c>
      <c r="J77" s="37" t="str">
        <f ca="1">IF(J75&lt;&gt;"","Completed","")</f>
        <v>Completed</v>
      </c>
      <c r="S77"/>
    </row>
    <row r="78" spans="1:19" ht="15.75" customHeight="1" x14ac:dyDescent="0.35">
      <c r="A78" s="178" t="s">
        <v>47</v>
      </c>
      <c r="B78" s="97"/>
      <c r="C78" s="70" t="s">
        <v>136</v>
      </c>
      <c r="D78" s="70" t="s">
        <v>80</v>
      </c>
      <c r="E78" s="175" t="s">
        <v>82</v>
      </c>
      <c r="F78" s="175"/>
      <c r="G78" s="175" t="s">
        <v>81</v>
      </c>
      <c r="H78" s="177"/>
      <c r="I78" s="13" t="s">
        <v>138</v>
      </c>
      <c r="J78" s="23">
        <f ca="1">H76*25%</f>
        <v>7.25</v>
      </c>
      <c r="S78"/>
    </row>
    <row r="79" spans="1:19" x14ac:dyDescent="0.35">
      <c r="A79" s="97" t="s">
        <v>125</v>
      </c>
      <c r="B79" s="97"/>
      <c r="C79" s="85">
        <f ca="1">J80</f>
        <v>29</v>
      </c>
      <c r="D79" s="64">
        <f ca="1">((100/H76)*C79)/100</f>
        <v>1</v>
      </c>
      <c r="E79" s="153">
        <f ca="1">(((C80/H76*10)+(40/(D76+F76+H76)*C81)+(7.5/(H76)*C82)+(7.5/(H76)*C83)+(10/H76*C84)+(10/H76*C85)+(5/H76*C86)+(5/H76*C87)+(5/H76*C88))/100)</f>
        <v>0.13636363636363635</v>
      </c>
      <c r="F79" s="153"/>
      <c r="G79" s="153">
        <f ca="1">((((C79/H76)*20)+((C80/H76)*25)+(30/(H76+F76+D76)*C81)+(5/H76*C82)+(5/H76*C83)+(5/H76*C84)+(5/H76*C85)+(0/H76*C86)+(0/H76*C87)+(5/H76*C88))/100)</f>
        <v>0.47727272727272729</v>
      </c>
      <c r="H79" s="153"/>
      <c r="I79" s="13" t="s">
        <v>98</v>
      </c>
      <c r="J79" s="24">
        <f ca="1">H76*50%</f>
        <v>14.5</v>
      </c>
    </row>
    <row r="80" spans="1:19" x14ac:dyDescent="0.35">
      <c r="A80" s="97" t="s">
        <v>48</v>
      </c>
      <c r="B80" s="97"/>
      <c r="C80" s="87">
        <f ca="1">J88</f>
        <v>29</v>
      </c>
      <c r="D80" s="64">
        <f ca="1">((100/H76)*C80)/100</f>
        <v>1</v>
      </c>
      <c r="E80" s="153"/>
      <c r="F80" s="153"/>
      <c r="G80" s="153"/>
      <c r="H80" s="153"/>
      <c r="I80" s="13" t="s">
        <v>99</v>
      </c>
      <c r="J80" s="24">
        <f ca="1">H76</f>
        <v>29</v>
      </c>
      <c r="S80"/>
    </row>
    <row r="81" spans="1:19" ht="15.75" customHeight="1" x14ac:dyDescent="0.35">
      <c r="A81" s="97" t="s">
        <v>126</v>
      </c>
      <c r="B81" s="97"/>
      <c r="C81" s="85">
        <v>3</v>
      </c>
      <c r="D81" s="64">
        <f ca="1">((100/(D76+F76+H76))*C81)/100</f>
        <v>9.0909090909090898E-2</v>
      </c>
      <c r="E81" s="153"/>
      <c r="F81" s="153"/>
      <c r="G81" s="153"/>
      <c r="H81" s="153"/>
      <c r="I81" s="13" t="s">
        <v>100</v>
      </c>
      <c r="J81" s="25">
        <f ca="1">(IF(B76&gt;1,(H76/(B76+2)),H76/4))</f>
        <v>7.25</v>
      </c>
      <c r="S81"/>
    </row>
    <row r="82" spans="1:19" ht="15.75" customHeight="1" x14ac:dyDescent="0.35">
      <c r="A82" s="97" t="s">
        <v>133</v>
      </c>
      <c r="B82" s="97" t="s">
        <v>127</v>
      </c>
      <c r="C82" s="85">
        <v>0</v>
      </c>
      <c r="D82" s="64">
        <f ca="1">((100/H76)*C82)/100</f>
        <v>0</v>
      </c>
      <c r="E82" s="153"/>
      <c r="F82" s="153"/>
      <c r="G82" s="153"/>
      <c r="H82" s="153"/>
      <c r="I82" s="13" t="s">
        <v>101</v>
      </c>
      <c r="J82" s="25">
        <f ca="1">(IF(B76&gt;1,(H76/(B76+2)+J81),H76/4+J81))</f>
        <v>14.5</v>
      </c>
    </row>
    <row r="83" spans="1:19" ht="15.75" customHeight="1" x14ac:dyDescent="0.35">
      <c r="A83" s="97" t="s">
        <v>134</v>
      </c>
      <c r="B83" s="97" t="s">
        <v>127</v>
      </c>
      <c r="C83" s="85">
        <v>0</v>
      </c>
      <c r="D83" s="64">
        <f ca="1">((100/H76)*C83)/100</f>
        <v>0</v>
      </c>
      <c r="E83" s="153"/>
      <c r="F83" s="153"/>
      <c r="G83" s="153"/>
      <c r="H83" s="153"/>
      <c r="I83" s="13" t="s">
        <v>145</v>
      </c>
      <c r="J83" s="25">
        <f>(IF(B76&gt;1,(H76/(B76+2)+J82),0))</f>
        <v>0</v>
      </c>
    </row>
    <row r="84" spans="1:19" ht="15" customHeight="1" x14ac:dyDescent="0.35">
      <c r="A84" s="97" t="s">
        <v>132</v>
      </c>
      <c r="B84" s="97" t="s">
        <v>129</v>
      </c>
      <c r="C84" s="85">
        <v>0</v>
      </c>
      <c r="D84" s="64">
        <f ca="1">((100/(H76))*C84)/100</f>
        <v>0</v>
      </c>
      <c r="E84" s="153"/>
      <c r="F84" s="153"/>
      <c r="G84" s="153"/>
      <c r="H84" s="153"/>
      <c r="I84" s="13" t="s">
        <v>140</v>
      </c>
      <c r="J84" s="25">
        <f>(IF(B76&gt;2,(H76/(B76+2)+J83),0))</f>
        <v>0</v>
      </c>
    </row>
    <row r="85" spans="1:19" ht="15.75" customHeight="1" x14ac:dyDescent="0.35">
      <c r="A85" s="97" t="s">
        <v>128</v>
      </c>
      <c r="B85" s="97" t="s">
        <v>128</v>
      </c>
      <c r="C85" s="85">
        <v>0</v>
      </c>
      <c r="D85" s="64">
        <f ca="1">((100/H76)*C85)/100</f>
        <v>0</v>
      </c>
      <c r="E85" s="153"/>
      <c r="F85" s="153"/>
      <c r="G85" s="153"/>
      <c r="H85" s="153"/>
      <c r="I85" s="13" t="s">
        <v>141</v>
      </c>
      <c r="J85" s="26">
        <f>(IF(B76&gt;3,(H76/(B76+2)+J84),0))</f>
        <v>0</v>
      </c>
    </row>
    <row r="86" spans="1:19" ht="15.75" customHeight="1" x14ac:dyDescent="0.35">
      <c r="A86" s="97" t="s">
        <v>135</v>
      </c>
      <c r="B86" s="97"/>
      <c r="C86" s="85">
        <v>0</v>
      </c>
      <c r="D86" s="64">
        <f ca="1">((100/H76)*C86)/100</f>
        <v>0</v>
      </c>
      <c r="E86" s="153"/>
      <c r="F86" s="153"/>
      <c r="G86" s="153"/>
      <c r="H86" s="153"/>
      <c r="I86" s="13" t="s">
        <v>142</v>
      </c>
      <c r="J86" s="25">
        <f>(IF(B76&gt;4,(H76/(B76+2)+J85),0))</f>
        <v>0</v>
      </c>
    </row>
    <row r="87" spans="1:19" ht="15.75" customHeight="1" x14ac:dyDescent="0.35">
      <c r="A87" s="97" t="s">
        <v>130</v>
      </c>
      <c r="B87" s="97" t="s">
        <v>130</v>
      </c>
      <c r="C87" s="85">
        <v>0</v>
      </c>
      <c r="D87" s="64">
        <f ca="1">((100/(H76))*C87)/100</f>
        <v>0</v>
      </c>
      <c r="E87" s="153"/>
      <c r="F87" s="153"/>
      <c r="G87" s="153"/>
      <c r="H87" s="153"/>
      <c r="I87" s="13" t="s">
        <v>146</v>
      </c>
      <c r="J87" s="25">
        <f ca="1">(IF(B76=1,(H76/(B76+3)+J82),IF(B76=0,(H76/4+J82),IF(B76&gt;1,0))))</f>
        <v>21.75</v>
      </c>
    </row>
    <row r="88" spans="1:19" ht="16" thickBot="1" x14ac:dyDescent="0.4">
      <c r="A88" s="97" t="s">
        <v>131</v>
      </c>
      <c r="B88" s="97"/>
      <c r="C88" s="85">
        <v>0</v>
      </c>
      <c r="D88" s="64">
        <f ca="1">((100/(H76))*C88)/100</f>
        <v>0</v>
      </c>
      <c r="E88" s="153"/>
      <c r="F88" s="153"/>
      <c r="G88" s="153"/>
      <c r="H88" s="153"/>
      <c r="I88" s="14" t="s">
        <v>102</v>
      </c>
      <c r="J88" s="27">
        <f ca="1">(IF(B76&gt;1.5,(H76/(B76+2)+J82+MAX(0,J83-J82)+MAX(0,J84-J83)+MAX(0,J85-J84)+MAX(0,J86-J85)+MAX(0,J87-J86)),IF(B76=1,(H76/(B76+3)+J87),IF(B76=0,H76/4+J87))))</f>
        <v>29</v>
      </c>
    </row>
    <row r="89" spans="1:19" ht="15.75" hidden="1" customHeight="1" x14ac:dyDescent="0.35">
      <c r="A89" s="137" t="s">
        <v>137</v>
      </c>
      <c r="B89" s="137"/>
      <c r="C89" s="137" t="str">
        <f>D66</f>
        <v>B Wing = 1B + G + 1st to 19th Floor</v>
      </c>
      <c r="D89" s="137"/>
      <c r="E89" s="137"/>
      <c r="F89" s="137"/>
      <c r="G89" s="137"/>
      <c r="H89" s="137"/>
      <c r="I89" s="88" t="str">
        <f ca="1">IF(D102=100%,"All work Completed. Possession granted to the Building.",IF(D101=100%,"All work Completed, Waiting for OC",I90&amp;""&amp;I91&amp;""&amp;J90&amp;""&amp;J89&amp;" "&amp;J91))</f>
        <v xml:space="preserve">Excavation, Plinth Completed </v>
      </c>
      <c r="J89" s="35"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5">
      <c r="A90" s="68" t="s">
        <v>139</v>
      </c>
      <c r="B90" s="68">
        <f>IF(AND(ISNUMBER(SEARCH("1B",C89))),1,IF(AND(ISNUMBER(SEARCH("2B",C89))),2,IF(AND(ISNUMBER(SEARCH("3B",C89))),3,IF(AND(ISNUMBER(SEARCH("4B",C89))),4,IF(ISNUMBER(SEARCH("5B",C89)),5,0)))))</f>
        <v>1</v>
      </c>
      <c r="C90" s="68" t="s">
        <v>69</v>
      </c>
      <c r="D90" s="68">
        <v>1</v>
      </c>
      <c r="E90" s="68" t="s">
        <v>68</v>
      </c>
      <c r="F90" s="71">
        <v>0</v>
      </c>
      <c r="G90" s="72" t="s">
        <v>77</v>
      </c>
      <c r="H90" s="68">
        <f ca="1">--TRIM(RIGHT(SUBSTITUTE(LEFT(C89,_xlfn.AGGREGATE(16,6,FIND({0,1,2,3,4,5,6,7,8,9},C89,ROW(INDIRECT("1:"&amp;LEN(C89)))),1))," ",REPT(" ",LEN(C89))),LEN(C89)))</f>
        <v>19</v>
      </c>
      <c r="I90" s="89" t="str">
        <f ca="1">IF(D93=100%,"Excavation","")&amp;IF(D94=100%,", Plinth","")&amp;IF(D95=100%,", RCC Slab","")&amp;IF(D96=100%,", Brickwork","")&amp;IF(D97=100%,", Internal Plaster","")&amp;IF(D98=100%,", External Plaster","")&amp;IF(D99=100%,", Flooring","")&amp;IF(D100=100%,", Painting","")&amp;IF(D101=100%,", Building common Amenities","")</f>
        <v>Excavation, Plinth</v>
      </c>
      <c r="J90" s="37"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35">
      <c r="A91" s="124" t="s">
        <v>87</v>
      </c>
      <c r="B91" s="124"/>
      <c r="C91" s="101" t="str">
        <f ca="1">(IF($G$60="NA",I89,"All work Completed. OC Received."))</f>
        <v xml:space="preserve">Excavation, Plinth Completed </v>
      </c>
      <c r="D91" s="101"/>
      <c r="E91" s="101"/>
      <c r="F91" s="101"/>
      <c r="G91" s="101"/>
      <c r="H91" s="101"/>
      <c r="I91" s="89" t="str">
        <f ca="1">IF(I90&lt;&gt;""," Completed","")</f>
        <v xml:space="preserve"> Completed</v>
      </c>
      <c r="J91" s="37" t="str">
        <f ca="1">IF(J89&lt;&gt;"","Completed","")</f>
        <v/>
      </c>
    </row>
    <row r="92" spans="1:19" ht="15.75" hidden="1" customHeight="1" x14ac:dyDescent="0.35">
      <c r="A92" s="97" t="s">
        <v>47</v>
      </c>
      <c r="B92" s="97"/>
      <c r="C92" s="83" t="s">
        <v>136</v>
      </c>
      <c r="D92" s="83" t="s">
        <v>80</v>
      </c>
      <c r="E92" s="97" t="s">
        <v>82</v>
      </c>
      <c r="F92" s="97"/>
      <c r="G92" s="97" t="s">
        <v>81</v>
      </c>
      <c r="H92" s="97"/>
      <c r="I92" s="13" t="s">
        <v>138</v>
      </c>
      <c r="J92" s="23">
        <f ca="1">H90*25%</f>
        <v>4.75</v>
      </c>
    </row>
    <row r="93" spans="1:19" hidden="1" x14ac:dyDescent="0.35">
      <c r="A93" s="97" t="s">
        <v>125</v>
      </c>
      <c r="B93" s="97"/>
      <c r="C93" s="73">
        <f ca="1">J94</f>
        <v>19</v>
      </c>
      <c r="D93" s="15">
        <f ca="1">((100/H90)*C93)/100</f>
        <v>1</v>
      </c>
      <c r="E93" s="119">
        <f ca="1">(((C94/H90*10)+(40/(D90+F90+H90)*C95)+(7.5/(H90)*C96)+(7.5/(H90)*C97)+(10/H90*C98)+(10/H90*C99)+(5/H90*C100)+(5/H90*C101)+(5/H90*C102))/100)</f>
        <v>0.1</v>
      </c>
      <c r="F93" s="119"/>
      <c r="G93" s="119">
        <f ca="1">((((C93/H90)*20)+((C94/H90)*25)+(30/(H90+F90+D90)*C95)+(5/H90*C96)+(5/H90*C97)+(5/H90*C98)+(5/H90*C99)+(0/H90*C100)+(0/H90*C101)+(5/H90*C102))/100)</f>
        <v>0.45</v>
      </c>
      <c r="H93" s="119"/>
      <c r="I93" s="13" t="s">
        <v>98</v>
      </c>
      <c r="J93" s="24">
        <f ca="1">H90*50%</f>
        <v>9.5</v>
      </c>
    </row>
    <row r="94" spans="1:19" hidden="1" x14ac:dyDescent="0.35">
      <c r="A94" s="97" t="s">
        <v>48</v>
      </c>
      <c r="B94" s="97"/>
      <c r="C94" s="74">
        <v>19</v>
      </c>
      <c r="D94" s="15">
        <f ca="1">((100/H90)*C94)/100</f>
        <v>1</v>
      </c>
      <c r="E94" s="119"/>
      <c r="F94" s="119"/>
      <c r="G94" s="119"/>
      <c r="H94" s="119"/>
      <c r="I94" s="13" t="s">
        <v>99</v>
      </c>
      <c r="J94" s="24">
        <f ca="1">H90</f>
        <v>19</v>
      </c>
    </row>
    <row r="95" spans="1:19" ht="15.75" hidden="1" customHeight="1" x14ac:dyDescent="0.35">
      <c r="A95" s="97" t="s">
        <v>126</v>
      </c>
      <c r="B95" s="97"/>
      <c r="C95" s="83">
        <v>0</v>
      </c>
      <c r="D95" s="15">
        <f ca="1">((100/(D90+F90+H90))*C95)/100</f>
        <v>0</v>
      </c>
      <c r="E95" s="119"/>
      <c r="F95" s="119"/>
      <c r="G95" s="119"/>
      <c r="H95" s="119"/>
      <c r="I95" s="13" t="s">
        <v>100</v>
      </c>
      <c r="J95" s="25">
        <f ca="1">(IF(B90&gt;1,(H90/(B90+2)),H90/4))</f>
        <v>4.75</v>
      </c>
    </row>
    <row r="96" spans="1:19" ht="15.75" hidden="1" customHeight="1" x14ac:dyDescent="0.35">
      <c r="A96" s="97" t="s">
        <v>133</v>
      </c>
      <c r="B96" s="97" t="s">
        <v>127</v>
      </c>
      <c r="C96" s="83">
        <v>0</v>
      </c>
      <c r="D96" s="15">
        <f ca="1">((100/H90)*C96)/100</f>
        <v>0</v>
      </c>
      <c r="E96" s="119"/>
      <c r="F96" s="119"/>
      <c r="G96" s="119"/>
      <c r="H96" s="119"/>
      <c r="I96" s="13" t="s">
        <v>101</v>
      </c>
      <c r="J96" s="25">
        <f ca="1">(IF(B90&gt;1,(H90/(B90+2)+J95),H90/4+J95))</f>
        <v>9.5</v>
      </c>
    </row>
    <row r="97" spans="1:10" ht="15.75" hidden="1" customHeight="1" x14ac:dyDescent="0.35">
      <c r="A97" s="97" t="s">
        <v>134</v>
      </c>
      <c r="B97" s="97" t="s">
        <v>127</v>
      </c>
      <c r="C97" s="83">
        <v>0</v>
      </c>
      <c r="D97" s="15">
        <f ca="1">((100/H90)*C97)/100</f>
        <v>0</v>
      </c>
      <c r="E97" s="119"/>
      <c r="F97" s="119"/>
      <c r="G97" s="119"/>
      <c r="H97" s="119"/>
      <c r="I97" s="13" t="s">
        <v>145</v>
      </c>
      <c r="J97" s="25">
        <f>(IF(B90&gt;1,(H90/(B90+2)+J96),0))</f>
        <v>0</v>
      </c>
    </row>
    <row r="98" spans="1:10" ht="15" hidden="1" customHeight="1" x14ac:dyDescent="0.35">
      <c r="A98" s="97" t="s">
        <v>132</v>
      </c>
      <c r="B98" s="97" t="s">
        <v>129</v>
      </c>
      <c r="C98" s="83">
        <v>0</v>
      </c>
      <c r="D98" s="15">
        <f ca="1">((100/(H90))*C98)/100</f>
        <v>0</v>
      </c>
      <c r="E98" s="119"/>
      <c r="F98" s="119"/>
      <c r="G98" s="119"/>
      <c r="H98" s="119"/>
      <c r="I98" s="13" t="s">
        <v>140</v>
      </c>
      <c r="J98" s="25">
        <f>(IF(B90&gt;2,(H90/(B90+2)+J97),0))</f>
        <v>0</v>
      </c>
    </row>
    <row r="99" spans="1:10" ht="15.75" hidden="1" customHeight="1" x14ac:dyDescent="0.35">
      <c r="A99" s="97" t="s">
        <v>128</v>
      </c>
      <c r="B99" s="97" t="s">
        <v>128</v>
      </c>
      <c r="C99" s="83">
        <v>0</v>
      </c>
      <c r="D99" s="15">
        <f ca="1">((100/H90)*C99)/100</f>
        <v>0</v>
      </c>
      <c r="E99" s="119"/>
      <c r="F99" s="119"/>
      <c r="G99" s="119"/>
      <c r="H99" s="119"/>
      <c r="I99" s="13" t="s">
        <v>141</v>
      </c>
      <c r="J99" s="26">
        <f>(IF(B90&gt;3,(H90/(B90+2)+J98),0))</f>
        <v>0</v>
      </c>
    </row>
    <row r="100" spans="1:10" ht="15.75" hidden="1" customHeight="1" x14ac:dyDescent="0.35">
      <c r="A100" s="97" t="s">
        <v>135</v>
      </c>
      <c r="B100" s="97"/>
      <c r="C100" s="83">
        <v>0</v>
      </c>
      <c r="D100" s="15">
        <f ca="1">((100/H90)*C100)/100</f>
        <v>0</v>
      </c>
      <c r="E100" s="119"/>
      <c r="F100" s="119"/>
      <c r="G100" s="119"/>
      <c r="H100" s="119"/>
      <c r="I100" s="13" t="s">
        <v>142</v>
      </c>
      <c r="J100" s="25">
        <f>(IF(B90&gt;4,(H90/(B90+2)+J99),0))</f>
        <v>0</v>
      </c>
    </row>
    <row r="101" spans="1:10" ht="15.75" hidden="1" customHeight="1" x14ac:dyDescent="0.35">
      <c r="A101" s="97" t="s">
        <v>130</v>
      </c>
      <c r="B101" s="97" t="s">
        <v>130</v>
      </c>
      <c r="C101" s="83">
        <v>0</v>
      </c>
      <c r="D101" s="15">
        <f ca="1">((100/(H90))*C101)/100</f>
        <v>0</v>
      </c>
      <c r="E101" s="119"/>
      <c r="F101" s="119"/>
      <c r="G101" s="119"/>
      <c r="H101" s="119"/>
      <c r="I101" s="13" t="s">
        <v>146</v>
      </c>
      <c r="J101" s="25">
        <f ca="1">(IF(B90=1,(H90/(B90+3)+J96),IF(B90=0,(H90/4+J96),IF(B90&gt;1,0))))</f>
        <v>14.25</v>
      </c>
    </row>
    <row r="102" spans="1:10" ht="16" hidden="1" thickBot="1" x14ac:dyDescent="0.4">
      <c r="A102" s="97" t="s">
        <v>131</v>
      </c>
      <c r="B102" s="97"/>
      <c r="C102" s="83">
        <v>0</v>
      </c>
      <c r="D102" s="15">
        <f ca="1">((100/(H90))*C102)/100</f>
        <v>0</v>
      </c>
      <c r="E102" s="119"/>
      <c r="F102" s="119"/>
      <c r="G102" s="119"/>
      <c r="H102" s="119"/>
      <c r="I102" s="14" t="s">
        <v>102</v>
      </c>
      <c r="J102" s="27">
        <f ca="1">(IF(B90&gt;1.5,(H90/(B90+2)+J96+MAX(0,J97-J96)+MAX(0,J98-J97)+MAX(0,J99-J98)+MAX(0,J100-J99)+MAX(0,J101-J100)),IF(B90=1,(H90/(B90+3)+J101),IF(B90=0,H90/4+J101))))</f>
        <v>19</v>
      </c>
    </row>
    <row r="103" spans="1:10" ht="15.75" hidden="1" customHeight="1" x14ac:dyDescent="0.35">
      <c r="A103" s="137" t="s">
        <v>137</v>
      </c>
      <c r="B103" s="137"/>
      <c r="C103" s="137" t="str">
        <f>D67</f>
        <v>C Wing = 1B + G + 1st to 20th Floor</v>
      </c>
      <c r="D103" s="137"/>
      <c r="E103" s="137"/>
      <c r="F103" s="137"/>
      <c r="G103" s="137"/>
      <c r="H103" s="137"/>
      <c r="I103" s="88" t="str">
        <f ca="1">IF(D116=100%,"All work Completed. Possession granted to the Building.",IF(D115=100%,"All work Completed, Waiting for OC",I104&amp;""&amp;I105&amp;""&amp;J104&amp;""&amp;J103&amp;" "&amp;J105))</f>
        <v xml:space="preserve">Excavation, Plinth, RCC Slab Completed </v>
      </c>
      <c r="J103" s="35"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5">
      <c r="A104" s="68" t="s">
        <v>139</v>
      </c>
      <c r="B104" s="68">
        <f>IF(AND(ISNUMBER(SEARCH("1B",C103))),1,IF(AND(ISNUMBER(SEARCH("2B",C103))),2,IF(AND(ISNUMBER(SEARCH("3B",C103))),3,IF(AND(ISNUMBER(SEARCH("4B",C103))),4,IF(ISNUMBER(SEARCH("5B",C103)),5,0)))))</f>
        <v>1</v>
      </c>
      <c r="C104" s="68" t="s">
        <v>69</v>
      </c>
      <c r="D104" s="68">
        <v>1</v>
      </c>
      <c r="E104" s="68" t="s">
        <v>68</v>
      </c>
      <c r="F104" s="71">
        <v>0</v>
      </c>
      <c r="G104" s="72" t="s">
        <v>77</v>
      </c>
      <c r="H104" s="68">
        <f ca="1">--TRIM(RIGHT(SUBSTITUTE(LEFT(C103,_xlfn.AGGREGATE(16,6,FIND({0,1,2,3,4,5,6,7,8,9},C103,ROW(INDIRECT("1:"&amp;LEN(C103)))),1))," ",REPT(" ",LEN(C103))),LEN(C103)))</f>
        <v>20</v>
      </c>
      <c r="I104" s="89" t="str">
        <f ca="1">IF(D107=100%,"Excavation","")&amp;IF(D108=100%,", Plinth","")&amp;IF(D109=100%,", RCC Slab","")&amp;IF(D110=100%,", Brickwork","")&amp;IF(D111=100%,", Internal Plaster","")&amp;IF(D112=100%,", External Plaster","")&amp;IF(D113=100%,", Flooring","")&amp;IF(D114=100%,", Painting","")&amp;IF(D115=100%,", Building common Amenities","")</f>
        <v>Excavation, Plinth, RCC Slab</v>
      </c>
      <c r="J104" s="37"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35">
      <c r="A105" s="124" t="s">
        <v>87</v>
      </c>
      <c r="B105" s="124"/>
      <c r="C105" s="101" t="str">
        <f ca="1">(IF($G$60="NA",I103,"All work Completed. OC Received."))</f>
        <v xml:space="preserve">Excavation, Plinth, RCC Slab Completed </v>
      </c>
      <c r="D105" s="101"/>
      <c r="E105" s="101"/>
      <c r="F105" s="101"/>
      <c r="G105" s="101"/>
      <c r="H105" s="101"/>
      <c r="I105" s="89" t="str">
        <f ca="1">IF(I104&lt;&gt;""," Completed","")</f>
        <v xml:space="preserve"> Completed</v>
      </c>
      <c r="J105" s="37" t="str">
        <f ca="1">IF(J103&lt;&gt;"","Completed","")</f>
        <v/>
      </c>
    </row>
    <row r="106" spans="1:10" ht="15.75" hidden="1" customHeight="1" x14ac:dyDescent="0.35">
      <c r="A106" s="97" t="s">
        <v>47</v>
      </c>
      <c r="B106" s="97"/>
      <c r="C106" s="83" t="s">
        <v>136</v>
      </c>
      <c r="D106" s="83" t="s">
        <v>80</v>
      </c>
      <c r="E106" s="97" t="s">
        <v>82</v>
      </c>
      <c r="F106" s="97"/>
      <c r="G106" s="97" t="s">
        <v>81</v>
      </c>
      <c r="H106" s="97"/>
      <c r="I106" s="13" t="s">
        <v>138</v>
      </c>
      <c r="J106" s="23">
        <f ca="1">H104*25%</f>
        <v>5</v>
      </c>
    </row>
    <row r="107" spans="1:10" hidden="1" x14ac:dyDescent="0.35">
      <c r="A107" s="97" t="s">
        <v>125</v>
      </c>
      <c r="B107" s="97"/>
      <c r="C107" s="83">
        <f ca="1">J108</f>
        <v>20</v>
      </c>
      <c r="D107" s="15">
        <f ca="1">((100/H104)*C107)/100</f>
        <v>1</v>
      </c>
      <c r="E107" s="119">
        <f ca="1">(((C108/H104*10)+(40/(D104+F104+H104)*C109)+(7.5/(H104)*C110)+(7.5/(H104)*C111)+(10/H104*C112)+(10/H104*C113)+(5/H104*C114)+(5/H104*C115)+(5/H104*C116))/100)</f>
        <v>0.5</v>
      </c>
      <c r="F107" s="119"/>
      <c r="G107" s="119">
        <f ca="1">((((C107/H104)*20)+((C108/H104)*25)+(30/(H104+F104+D104)*C109)+(5/H104*C110)+(5/H104*C111)+(5/H104*C112)+(5/H104*C113)+(0/H104*C114)+(0/H104*C115)+(5/H104*C116))/100)</f>
        <v>0.75</v>
      </c>
      <c r="H107" s="119"/>
      <c r="I107" s="13" t="s">
        <v>98</v>
      </c>
      <c r="J107" s="24">
        <f ca="1">H104*50%</f>
        <v>10</v>
      </c>
    </row>
    <row r="108" spans="1:10" hidden="1" x14ac:dyDescent="0.35">
      <c r="A108" s="97" t="s">
        <v>48</v>
      </c>
      <c r="B108" s="97"/>
      <c r="C108" s="83">
        <f ca="1">J116</f>
        <v>20</v>
      </c>
      <c r="D108" s="15">
        <f ca="1">((100/H104)*C108)/100</f>
        <v>1</v>
      </c>
      <c r="E108" s="119"/>
      <c r="F108" s="119"/>
      <c r="G108" s="119"/>
      <c r="H108" s="119"/>
      <c r="I108" s="13" t="s">
        <v>99</v>
      </c>
      <c r="J108" s="24">
        <f ca="1">H104</f>
        <v>20</v>
      </c>
    </row>
    <row r="109" spans="1:10" ht="15.75" hidden="1" customHeight="1" x14ac:dyDescent="0.35">
      <c r="A109" s="97" t="s">
        <v>126</v>
      </c>
      <c r="B109" s="97"/>
      <c r="C109" s="83">
        <f ca="1">D104+H104</f>
        <v>21</v>
      </c>
      <c r="D109" s="15">
        <f ca="1">((100/(D104+F104+H104))*C109)/100</f>
        <v>1</v>
      </c>
      <c r="E109" s="119"/>
      <c r="F109" s="119"/>
      <c r="G109" s="119"/>
      <c r="H109" s="119"/>
      <c r="I109" s="13" t="s">
        <v>100</v>
      </c>
      <c r="J109" s="25">
        <f ca="1">(IF(B104&gt;1,(H104/(B104+2)),H104/4))</f>
        <v>5</v>
      </c>
    </row>
    <row r="110" spans="1:10" ht="15.75" hidden="1" customHeight="1" x14ac:dyDescent="0.35">
      <c r="A110" s="97" t="s">
        <v>133</v>
      </c>
      <c r="B110" s="97" t="s">
        <v>127</v>
      </c>
      <c r="C110" s="83">
        <v>0</v>
      </c>
      <c r="D110" s="15">
        <f ca="1">((100/H104)*C110)/100</f>
        <v>0</v>
      </c>
      <c r="E110" s="119"/>
      <c r="F110" s="119"/>
      <c r="G110" s="119"/>
      <c r="H110" s="119"/>
      <c r="I110" s="13" t="s">
        <v>101</v>
      </c>
      <c r="J110" s="25">
        <f ca="1">(IF(B104&gt;1,(H104/(B104+2)+J109),H104/4+J109))</f>
        <v>10</v>
      </c>
    </row>
    <row r="111" spans="1:10" ht="15.75" hidden="1" customHeight="1" x14ac:dyDescent="0.35">
      <c r="A111" s="97" t="s">
        <v>134</v>
      </c>
      <c r="B111" s="97" t="s">
        <v>127</v>
      </c>
      <c r="C111" s="83">
        <v>0</v>
      </c>
      <c r="D111" s="15">
        <f ca="1">((100/H104)*C111)/100</f>
        <v>0</v>
      </c>
      <c r="E111" s="119"/>
      <c r="F111" s="119"/>
      <c r="G111" s="119"/>
      <c r="H111" s="119"/>
      <c r="I111" s="13" t="s">
        <v>145</v>
      </c>
      <c r="J111" s="25">
        <f>(IF(B104&gt;1,(H104/(B104+2)+J110),0))</f>
        <v>0</v>
      </c>
    </row>
    <row r="112" spans="1:10" ht="15" hidden="1" customHeight="1" x14ac:dyDescent="0.35">
      <c r="A112" s="97" t="s">
        <v>132</v>
      </c>
      <c r="B112" s="97" t="s">
        <v>129</v>
      </c>
      <c r="C112" s="83">
        <v>0</v>
      </c>
      <c r="D112" s="15">
        <f ca="1">((100/(H104))*C112)/100</f>
        <v>0</v>
      </c>
      <c r="E112" s="119"/>
      <c r="F112" s="119"/>
      <c r="G112" s="119"/>
      <c r="H112" s="119"/>
      <c r="I112" s="13" t="s">
        <v>140</v>
      </c>
      <c r="J112" s="25">
        <f>(IF(B104&gt;2,(H104/(B104+2)+J111),0))</f>
        <v>0</v>
      </c>
    </row>
    <row r="113" spans="1:22" ht="15.75" hidden="1" customHeight="1" x14ac:dyDescent="0.35">
      <c r="A113" s="97" t="s">
        <v>128</v>
      </c>
      <c r="B113" s="97" t="s">
        <v>128</v>
      </c>
      <c r="C113" s="83">
        <v>0</v>
      </c>
      <c r="D113" s="15">
        <f ca="1">((100/H104)*C113)/100</f>
        <v>0</v>
      </c>
      <c r="E113" s="119"/>
      <c r="F113" s="119"/>
      <c r="G113" s="119"/>
      <c r="H113" s="119"/>
      <c r="I113" s="13" t="s">
        <v>141</v>
      </c>
      <c r="J113" s="26">
        <f>(IF(B104&gt;3,(H104/(B104+2)+J112),0))</f>
        <v>0</v>
      </c>
    </row>
    <row r="114" spans="1:22" ht="15.75" hidden="1" customHeight="1" x14ac:dyDescent="0.35">
      <c r="A114" s="97" t="s">
        <v>135</v>
      </c>
      <c r="B114" s="97"/>
      <c r="C114" s="83">
        <v>0</v>
      </c>
      <c r="D114" s="15">
        <f ca="1">((100/H104)*C114)/100</f>
        <v>0</v>
      </c>
      <c r="E114" s="119"/>
      <c r="F114" s="119"/>
      <c r="G114" s="119"/>
      <c r="H114" s="119"/>
      <c r="I114" s="13" t="s">
        <v>142</v>
      </c>
      <c r="J114" s="25">
        <f>(IF(B104&gt;4,(H104/(B104+2)+J113),0))</f>
        <v>0</v>
      </c>
    </row>
    <row r="115" spans="1:22" ht="15.75" hidden="1" customHeight="1" x14ac:dyDescent="0.35">
      <c r="A115" s="97" t="s">
        <v>130</v>
      </c>
      <c r="B115" s="97" t="s">
        <v>130</v>
      </c>
      <c r="C115" s="83">
        <v>0</v>
      </c>
      <c r="D115" s="15">
        <f ca="1">((100/(H104))*C115)/100</f>
        <v>0</v>
      </c>
      <c r="E115" s="119"/>
      <c r="F115" s="119"/>
      <c r="G115" s="119"/>
      <c r="H115" s="119"/>
      <c r="I115" s="13" t="s">
        <v>146</v>
      </c>
      <c r="J115" s="25">
        <f ca="1">(IF(B104=1,(H104/(B104+3)+J110),IF(B104=0,(H104/4+J110),IF(B104&gt;1,0))))</f>
        <v>15</v>
      </c>
    </row>
    <row r="116" spans="1:22" ht="16" hidden="1" thickBot="1" x14ac:dyDescent="0.4">
      <c r="A116" s="97" t="s">
        <v>131</v>
      </c>
      <c r="B116" s="97"/>
      <c r="C116" s="83">
        <v>0</v>
      </c>
      <c r="D116" s="15">
        <f ca="1">((100/(H104))*C116)/100</f>
        <v>0</v>
      </c>
      <c r="E116" s="119"/>
      <c r="F116" s="119"/>
      <c r="G116" s="119"/>
      <c r="H116" s="119"/>
      <c r="I116" s="14" t="s">
        <v>102</v>
      </c>
      <c r="J116" s="27">
        <f ca="1">(IF(B104&gt;1.5,(H104/(B104+2)+J110+MAX(0,J111-J110)+MAX(0,J112-J111)+MAX(0,J113-J112)+MAX(0,J114-J113)+MAX(0,J115-J114)),IF(B104=1,(H104/(B104+3)+J115),IF(B104=0,H104/4+J115))))</f>
        <v>20</v>
      </c>
    </row>
    <row r="117" spans="1:22" x14ac:dyDescent="0.35">
      <c r="A117" s="123" t="s">
        <v>157</v>
      </c>
      <c r="B117" s="123"/>
      <c r="C117" s="123"/>
      <c r="D117" s="123"/>
      <c r="E117" s="123"/>
      <c r="F117" s="166" t="s">
        <v>161</v>
      </c>
      <c r="G117" s="166"/>
      <c r="H117" s="166"/>
      <c r="R117" t="s">
        <v>256</v>
      </c>
      <c r="S117" t="s">
        <v>174</v>
      </c>
      <c r="T117" t="s">
        <v>181</v>
      </c>
      <c r="U117" t="s">
        <v>196</v>
      </c>
      <c r="V117" t="s">
        <v>191</v>
      </c>
    </row>
    <row r="118" spans="1:22" x14ac:dyDescent="0.35">
      <c r="A118" s="96" t="s">
        <v>159</v>
      </c>
      <c r="B118" s="96"/>
      <c r="C118" s="96"/>
      <c r="D118" s="96"/>
      <c r="E118" s="96"/>
      <c r="F118" s="120">
        <v>10000</v>
      </c>
      <c r="G118" s="120"/>
      <c r="H118" s="120"/>
      <c r="I118" s="16" t="s">
        <v>391</v>
      </c>
      <c r="R118"/>
      <c r="S118">
        <v>800000</v>
      </c>
      <c r="T118">
        <v>150000</v>
      </c>
      <c r="U118">
        <v>100000</v>
      </c>
      <c r="V118">
        <v>100000</v>
      </c>
    </row>
    <row r="119" spans="1:22" x14ac:dyDescent="0.35">
      <c r="A119" s="96" t="s">
        <v>158</v>
      </c>
      <c r="B119" s="96"/>
      <c r="C119" s="96"/>
      <c r="D119" s="96"/>
      <c r="E119" s="96"/>
      <c r="F119" s="120">
        <v>12000</v>
      </c>
      <c r="G119" s="120"/>
      <c r="H119" s="120"/>
      <c r="R119"/>
      <c r="S119">
        <v>900000</v>
      </c>
      <c r="T119">
        <v>200000</v>
      </c>
      <c r="U119">
        <v>150000</v>
      </c>
      <c r="V119">
        <v>150000</v>
      </c>
    </row>
    <row r="120" spans="1:22" hidden="1" x14ac:dyDescent="0.35">
      <c r="A120" s="96" t="s">
        <v>160</v>
      </c>
      <c r="B120" s="96"/>
      <c r="C120" s="96"/>
      <c r="D120" s="96"/>
      <c r="E120" s="96"/>
      <c r="F120" s="120"/>
      <c r="G120" s="120"/>
      <c r="H120" s="120"/>
      <c r="R120"/>
      <c r="S120">
        <v>1000000</v>
      </c>
      <c r="T120">
        <v>250000</v>
      </c>
      <c r="U120">
        <v>200000</v>
      </c>
      <c r="V120">
        <v>200000</v>
      </c>
    </row>
    <row r="121" spans="1:22" s="28" customFormat="1" hidden="1" x14ac:dyDescent="0.35">
      <c r="A121" s="96" t="s">
        <v>177</v>
      </c>
      <c r="B121" s="96"/>
      <c r="C121" s="96"/>
      <c r="D121" s="96"/>
      <c r="E121" s="96"/>
      <c r="F121" s="120"/>
      <c r="G121" s="120"/>
      <c r="H121" s="120"/>
      <c r="R121"/>
      <c r="S121">
        <v>1100000</v>
      </c>
      <c r="T121">
        <v>300000</v>
      </c>
      <c r="U121">
        <v>250000</v>
      </c>
      <c r="V121" s="18">
        <v>250000</v>
      </c>
    </row>
    <row r="122" spans="1:22" s="28" customFormat="1" hidden="1" x14ac:dyDescent="0.35">
      <c r="A122" s="96" t="s">
        <v>92</v>
      </c>
      <c r="B122" s="96"/>
      <c r="C122" s="96"/>
      <c r="D122" s="96"/>
      <c r="E122" s="96"/>
      <c r="F122" s="120"/>
      <c r="G122" s="120"/>
      <c r="H122" s="120"/>
      <c r="R122"/>
      <c r="S122">
        <v>1200000</v>
      </c>
      <c r="T122">
        <v>350000</v>
      </c>
      <c r="U122">
        <v>300000</v>
      </c>
      <c r="V122">
        <v>300000</v>
      </c>
    </row>
    <row r="123" spans="1:22" s="28" customFormat="1" hidden="1" x14ac:dyDescent="0.35">
      <c r="A123" s="96" t="s">
        <v>93</v>
      </c>
      <c r="B123" s="96"/>
      <c r="C123" s="96"/>
      <c r="D123" s="96"/>
      <c r="E123" s="96"/>
      <c r="F123" s="120"/>
      <c r="G123" s="120"/>
      <c r="H123" s="120"/>
      <c r="R123"/>
      <c r="S123">
        <v>1300000</v>
      </c>
      <c r="T123">
        <v>400000</v>
      </c>
      <c r="U123">
        <v>350000</v>
      </c>
      <c r="V123" s="18">
        <v>400000</v>
      </c>
    </row>
    <row r="124" spans="1:22" s="28" customFormat="1" hidden="1" x14ac:dyDescent="0.35">
      <c r="A124" s="96" t="s">
        <v>94</v>
      </c>
      <c r="B124" s="96"/>
      <c r="C124" s="96"/>
      <c r="D124" s="96"/>
      <c r="E124" s="96"/>
      <c r="F124" s="120"/>
      <c r="G124" s="120"/>
      <c r="H124" s="120"/>
      <c r="R124"/>
      <c r="S124">
        <v>1400000</v>
      </c>
      <c r="T124">
        <v>500000</v>
      </c>
      <c r="U124">
        <v>400000</v>
      </c>
      <c r="V124"/>
    </row>
    <row r="125" spans="1:22" s="28" customFormat="1" hidden="1" x14ac:dyDescent="0.35">
      <c r="A125" s="96" t="s">
        <v>95</v>
      </c>
      <c r="B125" s="96"/>
      <c r="C125" s="96"/>
      <c r="D125" s="96"/>
      <c r="E125" s="96"/>
      <c r="F125" s="120"/>
      <c r="G125" s="120"/>
      <c r="H125" s="120"/>
      <c r="R125"/>
      <c r="S125">
        <v>1500000</v>
      </c>
      <c r="T125">
        <v>600000</v>
      </c>
      <c r="U125">
        <v>500000</v>
      </c>
      <c r="V125" s="18"/>
    </row>
    <row r="126" spans="1:22" s="28" customFormat="1" hidden="1" x14ac:dyDescent="0.35">
      <c r="A126" s="96" t="s">
        <v>96</v>
      </c>
      <c r="B126" s="96"/>
      <c r="C126" s="96"/>
      <c r="D126" s="96"/>
      <c r="E126" s="96"/>
      <c r="F126" s="120"/>
      <c r="G126" s="120"/>
      <c r="H126" s="120"/>
      <c r="R126"/>
      <c r="S126">
        <v>1600000</v>
      </c>
      <c r="T126">
        <v>700000</v>
      </c>
      <c r="U126">
        <v>600000</v>
      </c>
      <c r="V126"/>
    </row>
    <row r="127" spans="1:22" s="28" customFormat="1" hidden="1" x14ac:dyDescent="0.35">
      <c r="A127" s="96" t="s">
        <v>97</v>
      </c>
      <c r="B127" s="96"/>
      <c r="C127" s="96"/>
      <c r="D127" s="96"/>
      <c r="E127" s="96"/>
      <c r="F127" s="120"/>
      <c r="G127" s="120"/>
      <c r="H127" s="120"/>
      <c r="R127"/>
      <c r="S127">
        <v>1700000</v>
      </c>
      <c r="T127">
        <v>800000</v>
      </c>
      <c r="U127"/>
      <c r="V127" s="18"/>
    </row>
    <row r="128" spans="1:22" x14ac:dyDescent="0.35">
      <c r="A128" s="96" t="s">
        <v>49</v>
      </c>
      <c r="B128" s="96"/>
      <c r="C128" s="96"/>
      <c r="D128" s="96"/>
      <c r="E128" s="96"/>
      <c r="F128" s="120">
        <v>500000</v>
      </c>
      <c r="G128" s="120"/>
      <c r="H128" s="120"/>
      <c r="R128"/>
      <c r="S128">
        <v>1800000</v>
      </c>
      <c r="T128">
        <v>900000</v>
      </c>
      <c r="U128"/>
    </row>
    <row r="129" spans="1:22" s="29" customFormat="1" x14ac:dyDescent="0.35">
      <c r="A129" s="123" t="s">
        <v>50</v>
      </c>
      <c r="B129" s="123"/>
      <c r="C129" s="123"/>
      <c r="D129" s="123"/>
      <c r="E129" s="123"/>
      <c r="F129" s="120">
        <f>F118*0.8</f>
        <v>8000</v>
      </c>
      <c r="G129" s="120"/>
      <c r="H129" s="120"/>
      <c r="R129" s="16"/>
      <c r="S129" s="16"/>
      <c r="T129">
        <v>1000000</v>
      </c>
      <c r="U129"/>
      <c r="V129" s="16"/>
    </row>
    <row r="130" spans="1:22" s="30" customFormat="1" ht="15.75" customHeight="1" x14ac:dyDescent="0.35">
      <c r="A130" s="105" t="s">
        <v>72</v>
      </c>
      <c r="B130" s="105"/>
      <c r="C130" s="105"/>
      <c r="D130" s="105"/>
      <c r="E130" s="105"/>
      <c r="F130" s="105"/>
      <c r="G130" s="105"/>
      <c r="H130" s="105"/>
      <c r="R130"/>
      <c r="S130" s="16"/>
      <c r="T130"/>
      <c r="U130"/>
      <c r="V130" s="16"/>
    </row>
    <row r="131" spans="1:22" s="30" customFormat="1" ht="15.75" customHeight="1" x14ac:dyDescent="0.35">
      <c r="A131" s="183" t="s">
        <v>51</v>
      </c>
      <c r="B131" s="183"/>
      <c r="C131" s="107" t="s">
        <v>75</v>
      </c>
      <c r="D131" s="107"/>
      <c r="E131" s="187" t="s">
        <v>52</v>
      </c>
      <c r="F131" s="187"/>
      <c r="G131" s="183" t="s">
        <v>53</v>
      </c>
      <c r="H131" s="183"/>
      <c r="R131"/>
      <c r="S131" s="16"/>
      <c r="T131"/>
      <c r="U131" s="16"/>
      <c r="V131" s="16"/>
    </row>
    <row r="132" spans="1:22" s="30" customFormat="1" x14ac:dyDescent="0.35">
      <c r="A132" s="108" t="s">
        <v>357</v>
      </c>
      <c r="B132" s="108"/>
      <c r="C132" s="131">
        <f>COUNT(D146:D151)</f>
        <v>6</v>
      </c>
      <c r="D132" s="102"/>
      <c r="E132" s="131">
        <f t="shared" ref="E132" si="0">SUM(F146:F151)</f>
        <v>2965.8049199999996</v>
      </c>
      <c r="F132" s="102"/>
      <c r="G132" s="131">
        <f t="shared" ref="G132" si="1">SUM(H146:H151)</f>
        <v>4448.7073799999998</v>
      </c>
      <c r="H132" s="102"/>
      <c r="R132"/>
      <c r="S132" s="16"/>
      <c r="T132"/>
      <c r="U132" s="16"/>
      <c r="V132" s="16"/>
    </row>
    <row r="133" spans="1:22" s="30" customFormat="1" hidden="1" x14ac:dyDescent="0.35">
      <c r="A133" s="108"/>
      <c r="B133" s="108"/>
      <c r="C133" s="102"/>
      <c r="D133" s="102"/>
      <c r="E133" s="103"/>
      <c r="F133" s="103"/>
      <c r="G133" s="104"/>
      <c r="H133" s="104"/>
      <c r="R133"/>
      <c r="S133" s="16"/>
      <c r="T133"/>
      <c r="U133" s="16"/>
      <c r="V133" s="16"/>
    </row>
    <row r="134" spans="1:22" s="30" customFormat="1" hidden="1" x14ac:dyDescent="0.35">
      <c r="A134" s="105" t="s">
        <v>150</v>
      </c>
      <c r="B134" s="105"/>
      <c r="C134" s="106">
        <f>C132</f>
        <v>6</v>
      </c>
      <c r="D134" s="107"/>
      <c r="E134" s="106">
        <f t="shared" ref="E134" si="2">E132</f>
        <v>2965.8049199999996</v>
      </c>
      <c r="F134" s="107"/>
      <c r="G134" s="106">
        <f t="shared" ref="G134" si="3">G132</f>
        <v>4448.7073799999998</v>
      </c>
      <c r="H134" s="107"/>
      <c r="R134"/>
      <c r="S134" s="16"/>
      <c r="T134"/>
      <c r="U134" s="16"/>
      <c r="V134" s="16"/>
    </row>
    <row r="135" spans="1:22" s="30" customFormat="1" x14ac:dyDescent="0.35">
      <c r="A135" s="105" t="s">
        <v>67</v>
      </c>
      <c r="B135" s="105"/>
      <c r="C135" s="105"/>
      <c r="D135" s="105"/>
      <c r="E135" s="105"/>
      <c r="F135" s="105"/>
      <c r="G135" s="105"/>
      <c r="H135" s="105"/>
      <c r="T135"/>
    </row>
    <row r="136" spans="1:22" s="30" customFormat="1" ht="15.75" customHeight="1" x14ac:dyDescent="0.35">
      <c r="A136" s="183" t="s">
        <v>51</v>
      </c>
      <c r="B136" s="183"/>
      <c r="C136" s="107" t="s">
        <v>75</v>
      </c>
      <c r="D136" s="107"/>
      <c r="E136" s="187" t="s">
        <v>52</v>
      </c>
      <c r="F136" s="187"/>
      <c r="G136" s="183" t="s">
        <v>53</v>
      </c>
      <c r="H136" s="183"/>
      <c r="T136"/>
    </row>
    <row r="137" spans="1:22" s="30" customFormat="1" ht="16" thickBot="1" x14ac:dyDescent="0.4">
      <c r="A137" s="108" t="s">
        <v>66</v>
      </c>
      <c r="B137" s="108"/>
      <c r="C137" s="131">
        <f>COUNT(D158:D165)*22+COUNT(D167:D169,D171:D174)*6</f>
        <v>218</v>
      </c>
      <c r="D137" s="131"/>
      <c r="E137" s="131">
        <f t="shared" ref="E137" si="4">SUM(F158:F165)*22+SUM(F167:F169,F171:F174)*6</f>
        <v>120797.26776</v>
      </c>
      <c r="F137" s="131"/>
      <c r="G137" s="131">
        <f t="shared" ref="G137" si="5">SUM(H158:H165)*22+SUM(H167:H169,H171:H174)*6</f>
        <v>175156.038252</v>
      </c>
      <c r="H137" s="131"/>
      <c r="T137"/>
    </row>
    <row r="138" spans="1:22" s="30" customFormat="1" hidden="1" x14ac:dyDescent="0.35">
      <c r="A138" s="108"/>
      <c r="B138" s="108"/>
      <c r="C138" s="102"/>
      <c r="D138" s="102"/>
      <c r="E138" s="103"/>
      <c r="F138" s="103"/>
      <c r="G138" s="104"/>
      <c r="H138" s="104"/>
      <c r="T138"/>
    </row>
    <row r="139" spans="1:22" s="30" customFormat="1" ht="16" hidden="1" thickBot="1" x14ac:dyDescent="0.4">
      <c r="A139" s="98" t="s">
        <v>150</v>
      </c>
      <c r="B139" s="98"/>
      <c r="C139" s="99">
        <f>C137</f>
        <v>218</v>
      </c>
      <c r="D139" s="100"/>
      <c r="E139" s="99">
        <f t="shared" ref="E139" si="6">E137</f>
        <v>120797.26776</v>
      </c>
      <c r="F139" s="100"/>
      <c r="G139" s="99">
        <f t="shared" ref="G139" si="7">G137</f>
        <v>175156.038252</v>
      </c>
      <c r="H139" s="100"/>
      <c r="T139"/>
    </row>
    <row r="140" spans="1:22" s="30" customFormat="1" ht="16" thickBot="1" x14ac:dyDescent="0.4">
      <c r="A140" s="191" t="s">
        <v>167</v>
      </c>
      <c r="B140" s="192"/>
      <c r="C140" s="193">
        <f>C134+C139</f>
        <v>224</v>
      </c>
      <c r="D140" s="193"/>
      <c r="E140" s="194">
        <f>E134+E139</f>
        <v>123763.07268</v>
      </c>
      <c r="F140" s="194"/>
      <c r="G140" s="132">
        <f>G134+G139</f>
        <v>179604.74563200001</v>
      </c>
      <c r="H140" s="133"/>
      <c r="T140"/>
    </row>
    <row r="141" spans="1:22" s="29" customFormat="1" x14ac:dyDescent="0.35">
      <c r="A141" s="188" t="s">
        <v>54</v>
      </c>
      <c r="B141" s="188"/>
      <c r="C141" s="188"/>
      <c r="D141" s="188"/>
      <c r="E141" s="188"/>
      <c r="F141" s="188"/>
      <c r="G141" s="188"/>
      <c r="H141" s="188"/>
      <c r="T141" s="30"/>
    </row>
    <row r="142" spans="1:22" x14ac:dyDescent="0.35">
      <c r="A142" s="226" t="s">
        <v>176</v>
      </c>
      <c r="B142" s="226"/>
      <c r="C142" s="226"/>
      <c r="D142" s="226"/>
      <c r="E142" s="226"/>
      <c r="F142" s="226"/>
      <c r="G142" s="226"/>
      <c r="H142" s="226"/>
      <c r="T142" s="30"/>
    </row>
    <row r="143" spans="1:22" ht="47.25" customHeight="1" x14ac:dyDescent="0.35">
      <c r="A143" s="121" t="s">
        <v>378</v>
      </c>
      <c r="B143" s="121" t="s">
        <v>178</v>
      </c>
      <c r="C143" s="121" t="s">
        <v>55</v>
      </c>
      <c r="D143" s="121" t="s">
        <v>234</v>
      </c>
      <c r="E143" s="125" t="s">
        <v>156</v>
      </c>
      <c r="F143" s="121" t="s">
        <v>56</v>
      </c>
      <c r="G143" s="125" t="s">
        <v>57</v>
      </c>
      <c r="H143" s="75" t="s">
        <v>148</v>
      </c>
      <c r="T143" s="30"/>
    </row>
    <row r="144" spans="1:22" s="32" customFormat="1" x14ac:dyDescent="0.35">
      <c r="A144" s="122"/>
      <c r="B144" s="122"/>
      <c r="C144" s="122"/>
      <c r="D144" s="122"/>
      <c r="E144" s="126"/>
      <c r="F144" s="122"/>
      <c r="G144" s="126"/>
      <c r="H144" s="62">
        <v>0.5</v>
      </c>
      <c r="T144" s="30"/>
    </row>
    <row r="145" spans="1:20" s="32" customFormat="1" x14ac:dyDescent="0.35">
      <c r="A145" s="138" t="s">
        <v>348</v>
      </c>
      <c r="B145" s="139"/>
      <c r="C145" s="139"/>
      <c r="D145" s="139"/>
      <c r="E145" s="139"/>
      <c r="F145" s="139"/>
      <c r="G145" s="139"/>
      <c r="H145" s="140"/>
      <c r="J145" s="31"/>
      <c r="T145" s="30"/>
    </row>
    <row r="146" spans="1:20" s="32" customFormat="1" ht="15.75" customHeight="1" x14ac:dyDescent="0.35">
      <c r="A146" s="184">
        <v>1</v>
      </c>
      <c r="B146" s="185"/>
      <c r="C146" s="63" t="s">
        <v>347</v>
      </c>
      <c r="D146" s="63">
        <f>(54.91)*10.764</f>
        <v>591.05123999999989</v>
      </c>
      <c r="E146" s="63">
        <v>0</v>
      </c>
      <c r="F146" s="63">
        <f>D146+(IF(E146&lt;201,E146,IF(E146&lt;301,E146/2,E146/3)))</f>
        <v>591.05123999999989</v>
      </c>
      <c r="G146" s="63">
        <v>0</v>
      </c>
      <c r="H146" s="63">
        <f>(F146+(IF(G146&lt;101,G146,IF(G146&lt;201,G146/2,IF(G146&lt;=301,G146/3,G146/4)))))*(($H$144)+1)</f>
        <v>886.5768599999999</v>
      </c>
      <c r="I146" s="31">
        <f>5.7*9.8</f>
        <v>55.860000000000007</v>
      </c>
      <c r="J146" s="59">
        <v>10.763999999999999</v>
      </c>
      <c r="L146" s="127"/>
      <c r="M146" s="127"/>
      <c r="N146" s="31"/>
      <c r="T146" s="30"/>
    </row>
    <row r="147" spans="1:20" s="32" customFormat="1" ht="15.75" customHeight="1" x14ac:dyDescent="0.35">
      <c r="A147" s="184">
        <f>A146+1</f>
        <v>2</v>
      </c>
      <c r="B147" s="185"/>
      <c r="C147" s="63" t="s">
        <v>347</v>
      </c>
      <c r="D147" s="63">
        <f>(28.01)*10.764</f>
        <v>301.49964</v>
      </c>
      <c r="E147" s="63">
        <v>0</v>
      </c>
      <c r="F147" s="63">
        <f t="shared" ref="F147:F149" si="8">D147+(IF(E147&lt;201,E147,IF(E147&lt;301,E147/2,E147/3)))</f>
        <v>301.49964</v>
      </c>
      <c r="G147" s="63">
        <v>0</v>
      </c>
      <c r="H147" s="63">
        <f t="shared" ref="H147:H149" si="9">(F147+(IF(G147&lt;101,G147,IF(G147&lt;201,G147/2,IF(G147&lt;=301,G147/3,G147/4)))))*(($H$144)+1)</f>
        <v>452.24946</v>
      </c>
      <c r="I147" s="31">
        <f>2.91*9.8</f>
        <v>28.518000000000004</v>
      </c>
      <c r="L147" s="127"/>
      <c r="M147" s="127"/>
      <c r="N147" s="31"/>
      <c r="T147" s="29"/>
    </row>
    <row r="148" spans="1:20" s="32" customFormat="1" ht="15.75" customHeight="1" x14ac:dyDescent="0.35">
      <c r="A148" s="184">
        <f>A147+1</f>
        <v>3</v>
      </c>
      <c r="B148" s="185"/>
      <c r="C148" s="63" t="s">
        <v>347</v>
      </c>
      <c r="D148" s="63">
        <f>(47.83)*10.764</f>
        <v>514.84211999999991</v>
      </c>
      <c r="E148" s="63">
        <v>0</v>
      </c>
      <c r="F148" s="63">
        <f t="shared" si="8"/>
        <v>514.84211999999991</v>
      </c>
      <c r="G148" s="63">
        <v>0</v>
      </c>
      <c r="H148" s="63">
        <f t="shared" si="9"/>
        <v>772.26317999999992</v>
      </c>
      <c r="I148" s="31"/>
      <c r="L148" s="127"/>
      <c r="M148" s="127"/>
      <c r="N148" s="31"/>
      <c r="T148" s="16"/>
    </row>
    <row r="149" spans="1:20" s="32" customFormat="1" ht="15.75" customHeight="1" x14ac:dyDescent="0.35">
      <c r="A149" s="184">
        <f>A148+1</f>
        <v>4</v>
      </c>
      <c r="B149" s="185"/>
      <c r="C149" s="63" t="s">
        <v>347</v>
      </c>
      <c r="D149" s="63">
        <f>(47.54)*10.764</f>
        <v>511.72055999999998</v>
      </c>
      <c r="E149" s="63">
        <v>0</v>
      </c>
      <c r="F149" s="63">
        <f t="shared" si="8"/>
        <v>511.72055999999998</v>
      </c>
      <c r="G149" s="63">
        <v>0</v>
      </c>
      <c r="H149" s="63">
        <f t="shared" si="9"/>
        <v>767.58083999999997</v>
      </c>
      <c r="I149" s="31">
        <f>5.73*8.37</f>
        <v>47.960099999999997</v>
      </c>
      <c r="L149" s="127"/>
      <c r="M149" s="127"/>
      <c r="N149" s="31"/>
      <c r="T149" s="16"/>
    </row>
    <row r="150" spans="1:20" s="60" customFormat="1" ht="15.75" customHeight="1" x14ac:dyDescent="0.35">
      <c r="A150" s="184">
        <f>A149+1</f>
        <v>5</v>
      </c>
      <c r="B150" s="185"/>
      <c r="C150" s="63" t="s">
        <v>347</v>
      </c>
      <c r="D150" s="63">
        <f>(43.73)*10.764</f>
        <v>470.70971999999995</v>
      </c>
      <c r="E150" s="63">
        <v>0</v>
      </c>
      <c r="F150" s="63">
        <f t="shared" ref="F150:F151" si="10">D150+(IF(E150&lt;201,E150,IF(E150&lt;301,E150/2,E150/3)))</f>
        <v>470.70971999999995</v>
      </c>
      <c r="G150" s="63">
        <v>0</v>
      </c>
      <c r="H150" s="63">
        <f t="shared" ref="H150:H151" si="11">(F150+(IF(G150&lt;101,G150,IF(G150&lt;201,G150/2,IF(G150&lt;=301,G150/3,G150/4)))))*(($H$144)+1)</f>
        <v>706.06457999999998</v>
      </c>
      <c r="I150" s="31"/>
      <c r="L150" s="127"/>
      <c r="M150" s="127"/>
      <c r="N150" s="31"/>
      <c r="T150" s="16"/>
    </row>
    <row r="151" spans="1:20" s="60" customFormat="1" ht="15.75" customHeight="1" x14ac:dyDescent="0.35">
      <c r="A151" s="184">
        <f>A150+1</f>
        <v>6</v>
      </c>
      <c r="B151" s="185"/>
      <c r="C151" s="63" t="s">
        <v>347</v>
      </c>
      <c r="D151" s="63">
        <f>(53.51)*10.764</f>
        <v>575.98163999999997</v>
      </c>
      <c r="E151" s="63">
        <v>0</v>
      </c>
      <c r="F151" s="63">
        <f t="shared" si="10"/>
        <v>575.98163999999997</v>
      </c>
      <c r="G151" s="63">
        <v>0</v>
      </c>
      <c r="H151" s="63">
        <f t="shared" si="11"/>
        <v>863.97245999999996</v>
      </c>
      <c r="I151" s="31"/>
      <c r="L151" s="127"/>
      <c r="M151" s="127"/>
      <c r="N151" s="31"/>
      <c r="T151" s="16"/>
    </row>
    <row r="152" spans="1:20" s="32" customFormat="1" x14ac:dyDescent="0.35">
      <c r="A152" s="184"/>
      <c r="B152" s="186"/>
      <c r="C152" s="186"/>
      <c r="D152" s="186"/>
      <c r="E152" s="186"/>
      <c r="F152" s="186"/>
      <c r="G152" s="186"/>
      <c r="H152" s="185"/>
      <c r="I152" s="31"/>
      <c r="N152" s="31"/>
    </row>
    <row r="153" spans="1:20" ht="47.25" customHeight="1" x14ac:dyDescent="0.35">
      <c r="A153" s="189" t="s">
        <v>379</v>
      </c>
      <c r="B153" s="121" t="s">
        <v>179</v>
      </c>
      <c r="C153" s="121" t="s">
        <v>55</v>
      </c>
      <c r="D153" s="121" t="s">
        <v>234</v>
      </c>
      <c r="E153" s="121" t="s">
        <v>384</v>
      </c>
      <c r="F153" s="121" t="s">
        <v>56</v>
      </c>
      <c r="G153" s="125" t="s">
        <v>57</v>
      </c>
      <c r="H153" s="75" t="s">
        <v>148</v>
      </c>
      <c r="I153" s="31"/>
      <c r="T153" s="32"/>
    </row>
    <row r="154" spans="1:20" s="32" customFormat="1" x14ac:dyDescent="0.35">
      <c r="A154" s="190"/>
      <c r="B154" s="122"/>
      <c r="C154" s="122"/>
      <c r="D154" s="122"/>
      <c r="E154" s="122"/>
      <c r="F154" s="122"/>
      <c r="G154" s="126"/>
      <c r="H154" s="62">
        <v>0.45</v>
      </c>
      <c r="I154" s="31"/>
    </row>
    <row r="155" spans="1:20" s="60" customFormat="1" x14ac:dyDescent="0.35">
      <c r="A155" s="195" t="s">
        <v>348</v>
      </c>
      <c r="B155" s="196"/>
      <c r="C155" s="196"/>
      <c r="D155" s="196"/>
      <c r="E155" s="196"/>
      <c r="F155" s="196"/>
      <c r="G155" s="196"/>
      <c r="H155" s="197"/>
      <c r="J155" s="31"/>
      <c r="T155" s="30"/>
    </row>
    <row r="156" spans="1:20" s="60" customFormat="1" x14ac:dyDescent="0.35">
      <c r="A156" s="195" t="s">
        <v>349</v>
      </c>
      <c r="B156" s="196"/>
      <c r="C156" s="196"/>
      <c r="D156" s="196"/>
      <c r="E156" s="196"/>
      <c r="F156" s="196"/>
      <c r="G156" s="196"/>
      <c r="H156" s="197"/>
      <c r="J156" s="31"/>
    </row>
    <row r="157" spans="1:20" s="32" customFormat="1" x14ac:dyDescent="0.35">
      <c r="A157" s="181" t="s">
        <v>350</v>
      </c>
      <c r="B157" s="181"/>
      <c r="C157" s="181"/>
      <c r="D157" s="181"/>
      <c r="E157" s="181"/>
      <c r="F157" s="181"/>
      <c r="G157" s="181"/>
      <c r="H157" s="181"/>
      <c r="J157" s="31"/>
    </row>
    <row r="158" spans="1:20" s="32" customFormat="1" ht="15.75" customHeight="1" x14ac:dyDescent="0.35">
      <c r="A158" s="128">
        <v>1</v>
      </c>
      <c r="B158" s="128"/>
      <c r="C158" s="84" t="s">
        <v>352</v>
      </c>
      <c r="D158" s="84">
        <f>(56.35)*10.764</f>
        <v>606.55139999999994</v>
      </c>
      <c r="E158" s="84">
        <v>0</v>
      </c>
      <c r="F158" s="84">
        <f t="shared" ref="F158:F165" si="12">D158+E158</f>
        <v>606.55139999999994</v>
      </c>
      <c r="G158" s="84">
        <v>0</v>
      </c>
      <c r="H158" s="84">
        <f t="shared" ref="H158:H165" si="13">F158*(($H$154)+1)+(IF(G158&lt;101,G158,IF(G158&lt;201,G158/2,IF(G158&lt;=301,G158/3,G158/4))))</f>
        <v>879.49952999999994</v>
      </c>
      <c r="I158" s="31"/>
      <c r="L158" s="127"/>
      <c r="M158" s="127"/>
      <c r="N158" s="31"/>
    </row>
    <row r="159" spans="1:20" s="32" customFormat="1" ht="15.75" customHeight="1" x14ac:dyDescent="0.35">
      <c r="A159" s="128">
        <f>A158+1</f>
        <v>2</v>
      </c>
      <c r="B159" s="128"/>
      <c r="C159" s="84" t="s">
        <v>352</v>
      </c>
      <c r="D159" s="84">
        <f>(55.07)*10.764</f>
        <v>592.77347999999995</v>
      </c>
      <c r="E159" s="84">
        <v>0</v>
      </c>
      <c r="F159" s="84">
        <f t="shared" si="12"/>
        <v>592.77347999999995</v>
      </c>
      <c r="G159" s="84">
        <v>0</v>
      </c>
      <c r="H159" s="84">
        <f t="shared" si="13"/>
        <v>859.52154599999994</v>
      </c>
      <c r="I159" s="31">
        <f>4.9*2.75+3.2*2.23+3.2*2.75+3.6*2.75+1.2*2.15+1.2*2.15+2.43*1.48+0.9*4</f>
        <v>51.667400000000001</v>
      </c>
      <c r="J159" s="31">
        <f>78850000/H158</f>
        <v>89653.25996251528</v>
      </c>
      <c r="L159" s="127"/>
      <c r="M159" s="127"/>
      <c r="N159" s="31"/>
    </row>
    <row r="160" spans="1:20" s="32" customFormat="1" ht="15.75" customHeight="1" x14ac:dyDescent="0.35">
      <c r="A160" s="128">
        <f>A159+1</f>
        <v>3</v>
      </c>
      <c r="B160" s="128"/>
      <c r="C160" s="84" t="s">
        <v>352</v>
      </c>
      <c r="D160" s="84">
        <f>(53.35)*10.764</f>
        <v>574.25940000000003</v>
      </c>
      <c r="E160" s="84">
        <v>0</v>
      </c>
      <c r="F160" s="84">
        <f t="shared" si="12"/>
        <v>574.25940000000003</v>
      </c>
      <c r="G160" s="84">
        <v>0</v>
      </c>
      <c r="H160" s="84">
        <f t="shared" si="13"/>
        <v>832.67613000000006</v>
      </c>
      <c r="I160" s="31"/>
      <c r="J160" s="32">
        <f>687700000/H160</f>
        <v>825891.33424540458</v>
      </c>
      <c r="L160" s="127"/>
      <c r="M160" s="127"/>
      <c r="N160" s="31"/>
    </row>
    <row r="161" spans="1:20" s="32" customFormat="1" ht="15.75" customHeight="1" x14ac:dyDescent="0.35">
      <c r="A161" s="128">
        <f>A160+1</f>
        <v>4</v>
      </c>
      <c r="B161" s="128"/>
      <c r="C161" s="84" t="s">
        <v>352</v>
      </c>
      <c r="D161" s="84">
        <f>(53.73)*10.764</f>
        <v>578.34971999999993</v>
      </c>
      <c r="E161" s="84">
        <v>0</v>
      </c>
      <c r="F161" s="84">
        <f t="shared" si="12"/>
        <v>578.34971999999993</v>
      </c>
      <c r="G161" s="84">
        <v>0</v>
      </c>
      <c r="H161" s="84">
        <f t="shared" si="13"/>
        <v>838.60709399999985</v>
      </c>
      <c r="I161" s="31">
        <f>2.75*4.9+2.1*3.8+2.75*3.5+3.8*2.75+2.2*1.2+2.41*1.2+5.4*0.9</f>
        <v>51.922000000000004</v>
      </c>
      <c r="L161" s="127"/>
      <c r="M161" s="127"/>
      <c r="N161" s="31"/>
      <c r="T161" s="16"/>
    </row>
    <row r="162" spans="1:20" s="60" customFormat="1" ht="15.75" customHeight="1" x14ac:dyDescent="0.35">
      <c r="A162" s="128">
        <f t="shared" ref="A162:A165" si="14">A161+1</f>
        <v>5</v>
      </c>
      <c r="B162" s="128"/>
      <c r="C162" s="84" t="s">
        <v>352</v>
      </c>
      <c r="D162" s="84">
        <f>(49.11)*10.764</f>
        <v>528.62004000000002</v>
      </c>
      <c r="E162" s="84">
        <v>0</v>
      </c>
      <c r="F162" s="84">
        <f t="shared" si="12"/>
        <v>528.62004000000002</v>
      </c>
      <c r="G162" s="84">
        <v>0</v>
      </c>
      <c r="H162" s="84">
        <f t="shared" si="13"/>
        <v>766.49905799999999</v>
      </c>
      <c r="I162" s="31"/>
      <c r="L162" s="127"/>
      <c r="M162" s="127"/>
      <c r="N162" s="31"/>
    </row>
    <row r="163" spans="1:20" s="60" customFormat="1" ht="15.75" customHeight="1" x14ac:dyDescent="0.35">
      <c r="A163" s="128">
        <f t="shared" si="14"/>
        <v>6</v>
      </c>
      <c r="B163" s="128"/>
      <c r="C163" s="84" t="s">
        <v>352</v>
      </c>
      <c r="D163" s="84">
        <f>(50.9)*10.764</f>
        <v>547.88759999999991</v>
      </c>
      <c r="E163" s="84">
        <v>0</v>
      </c>
      <c r="F163" s="84">
        <f t="shared" si="12"/>
        <v>547.88759999999991</v>
      </c>
      <c r="G163" s="84">
        <v>0</v>
      </c>
      <c r="H163" s="84">
        <f t="shared" si="13"/>
        <v>794.43701999999985</v>
      </c>
      <c r="I163" s="31"/>
      <c r="L163" s="127"/>
      <c r="M163" s="127"/>
      <c r="N163" s="31"/>
    </row>
    <row r="164" spans="1:20" s="60" customFormat="1" ht="15.75" customHeight="1" x14ac:dyDescent="0.35">
      <c r="A164" s="128">
        <f t="shared" si="14"/>
        <v>7</v>
      </c>
      <c r="B164" s="128"/>
      <c r="C164" s="84" t="s">
        <v>351</v>
      </c>
      <c r="D164" s="84">
        <f>(35.97)*10.764</f>
        <v>387.18107999999995</v>
      </c>
      <c r="E164" s="84">
        <v>0</v>
      </c>
      <c r="F164" s="84">
        <f t="shared" si="12"/>
        <v>387.18107999999995</v>
      </c>
      <c r="G164" s="84">
        <v>0</v>
      </c>
      <c r="H164" s="84">
        <f t="shared" si="13"/>
        <v>561.41256599999986</v>
      </c>
      <c r="I164" s="31">
        <f>2.75*4.9+2.3*2.35+2.75*3.4+2.38*1.35+2.5*0.9</f>
        <v>33.693000000000005</v>
      </c>
      <c r="J164" s="60">
        <f>5033000/H164</f>
        <v>8964.8866178032804</v>
      </c>
      <c r="L164" s="127"/>
      <c r="M164" s="127"/>
      <c r="N164" s="31"/>
    </row>
    <row r="165" spans="1:20" s="60" customFormat="1" ht="15.75" customHeight="1" x14ac:dyDescent="0.35">
      <c r="A165" s="128">
        <f t="shared" si="14"/>
        <v>8</v>
      </c>
      <c r="B165" s="128"/>
      <c r="C165" s="84" t="s">
        <v>352</v>
      </c>
      <c r="D165" s="84">
        <f>(53.67)*10.764</f>
        <v>577.70388000000003</v>
      </c>
      <c r="E165" s="84">
        <v>0</v>
      </c>
      <c r="F165" s="84">
        <f t="shared" si="12"/>
        <v>577.70388000000003</v>
      </c>
      <c r="G165" s="84">
        <v>0</v>
      </c>
      <c r="H165" s="84">
        <f t="shared" si="13"/>
        <v>837.67062599999997</v>
      </c>
      <c r="I165" s="31">
        <f>2.75*4.9+2.15*3.65+2.75*3.35+2.75*3.65+1.83*1.2+2*1.2+1.03*3.05+5.3*0.9</f>
        <v>53.08</v>
      </c>
      <c r="L165" s="127"/>
      <c r="M165" s="127"/>
      <c r="N165" s="31"/>
      <c r="T165" s="16"/>
    </row>
    <row r="166" spans="1:20" s="60" customFormat="1" x14ac:dyDescent="0.35">
      <c r="A166" s="181" t="s">
        <v>353</v>
      </c>
      <c r="B166" s="181"/>
      <c r="C166" s="181"/>
      <c r="D166" s="181"/>
      <c r="E166" s="181"/>
      <c r="F166" s="181"/>
      <c r="G166" s="181"/>
      <c r="H166" s="181"/>
      <c r="J166" s="31"/>
    </row>
    <row r="167" spans="1:20" s="60" customFormat="1" ht="15.75" customHeight="1" x14ac:dyDescent="0.35">
      <c r="A167" s="128">
        <v>1</v>
      </c>
      <c r="B167" s="128"/>
      <c r="C167" s="84" t="s">
        <v>352</v>
      </c>
      <c r="D167" s="84">
        <f>(56.35)*10.764</f>
        <v>606.55139999999994</v>
      </c>
      <c r="E167" s="84">
        <v>0</v>
      </c>
      <c r="F167" s="84">
        <f>D167+E167</f>
        <v>606.55139999999994</v>
      </c>
      <c r="G167" s="84">
        <v>0</v>
      </c>
      <c r="H167" s="84">
        <f>F167*(($H$154)+1)+(IF(G167&lt;101,G167,IF(G167&lt;201,G167/2,IF(G167&lt;=301,G167/3,G167/4))))</f>
        <v>879.49952999999994</v>
      </c>
      <c r="I167" s="31"/>
      <c r="L167" s="127"/>
      <c r="M167" s="127"/>
      <c r="N167" s="31"/>
    </row>
    <row r="168" spans="1:20" s="60" customFormat="1" ht="15.75" customHeight="1" x14ac:dyDescent="0.35">
      <c r="A168" s="128">
        <f>A167+1</f>
        <v>2</v>
      </c>
      <c r="B168" s="128"/>
      <c r="C168" s="84" t="s">
        <v>352</v>
      </c>
      <c r="D168" s="84">
        <f>(55.08)*10.764</f>
        <v>592.8811199999999</v>
      </c>
      <c r="E168" s="84">
        <v>0</v>
      </c>
      <c r="F168" s="84">
        <f>D168+E168</f>
        <v>592.8811199999999</v>
      </c>
      <c r="G168" s="84">
        <v>0</v>
      </c>
      <c r="H168" s="84">
        <f>F168*(($H$154)+1)+(IF(G168&lt;101,G168,IF(G168&lt;201,G168/2,IF(G168&lt;=301,G168/3,G168/4))))</f>
        <v>859.67762399999981</v>
      </c>
      <c r="I168" s="31"/>
      <c r="L168" s="127"/>
      <c r="M168" s="127"/>
      <c r="N168" s="31"/>
    </row>
    <row r="169" spans="1:20" s="60" customFormat="1" ht="15.75" customHeight="1" x14ac:dyDescent="0.35">
      <c r="A169" s="112">
        <f>A168+1</f>
        <v>3</v>
      </c>
      <c r="B169" s="113"/>
      <c r="C169" s="76" t="s">
        <v>352</v>
      </c>
      <c r="D169" s="76">
        <f>(53.36)*10.764</f>
        <v>574.36703999999997</v>
      </c>
      <c r="E169" s="76">
        <v>0</v>
      </c>
      <c r="F169" s="76">
        <f>D169+E169</f>
        <v>574.36703999999997</v>
      </c>
      <c r="G169" s="76">
        <v>0</v>
      </c>
      <c r="H169" s="76">
        <f>F169*(($H$154)+1)+(IF(G169&lt;101,G169,IF(G169&lt;201,G169/2,IF(G169&lt;=301,G169/3,G169/4))))</f>
        <v>832.83220799999992</v>
      </c>
      <c r="I169" s="31"/>
      <c r="L169" s="127"/>
      <c r="M169" s="127"/>
      <c r="N169" s="31"/>
    </row>
    <row r="170" spans="1:20" s="60" customFormat="1" ht="15.75" customHeight="1" x14ac:dyDescent="0.35">
      <c r="A170" s="112">
        <f>A169+1</f>
        <v>4</v>
      </c>
      <c r="B170" s="113"/>
      <c r="C170" s="112" t="s">
        <v>354</v>
      </c>
      <c r="D170" s="231"/>
      <c r="E170" s="231"/>
      <c r="F170" s="231"/>
      <c r="G170" s="231"/>
      <c r="H170" s="113"/>
      <c r="I170" s="31"/>
      <c r="L170" s="127"/>
      <c r="M170" s="127"/>
      <c r="N170" s="31"/>
      <c r="T170" s="16"/>
    </row>
    <row r="171" spans="1:20" s="60" customFormat="1" ht="15.75" customHeight="1" x14ac:dyDescent="0.35">
      <c r="A171" s="112">
        <f t="shared" ref="A171:A174" si="15">A170+1</f>
        <v>5</v>
      </c>
      <c r="B171" s="113"/>
      <c r="C171" s="76" t="s">
        <v>355</v>
      </c>
      <c r="D171" s="76">
        <f>(68.5)*10.764</f>
        <v>737.33399999999995</v>
      </c>
      <c r="E171" s="76">
        <v>0</v>
      </c>
      <c r="F171" s="76">
        <f>D171+E171</f>
        <v>737.33399999999995</v>
      </c>
      <c r="G171" s="76">
        <v>0</v>
      </c>
      <c r="H171" s="76">
        <f>F171*(($H$154)+1)+(IF(G171&lt;101,G171,IF(G171&lt;201,G171/2,IF(G171&lt;=301,G171/3,G171/4))))</f>
        <v>1069.1342999999999</v>
      </c>
      <c r="I171" s="31">
        <f>3.21*4.72+3.2*2.02+3.2*2.75+3.05*3.2+3.8*2.75+2*1.2+2.41*1.2+2.15*1.2+0.9*1.2+2.5*0.6+2.8*0.8+0.6*1</f>
        <v>63.917200000000008</v>
      </c>
      <c r="J171" s="60">
        <f>9585000/H171</f>
        <v>8965.1973564032141</v>
      </c>
      <c r="L171" s="127"/>
      <c r="M171" s="127"/>
      <c r="N171" s="31"/>
    </row>
    <row r="172" spans="1:20" s="60" customFormat="1" ht="15.75" customHeight="1" x14ac:dyDescent="0.35">
      <c r="A172" s="112">
        <f t="shared" si="15"/>
        <v>6</v>
      </c>
      <c r="B172" s="113"/>
      <c r="C172" s="76" t="s">
        <v>352</v>
      </c>
      <c r="D172" s="76">
        <f>(50.91)*10.764</f>
        <v>547.99523999999997</v>
      </c>
      <c r="E172" s="76">
        <v>0</v>
      </c>
      <c r="F172" s="76">
        <f>D172+E172</f>
        <v>547.99523999999997</v>
      </c>
      <c r="G172" s="76">
        <v>0</v>
      </c>
      <c r="H172" s="76">
        <f>F172*(($H$154)+1)+(IF(G172&lt;101,G172,IF(G172&lt;201,G172/2,IF(G172&lt;=301,G172/3,G172/4))))</f>
        <v>794.59309799999994</v>
      </c>
      <c r="I172" s="31"/>
      <c r="L172" s="127"/>
      <c r="M172" s="127"/>
      <c r="N172" s="31"/>
    </row>
    <row r="173" spans="1:20" s="60" customFormat="1" ht="15.75" customHeight="1" x14ac:dyDescent="0.35">
      <c r="A173" s="112">
        <f t="shared" si="15"/>
        <v>7</v>
      </c>
      <c r="B173" s="113"/>
      <c r="C173" s="76" t="s">
        <v>351</v>
      </c>
      <c r="D173" s="76">
        <f>(35.97)*10.764</f>
        <v>387.18107999999995</v>
      </c>
      <c r="E173" s="76">
        <v>0</v>
      </c>
      <c r="F173" s="76">
        <f>D173+E173</f>
        <v>387.18107999999995</v>
      </c>
      <c r="G173" s="76">
        <v>0</v>
      </c>
      <c r="H173" s="76">
        <f>F173*(($H$154)+1)+(IF(G173&lt;101,G173,IF(G173&lt;201,G173/2,IF(G173&lt;=301,G173/3,G173/4))))</f>
        <v>561.41256599999986</v>
      </c>
      <c r="I173" s="31"/>
      <c r="L173" s="127"/>
      <c r="M173" s="127"/>
      <c r="N173" s="31"/>
    </row>
    <row r="174" spans="1:20" s="60" customFormat="1" ht="15.75" customHeight="1" x14ac:dyDescent="0.35">
      <c r="A174" s="112">
        <f t="shared" si="15"/>
        <v>8</v>
      </c>
      <c r="B174" s="113"/>
      <c r="C174" s="76" t="s">
        <v>352</v>
      </c>
      <c r="D174" s="76">
        <f>(53.67)*10.764</f>
        <v>577.70388000000003</v>
      </c>
      <c r="E174" s="76">
        <v>0</v>
      </c>
      <c r="F174" s="76">
        <f>D174+E174</f>
        <v>577.70388000000003</v>
      </c>
      <c r="G174" s="76">
        <v>0</v>
      </c>
      <c r="H174" s="76">
        <f>F174*(($H$154)+1)+(IF(G174&lt;101,G174,IF(G174&lt;201,G174/2,IF(G174&lt;=301,G174/3,G174/4))))</f>
        <v>837.67062599999997</v>
      </c>
      <c r="I174" s="31"/>
      <c r="L174" s="127"/>
      <c r="M174" s="127"/>
      <c r="N174" s="31"/>
      <c r="T174" s="16"/>
    </row>
    <row r="175" spans="1:20" s="60" customFormat="1" x14ac:dyDescent="0.35">
      <c r="A175" s="195" t="s">
        <v>356</v>
      </c>
      <c r="B175" s="196"/>
      <c r="C175" s="196"/>
      <c r="D175" s="196"/>
      <c r="E175" s="196"/>
      <c r="F175" s="196"/>
      <c r="G175" s="196"/>
      <c r="H175" s="197"/>
      <c r="J175" s="31"/>
    </row>
    <row r="176" spans="1:20" s="60" customFormat="1" ht="15.75" hidden="1" customHeight="1" x14ac:dyDescent="0.35">
      <c r="A176" s="112">
        <v>1</v>
      </c>
      <c r="B176" s="113"/>
      <c r="C176" s="76"/>
      <c r="D176" s="76"/>
      <c r="E176" s="76">
        <v>0</v>
      </c>
      <c r="F176" s="76">
        <f t="shared" ref="F176:F183" si="16">D176+E176</f>
        <v>0</v>
      </c>
      <c r="G176" s="76">
        <v>0</v>
      </c>
      <c r="H176" s="76">
        <f t="shared" ref="H176:H183" si="17">F176*(($H$154)+1)+(IF(G176&lt;101,G176,IF(G176&lt;201,G176/2,IF(G176&lt;=301,G176/3,G176/4))))</f>
        <v>0</v>
      </c>
      <c r="I176" s="31"/>
      <c r="L176" s="127"/>
      <c r="M176" s="127"/>
      <c r="N176" s="31"/>
    </row>
    <row r="177" spans="1:20" s="60" customFormat="1" ht="15.75" hidden="1" customHeight="1" x14ac:dyDescent="0.35">
      <c r="A177" s="112">
        <f>A176+1</f>
        <v>2</v>
      </c>
      <c r="B177" s="113"/>
      <c r="C177" s="76"/>
      <c r="D177" s="76"/>
      <c r="E177" s="76">
        <v>0</v>
      </c>
      <c r="F177" s="76">
        <f t="shared" si="16"/>
        <v>0</v>
      </c>
      <c r="G177" s="76">
        <v>0</v>
      </c>
      <c r="H177" s="76">
        <f t="shared" si="17"/>
        <v>0</v>
      </c>
      <c r="I177" s="31"/>
      <c r="L177" s="127"/>
      <c r="M177" s="127"/>
      <c r="N177" s="31"/>
    </row>
    <row r="178" spans="1:20" s="60" customFormat="1" ht="15.75" hidden="1" customHeight="1" x14ac:dyDescent="0.35">
      <c r="A178" s="112">
        <f>A177+1</f>
        <v>3</v>
      </c>
      <c r="B178" s="113"/>
      <c r="C178" s="76"/>
      <c r="D178" s="76"/>
      <c r="E178" s="76">
        <v>0</v>
      </c>
      <c r="F178" s="76">
        <f t="shared" si="16"/>
        <v>0</v>
      </c>
      <c r="G178" s="76">
        <v>0</v>
      </c>
      <c r="H178" s="76">
        <f t="shared" si="17"/>
        <v>0</v>
      </c>
      <c r="I178" s="31"/>
      <c r="L178" s="127"/>
      <c r="M178" s="127"/>
      <c r="N178" s="31"/>
    </row>
    <row r="179" spans="1:20" s="60" customFormat="1" ht="15.75" hidden="1" customHeight="1" x14ac:dyDescent="0.35">
      <c r="A179" s="112">
        <f>A178+1</f>
        <v>4</v>
      </c>
      <c r="B179" s="113"/>
      <c r="C179" s="76"/>
      <c r="D179" s="76"/>
      <c r="E179" s="76">
        <v>0</v>
      </c>
      <c r="F179" s="76">
        <f t="shared" si="16"/>
        <v>0</v>
      </c>
      <c r="G179" s="76">
        <v>0</v>
      </c>
      <c r="H179" s="76">
        <f t="shared" si="17"/>
        <v>0</v>
      </c>
      <c r="I179" s="31"/>
      <c r="L179" s="127"/>
      <c r="M179" s="127"/>
      <c r="N179" s="31"/>
      <c r="T179" s="16"/>
    </row>
    <row r="180" spans="1:20" s="60" customFormat="1" ht="15.75" hidden="1" customHeight="1" x14ac:dyDescent="0.35">
      <c r="A180" s="112">
        <f t="shared" ref="A180:A183" si="18">A179+1</f>
        <v>5</v>
      </c>
      <c r="B180" s="113"/>
      <c r="C180" s="76"/>
      <c r="D180" s="76"/>
      <c r="E180" s="76">
        <v>0</v>
      </c>
      <c r="F180" s="76">
        <f t="shared" si="16"/>
        <v>0</v>
      </c>
      <c r="G180" s="76">
        <v>0</v>
      </c>
      <c r="H180" s="76">
        <f t="shared" si="17"/>
        <v>0</v>
      </c>
      <c r="I180" s="31"/>
      <c r="L180" s="127"/>
      <c r="M180" s="127"/>
      <c r="N180" s="31"/>
    </row>
    <row r="181" spans="1:20" s="60" customFormat="1" ht="15.75" hidden="1" customHeight="1" x14ac:dyDescent="0.35">
      <c r="A181" s="112">
        <f t="shared" si="18"/>
        <v>6</v>
      </c>
      <c r="B181" s="113"/>
      <c r="C181" s="76"/>
      <c r="D181" s="76"/>
      <c r="E181" s="76">
        <v>0</v>
      </c>
      <c r="F181" s="76">
        <f t="shared" si="16"/>
        <v>0</v>
      </c>
      <c r="G181" s="76">
        <v>0</v>
      </c>
      <c r="H181" s="76">
        <f t="shared" si="17"/>
        <v>0</v>
      </c>
      <c r="I181" s="31"/>
      <c r="L181" s="127"/>
      <c r="M181" s="127"/>
      <c r="N181" s="31"/>
    </row>
    <row r="182" spans="1:20" s="60" customFormat="1" ht="15.75" hidden="1" customHeight="1" x14ac:dyDescent="0.35">
      <c r="A182" s="112">
        <f t="shared" si="18"/>
        <v>7</v>
      </c>
      <c r="B182" s="113"/>
      <c r="C182" s="76"/>
      <c r="D182" s="76"/>
      <c r="E182" s="76">
        <v>0</v>
      </c>
      <c r="F182" s="76">
        <f t="shared" si="16"/>
        <v>0</v>
      </c>
      <c r="G182" s="76">
        <v>0</v>
      </c>
      <c r="H182" s="76">
        <f t="shared" si="17"/>
        <v>0</v>
      </c>
      <c r="I182" s="31"/>
      <c r="L182" s="127"/>
      <c r="M182" s="127"/>
      <c r="N182" s="31"/>
    </row>
    <row r="183" spans="1:20" s="60" customFormat="1" ht="15.75" hidden="1" customHeight="1" x14ac:dyDescent="0.35">
      <c r="A183" s="112">
        <f t="shared" si="18"/>
        <v>8</v>
      </c>
      <c r="B183" s="113"/>
      <c r="C183" s="76"/>
      <c r="D183" s="76"/>
      <c r="E183" s="76">
        <v>0</v>
      </c>
      <c r="F183" s="76">
        <f t="shared" si="16"/>
        <v>0</v>
      </c>
      <c r="G183" s="76">
        <v>0</v>
      </c>
      <c r="H183" s="76">
        <f t="shared" si="17"/>
        <v>0</v>
      </c>
      <c r="I183" s="31"/>
      <c r="L183" s="127"/>
      <c r="M183" s="127"/>
      <c r="N183" s="31"/>
      <c r="T183" s="16"/>
    </row>
    <row r="184" spans="1:20" s="32" customFormat="1" hidden="1" x14ac:dyDescent="0.35">
      <c r="A184" s="181" t="s">
        <v>117</v>
      </c>
      <c r="B184" s="181"/>
      <c r="C184" s="181"/>
      <c r="D184" s="181"/>
      <c r="E184" s="181"/>
      <c r="F184" s="181"/>
      <c r="G184" s="181"/>
      <c r="H184" s="181"/>
      <c r="I184" s="31"/>
      <c r="L184" s="127"/>
      <c r="M184" s="127"/>
    </row>
    <row r="185" spans="1:20" s="32" customFormat="1" hidden="1" x14ac:dyDescent="0.35">
      <c r="A185" s="128">
        <f>LEFT(A184,SUM(LEN(A184)-LEN(SUBSTITUTE(A184,{"0","1","2","3","4","5","6","7","8","9"},""))))*100+1</f>
        <v>201</v>
      </c>
      <c r="B185" s="128"/>
      <c r="C185" s="76"/>
      <c r="D185" s="76"/>
      <c r="E185" s="76">
        <v>0</v>
      </c>
      <c r="F185" s="76">
        <f>D185+E185</f>
        <v>0</v>
      </c>
      <c r="G185" s="76">
        <v>0</v>
      </c>
      <c r="H185" s="76">
        <f>F185*(($H$154)+1)+(IF(G185&lt;101,G185,IF(G185&lt;201,G185/2,IF(G185&lt;=301,G185/3,G185/4))))</f>
        <v>0</v>
      </c>
      <c r="I185" s="31"/>
      <c r="N185" s="31"/>
    </row>
    <row r="186" spans="1:20" s="32" customFormat="1" hidden="1" x14ac:dyDescent="0.35">
      <c r="A186" s="128">
        <f>A185+1</f>
        <v>202</v>
      </c>
      <c r="B186" s="128"/>
      <c r="C186" s="76"/>
      <c r="D186" s="76"/>
      <c r="E186" s="76">
        <v>0</v>
      </c>
      <c r="F186" s="76">
        <f>D186+E186</f>
        <v>0</v>
      </c>
      <c r="G186" s="76">
        <v>0</v>
      </c>
      <c r="H186" s="76">
        <f>F186*(($H$154)+1)+(IF(G186&lt;101,G186,IF(G186&lt;201,G186/2,IF(G186&lt;=301,G186/3,G186/4))))</f>
        <v>0</v>
      </c>
      <c r="I186" s="31"/>
      <c r="N186" s="31"/>
    </row>
    <row r="187" spans="1:20" s="32" customFormat="1" hidden="1" x14ac:dyDescent="0.35">
      <c r="A187" s="128">
        <f>A186+1</f>
        <v>203</v>
      </c>
      <c r="B187" s="128"/>
      <c r="C187" s="76"/>
      <c r="D187" s="76"/>
      <c r="E187" s="76">
        <v>0</v>
      </c>
      <c r="F187" s="76">
        <f>D187+E187</f>
        <v>0</v>
      </c>
      <c r="G187" s="76">
        <v>0</v>
      </c>
      <c r="H187" s="76">
        <f>F187*(($H$154)+1)+(IF(G187&lt;101,G187,IF(G187&lt;201,G187/2,IF(G187&lt;=301,G187/3,G187/4))))</f>
        <v>0</v>
      </c>
      <c r="I187" s="31"/>
      <c r="N187" s="31"/>
    </row>
    <row r="188" spans="1:20" s="32" customFormat="1" hidden="1" x14ac:dyDescent="0.35">
      <c r="A188" s="128">
        <f>A187+1</f>
        <v>204</v>
      </c>
      <c r="B188" s="128"/>
      <c r="C188" s="76"/>
      <c r="D188" s="76"/>
      <c r="E188" s="76">
        <v>0</v>
      </c>
      <c r="F188" s="76">
        <f>D188+E188</f>
        <v>0</v>
      </c>
      <c r="G188" s="76">
        <v>0</v>
      </c>
      <c r="H188" s="76">
        <f>F188*(($H$154)+1)+(IF(G188&lt;101,G188,IF(G188&lt;201,G188/2,IF(G188&lt;=301,G188/3,G188/4))))</f>
        <v>0</v>
      </c>
      <c r="I188" s="31"/>
      <c r="N188" s="31"/>
    </row>
    <row r="189" spans="1:20" s="32" customFormat="1" hidden="1" x14ac:dyDescent="0.35">
      <c r="A189" s="128">
        <f>A188+1</f>
        <v>205</v>
      </c>
      <c r="B189" s="128"/>
      <c r="C189" s="76"/>
      <c r="D189" s="76"/>
      <c r="E189" s="76">
        <v>0</v>
      </c>
      <c r="F189" s="76">
        <f>D189+E189</f>
        <v>0</v>
      </c>
      <c r="G189" s="76">
        <v>0</v>
      </c>
      <c r="H189" s="76">
        <f>F189*(($H$154)+1)+(IF(G189&lt;101,G189,IF(G189&lt;201,G189/2,IF(G189&lt;=301,G189/3,G189/4))))</f>
        <v>0</v>
      </c>
      <c r="I189" s="31"/>
      <c r="N189" s="31"/>
    </row>
    <row r="190" spans="1:20" s="32" customFormat="1" ht="15.75" hidden="1" customHeight="1" x14ac:dyDescent="0.35">
      <c r="A190" s="195" t="s">
        <v>149</v>
      </c>
      <c r="B190" s="196"/>
      <c r="C190" s="196"/>
      <c r="D190" s="196"/>
      <c r="E190" s="196"/>
      <c r="F190" s="196"/>
      <c r="G190" s="196"/>
      <c r="H190" s="197"/>
      <c r="I190" s="31"/>
    </row>
    <row r="191" spans="1:20" s="32" customFormat="1" ht="15.75" hidden="1" customHeight="1" x14ac:dyDescent="0.35">
      <c r="A191" s="112"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10^ROW(INDIRECT("1:"&amp;LEN((LEFT(A190,SUM(LEN(A190)-LEN(SUBSTITUTE(A190,{"0","1","2"},""))))))))/10))*100+1&amp;""&amp;"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",LEN(A190))),LEN(A190)))))))/10))*100+1</f>
        <v>301 ,.., 1501</v>
      </c>
      <c r="B191" s="113"/>
      <c r="C191" s="76"/>
      <c r="D191" s="76"/>
      <c r="E191" s="76">
        <v>0</v>
      </c>
      <c r="F191" s="76">
        <f>D191+E191</f>
        <v>0</v>
      </c>
      <c r="G191" s="76">
        <v>0</v>
      </c>
      <c r="H191" s="76">
        <f>F191*(($H$154)+1)+(IF(G191&lt;101,G191,IF(G191&lt;201,G191/2,IF(G191&lt;=301,G191/3,G191/4))))</f>
        <v>0</v>
      </c>
      <c r="I191" s="31"/>
    </row>
    <row r="192" spans="1:20" s="32" customFormat="1" ht="15.75" hidden="1" customHeight="1" x14ac:dyDescent="0.35">
      <c r="A192" s="112"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302 ,.., 1502</v>
      </c>
      <c r="B192" s="113"/>
      <c r="C192" s="76"/>
      <c r="D192" s="76"/>
      <c r="E192" s="76">
        <v>0</v>
      </c>
      <c r="F192" s="76">
        <f>D192+E192</f>
        <v>0</v>
      </c>
      <c r="G192" s="76">
        <v>0</v>
      </c>
      <c r="H192" s="76">
        <f>F192*(($H$154)+1)+(IF(G192&lt;101,G192,IF(G192&lt;201,G192/2,IF(G192&lt;=301,G192/3,G192/4))))</f>
        <v>0</v>
      </c>
      <c r="I192" s="31"/>
    </row>
    <row r="193" spans="1:20" s="32" customFormat="1" ht="15.75" hidden="1" customHeight="1" x14ac:dyDescent="0.35">
      <c r="A193" s="112"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303 ,.., 1503</v>
      </c>
      <c r="B193" s="113"/>
      <c r="C193" s="76"/>
      <c r="D193" s="76"/>
      <c r="E193" s="76">
        <v>0</v>
      </c>
      <c r="F193" s="76">
        <f>D193+E193</f>
        <v>0</v>
      </c>
      <c r="G193" s="76">
        <v>0</v>
      </c>
      <c r="H193" s="76">
        <f>F193*(($H$154)+1)+(IF(G193&lt;101,G193,IF(G193&lt;201,G193/2,IF(G193&lt;=301,G193/3,G193/4))))</f>
        <v>0</v>
      </c>
      <c r="I193" s="31"/>
    </row>
    <row r="194" spans="1:20" s="32" customFormat="1" ht="15.75" hidden="1" customHeight="1" x14ac:dyDescent="0.35">
      <c r="A194" s="112"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304 ,.., 1504</v>
      </c>
      <c r="B194" s="113"/>
      <c r="C194" s="76"/>
      <c r="D194" s="76"/>
      <c r="E194" s="76">
        <v>0</v>
      </c>
      <c r="F194" s="76">
        <f>D194+E194</f>
        <v>0</v>
      </c>
      <c r="G194" s="76">
        <v>0</v>
      </c>
      <c r="H194" s="76">
        <f>F194*(($H$154)+1)+(IF(G194&lt;101,G194,IF(G194&lt;201,G194/2,IF(G194&lt;=301,G194/3,G194/4))))</f>
        <v>0</v>
      </c>
      <c r="I194" s="31"/>
    </row>
    <row r="195" spans="1:20" s="32" customFormat="1" ht="15.75" hidden="1" customHeight="1" x14ac:dyDescent="0.35">
      <c r="A195" s="112"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305 ,.., 1505</v>
      </c>
      <c r="B195" s="113"/>
      <c r="C195" s="76"/>
      <c r="D195" s="76"/>
      <c r="E195" s="76">
        <v>0</v>
      </c>
      <c r="F195" s="76">
        <f>D195+E195</f>
        <v>0</v>
      </c>
      <c r="G195" s="76">
        <v>0</v>
      </c>
      <c r="H195" s="76">
        <f>F195*(($H$154)+1)+(IF(G195&lt;101,G195,IF(G195&lt;201,G195/2,IF(G195&lt;=301,G195/3,G195/4))))</f>
        <v>0</v>
      </c>
      <c r="I195" s="31"/>
    </row>
    <row r="196" spans="1:20" s="32" customFormat="1" hidden="1" x14ac:dyDescent="0.35">
      <c r="A196" s="195" t="s">
        <v>143</v>
      </c>
      <c r="B196" s="196"/>
      <c r="C196" s="196"/>
      <c r="D196" s="196"/>
      <c r="E196" s="196"/>
      <c r="F196" s="196"/>
      <c r="G196" s="196"/>
      <c r="H196" s="197"/>
      <c r="I196" s="31"/>
    </row>
    <row r="197" spans="1:20" s="32" customFormat="1" ht="15.75" hidden="1" customHeight="1" x14ac:dyDescent="0.35">
      <c r="A197" s="112"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10^ROW(INDIRECT("1:"&amp;LEN((LEFT(A196,SUM(LEN(A196)-LEN(SUBSTITUTE(A196,{"0","1","2"},""))))))))/10))*100+1&amp;""&amp;"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",LEN(A196))),LEN(A196)))))))/10))*100+1</f>
        <v>201 to 501</v>
      </c>
      <c r="B197" s="113"/>
      <c r="C197" s="76"/>
      <c r="D197" s="76"/>
      <c r="E197" s="76">
        <v>0</v>
      </c>
      <c r="F197" s="76">
        <f>D197+E197</f>
        <v>0</v>
      </c>
      <c r="G197" s="76">
        <v>0</v>
      </c>
      <c r="H197" s="76">
        <f>F197*(($H$154)+1)+(IF(G197&lt;101,G197,IF(G197&lt;201,G197/2,IF(G197&lt;=301,G197/3,G197/4))))</f>
        <v>0</v>
      </c>
      <c r="I197" s="31"/>
    </row>
    <row r="198" spans="1:20" s="32" customFormat="1" ht="15.75" hidden="1" customHeight="1" x14ac:dyDescent="0.35">
      <c r="A198" s="112"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202 to 502</v>
      </c>
      <c r="B198" s="113"/>
      <c r="C198" s="76"/>
      <c r="D198" s="76"/>
      <c r="E198" s="76">
        <v>0</v>
      </c>
      <c r="F198" s="76">
        <f>D198+E198</f>
        <v>0</v>
      </c>
      <c r="G198" s="76">
        <v>0</v>
      </c>
      <c r="H198" s="76">
        <f>F198*(($H$154)+1)+(IF(G198&lt;101,G198,IF(G198&lt;201,G198/2,IF(G198&lt;=301,G198/3,G198/4))))</f>
        <v>0</v>
      </c>
      <c r="I198" s="31"/>
    </row>
    <row r="199" spans="1:20" s="32" customFormat="1" ht="15.75" hidden="1" customHeight="1" x14ac:dyDescent="0.35">
      <c r="A199" s="112"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203 to 503</v>
      </c>
      <c r="B199" s="113"/>
      <c r="C199" s="76"/>
      <c r="D199" s="76"/>
      <c r="E199" s="76">
        <v>0</v>
      </c>
      <c r="F199" s="76">
        <f>D199+E199</f>
        <v>0</v>
      </c>
      <c r="G199" s="76">
        <v>0</v>
      </c>
      <c r="H199" s="76">
        <f>F199*(($H$154)+1)+(IF(G199&lt;101,G199,IF(G199&lt;201,G199/2,IF(G199&lt;=301,G199/3,G199/4))))</f>
        <v>0</v>
      </c>
      <c r="I199" s="31"/>
    </row>
    <row r="200" spans="1:20" s="32" customFormat="1" ht="15.75" hidden="1" customHeight="1" x14ac:dyDescent="0.35">
      <c r="A200" s="112"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204 to 504</v>
      </c>
      <c r="B200" s="113"/>
      <c r="C200" s="76"/>
      <c r="D200" s="76"/>
      <c r="E200" s="76">
        <v>0</v>
      </c>
      <c r="F200" s="76">
        <f>D200+E200</f>
        <v>0</v>
      </c>
      <c r="G200" s="76">
        <v>0</v>
      </c>
      <c r="H200" s="76">
        <f>F200*(($H$154)+1)+(IF(G200&lt;101,G200,IF(G200&lt;201,G200/2,IF(G200&lt;=301,G200/3,G200/4))))</f>
        <v>0</v>
      </c>
      <c r="I200" s="31"/>
    </row>
    <row r="201" spans="1:20" s="32" customFormat="1" ht="15.75" hidden="1" customHeight="1" x14ac:dyDescent="0.35">
      <c r="A201" s="112"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205 to 505</v>
      </c>
      <c r="B201" s="113"/>
      <c r="C201" s="76"/>
      <c r="D201" s="76"/>
      <c r="E201" s="76">
        <v>0</v>
      </c>
      <c r="F201" s="76">
        <f>D201+E201</f>
        <v>0</v>
      </c>
      <c r="G201" s="76">
        <v>0</v>
      </c>
      <c r="H201" s="76">
        <f>F201*(($H$154)+1)+(IF(G201&lt;101,G201,IF(G201&lt;201,G201/2,IF(G201&lt;=301,G201/3,G201/4))))</f>
        <v>0</v>
      </c>
      <c r="I201" s="31"/>
    </row>
    <row r="202" spans="1:20" s="32" customFormat="1" hidden="1" x14ac:dyDescent="0.35">
      <c r="A202" s="195" t="s">
        <v>144</v>
      </c>
      <c r="B202" s="196"/>
      <c r="C202" s="196"/>
      <c r="D202" s="196"/>
      <c r="E202" s="196"/>
      <c r="F202" s="196"/>
      <c r="G202" s="196"/>
      <c r="H202" s="197"/>
      <c r="I202" s="31"/>
    </row>
    <row r="203" spans="1:20" s="32" customFormat="1" ht="15.75" hidden="1" customHeight="1" x14ac:dyDescent="0.35">
      <c r="A203" s="112"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10^ROW(INDIRECT("1:"&amp;LEN((LEFT(A202,SUM(LEN(A202)-LEN(SUBSTITUTE(A202,{"0","1","2"},""))))))))/10))*100+1&amp;""&amp;"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",LEN(A202))),LEN(A202)))))))/10))*100+1</f>
        <v>201 &amp; 501</v>
      </c>
      <c r="B203" s="113"/>
      <c r="C203" s="76"/>
      <c r="D203" s="76"/>
      <c r="E203" s="76">
        <v>0</v>
      </c>
      <c r="F203" s="76">
        <f>D203+E203</f>
        <v>0</v>
      </c>
      <c r="G203" s="76">
        <v>0</v>
      </c>
      <c r="H203" s="76">
        <f>F203*(($H$154)+1)+(IF(G203&lt;101,G203,IF(G203&lt;201,G203/2,IF(G203&lt;=301,G203/3,G203/4))))</f>
        <v>0</v>
      </c>
      <c r="I203" s="31"/>
    </row>
    <row r="204" spans="1:20" s="32" customFormat="1" ht="15.75" hidden="1" customHeight="1" x14ac:dyDescent="0.35">
      <c r="A204" s="112"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&amp;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202 &amp; 502</v>
      </c>
      <c r="B204" s="113"/>
      <c r="C204" s="76"/>
      <c r="D204" s="76"/>
      <c r="E204" s="76">
        <v>0</v>
      </c>
      <c r="F204" s="76">
        <f>D204+E204</f>
        <v>0</v>
      </c>
      <c r="G204" s="76">
        <v>0</v>
      </c>
      <c r="H204" s="76">
        <f>F204*(($H$154)+1)+(IF(G204&lt;101,G204,IF(G204&lt;201,G204/2,IF(G204&lt;=301,G204/3,G204/4))))</f>
        <v>0</v>
      </c>
      <c r="I204" s="31"/>
    </row>
    <row r="205" spans="1:20" s="32" customFormat="1" ht="15.75" hidden="1" customHeight="1" x14ac:dyDescent="0.35">
      <c r="A205" s="112"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&amp;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203 &amp; 503</v>
      </c>
      <c r="B205" s="113"/>
      <c r="C205" s="76"/>
      <c r="D205" s="76"/>
      <c r="E205" s="76">
        <v>0</v>
      </c>
      <c r="F205" s="76">
        <f>D205+E205</f>
        <v>0</v>
      </c>
      <c r="G205" s="76">
        <v>0</v>
      </c>
      <c r="H205" s="76">
        <f>F205*(($H$154)+1)+(IF(G205&lt;101,G205,IF(G205&lt;201,G205/2,IF(G205&lt;=301,G205/3,G205/4))))</f>
        <v>0</v>
      </c>
      <c r="I205" s="31"/>
    </row>
    <row r="206" spans="1:20" s="32" customFormat="1" ht="15.75" hidden="1" customHeight="1" x14ac:dyDescent="0.35">
      <c r="A206" s="112"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&amp;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204 &amp; 504</v>
      </c>
      <c r="B206" s="113"/>
      <c r="C206" s="76"/>
      <c r="D206" s="76"/>
      <c r="E206" s="76">
        <v>0</v>
      </c>
      <c r="F206" s="76">
        <f>D206+E206</f>
        <v>0</v>
      </c>
      <c r="G206" s="76">
        <v>0</v>
      </c>
      <c r="H206" s="76">
        <f>F206*(($H$154)+1)+(IF(G206&lt;101,G206,IF(G206&lt;201,G206/2,IF(G206&lt;=301,G206/3,G206/4))))</f>
        <v>0</v>
      </c>
      <c r="I206" s="31"/>
    </row>
    <row r="207" spans="1:20" s="32" customFormat="1" ht="15.75" hidden="1" customHeight="1" x14ac:dyDescent="0.35">
      <c r="A207" s="112"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&amp;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205 &amp; 505</v>
      </c>
      <c r="B207" s="113"/>
      <c r="C207" s="76"/>
      <c r="D207" s="76"/>
      <c r="E207" s="76">
        <v>0</v>
      </c>
      <c r="F207" s="76">
        <f>D207+E207</f>
        <v>0</v>
      </c>
      <c r="G207" s="76">
        <v>0</v>
      </c>
      <c r="H207" s="76">
        <f>F207*(($H$154)+1)+(IF(G207&lt;101,G207,IF(G207&lt;201,G207/2,IF(G207&lt;=301,G207/3,G207/4))))</f>
        <v>0</v>
      </c>
      <c r="I207" s="31"/>
    </row>
    <row r="208" spans="1:20" s="30" customFormat="1" x14ac:dyDescent="0.35">
      <c r="A208" s="198" t="s">
        <v>65</v>
      </c>
      <c r="B208" s="198"/>
      <c r="C208" s="198"/>
      <c r="D208" s="198"/>
      <c r="E208" s="198"/>
      <c r="F208" s="198"/>
      <c r="G208" s="198"/>
      <c r="H208" s="198"/>
      <c r="T208" s="32"/>
    </row>
    <row r="209" spans="1:20" s="30" customFormat="1" ht="18" customHeight="1" x14ac:dyDescent="0.35">
      <c r="A209" s="77" t="s">
        <v>153</v>
      </c>
      <c r="B209" s="90" t="s">
        <v>375</v>
      </c>
      <c r="C209" s="91"/>
      <c r="D209" s="91"/>
      <c r="E209" s="91"/>
      <c r="F209" s="91"/>
      <c r="G209" s="91"/>
      <c r="H209" s="92"/>
      <c r="T209" s="32"/>
    </row>
    <row r="210" spans="1:20" s="30" customFormat="1" x14ac:dyDescent="0.35">
      <c r="A210" s="77" t="s">
        <v>153</v>
      </c>
      <c r="B210" s="90" t="str">
        <f>(IF(H153="Saleable area Loading :","We have considered Saleable area of Flats as per our Calculation.","We considered Saleable area of Flat as per Builder area Sheet."))</f>
        <v>We have considered Saleable area of Flats as per our Calculation.</v>
      </c>
      <c r="C210" s="91"/>
      <c r="D210" s="91"/>
      <c r="E210" s="91"/>
      <c r="F210" s="91"/>
      <c r="G210" s="91"/>
      <c r="H210" s="92"/>
      <c r="T210" s="32"/>
    </row>
    <row r="211" spans="1:20" s="30" customFormat="1" x14ac:dyDescent="0.35">
      <c r="A211" s="77" t="s">
        <v>153</v>
      </c>
      <c r="B211" s="90" t="str">
        <f>(IF(H143="Saleable area Loading :","We have considered Saleable area of Commercial as per our Calculation.","We considered Saleable area of Commercial as per Builder area Sheet."))</f>
        <v>We have considered Saleable area of Commercial as per our Calculation.</v>
      </c>
      <c r="C211" s="91"/>
      <c r="D211" s="91"/>
      <c r="E211" s="91"/>
      <c r="F211" s="91"/>
      <c r="G211" s="91"/>
      <c r="H211" s="92"/>
      <c r="T211" s="32"/>
    </row>
    <row r="212" spans="1:20" s="30" customFormat="1" x14ac:dyDescent="0.35">
      <c r="A212" s="77" t="s">
        <v>153</v>
      </c>
      <c r="B212" s="109" t="s">
        <v>120</v>
      </c>
      <c r="C212" s="110"/>
      <c r="D212" s="110"/>
      <c r="E212" s="110"/>
      <c r="F212" s="110"/>
      <c r="G212" s="110"/>
      <c r="H212" s="111"/>
      <c r="T212" s="32"/>
    </row>
    <row r="213" spans="1:20" s="30" customFormat="1" ht="15.75" customHeight="1" x14ac:dyDescent="0.35">
      <c r="A213" s="77" t="s">
        <v>153</v>
      </c>
      <c r="B213" s="109" t="s">
        <v>376</v>
      </c>
      <c r="C213" s="110"/>
      <c r="D213" s="110"/>
      <c r="E213" s="110"/>
      <c r="F213" s="110"/>
      <c r="G213" s="110"/>
      <c r="H213" s="111"/>
      <c r="T213" s="32"/>
    </row>
    <row r="214" spans="1:20" s="30" customFormat="1" x14ac:dyDescent="0.35">
      <c r="A214" s="77" t="s">
        <v>153</v>
      </c>
      <c r="B214" s="109" t="s">
        <v>152</v>
      </c>
      <c r="C214" s="110"/>
      <c r="D214" s="110"/>
      <c r="E214" s="110"/>
      <c r="F214" s="110"/>
      <c r="G214" s="110"/>
      <c r="H214" s="111"/>
    </row>
    <row r="215" spans="1:20" s="30" customFormat="1" x14ac:dyDescent="0.35">
      <c r="A215" s="77" t="s">
        <v>153</v>
      </c>
      <c r="B215" s="109" t="s">
        <v>121</v>
      </c>
      <c r="C215" s="110"/>
      <c r="D215" s="110"/>
      <c r="E215" s="110"/>
      <c r="F215" s="110"/>
      <c r="G215" s="110"/>
      <c r="H215" s="111"/>
    </row>
    <row r="216" spans="1:20" s="30" customFormat="1" ht="34.5" customHeight="1" x14ac:dyDescent="0.35">
      <c r="A216" s="77" t="s">
        <v>153</v>
      </c>
      <c r="B216" s="109" t="s">
        <v>154</v>
      </c>
      <c r="C216" s="110"/>
      <c r="D216" s="110"/>
      <c r="E216" s="110"/>
      <c r="F216" s="110"/>
      <c r="G216" s="110"/>
      <c r="H216" s="111"/>
    </row>
    <row r="217" spans="1:20" s="30" customFormat="1" x14ac:dyDescent="0.35">
      <c r="A217" s="77" t="s">
        <v>153</v>
      </c>
      <c r="B217" s="109" t="s">
        <v>122</v>
      </c>
      <c r="C217" s="110"/>
      <c r="D217" s="110"/>
      <c r="E217" s="110"/>
      <c r="F217" s="110"/>
      <c r="G217" s="110"/>
      <c r="H217" s="111"/>
    </row>
    <row r="218" spans="1:20" s="30" customFormat="1" ht="32.25" hidden="1" customHeight="1" x14ac:dyDescent="0.35">
      <c r="A218" s="77" t="s">
        <v>153</v>
      </c>
      <c r="B218" s="93" t="s">
        <v>180</v>
      </c>
      <c r="C218" s="94"/>
      <c r="D218" s="94"/>
      <c r="E218" s="94"/>
      <c r="F218" s="94"/>
      <c r="G218" s="94"/>
      <c r="H218" s="95"/>
    </row>
    <row r="219" spans="1:20" s="30" customFormat="1" hidden="1" x14ac:dyDescent="0.35">
      <c r="A219" s="77" t="s">
        <v>153</v>
      </c>
      <c r="B219" s="93" t="s">
        <v>235</v>
      </c>
      <c r="C219" s="94"/>
      <c r="D219" s="94"/>
      <c r="E219" s="94"/>
      <c r="F219" s="94"/>
      <c r="G219" s="94"/>
      <c r="H219" s="95"/>
    </row>
    <row r="220" spans="1:20" s="30" customFormat="1" x14ac:dyDescent="0.35">
      <c r="A220" s="77" t="s">
        <v>153</v>
      </c>
      <c r="B220" s="90" t="s">
        <v>385</v>
      </c>
      <c r="C220" s="91"/>
      <c r="D220" s="91"/>
      <c r="E220" s="91"/>
      <c r="F220" s="91"/>
      <c r="G220" s="91"/>
      <c r="H220" s="92"/>
    </row>
    <row r="221" spans="1:20" s="30" customFormat="1" ht="34.5" customHeight="1" x14ac:dyDescent="0.35">
      <c r="A221" s="82" t="s">
        <v>153</v>
      </c>
      <c r="B221" s="90" t="s">
        <v>387</v>
      </c>
      <c r="C221" s="91"/>
      <c r="D221" s="91"/>
      <c r="E221" s="91"/>
      <c r="F221" s="91"/>
      <c r="G221" s="91"/>
      <c r="H221" s="92"/>
    </row>
    <row r="222" spans="1:20" s="30" customFormat="1" x14ac:dyDescent="0.35">
      <c r="A222" s="86" t="s">
        <v>153</v>
      </c>
      <c r="B222" s="90" t="s">
        <v>392</v>
      </c>
      <c r="C222" s="91"/>
      <c r="D222" s="91"/>
      <c r="E222" s="91"/>
      <c r="F222" s="91"/>
      <c r="G222" s="91"/>
      <c r="H222" s="92"/>
    </row>
    <row r="223" spans="1:20" x14ac:dyDescent="0.35">
      <c r="A223" s="182" t="s">
        <v>58</v>
      </c>
      <c r="B223" s="182"/>
      <c r="C223" s="182"/>
      <c r="D223" s="182"/>
      <c r="E223" s="182"/>
      <c r="F223" s="182"/>
      <c r="G223" s="182"/>
      <c r="H223" s="182"/>
      <c r="T223" s="30"/>
    </row>
    <row r="224" spans="1:20" x14ac:dyDescent="0.35">
      <c r="A224" s="96" t="s">
        <v>59</v>
      </c>
      <c r="B224" s="96"/>
      <c r="C224" s="96"/>
      <c r="D224" s="96"/>
      <c r="E224" s="96"/>
      <c r="F224" s="96"/>
      <c r="G224" s="96"/>
      <c r="H224" s="96"/>
      <c r="T224" s="30"/>
    </row>
    <row r="225" spans="1:20" ht="15.75" customHeight="1" x14ac:dyDescent="0.35">
      <c r="A225" s="212" t="s">
        <v>60</v>
      </c>
      <c r="B225" s="212"/>
      <c r="C225" s="212"/>
      <c r="D225" s="212"/>
      <c r="E225" s="212"/>
      <c r="F225" s="212"/>
      <c r="G225" s="212"/>
      <c r="H225" s="212"/>
      <c r="T225" s="30"/>
    </row>
    <row r="226" spans="1:20" x14ac:dyDescent="0.35">
      <c r="A226" s="96" t="s">
        <v>61</v>
      </c>
      <c r="B226" s="96"/>
      <c r="C226" s="96"/>
      <c r="D226" s="96"/>
      <c r="E226" s="96"/>
      <c r="F226" s="96"/>
      <c r="G226" s="96"/>
      <c r="H226" s="96"/>
      <c r="T226" s="30"/>
    </row>
    <row r="227" spans="1:20" x14ac:dyDescent="0.35">
      <c r="A227" s="96" t="s">
        <v>62</v>
      </c>
      <c r="B227" s="96"/>
      <c r="C227" s="96"/>
      <c r="D227" s="96"/>
      <c r="E227" s="96"/>
      <c r="F227" s="96"/>
      <c r="G227" s="96"/>
      <c r="H227" s="96"/>
      <c r="T227" s="30"/>
    </row>
    <row r="228" spans="1:20" x14ac:dyDescent="0.35">
      <c r="A228" s="96" t="s">
        <v>123</v>
      </c>
      <c r="B228" s="96"/>
      <c r="C228" s="96"/>
      <c r="D228" s="96"/>
      <c r="E228" s="96"/>
      <c r="F228" s="96"/>
      <c r="G228" s="96"/>
      <c r="H228" s="96"/>
      <c r="T228" s="30"/>
    </row>
    <row r="229" spans="1:20" ht="34" customHeight="1" x14ac:dyDescent="0.35">
      <c r="A229" s="152" t="s">
        <v>124</v>
      </c>
      <c r="B229" s="152"/>
      <c r="C229" s="152"/>
      <c r="D229" s="152"/>
      <c r="E229" s="152"/>
      <c r="F229" s="152"/>
      <c r="G229" s="152"/>
      <c r="H229" s="152"/>
    </row>
    <row r="230" spans="1:20" x14ac:dyDescent="0.35">
      <c r="A230" s="180" t="s">
        <v>74</v>
      </c>
      <c r="B230" s="180"/>
      <c r="C230" s="180" t="s">
        <v>390</v>
      </c>
      <c r="D230" s="180"/>
      <c r="E230" s="180" t="s">
        <v>104</v>
      </c>
      <c r="F230" s="180"/>
      <c r="G230" s="180" t="s">
        <v>389</v>
      </c>
      <c r="H230" s="180"/>
    </row>
    <row r="231" spans="1:20" x14ac:dyDescent="0.35">
      <c r="A231" s="179" t="s">
        <v>76</v>
      </c>
      <c r="B231" s="179"/>
      <c r="C231" s="179"/>
      <c r="D231" s="179"/>
      <c r="E231" s="179"/>
      <c r="F231" s="179"/>
      <c r="G231" s="179"/>
      <c r="H231" s="179"/>
    </row>
    <row r="232" spans="1:20" x14ac:dyDescent="0.35">
      <c r="A232" s="179"/>
      <c r="B232" s="179"/>
      <c r="C232" s="179"/>
      <c r="D232" s="179"/>
      <c r="E232" s="179"/>
      <c r="F232" s="179"/>
      <c r="G232" s="179"/>
      <c r="H232" s="179"/>
    </row>
    <row r="233" spans="1:20" x14ac:dyDescent="0.35">
      <c r="A233" s="179"/>
      <c r="B233" s="179"/>
      <c r="C233" s="179"/>
      <c r="D233" s="179"/>
      <c r="E233" s="179"/>
      <c r="F233" s="179"/>
      <c r="G233" s="179"/>
      <c r="H233" s="179"/>
    </row>
    <row r="234" spans="1:20" x14ac:dyDescent="0.35">
      <c r="A234" s="179"/>
      <c r="B234" s="179"/>
      <c r="C234" s="179"/>
      <c r="D234" s="179"/>
      <c r="E234" s="179"/>
      <c r="F234" s="179"/>
      <c r="G234" s="179"/>
      <c r="H234" s="179"/>
    </row>
    <row r="235" spans="1:20" x14ac:dyDescent="0.35">
      <c r="A235" s="78" t="s">
        <v>63</v>
      </c>
      <c r="B235" s="79"/>
      <c r="C235" s="79"/>
      <c r="D235" s="78" t="str">
        <f>E9</f>
        <v>Walchand Avenue</v>
      </c>
      <c r="E235" s="80"/>
      <c r="F235" s="79"/>
      <c r="G235" s="79"/>
      <c r="H235" s="79"/>
    </row>
    <row r="236" spans="1:20" x14ac:dyDescent="0.35">
      <c r="A236" s="79"/>
      <c r="B236" s="79"/>
      <c r="C236" s="79"/>
      <c r="D236" s="79"/>
      <c r="E236" s="79"/>
      <c r="F236" s="79"/>
      <c r="G236" s="79"/>
      <c r="H236" s="79"/>
    </row>
    <row r="237" spans="1:20" x14ac:dyDescent="0.35">
      <c r="A237" s="79"/>
      <c r="B237" s="79"/>
      <c r="C237" s="79"/>
      <c r="D237" s="79"/>
      <c r="E237" s="79"/>
      <c r="F237" s="79"/>
      <c r="G237" s="79"/>
      <c r="H237" s="79"/>
    </row>
    <row r="238" spans="1:20" ht="15" customHeight="1" x14ac:dyDescent="0.35">
      <c r="A238" s="80"/>
      <c r="B238" s="80"/>
      <c r="C238" s="80"/>
      <c r="D238" s="80"/>
      <c r="E238" s="80"/>
      <c r="F238" s="80"/>
      <c r="G238" s="80"/>
      <c r="H238" s="80"/>
    </row>
    <row r="239" spans="1:20" x14ac:dyDescent="0.35">
      <c r="A239" s="80"/>
      <c r="B239" s="80"/>
      <c r="C239" s="80"/>
      <c r="D239" s="80"/>
      <c r="E239" s="80"/>
      <c r="F239" s="80"/>
      <c r="G239" s="80"/>
      <c r="H239" s="80"/>
    </row>
    <row r="240" spans="1:20" x14ac:dyDescent="0.35">
      <c r="A240" s="80"/>
      <c r="B240" s="80"/>
      <c r="C240" s="80"/>
      <c r="D240" s="80"/>
      <c r="E240" s="80"/>
      <c r="F240" s="80"/>
      <c r="G240" s="80"/>
      <c r="H240" s="80"/>
    </row>
    <row r="241" spans="1:8" x14ac:dyDescent="0.35">
      <c r="A241" s="80"/>
      <c r="B241" s="80"/>
      <c r="C241" s="80"/>
      <c r="D241" s="80"/>
      <c r="E241" s="80"/>
      <c r="F241" s="80"/>
      <c r="G241" s="80"/>
      <c r="H241" s="80"/>
    </row>
    <row r="242" spans="1:8" x14ac:dyDescent="0.35">
      <c r="A242" s="80"/>
      <c r="B242" s="80"/>
      <c r="C242" s="80"/>
      <c r="D242" s="80"/>
      <c r="E242" s="80"/>
      <c r="F242" s="80"/>
      <c r="G242" s="80"/>
      <c r="H242" s="80"/>
    </row>
    <row r="243" spans="1:8" x14ac:dyDescent="0.35">
      <c r="A243" s="80"/>
      <c r="B243" s="80"/>
      <c r="C243" s="80"/>
      <c r="D243" s="80"/>
      <c r="E243" s="80"/>
      <c r="F243" s="80"/>
      <c r="G243" s="80"/>
      <c r="H243" s="80"/>
    </row>
    <row r="244" spans="1:8" x14ac:dyDescent="0.35">
      <c r="A244" s="80"/>
      <c r="B244" s="80"/>
      <c r="C244" s="80"/>
      <c r="D244" s="80"/>
      <c r="E244" s="80"/>
      <c r="F244" s="80"/>
      <c r="G244" s="80"/>
      <c r="H244" s="80"/>
    </row>
    <row r="245" spans="1:8" x14ac:dyDescent="0.35">
      <c r="A245" s="80"/>
      <c r="B245" s="80"/>
      <c r="C245" s="80"/>
      <c r="D245" s="80"/>
      <c r="E245" s="80"/>
      <c r="F245" s="80"/>
      <c r="G245" s="80"/>
      <c r="H245" s="80"/>
    </row>
    <row r="246" spans="1:8" x14ac:dyDescent="0.35">
      <c r="A246" s="80"/>
      <c r="B246" s="80"/>
      <c r="C246" s="80"/>
      <c r="D246" s="80"/>
      <c r="E246" s="80"/>
      <c r="F246" s="80"/>
      <c r="G246" s="80"/>
      <c r="H246" s="80"/>
    </row>
    <row r="247" spans="1:8" x14ac:dyDescent="0.35">
      <c r="A247" s="80"/>
      <c r="B247" s="80"/>
      <c r="C247" s="80"/>
      <c r="D247" s="80"/>
      <c r="E247" s="80"/>
      <c r="F247" s="80"/>
      <c r="G247" s="80"/>
      <c r="H247" s="80"/>
    </row>
    <row r="248" spans="1:8" x14ac:dyDescent="0.35">
      <c r="A248" s="80"/>
      <c r="B248" s="80"/>
      <c r="C248" s="80"/>
      <c r="D248" s="80"/>
      <c r="E248" s="80"/>
      <c r="F248" s="80"/>
      <c r="G248" s="80"/>
      <c r="H248" s="80"/>
    </row>
    <row r="249" spans="1:8" x14ac:dyDescent="0.35">
      <c r="A249" s="80"/>
      <c r="B249" s="80"/>
      <c r="C249" s="80"/>
      <c r="D249" s="80"/>
      <c r="E249" s="80"/>
      <c r="F249" s="80"/>
      <c r="G249" s="80"/>
      <c r="H249" s="80"/>
    </row>
    <row r="250" spans="1:8" x14ac:dyDescent="0.35">
      <c r="A250" s="80"/>
      <c r="B250" s="80"/>
      <c r="C250" s="80"/>
      <c r="D250" s="80"/>
      <c r="E250" s="80"/>
      <c r="F250" s="80"/>
      <c r="G250" s="80"/>
      <c r="H250" s="80"/>
    </row>
    <row r="251" spans="1:8" x14ac:dyDescent="0.35">
      <c r="A251" s="80"/>
      <c r="B251" s="80"/>
      <c r="C251" s="80"/>
      <c r="D251" s="80"/>
      <c r="E251" s="80"/>
      <c r="F251" s="80"/>
      <c r="G251" s="80"/>
      <c r="H251" s="80"/>
    </row>
    <row r="252" spans="1:8" x14ac:dyDescent="0.35">
      <c r="A252" s="80"/>
      <c r="B252" s="80"/>
      <c r="C252" s="80"/>
      <c r="D252" s="80"/>
      <c r="E252" s="80"/>
      <c r="F252" s="80"/>
      <c r="G252" s="80"/>
      <c r="H252" s="80"/>
    </row>
    <row r="253" spans="1:8" x14ac:dyDescent="0.35">
      <c r="A253" s="80"/>
      <c r="B253" s="80"/>
      <c r="C253" s="80"/>
      <c r="D253" s="80"/>
      <c r="E253" s="80"/>
      <c r="F253" s="80"/>
      <c r="G253" s="80"/>
      <c r="H253" s="80"/>
    </row>
    <row r="254" spans="1:8" x14ac:dyDescent="0.35">
      <c r="A254" s="80"/>
      <c r="B254" s="80"/>
      <c r="C254" s="80"/>
      <c r="D254" s="80"/>
      <c r="E254" s="80"/>
      <c r="F254" s="80"/>
      <c r="G254" s="80"/>
      <c r="H254" s="80"/>
    </row>
    <row r="255" spans="1:8" x14ac:dyDescent="0.35">
      <c r="A255" s="80"/>
      <c r="B255" s="80"/>
      <c r="C255" s="80"/>
      <c r="D255" s="80"/>
      <c r="E255" s="80"/>
      <c r="F255" s="80"/>
      <c r="G255" s="80"/>
      <c r="H255" s="80"/>
    </row>
    <row r="256" spans="1:8" x14ac:dyDescent="0.35">
      <c r="A256" s="80"/>
      <c r="B256" s="80"/>
      <c r="C256" s="80"/>
      <c r="D256" s="80"/>
      <c r="E256" s="80"/>
      <c r="F256" s="80"/>
      <c r="G256" s="80"/>
      <c r="H256" s="80"/>
    </row>
    <row r="257" spans="1:8" x14ac:dyDescent="0.35">
      <c r="A257" s="80"/>
      <c r="B257" s="80"/>
      <c r="C257" s="80"/>
      <c r="D257" s="80"/>
      <c r="E257" s="80"/>
      <c r="F257" s="80"/>
      <c r="G257" s="80"/>
      <c r="H257" s="80"/>
    </row>
    <row r="258" spans="1:8" x14ac:dyDescent="0.35">
      <c r="A258" s="80"/>
      <c r="B258" s="80"/>
      <c r="C258" s="80"/>
      <c r="D258" s="80"/>
      <c r="E258" s="80"/>
      <c r="F258" s="80"/>
      <c r="G258" s="80"/>
      <c r="H258" s="80"/>
    </row>
    <row r="259" spans="1:8" x14ac:dyDescent="0.35">
      <c r="A259" s="80"/>
      <c r="B259" s="80"/>
      <c r="C259" s="80"/>
      <c r="D259" s="80"/>
      <c r="E259" s="80"/>
      <c r="F259" s="80"/>
      <c r="G259" s="80"/>
      <c r="H259" s="80"/>
    </row>
    <row r="260" spans="1:8" x14ac:dyDescent="0.35">
      <c r="A260" s="80"/>
      <c r="B260" s="80"/>
      <c r="C260" s="80"/>
      <c r="D260" s="80"/>
      <c r="E260" s="80"/>
      <c r="F260" s="80"/>
      <c r="G260" s="80"/>
      <c r="H260" s="80"/>
    </row>
    <row r="261" spans="1:8" x14ac:dyDescent="0.35">
      <c r="A261" s="80"/>
      <c r="B261" s="80"/>
      <c r="C261" s="80"/>
      <c r="D261" s="80"/>
      <c r="E261" s="80"/>
      <c r="F261" s="80"/>
      <c r="G261" s="80"/>
      <c r="H261" s="80"/>
    </row>
    <row r="262" spans="1:8" x14ac:dyDescent="0.35">
      <c r="A262" s="80"/>
      <c r="B262" s="80"/>
      <c r="C262" s="80"/>
      <c r="D262" s="80"/>
      <c r="E262" s="80"/>
      <c r="F262" s="80"/>
      <c r="G262" s="80"/>
      <c r="H262" s="80"/>
    </row>
    <row r="263" spans="1:8" x14ac:dyDescent="0.35">
      <c r="A263" s="80"/>
      <c r="B263" s="80"/>
      <c r="C263" s="80"/>
      <c r="D263" s="80"/>
      <c r="E263" s="80"/>
      <c r="F263" s="80"/>
      <c r="G263" s="80"/>
      <c r="H263" s="80"/>
    </row>
    <row r="264" spans="1:8" x14ac:dyDescent="0.35">
      <c r="A264" s="80"/>
      <c r="B264" s="80"/>
      <c r="C264" s="80"/>
      <c r="D264" s="80"/>
      <c r="E264" s="80"/>
      <c r="F264" s="80"/>
      <c r="G264" s="80"/>
      <c r="H264" s="80"/>
    </row>
    <row r="265" spans="1:8" x14ac:dyDescent="0.35">
      <c r="A265" s="80"/>
      <c r="B265" s="80"/>
      <c r="C265" s="80"/>
      <c r="D265" s="80"/>
      <c r="E265" s="80"/>
      <c r="F265" s="80"/>
      <c r="G265" s="80"/>
      <c r="H265" s="80"/>
    </row>
    <row r="266" spans="1:8" x14ac:dyDescent="0.35">
      <c r="A266" s="80"/>
      <c r="B266" s="80"/>
      <c r="C266" s="80"/>
      <c r="D266" s="80"/>
      <c r="E266" s="80"/>
      <c r="F266" s="80"/>
      <c r="G266" s="80"/>
      <c r="H266" s="80"/>
    </row>
    <row r="267" spans="1:8" x14ac:dyDescent="0.35">
      <c r="A267" s="80"/>
      <c r="B267" s="80"/>
      <c r="C267" s="80"/>
      <c r="D267" s="80"/>
      <c r="E267" s="80"/>
      <c r="F267" s="80"/>
      <c r="G267" s="80"/>
      <c r="H267" s="80"/>
    </row>
    <row r="268" spans="1:8" x14ac:dyDescent="0.35">
      <c r="A268" s="80"/>
      <c r="B268" s="80"/>
      <c r="C268" s="80"/>
      <c r="D268" s="80"/>
      <c r="E268" s="80"/>
      <c r="F268" s="80"/>
      <c r="G268" s="80"/>
      <c r="H268" s="80"/>
    </row>
    <row r="269" spans="1:8" x14ac:dyDescent="0.35">
      <c r="A269" s="80"/>
      <c r="B269" s="80"/>
      <c r="C269" s="80"/>
      <c r="D269" s="80"/>
      <c r="E269" s="80"/>
      <c r="F269" s="80"/>
      <c r="G269" s="80"/>
      <c r="H269" s="80"/>
    </row>
    <row r="270" spans="1:8" x14ac:dyDescent="0.35">
      <c r="A270" s="80"/>
      <c r="B270" s="80"/>
      <c r="C270" s="80"/>
      <c r="D270" s="80"/>
      <c r="E270" s="80"/>
      <c r="F270" s="80"/>
      <c r="G270" s="80"/>
      <c r="H270" s="80"/>
    </row>
    <row r="271" spans="1:8" x14ac:dyDescent="0.35">
      <c r="A271" s="80"/>
      <c r="B271" s="80"/>
      <c r="C271" s="80"/>
      <c r="D271" s="80"/>
      <c r="E271" s="80"/>
      <c r="F271" s="80"/>
      <c r="G271" s="80"/>
      <c r="H271" s="80"/>
    </row>
    <row r="272" spans="1:8" x14ac:dyDescent="0.35">
      <c r="A272" s="80"/>
      <c r="B272" s="80"/>
      <c r="C272" s="80"/>
      <c r="D272" s="80"/>
      <c r="E272" s="80"/>
      <c r="F272" s="80"/>
      <c r="G272" s="80"/>
      <c r="H272" s="80"/>
    </row>
    <row r="273" spans="1:8" x14ac:dyDescent="0.35">
      <c r="A273" s="80"/>
      <c r="B273" s="80"/>
      <c r="C273" s="80"/>
      <c r="D273" s="80"/>
      <c r="E273" s="80"/>
      <c r="F273" s="80"/>
      <c r="G273" s="80"/>
      <c r="H273" s="80"/>
    </row>
    <row r="274" spans="1:8" x14ac:dyDescent="0.35">
      <c r="A274" s="80"/>
      <c r="B274" s="80"/>
      <c r="C274" s="80"/>
      <c r="D274" s="80"/>
      <c r="E274" s="80"/>
      <c r="F274" s="80"/>
      <c r="G274" s="80"/>
      <c r="H274" s="80"/>
    </row>
    <row r="275" spans="1:8" x14ac:dyDescent="0.35">
      <c r="A275" s="80"/>
      <c r="B275" s="80"/>
      <c r="C275" s="80"/>
      <c r="D275" s="80"/>
      <c r="E275" s="80"/>
      <c r="F275" s="80"/>
      <c r="G275" s="80"/>
      <c r="H275" s="80"/>
    </row>
    <row r="276" spans="1:8" x14ac:dyDescent="0.35">
      <c r="A276" s="80"/>
      <c r="B276" s="80"/>
      <c r="C276" s="80"/>
      <c r="D276" s="80"/>
      <c r="E276" s="80"/>
      <c r="F276" s="80"/>
      <c r="G276" s="80"/>
      <c r="H276" s="80"/>
    </row>
    <row r="277" spans="1:8" x14ac:dyDescent="0.35">
      <c r="A277" s="80"/>
      <c r="B277" s="80"/>
      <c r="C277" s="80"/>
      <c r="D277" s="80"/>
      <c r="E277" s="80"/>
      <c r="F277" s="80"/>
      <c r="G277" s="80"/>
      <c r="H277" s="80"/>
    </row>
    <row r="278" spans="1:8" x14ac:dyDescent="0.35">
      <c r="A278" s="80"/>
      <c r="B278" s="80"/>
      <c r="C278" s="80"/>
      <c r="D278" s="80"/>
      <c r="E278" s="80"/>
      <c r="F278" s="80"/>
      <c r="G278" s="80"/>
      <c r="H278" s="80"/>
    </row>
    <row r="279" spans="1:8" x14ac:dyDescent="0.35">
      <c r="A279" s="81" t="s">
        <v>164</v>
      </c>
      <c r="B279" s="80"/>
      <c r="C279" s="80"/>
      <c r="D279" s="80"/>
      <c r="E279" s="80"/>
      <c r="F279" s="80"/>
      <c r="G279" s="80"/>
      <c r="H279" s="80"/>
    </row>
    <row r="280" spans="1:8" x14ac:dyDescent="0.35">
      <c r="A280" s="80"/>
      <c r="B280" s="80"/>
      <c r="C280" s="80"/>
      <c r="D280" s="80"/>
      <c r="E280" s="80"/>
      <c r="F280" s="80"/>
      <c r="G280" s="80"/>
      <c r="H280" s="80"/>
    </row>
    <row r="281" spans="1:8" x14ac:dyDescent="0.35">
      <c r="A281" s="80"/>
      <c r="B281" s="80"/>
      <c r="C281" s="80"/>
      <c r="D281" s="80"/>
      <c r="E281" s="80"/>
      <c r="F281" s="80"/>
      <c r="G281" s="80"/>
      <c r="H281" s="80"/>
    </row>
    <row r="282" spans="1:8" x14ac:dyDescent="0.35">
      <c r="A282" s="80"/>
      <c r="B282" s="80"/>
      <c r="C282" s="80"/>
      <c r="D282" s="80"/>
      <c r="E282" s="80"/>
      <c r="F282" s="80"/>
      <c r="G282" s="80"/>
      <c r="H282" s="80"/>
    </row>
    <row r="283" spans="1:8" x14ac:dyDescent="0.35">
      <c r="A283" s="80"/>
      <c r="B283" s="80"/>
      <c r="C283" s="80"/>
      <c r="D283" s="80"/>
      <c r="E283" s="80"/>
      <c r="F283" s="80"/>
      <c r="G283" s="80"/>
      <c r="H283" s="80"/>
    </row>
    <row r="284" spans="1:8" x14ac:dyDescent="0.35">
      <c r="A284" s="80"/>
      <c r="B284" s="80"/>
      <c r="C284" s="80"/>
      <c r="D284" s="80"/>
      <c r="E284" s="80"/>
      <c r="F284" s="80"/>
      <c r="G284" s="80"/>
      <c r="H284" s="80"/>
    </row>
    <row r="285" spans="1:8" x14ac:dyDescent="0.35">
      <c r="A285" s="80"/>
      <c r="B285" s="80"/>
      <c r="C285" s="80"/>
      <c r="D285" s="80"/>
      <c r="E285" s="80"/>
      <c r="F285" s="80"/>
      <c r="G285" s="80"/>
      <c r="H285" s="80"/>
    </row>
    <row r="286" spans="1:8" x14ac:dyDescent="0.35">
      <c r="A286" s="80"/>
      <c r="B286" s="80"/>
      <c r="C286" s="80"/>
      <c r="D286" s="80"/>
      <c r="E286" s="80"/>
      <c r="F286" s="80"/>
      <c r="G286" s="80"/>
      <c r="H286" s="80"/>
    </row>
    <row r="287" spans="1:8" x14ac:dyDescent="0.35">
      <c r="A287" s="80"/>
      <c r="B287" s="80"/>
      <c r="C287" s="80"/>
      <c r="D287" s="80"/>
      <c r="E287" s="80"/>
      <c r="F287" s="80"/>
      <c r="G287" s="80"/>
      <c r="H287" s="80"/>
    </row>
    <row r="288" spans="1:8" x14ac:dyDescent="0.35">
      <c r="A288" s="80"/>
      <c r="B288" s="80"/>
      <c r="C288" s="80"/>
      <c r="D288" s="80"/>
      <c r="E288" s="80"/>
      <c r="F288" s="80"/>
      <c r="G288" s="80"/>
      <c r="H288" s="80"/>
    </row>
    <row r="289" spans="1:8" x14ac:dyDescent="0.35">
      <c r="A289" s="80"/>
      <c r="B289" s="80"/>
      <c r="C289" s="80"/>
      <c r="D289" s="80"/>
      <c r="E289" s="80"/>
      <c r="F289" s="80"/>
      <c r="G289" s="80"/>
      <c r="H289" s="80"/>
    </row>
    <row r="290" spans="1:8" x14ac:dyDescent="0.35">
      <c r="A290" s="80"/>
      <c r="B290" s="80"/>
      <c r="C290" s="80"/>
      <c r="D290" s="80"/>
      <c r="E290" s="80"/>
      <c r="F290" s="80"/>
      <c r="G290" s="80"/>
      <c r="H290" s="80"/>
    </row>
    <row r="291" spans="1:8" x14ac:dyDescent="0.35">
      <c r="A291" s="80"/>
      <c r="B291" s="80"/>
      <c r="C291" s="80"/>
      <c r="D291" s="80"/>
      <c r="E291" s="80"/>
      <c r="F291" s="80"/>
      <c r="G291" s="80"/>
      <c r="H291" s="80"/>
    </row>
    <row r="292" spans="1:8" x14ac:dyDescent="0.35">
      <c r="A292" s="80"/>
      <c r="B292" s="80"/>
      <c r="C292" s="80"/>
      <c r="D292" s="80"/>
      <c r="E292" s="80"/>
      <c r="F292" s="80"/>
      <c r="G292" s="80"/>
      <c r="H292" s="80"/>
    </row>
    <row r="293" spans="1:8" x14ac:dyDescent="0.35">
      <c r="A293" s="80"/>
      <c r="B293" s="80"/>
      <c r="C293" s="80"/>
      <c r="D293" s="80"/>
      <c r="E293" s="80"/>
      <c r="F293" s="80"/>
      <c r="G293" s="80"/>
      <c r="H293" s="80"/>
    </row>
    <row r="294" spans="1:8" x14ac:dyDescent="0.35">
      <c r="A294" s="80"/>
      <c r="B294" s="80"/>
      <c r="C294" s="80"/>
      <c r="D294" s="80"/>
      <c r="E294" s="80"/>
      <c r="F294" s="80"/>
      <c r="G294" s="80"/>
      <c r="H294" s="80"/>
    </row>
    <row r="295" spans="1:8" x14ac:dyDescent="0.35">
      <c r="A295" s="80"/>
      <c r="B295" s="80"/>
      <c r="C295" s="80"/>
      <c r="D295" s="80"/>
      <c r="E295" s="80"/>
      <c r="F295" s="80"/>
      <c r="G295" s="80"/>
      <c r="H295" s="80"/>
    </row>
    <row r="296" spans="1:8" x14ac:dyDescent="0.35">
      <c r="A296" s="80"/>
      <c r="B296" s="80"/>
      <c r="C296" s="80"/>
      <c r="D296" s="80"/>
      <c r="E296" s="80"/>
      <c r="F296" s="80"/>
      <c r="G296" s="80"/>
      <c r="H296" s="80"/>
    </row>
    <row r="297" spans="1:8" x14ac:dyDescent="0.35">
      <c r="A297" s="80"/>
      <c r="B297" s="80"/>
      <c r="C297" s="80"/>
      <c r="D297" s="80"/>
      <c r="E297" s="80"/>
      <c r="F297" s="80"/>
      <c r="G297" s="80"/>
      <c r="H297" s="80"/>
    </row>
    <row r="298" spans="1:8" x14ac:dyDescent="0.35">
      <c r="A298" s="80"/>
      <c r="B298" s="80"/>
      <c r="C298" s="80"/>
      <c r="D298" s="80"/>
      <c r="E298" s="80"/>
      <c r="F298" s="80"/>
      <c r="G298" s="80"/>
      <c r="H298" s="80"/>
    </row>
    <row r="299" spans="1:8" x14ac:dyDescent="0.35">
      <c r="A299" s="80"/>
      <c r="B299" s="80"/>
      <c r="C299" s="80"/>
      <c r="D299" s="80"/>
      <c r="E299" s="80"/>
      <c r="F299" s="80"/>
      <c r="G299" s="80"/>
      <c r="H299" s="80"/>
    </row>
    <row r="300" spans="1:8" x14ac:dyDescent="0.35">
      <c r="A300" s="80"/>
      <c r="B300" s="80"/>
      <c r="C300" s="80"/>
      <c r="D300" s="80"/>
      <c r="E300" s="80"/>
      <c r="F300" s="80"/>
      <c r="G300" s="80"/>
      <c r="H300" s="80"/>
    </row>
    <row r="301" spans="1:8" x14ac:dyDescent="0.35">
      <c r="A301" s="80"/>
      <c r="B301" s="80"/>
      <c r="C301" s="80"/>
      <c r="D301" s="80"/>
      <c r="E301" s="80"/>
      <c r="F301" s="80"/>
      <c r="G301" s="80"/>
      <c r="H301" s="80"/>
    </row>
    <row r="302" spans="1:8" x14ac:dyDescent="0.35">
      <c r="A302" s="80"/>
      <c r="B302" s="80"/>
      <c r="C302" s="80"/>
      <c r="D302" s="80"/>
      <c r="E302" s="80"/>
      <c r="F302" s="80"/>
      <c r="G302" s="80"/>
      <c r="H302" s="80"/>
    </row>
    <row r="303" spans="1:8" x14ac:dyDescent="0.35">
      <c r="A303" s="80"/>
      <c r="B303" s="80"/>
      <c r="C303" s="80"/>
      <c r="D303" s="80"/>
      <c r="E303" s="80"/>
      <c r="F303" s="80"/>
      <c r="G303" s="80"/>
      <c r="H303" s="80"/>
    </row>
    <row r="304" spans="1:8" x14ac:dyDescent="0.35">
      <c r="A304" s="80"/>
      <c r="B304" s="80"/>
      <c r="C304" s="80"/>
      <c r="D304" s="80"/>
      <c r="E304" s="80"/>
      <c r="F304" s="80"/>
      <c r="G304" s="80"/>
      <c r="H304" s="80"/>
    </row>
    <row r="305" spans="1:8" x14ac:dyDescent="0.35">
      <c r="A305" s="80"/>
      <c r="B305" s="80"/>
      <c r="C305" s="80"/>
      <c r="D305" s="80"/>
      <c r="E305" s="80"/>
      <c r="F305" s="80"/>
      <c r="G305" s="80"/>
      <c r="H305" s="80"/>
    </row>
    <row r="306" spans="1:8" x14ac:dyDescent="0.35">
      <c r="A306" s="80"/>
      <c r="B306" s="80"/>
      <c r="C306" s="80"/>
      <c r="D306" s="80"/>
      <c r="E306" s="80"/>
      <c r="F306" s="80"/>
      <c r="G306" s="80"/>
      <c r="H306" s="80"/>
    </row>
    <row r="307" spans="1:8" x14ac:dyDescent="0.35">
      <c r="A307" s="80"/>
      <c r="B307" s="80"/>
      <c r="C307" s="80"/>
      <c r="D307" s="80"/>
      <c r="E307" s="80"/>
      <c r="F307" s="80"/>
      <c r="G307" s="80"/>
      <c r="H307" s="80"/>
    </row>
    <row r="308" spans="1:8" x14ac:dyDescent="0.35">
      <c r="A308" s="80"/>
      <c r="B308" s="80"/>
      <c r="C308" s="80"/>
      <c r="D308" s="80"/>
      <c r="E308" s="80"/>
      <c r="F308" s="80"/>
      <c r="G308" s="80"/>
      <c r="H308" s="80"/>
    </row>
    <row r="309" spans="1:8" x14ac:dyDescent="0.35">
      <c r="A309" s="80"/>
      <c r="B309" s="80"/>
      <c r="C309" s="80"/>
      <c r="D309" s="80"/>
      <c r="E309" s="80"/>
      <c r="F309" s="80"/>
      <c r="G309" s="80"/>
      <c r="H309" s="80"/>
    </row>
    <row r="310" spans="1:8" x14ac:dyDescent="0.35">
      <c r="A310" s="80"/>
      <c r="B310" s="80"/>
      <c r="C310" s="80"/>
      <c r="D310" s="80"/>
      <c r="E310" s="80"/>
      <c r="F310" s="80"/>
      <c r="G310" s="80"/>
      <c r="H310" s="80"/>
    </row>
    <row r="311" spans="1:8" x14ac:dyDescent="0.35">
      <c r="A311" s="80"/>
      <c r="B311" s="80"/>
      <c r="C311" s="80"/>
      <c r="D311" s="80"/>
      <c r="E311" s="80"/>
      <c r="F311" s="80"/>
      <c r="G311" s="80"/>
      <c r="H311" s="80"/>
    </row>
    <row r="312" spans="1:8" x14ac:dyDescent="0.35">
      <c r="A312" s="80"/>
      <c r="B312" s="80"/>
      <c r="C312" s="80"/>
      <c r="D312" s="80"/>
      <c r="E312" s="80"/>
      <c r="F312" s="80"/>
      <c r="G312" s="80"/>
      <c r="H312" s="80"/>
    </row>
    <row r="313" spans="1:8" x14ac:dyDescent="0.35">
      <c r="A313" s="80"/>
      <c r="B313" s="80"/>
      <c r="C313" s="80"/>
      <c r="D313" s="80"/>
      <c r="E313" s="80"/>
      <c r="F313" s="80"/>
      <c r="G313" s="80"/>
      <c r="H313" s="80"/>
    </row>
    <row r="314" spans="1:8" x14ac:dyDescent="0.35">
      <c r="A314" s="80"/>
      <c r="B314" s="80"/>
      <c r="C314" s="80"/>
      <c r="D314" s="80"/>
      <c r="E314" s="80"/>
      <c r="F314" s="80"/>
      <c r="G314" s="80"/>
      <c r="H314" s="80"/>
    </row>
    <row r="315" spans="1:8" x14ac:dyDescent="0.35">
      <c r="A315" s="80"/>
      <c r="B315" s="80"/>
      <c r="C315" s="80"/>
      <c r="D315" s="80"/>
      <c r="E315" s="80"/>
      <c r="F315" s="80"/>
      <c r="G315" s="80"/>
      <c r="H315" s="80"/>
    </row>
    <row r="316" spans="1:8" x14ac:dyDescent="0.35">
      <c r="A316" s="80"/>
      <c r="B316" s="80"/>
      <c r="C316" s="80"/>
      <c r="D316" s="80"/>
      <c r="E316" s="80"/>
      <c r="F316" s="80"/>
      <c r="G316" s="80"/>
      <c r="H316" s="80"/>
    </row>
    <row r="317" spans="1:8" x14ac:dyDescent="0.35">
      <c r="A317" s="80"/>
      <c r="B317" s="80"/>
      <c r="C317" s="80"/>
      <c r="D317" s="80"/>
      <c r="E317" s="80"/>
      <c r="F317" s="80"/>
      <c r="G317" s="80"/>
      <c r="H317" s="80"/>
    </row>
    <row r="318" spans="1:8" x14ac:dyDescent="0.35">
      <c r="A318" s="80"/>
      <c r="B318" s="80"/>
      <c r="C318" s="80"/>
      <c r="D318" s="80"/>
      <c r="E318" s="80"/>
      <c r="F318" s="80"/>
      <c r="G318" s="80"/>
      <c r="H318" s="80"/>
    </row>
    <row r="319" spans="1:8" x14ac:dyDescent="0.35">
      <c r="A319" s="80"/>
      <c r="B319" s="80"/>
      <c r="C319" s="80"/>
      <c r="D319" s="80"/>
      <c r="E319" s="80"/>
      <c r="F319" s="80"/>
      <c r="G319" s="80"/>
      <c r="H319" s="80"/>
    </row>
    <row r="320" spans="1:8" x14ac:dyDescent="0.35">
      <c r="A320" s="80"/>
      <c r="B320" s="80"/>
      <c r="C320" s="80"/>
      <c r="D320" s="80"/>
      <c r="E320" s="80"/>
      <c r="F320" s="80"/>
      <c r="G320" s="80"/>
      <c r="H320" s="80"/>
    </row>
    <row r="321" spans="1:8" x14ac:dyDescent="0.35">
      <c r="A321" s="81" t="s">
        <v>386</v>
      </c>
      <c r="B321" s="80"/>
      <c r="C321" s="80"/>
      <c r="D321" s="80"/>
      <c r="E321" s="80"/>
      <c r="F321" s="80"/>
      <c r="G321" s="80"/>
      <c r="H321" s="80"/>
    </row>
    <row r="322" spans="1:8" x14ac:dyDescent="0.35">
      <c r="A322" s="80"/>
      <c r="B322" s="80"/>
      <c r="C322" s="80"/>
      <c r="D322" s="80"/>
      <c r="E322" s="80"/>
      <c r="F322" s="80"/>
      <c r="G322" s="80"/>
      <c r="H322" s="80"/>
    </row>
    <row r="323" spans="1:8" x14ac:dyDescent="0.35">
      <c r="A323" s="80"/>
      <c r="B323" s="80"/>
      <c r="C323" s="80"/>
      <c r="D323" s="80"/>
      <c r="E323" s="80"/>
      <c r="F323" s="80"/>
      <c r="G323" s="80"/>
      <c r="H323" s="80"/>
    </row>
    <row r="324" spans="1:8" x14ac:dyDescent="0.35">
      <c r="A324" s="80"/>
      <c r="B324" s="80"/>
      <c r="C324" s="80"/>
      <c r="D324" s="80"/>
      <c r="E324" s="80"/>
      <c r="F324" s="80"/>
      <c r="G324" s="80"/>
      <c r="H324" s="80"/>
    </row>
    <row r="325" spans="1:8" x14ac:dyDescent="0.35">
      <c r="A325" s="80"/>
      <c r="B325" s="80"/>
      <c r="C325" s="80"/>
      <c r="D325" s="80"/>
      <c r="E325" s="80"/>
      <c r="F325" s="80"/>
      <c r="G325" s="80"/>
      <c r="H325" s="80"/>
    </row>
    <row r="326" spans="1:8" x14ac:dyDescent="0.35">
      <c r="A326" s="80"/>
      <c r="B326" s="80"/>
      <c r="C326" s="80"/>
      <c r="D326" s="80"/>
      <c r="E326" s="80"/>
      <c r="F326" s="80"/>
      <c r="G326" s="80"/>
      <c r="H326" s="80"/>
    </row>
    <row r="327" spans="1:8" x14ac:dyDescent="0.35">
      <c r="A327" s="80"/>
      <c r="B327" s="80"/>
      <c r="C327" s="80"/>
      <c r="D327" s="80"/>
      <c r="E327" s="80"/>
      <c r="F327" s="80"/>
      <c r="G327" s="80"/>
      <c r="H327" s="80"/>
    </row>
    <row r="328" spans="1:8" x14ac:dyDescent="0.35">
      <c r="A328" s="80"/>
      <c r="B328" s="80"/>
      <c r="C328" s="80"/>
      <c r="D328" s="80"/>
      <c r="E328" s="80"/>
      <c r="F328" s="80"/>
      <c r="G328" s="80"/>
      <c r="H328" s="80"/>
    </row>
    <row r="329" spans="1:8" x14ac:dyDescent="0.35">
      <c r="A329" s="80"/>
      <c r="B329" s="80"/>
      <c r="C329" s="80"/>
      <c r="D329" s="80"/>
      <c r="E329" s="80"/>
      <c r="F329" s="80"/>
      <c r="G329" s="80"/>
      <c r="H329" s="80"/>
    </row>
    <row r="330" spans="1:8" x14ac:dyDescent="0.35">
      <c r="A330" s="80"/>
      <c r="B330" s="80"/>
      <c r="C330" s="80"/>
      <c r="D330" s="80"/>
      <c r="E330" s="80"/>
      <c r="F330" s="80"/>
      <c r="G330" s="80"/>
      <c r="H330" s="80"/>
    </row>
    <row r="331" spans="1:8" x14ac:dyDescent="0.35">
      <c r="A331" s="80"/>
      <c r="B331" s="80"/>
      <c r="C331" s="80"/>
      <c r="D331" s="80"/>
      <c r="E331" s="80"/>
      <c r="F331" s="80"/>
      <c r="G331" s="80"/>
      <c r="H331" s="80"/>
    </row>
    <row r="332" spans="1:8" x14ac:dyDescent="0.35">
      <c r="A332" s="80"/>
      <c r="B332" s="80"/>
      <c r="C332" s="80"/>
      <c r="D332" s="80"/>
      <c r="E332" s="80"/>
      <c r="F332" s="80"/>
      <c r="G332" s="80"/>
      <c r="H332" s="80"/>
    </row>
    <row r="333" spans="1:8" x14ac:dyDescent="0.35">
      <c r="A333" s="80"/>
      <c r="B333" s="80"/>
      <c r="C333" s="80"/>
      <c r="D333" s="80"/>
      <c r="E333" s="80"/>
      <c r="F333" s="80"/>
      <c r="G333" s="80"/>
      <c r="H333" s="80"/>
    </row>
    <row r="334" spans="1:8" x14ac:dyDescent="0.35">
      <c r="A334" s="80"/>
      <c r="B334" s="80"/>
      <c r="C334" s="80"/>
      <c r="D334" s="80"/>
      <c r="E334" s="80"/>
      <c r="F334" s="80"/>
      <c r="G334" s="80"/>
      <c r="H334" s="80"/>
    </row>
    <row r="335" spans="1:8" x14ac:dyDescent="0.35">
      <c r="A335" s="80"/>
      <c r="B335" s="80"/>
      <c r="C335" s="80"/>
      <c r="D335" s="80"/>
      <c r="E335" s="80"/>
      <c r="F335" s="80"/>
      <c r="G335" s="80"/>
      <c r="H335" s="80"/>
    </row>
    <row r="336" spans="1:8" x14ac:dyDescent="0.35">
      <c r="A336" s="80"/>
      <c r="B336" s="80"/>
      <c r="C336" s="80"/>
      <c r="D336" s="80"/>
      <c r="E336" s="80"/>
      <c r="F336" s="80"/>
      <c r="G336" s="80"/>
      <c r="H336" s="80"/>
    </row>
    <row r="337" spans="1:8" x14ac:dyDescent="0.35">
      <c r="A337" s="80"/>
      <c r="B337" s="80"/>
      <c r="C337" s="80"/>
      <c r="D337" s="80"/>
      <c r="E337" s="80"/>
      <c r="F337" s="80"/>
      <c r="G337" s="80"/>
      <c r="H337" s="80"/>
    </row>
    <row r="338" spans="1:8" x14ac:dyDescent="0.35">
      <c r="A338" s="80"/>
      <c r="B338" s="80"/>
      <c r="C338" s="80"/>
      <c r="D338" s="80"/>
      <c r="E338" s="80"/>
      <c r="F338" s="80"/>
      <c r="G338" s="80"/>
      <c r="H338" s="80"/>
    </row>
    <row r="339" spans="1:8" x14ac:dyDescent="0.35">
      <c r="A339" s="80"/>
      <c r="B339" s="80"/>
      <c r="C339" s="80"/>
      <c r="D339" s="80"/>
      <c r="E339" s="80"/>
      <c r="F339" s="80"/>
      <c r="G339" s="80"/>
      <c r="H339" s="80"/>
    </row>
    <row r="340" spans="1:8" x14ac:dyDescent="0.35">
      <c r="A340" s="80"/>
      <c r="B340" s="80"/>
      <c r="C340" s="80"/>
      <c r="D340" s="80"/>
      <c r="E340" s="80"/>
      <c r="F340" s="80"/>
      <c r="G340" s="80"/>
      <c r="H340" s="80"/>
    </row>
    <row r="341" spans="1:8" x14ac:dyDescent="0.35">
      <c r="A341" s="80"/>
      <c r="B341" s="80"/>
      <c r="C341" s="80"/>
      <c r="D341" s="80"/>
      <c r="E341" s="80"/>
      <c r="F341" s="80"/>
      <c r="G341" s="80"/>
      <c r="H341" s="80"/>
    </row>
    <row r="342" spans="1:8" x14ac:dyDescent="0.35">
      <c r="A342" s="80"/>
      <c r="B342" s="80"/>
      <c r="C342" s="80"/>
      <c r="D342" s="80"/>
      <c r="E342" s="80"/>
      <c r="F342" s="80"/>
      <c r="G342" s="80"/>
      <c r="H342" s="80"/>
    </row>
    <row r="343" spans="1:8" x14ac:dyDescent="0.35">
      <c r="A343" s="80"/>
      <c r="B343" s="80"/>
      <c r="C343" s="80"/>
      <c r="D343" s="80"/>
      <c r="E343" s="80"/>
      <c r="F343" s="80"/>
      <c r="G343" s="80"/>
      <c r="H343" s="80"/>
    </row>
    <row r="344" spans="1:8" x14ac:dyDescent="0.35">
      <c r="A344" s="80"/>
      <c r="B344" s="80"/>
      <c r="C344" s="80"/>
      <c r="D344" s="80"/>
      <c r="E344" s="80"/>
      <c r="F344" s="80"/>
      <c r="G344" s="80"/>
      <c r="H344" s="80"/>
    </row>
    <row r="345" spans="1:8" x14ac:dyDescent="0.35">
      <c r="A345" s="80"/>
      <c r="B345" s="80"/>
      <c r="C345" s="80"/>
      <c r="D345" s="80"/>
      <c r="E345" s="80"/>
      <c r="F345" s="80"/>
      <c r="G345" s="80"/>
      <c r="H345" s="80"/>
    </row>
    <row r="346" spans="1:8" x14ac:dyDescent="0.35">
      <c r="A346" s="80"/>
      <c r="B346" s="80"/>
      <c r="C346" s="80"/>
      <c r="D346" s="80"/>
      <c r="E346" s="80"/>
      <c r="F346" s="80"/>
      <c r="G346" s="80"/>
      <c r="H346" s="80"/>
    </row>
    <row r="347" spans="1:8" x14ac:dyDescent="0.35">
      <c r="A347" s="80"/>
      <c r="B347" s="80"/>
      <c r="C347" s="80"/>
      <c r="D347" s="80"/>
      <c r="E347" s="80"/>
      <c r="F347" s="80"/>
      <c r="G347" s="80"/>
      <c r="H347" s="80"/>
    </row>
    <row r="348" spans="1:8" x14ac:dyDescent="0.35">
      <c r="A348" s="80"/>
      <c r="B348" s="80"/>
      <c r="C348" s="80"/>
      <c r="D348" s="80"/>
      <c r="E348" s="80"/>
      <c r="F348" s="80"/>
      <c r="G348" s="80"/>
      <c r="H348" s="80"/>
    </row>
    <row r="349" spans="1:8" x14ac:dyDescent="0.35">
      <c r="A349" s="80"/>
      <c r="B349" s="80"/>
      <c r="C349" s="80"/>
      <c r="D349" s="80"/>
      <c r="E349" s="80"/>
      <c r="F349" s="80"/>
      <c r="G349" s="80"/>
      <c r="H349" s="80"/>
    </row>
    <row r="350" spans="1:8" x14ac:dyDescent="0.35">
      <c r="A350" s="80"/>
      <c r="B350" s="80"/>
      <c r="C350" s="80"/>
      <c r="D350" s="80"/>
      <c r="E350" s="80"/>
      <c r="F350" s="80"/>
      <c r="G350" s="80"/>
      <c r="H350" s="80"/>
    </row>
    <row r="351" spans="1:8" x14ac:dyDescent="0.35">
      <c r="A351" s="80"/>
      <c r="B351" s="80"/>
      <c r="C351" s="80"/>
      <c r="D351" s="80"/>
      <c r="E351" s="80"/>
      <c r="F351" s="80"/>
      <c r="G351" s="80"/>
      <c r="H351" s="80"/>
    </row>
    <row r="352" spans="1:8" x14ac:dyDescent="0.35">
      <c r="A352" s="80"/>
      <c r="B352" s="80"/>
      <c r="C352" s="80"/>
      <c r="D352" s="80"/>
      <c r="E352" s="80"/>
      <c r="F352" s="80"/>
      <c r="G352" s="80"/>
      <c r="H352" s="80"/>
    </row>
    <row r="353" spans="1:8" x14ac:dyDescent="0.35">
      <c r="A353" s="80"/>
      <c r="B353" s="80"/>
      <c r="C353" s="80"/>
      <c r="D353" s="80"/>
      <c r="E353" s="80"/>
      <c r="F353" s="80"/>
      <c r="G353" s="80"/>
      <c r="H353" s="80"/>
    </row>
    <row r="354" spans="1:8" x14ac:dyDescent="0.35">
      <c r="A354" s="80"/>
      <c r="B354" s="80"/>
      <c r="C354" s="80"/>
      <c r="D354" s="80"/>
      <c r="E354" s="80"/>
      <c r="F354" s="80"/>
      <c r="G354" s="80"/>
      <c r="H354" s="80"/>
    </row>
    <row r="355" spans="1:8" x14ac:dyDescent="0.35">
      <c r="A355" s="80"/>
      <c r="B355" s="80"/>
      <c r="C355" s="80"/>
      <c r="D355" s="80"/>
      <c r="E355" s="80"/>
      <c r="F355" s="80"/>
      <c r="G355" s="80"/>
      <c r="H355" s="80"/>
    </row>
    <row r="356" spans="1:8" x14ac:dyDescent="0.35">
      <c r="A356" s="80"/>
      <c r="B356" s="80"/>
      <c r="C356" s="80"/>
      <c r="D356" s="80"/>
      <c r="E356" s="80"/>
      <c r="F356" s="80"/>
      <c r="G356" s="80"/>
      <c r="H356" s="80"/>
    </row>
    <row r="357" spans="1:8" x14ac:dyDescent="0.35">
      <c r="A357" s="80"/>
      <c r="B357" s="80"/>
      <c r="C357" s="80"/>
      <c r="D357" s="80"/>
      <c r="E357" s="80"/>
      <c r="F357" s="80"/>
      <c r="G357" s="80"/>
      <c r="H357" s="80"/>
    </row>
    <row r="358" spans="1:8" x14ac:dyDescent="0.35">
      <c r="A358" s="80"/>
      <c r="B358" s="80"/>
      <c r="C358" s="80"/>
      <c r="D358" s="80"/>
      <c r="E358" s="80"/>
      <c r="F358" s="80"/>
      <c r="G358" s="80"/>
      <c r="H358" s="80"/>
    </row>
    <row r="359" spans="1:8" x14ac:dyDescent="0.35">
      <c r="A359" s="80"/>
      <c r="B359" s="80"/>
      <c r="C359" s="80"/>
      <c r="D359" s="80"/>
      <c r="E359" s="80"/>
      <c r="F359" s="80"/>
      <c r="G359" s="80"/>
      <c r="H359" s="80"/>
    </row>
    <row r="360" spans="1:8" x14ac:dyDescent="0.35">
      <c r="A360" s="80"/>
      <c r="B360" s="80"/>
      <c r="C360" s="80"/>
      <c r="D360" s="80"/>
      <c r="E360" s="80"/>
      <c r="F360" s="80"/>
      <c r="G360" s="80"/>
      <c r="H360" s="80"/>
    </row>
    <row r="361" spans="1:8" x14ac:dyDescent="0.35">
      <c r="A361" s="80"/>
      <c r="B361" s="80"/>
      <c r="C361" s="80"/>
      <c r="D361" s="80"/>
      <c r="E361" s="80"/>
      <c r="F361" s="80"/>
      <c r="G361" s="80"/>
      <c r="H361" s="80"/>
    </row>
    <row r="362" spans="1:8" x14ac:dyDescent="0.35">
      <c r="A362" s="80"/>
      <c r="B362" s="80"/>
      <c r="C362" s="80"/>
      <c r="D362" s="80"/>
      <c r="E362" s="80"/>
      <c r="F362" s="80"/>
      <c r="G362" s="80"/>
      <c r="H362" s="80"/>
    </row>
    <row r="363" spans="1:8" x14ac:dyDescent="0.35">
      <c r="A363" s="80"/>
      <c r="B363" s="80"/>
      <c r="C363" s="80"/>
      <c r="D363" s="80"/>
      <c r="E363" s="80"/>
      <c r="F363" s="80"/>
      <c r="G363" s="80"/>
      <c r="H363" s="80"/>
    </row>
    <row r="364" spans="1:8" x14ac:dyDescent="0.35">
      <c r="A364" s="81" t="s">
        <v>64</v>
      </c>
      <c r="B364" s="80"/>
      <c r="C364" s="80"/>
      <c r="D364" s="80"/>
      <c r="E364" s="80"/>
      <c r="F364" s="80"/>
      <c r="G364" s="80"/>
      <c r="H364" s="80"/>
    </row>
    <row r="365" spans="1:8" x14ac:dyDescent="0.35">
      <c r="A365" s="80"/>
      <c r="B365" s="80"/>
      <c r="C365" s="80"/>
      <c r="D365" s="80"/>
      <c r="E365" s="80"/>
      <c r="F365" s="80"/>
      <c r="G365" s="80"/>
      <c r="H365" s="80"/>
    </row>
    <row r="366" spans="1:8" x14ac:dyDescent="0.35">
      <c r="A366" s="80"/>
      <c r="B366" s="80"/>
      <c r="C366" s="80"/>
      <c r="D366" s="80"/>
      <c r="E366" s="80"/>
      <c r="F366" s="80"/>
      <c r="G366" s="80"/>
      <c r="H366" s="80"/>
    </row>
    <row r="367" spans="1:8" x14ac:dyDescent="0.35">
      <c r="A367" s="80"/>
      <c r="B367" s="80"/>
      <c r="C367" s="80"/>
      <c r="D367" s="80"/>
      <c r="E367" s="80"/>
      <c r="F367" s="80"/>
      <c r="G367" s="80"/>
      <c r="H367" s="80"/>
    </row>
    <row r="368" spans="1:8" x14ac:dyDescent="0.35">
      <c r="A368" s="80"/>
      <c r="B368" s="80"/>
      <c r="C368" s="80"/>
      <c r="D368" s="80"/>
      <c r="E368" s="80"/>
      <c r="F368" s="80"/>
      <c r="G368" s="80"/>
      <c r="H368" s="80"/>
    </row>
    <row r="369" spans="1:8" x14ac:dyDescent="0.35">
      <c r="A369" s="80"/>
      <c r="B369" s="80"/>
      <c r="C369" s="80"/>
      <c r="D369" s="80"/>
      <c r="E369" s="80"/>
      <c r="F369" s="80"/>
      <c r="G369" s="80"/>
      <c r="H369" s="80"/>
    </row>
    <row r="370" spans="1:8" x14ac:dyDescent="0.35">
      <c r="A370" s="80"/>
      <c r="B370" s="80"/>
      <c r="C370" s="80"/>
      <c r="D370" s="80"/>
      <c r="E370" s="80"/>
      <c r="F370" s="80"/>
      <c r="G370" s="80"/>
      <c r="H370" s="80"/>
    </row>
    <row r="371" spans="1:8" x14ac:dyDescent="0.35">
      <c r="A371" s="80"/>
      <c r="B371" s="80"/>
      <c r="C371" s="80"/>
      <c r="D371" s="80"/>
      <c r="E371" s="80"/>
      <c r="F371" s="80"/>
      <c r="G371" s="80"/>
      <c r="H371" s="80"/>
    </row>
    <row r="372" spans="1:8" x14ac:dyDescent="0.35">
      <c r="A372" s="80"/>
      <c r="B372" s="80"/>
      <c r="C372" s="80"/>
      <c r="D372" s="80"/>
      <c r="E372" s="80"/>
      <c r="F372" s="80"/>
      <c r="G372" s="80"/>
      <c r="H372" s="80"/>
    </row>
    <row r="373" spans="1:8" x14ac:dyDescent="0.35">
      <c r="A373" s="80"/>
      <c r="B373" s="80"/>
      <c r="C373" s="80"/>
      <c r="D373" s="80"/>
      <c r="E373" s="80"/>
      <c r="F373" s="80"/>
      <c r="G373" s="80"/>
      <c r="H373" s="80"/>
    </row>
    <row r="374" spans="1:8" x14ac:dyDescent="0.35">
      <c r="A374" s="80"/>
      <c r="B374" s="80"/>
      <c r="C374" s="80"/>
      <c r="D374" s="80"/>
      <c r="E374" s="80"/>
      <c r="F374" s="80"/>
      <c r="G374" s="80"/>
      <c r="H374" s="80"/>
    </row>
    <row r="375" spans="1:8" x14ac:dyDescent="0.35">
      <c r="A375" s="80"/>
      <c r="B375" s="80"/>
      <c r="C375" s="80"/>
      <c r="D375" s="80"/>
      <c r="E375" s="80"/>
      <c r="F375" s="80"/>
      <c r="G375" s="80"/>
      <c r="H375" s="80"/>
    </row>
    <row r="376" spans="1:8" x14ac:dyDescent="0.35">
      <c r="A376" s="80"/>
      <c r="B376" s="80"/>
      <c r="C376" s="80"/>
      <c r="D376" s="80"/>
      <c r="E376" s="80"/>
      <c r="F376" s="80"/>
      <c r="G376" s="80"/>
      <c r="H376" s="80"/>
    </row>
    <row r="377" spans="1:8" x14ac:dyDescent="0.35">
      <c r="A377" s="80"/>
      <c r="B377" s="80"/>
      <c r="C377" s="80"/>
      <c r="D377" s="80"/>
      <c r="E377" s="80"/>
      <c r="F377" s="80"/>
      <c r="G377" s="80"/>
      <c r="H377" s="80"/>
    </row>
    <row r="378" spans="1:8" x14ac:dyDescent="0.35">
      <c r="A378" s="80"/>
      <c r="B378" s="80"/>
      <c r="C378" s="80"/>
      <c r="D378" s="80"/>
      <c r="E378" s="80"/>
      <c r="F378" s="80"/>
      <c r="G378" s="80"/>
      <c r="H378" s="80"/>
    </row>
    <row r="379" spans="1:8" x14ac:dyDescent="0.35">
      <c r="A379" s="80"/>
      <c r="B379" s="80"/>
      <c r="C379" s="80"/>
      <c r="D379" s="80"/>
      <c r="E379" s="80"/>
      <c r="F379" s="80"/>
      <c r="G379" s="80"/>
      <c r="H379" s="80"/>
    </row>
    <row r="380" spans="1:8" x14ac:dyDescent="0.35">
      <c r="A380" s="80"/>
      <c r="B380" s="80"/>
      <c r="C380" s="80"/>
      <c r="D380" s="80"/>
      <c r="E380" s="80"/>
      <c r="F380" s="80"/>
      <c r="G380" s="80"/>
      <c r="H380" s="80"/>
    </row>
    <row r="381" spans="1:8" x14ac:dyDescent="0.35">
      <c r="A381" s="80"/>
      <c r="B381" s="80"/>
      <c r="C381" s="80"/>
      <c r="D381" s="80"/>
      <c r="E381" s="80"/>
      <c r="F381" s="80"/>
      <c r="G381" s="80"/>
      <c r="H381" s="80"/>
    </row>
    <row r="382" spans="1:8" x14ac:dyDescent="0.35">
      <c r="A382" s="80"/>
      <c r="B382" s="80"/>
      <c r="C382" s="80"/>
      <c r="D382" s="80"/>
      <c r="E382" s="80"/>
      <c r="F382" s="80"/>
      <c r="G382" s="80"/>
      <c r="H382" s="80"/>
    </row>
    <row r="383" spans="1:8" x14ac:dyDescent="0.35">
      <c r="A383" s="80"/>
      <c r="B383" s="80"/>
      <c r="C383" s="80"/>
      <c r="D383" s="80"/>
      <c r="E383" s="80"/>
      <c r="F383" s="80"/>
      <c r="G383" s="80"/>
      <c r="H383" s="80"/>
    </row>
    <row r="384" spans="1:8" x14ac:dyDescent="0.35">
      <c r="A384" s="80"/>
      <c r="B384" s="80"/>
      <c r="C384" s="80"/>
      <c r="D384" s="80"/>
      <c r="E384" s="80"/>
      <c r="F384" s="80"/>
      <c r="G384" s="80"/>
      <c r="H384" s="80"/>
    </row>
    <row r="385" spans="1:8" x14ac:dyDescent="0.35">
      <c r="A385" s="80"/>
      <c r="B385" s="80"/>
      <c r="C385" s="80"/>
      <c r="D385" s="80"/>
      <c r="E385" s="80"/>
      <c r="F385" s="80"/>
      <c r="G385" s="80"/>
      <c r="H385" s="80"/>
    </row>
    <row r="386" spans="1:8" x14ac:dyDescent="0.35">
      <c r="A386" s="80"/>
      <c r="B386" s="80"/>
      <c r="C386" s="80"/>
      <c r="D386" s="80"/>
      <c r="E386" s="80"/>
      <c r="F386" s="80"/>
      <c r="G386" s="80"/>
      <c r="H386" s="80"/>
    </row>
    <row r="387" spans="1:8" x14ac:dyDescent="0.35">
      <c r="A387" s="80"/>
      <c r="B387" s="80"/>
      <c r="C387" s="80"/>
      <c r="D387" s="80"/>
      <c r="E387" s="80"/>
      <c r="F387" s="80"/>
      <c r="G387" s="80"/>
      <c r="H387" s="80"/>
    </row>
    <row r="388" spans="1:8" x14ac:dyDescent="0.35">
      <c r="A388" s="80"/>
      <c r="B388" s="80"/>
      <c r="C388" s="80"/>
      <c r="D388" s="80"/>
      <c r="E388" s="80"/>
      <c r="F388" s="80"/>
      <c r="G388" s="80"/>
      <c r="H388" s="80"/>
    </row>
    <row r="389" spans="1:8" x14ac:dyDescent="0.35">
      <c r="A389" s="80"/>
      <c r="B389" s="80"/>
      <c r="C389" s="80"/>
      <c r="D389" s="80"/>
      <c r="E389" s="80"/>
      <c r="F389" s="80"/>
      <c r="G389" s="80"/>
      <c r="H389" s="80"/>
    </row>
    <row r="390" spans="1:8" x14ac:dyDescent="0.35">
      <c r="A390" s="80"/>
      <c r="B390" s="80"/>
      <c r="C390" s="80"/>
      <c r="D390" s="80"/>
      <c r="E390" s="80"/>
      <c r="F390" s="80"/>
      <c r="G390" s="80"/>
      <c r="H390" s="80"/>
    </row>
    <row r="391" spans="1:8" x14ac:dyDescent="0.35">
      <c r="A391" s="80"/>
      <c r="B391" s="80"/>
      <c r="C391" s="80"/>
      <c r="D391" s="80"/>
      <c r="E391" s="80"/>
      <c r="F391" s="80"/>
      <c r="G391" s="80"/>
      <c r="H391" s="80"/>
    </row>
    <row r="392" spans="1:8" x14ac:dyDescent="0.35">
      <c r="A392" s="80"/>
      <c r="B392" s="80"/>
      <c r="C392" s="80"/>
      <c r="D392" s="80"/>
      <c r="E392" s="80"/>
      <c r="F392" s="80"/>
      <c r="G392" s="80"/>
      <c r="H392" s="80"/>
    </row>
    <row r="393" spans="1:8" x14ac:dyDescent="0.35">
      <c r="A393" s="80"/>
      <c r="B393" s="80"/>
      <c r="C393" s="80"/>
      <c r="D393" s="80"/>
      <c r="E393" s="80"/>
      <c r="F393" s="80"/>
      <c r="G393" s="80"/>
      <c r="H393" s="80"/>
    </row>
    <row r="394" spans="1:8" x14ac:dyDescent="0.35">
      <c r="A394" s="80"/>
      <c r="B394" s="80"/>
      <c r="C394" s="80"/>
      <c r="D394" s="80"/>
      <c r="E394" s="80"/>
      <c r="F394" s="80"/>
      <c r="G394" s="80"/>
      <c r="H394" s="80"/>
    </row>
    <row r="395" spans="1:8" x14ac:dyDescent="0.35">
      <c r="A395" s="80"/>
      <c r="B395" s="80"/>
      <c r="C395" s="80"/>
      <c r="D395" s="80"/>
      <c r="E395" s="80"/>
      <c r="F395" s="80"/>
      <c r="G395" s="80"/>
      <c r="H395" s="80"/>
    </row>
    <row r="396" spans="1:8" x14ac:dyDescent="0.35">
      <c r="A396" s="80"/>
      <c r="B396" s="80"/>
      <c r="C396" s="80"/>
      <c r="D396" s="80"/>
      <c r="E396" s="80"/>
      <c r="F396" s="80"/>
      <c r="G396" s="80"/>
      <c r="H396" s="80"/>
    </row>
    <row r="397" spans="1:8" x14ac:dyDescent="0.35">
      <c r="A397" s="80"/>
      <c r="B397" s="80"/>
      <c r="C397" s="80"/>
      <c r="D397" s="80"/>
      <c r="E397" s="80"/>
      <c r="F397" s="80"/>
      <c r="G397" s="80"/>
      <c r="H397" s="80"/>
    </row>
    <row r="398" spans="1:8" x14ac:dyDescent="0.35">
      <c r="A398" s="80"/>
      <c r="B398" s="80"/>
      <c r="C398" s="80"/>
      <c r="D398" s="80"/>
      <c r="E398" s="80"/>
      <c r="F398" s="80"/>
      <c r="G398" s="80"/>
      <c r="H398" s="80"/>
    </row>
    <row r="399" spans="1:8" x14ac:dyDescent="0.35">
      <c r="A399" s="80"/>
      <c r="B399" s="80"/>
      <c r="C399" s="80"/>
      <c r="D399" s="80"/>
      <c r="E399" s="80"/>
      <c r="F399" s="80"/>
      <c r="G399" s="80"/>
      <c r="H399" s="80"/>
    </row>
    <row r="400" spans="1:8" x14ac:dyDescent="0.35">
      <c r="A400" s="80"/>
      <c r="B400" s="80"/>
      <c r="C400" s="80"/>
      <c r="D400" s="80"/>
      <c r="E400" s="80"/>
      <c r="F400" s="80"/>
      <c r="G400" s="80"/>
      <c r="H400" s="80"/>
    </row>
    <row r="401" spans="1:8" x14ac:dyDescent="0.35">
      <c r="A401" s="80"/>
      <c r="B401" s="80"/>
      <c r="C401" s="80"/>
      <c r="D401" s="80"/>
      <c r="E401" s="80"/>
      <c r="F401" s="80"/>
      <c r="G401" s="80"/>
      <c r="H401" s="80"/>
    </row>
    <row r="402" spans="1:8" x14ac:dyDescent="0.35">
      <c r="A402" s="80"/>
      <c r="B402" s="80"/>
      <c r="C402" s="80"/>
      <c r="D402" s="80"/>
      <c r="E402" s="80"/>
      <c r="F402" s="80"/>
      <c r="G402" s="80"/>
      <c r="H402" s="80"/>
    </row>
    <row r="403" spans="1:8" x14ac:dyDescent="0.35">
      <c r="A403" s="80"/>
      <c r="B403" s="80"/>
      <c r="C403" s="80"/>
      <c r="D403" s="80"/>
      <c r="E403" s="80"/>
      <c r="F403" s="80"/>
      <c r="G403" s="80"/>
      <c r="H403" s="80"/>
    </row>
    <row r="404" spans="1:8" x14ac:dyDescent="0.35">
      <c r="A404" s="80"/>
      <c r="B404" s="80"/>
      <c r="C404" s="80"/>
      <c r="D404" s="80"/>
      <c r="E404" s="80"/>
      <c r="F404" s="80"/>
      <c r="G404" s="80"/>
      <c r="H404" s="80"/>
    </row>
    <row r="405" spans="1:8" x14ac:dyDescent="0.35">
      <c r="A405" s="80"/>
      <c r="B405" s="80"/>
      <c r="C405" s="80"/>
      <c r="D405" s="80"/>
      <c r="E405" s="80"/>
      <c r="F405" s="80"/>
      <c r="G405" s="80"/>
      <c r="H405" s="80"/>
    </row>
  </sheetData>
  <mergeCells count="412">
    <mergeCell ref="B222:H222"/>
    <mergeCell ref="B221:H221"/>
    <mergeCell ref="A181:B181"/>
    <mergeCell ref="L181:M181"/>
    <mergeCell ref="A182:B182"/>
    <mergeCell ref="L182:M182"/>
    <mergeCell ref="A183:B183"/>
    <mergeCell ref="L183:M183"/>
    <mergeCell ref="A175:H175"/>
    <mergeCell ref="C170:H170"/>
    <mergeCell ref="A176:B176"/>
    <mergeCell ref="L176:M176"/>
    <mergeCell ref="A177:B177"/>
    <mergeCell ref="L177:M177"/>
    <mergeCell ref="A178:B178"/>
    <mergeCell ref="L178:M178"/>
    <mergeCell ref="A179:B179"/>
    <mergeCell ref="L179:M179"/>
    <mergeCell ref="A180:B180"/>
    <mergeCell ref="L180:M180"/>
    <mergeCell ref="A170:B170"/>
    <mergeCell ref="L170:M170"/>
    <mergeCell ref="A171:B171"/>
    <mergeCell ref="L171:M171"/>
    <mergeCell ref="A172:B172"/>
    <mergeCell ref="L172:M172"/>
    <mergeCell ref="A173:B173"/>
    <mergeCell ref="L173:M173"/>
    <mergeCell ref="A174:B174"/>
    <mergeCell ref="L174:M174"/>
    <mergeCell ref="A164:B164"/>
    <mergeCell ref="L164:M164"/>
    <mergeCell ref="A165:B165"/>
    <mergeCell ref="L165:M165"/>
    <mergeCell ref="A167:B167"/>
    <mergeCell ref="L167:M167"/>
    <mergeCell ref="A168:B168"/>
    <mergeCell ref="L168:M168"/>
    <mergeCell ref="A169:B169"/>
    <mergeCell ref="L169:M169"/>
    <mergeCell ref="A166:H166"/>
    <mergeCell ref="A150:B150"/>
    <mergeCell ref="L150:M150"/>
    <mergeCell ref="A151:B151"/>
    <mergeCell ref="L151:M151"/>
    <mergeCell ref="A155:H155"/>
    <mergeCell ref="A156:H156"/>
    <mergeCell ref="A162:B162"/>
    <mergeCell ref="L162:M162"/>
    <mergeCell ref="A163:B163"/>
    <mergeCell ref="L163:M163"/>
    <mergeCell ref="I15:P15"/>
    <mergeCell ref="F127:H127"/>
    <mergeCell ref="F125:H125"/>
    <mergeCell ref="A192:B192"/>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228:H228"/>
    <mergeCell ref="A225:H225"/>
    <mergeCell ref="A185:B185"/>
    <mergeCell ref="A136:B136"/>
    <mergeCell ref="D153:D154"/>
    <mergeCell ref="E153:E154"/>
    <mergeCell ref="A97:B97"/>
    <mergeCell ref="A98:B98"/>
    <mergeCell ref="A99:B99"/>
    <mergeCell ref="A113:B113"/>
    <mergeCell ref="F118:H118"/>
    <mergeCell ref="G132:H132"/>
    <mergeCell ref="A116:B116"/>
    <mergeCell ref="F124:H124"/>
    <mergeCell ref="C131:D131"/>
    <mergeCell ref="C139:D139"/>
    <mergeCell ref="A157:H157"/>
    <mergeCell ref="A194:B194"/>
    <mergeCell ref="A191:B191"/>
    <mergeCell ref="A146:B146"/>
    <mergeCell ref="B218:H218"/>
    <mergeCell ref="A140:B140"/>
    <mergeCell ref="C140:D140"/>
    <mergeCell ref="E140:F140"/>
    <mergeCell ref="B217:H217"/>
    <mergeCell ref="B215:H215"/>
    <mergeCell ref="B211:H211"/>
    <mergeCell ref="A205:B205"/>
    <mergeCell ref="A202:H202"/>
    <mergeCell ref="A203:B203"/>
    <mergeCell ref="A204:B204"/>
    <mergeCell ref="A207:B207"/>
    <mergeCell ref="A206:B206"/>
    <mergeCell ref="B209:H209"/>
    <mergeCell ref="B210:H210"/>
    <mergeCell ref="B212:H212"/>
    <mergeCell ref="B213:H213"/>
    <mergeCell ref="A208:H208"/>
    <mergeCell ref="A200:B200"/>
    <mergeCell ref="A201:B201"/>
    <mergeCell ref="A196:H196"/>
    <mergeCell ref="A190:H190"/>
    <mergeCell ref="F117:H117"/>
    <mergeCell ref="F122:H122"/>
    <mergeCell ref="A158:B158"/>
    <mergeCell ref="A149:B149"/>
    <mergeCell ref="A148:B148"/>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A152:H152"/>
    <mergeCell ref="E136:F136"/>
    <mergeCell ref="A141:H141"/>
    <mergeCell ref="A153:A154"/>
    <mergeCell ref="F153:F154"/>
    <mergeCell ref="A231:H234"/>
    <mergeCell ref="A230:B230"/>
    <mergeCell ref="E230:F230"/>
    <mergeCell ref="C230:D230"/>
    <mergeCell ref="G230:H230"/>
    <mergeCell ref="A130:H130"/>
    <mergeCell ref="A128:E128"/>
    <mergeCell ref="F128:H128"/>
    <mergeCell ref="A129:E129"/>
    <mergeCell ref="F129:H129"/>
    <mergeCell ref="A184:H184"/>
    <mergeCell ref="A137:B137"/>
    <mergeCell ref="A193:B193"/>
    <mergeCell ref="A132:B132"/>
    <mergeCell ref="A226:H226"/>
    <mergeCell ref="A135:H135"/>
    <mergeCell ref="A229:H229"/>
    <mergeCell ref="A227:H227"/>
    <mergeCell ref="A223:H223"/>
    <mergeCell ref="G136:H136"/>
    <mergeCell ref="A195:B195"/>
    <mergeCell ref="C143:C144"/>
    <mergeCell ref="B153:B154"/>
    <mergeCell ref="A224:H224"/>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78:B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45:D4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39:B39"/>
    <mergeCell ref="C39:H39"/>
    <mergeCell ref="A46:D46"/>
    <mergeCell ref="L149:M149"/>
    <mergeCell ref="L148:M148"/>
    <mergeCell ref="L147:M147"/>
    <mergeCell ref="L146:M146"/>
    <mergeCell ref="A86:B86"/>
    <mergeCell ref="C137:D137"/>
    <mergeCell ref="E137:F137"/>
    <mergeCell ref="G137:H137"/>
    <mergeCell ref="A118:E118"/>
    <mergeCell ref="A103:B103"/>
    <mergeCell ref="C103:H103"/>
    <mergeCell ref="A145:H145"/>
    <mergeCell ref="E143:E144"/>
    <mergeCell ref="A93:B93"/>
    <mergeCell ref="A47:D47"/>
    <mergeCell ref="A48:H48"/>
    <mergeCell ref="D64:H64"/>
    <mergeCell ref="A64:C64"/>
    <mergeCell ref="A85:B85"/>
    <mergeCell ref="C91:H91"/>
    <mergeCell ref="A81:B81"/>
    <mergeCell ref="L184:M184"/>
    <mergeCell ref="A189:B189"/>
    <mergeCell ref="A186:B186"/>
    <mergeCell ref="A187:B187"/>
    <mergeCell ref="A197:B197"/>
    <mergeCell ref="A40:B40"/>
    <mergeCell ref="C40:H40"/>
    <mergeCell ref="F143:F144"/>
    <mergeCell ref="C132:D132"/>
    <mergeCell ref="E132:F132"/>
    <mergeCell ref="B143:B144"/>
    <mergeCell ref="A143:A144"/>
    <mergeCell ref="C153:C154"/>
    <mergeCell ref="G153:G154"/>
    <mergeCell ref="L161:M161"/>
    <mergeCell ref="L158:M158"/>
    <mergeCell ref="A159:B159"/>
    <mergeCell ref="G140:H140"/>
    <mergeCell ref="L159:M159"/>
    <mergeCell ref="A160:B160"/>
    <mergeCell ref="L160:M160"/>
    <mergeCell ref="C55:H55"/>
    <mergeCell ref="A161:B161"/>
    <mergeCell ref="A188:B188"/>
    <mergeCell ref="A49:B49"/>
    <mergeCell ref="C49:H49"/>
    <mergeCell ref="B214:H214"/>
    <mergeCell ref="A108:B108"/>
    <mergeCell ref="A109:B109"/>
    <mergeCell ref="G93:H102"/>
    <mergeCell ref="A94:B94"/>
    <mergeCell ref="A95:B95"/>
    <mergeCell ref="A96:B96"/>
    <mergeCell ref="F119:H119"/>
    <mergeCell ref="A119:E119"/>
    <mergeCell ref="D143:D144"/>
    <mergeCell ref="A121:E121"/>
    <mergeCell ref="A112:B112"/>
    <mergeCell ref="A114:B114"/>
    <mergeCell ref="A115:B115"/>
    <mergeCell ref="A120:E120"/>
    <mergeCell ref="A117:E117"/>
    <mergeCell ref="F121:H121"/>
    <mergeCell ref="G106:H106"/>
    <mergeCell ref="A105:B105"/>
    <mergeCell ref="G143:G144"/>
    <mergeCell ref="A198:B198"/>
    <mergeCell ref="A91:B91"/>
    <mergeCell ref="B220:H220"/>
    <mergeCell ref="B219:H219"/>
    <mergeCell ref="A122:E122"/>
    <mergeCell ref="A102:B102"/>
    <mergeCell ref="A107:B107"/>
    <mergeCell ref="A139:B139"/>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B216:H216"/>
    <mergeCell ref="A199:B199"/>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30:H230">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B143:B144">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3:E154">
      <formula1>"Fungible area,Balcony Area,Chajja Area,Cornice Area,AP Area,WS Area"</formula1>
    </dataValidation>
    <dataValidation type="list" allowBlank="1" showInputMessage="1" showErrorMessage="1" sqref="H144 H154">
      <formula1>".45,.50,.55,.60"</formula1>
    </dataValidation>
    <dataValidation type="list" allowBlank="1" showInputMessage="1" showErrorMessage="1" sqref="E4:H4">
      <formula1>$L$3:$P$3</formula1>
    </dataValidation>
    <dataValidation type="whole" allowBlank="1" showInputMessage="1" showErrorMessage="1" sqref="C84">
      <formula1>0</formula1>
      <formula2>H76</formula2>
    </dataValidation>
    <dataValidation type="list" allowBlank="1" showInputMessage="1" showErrorMessage="1" sqref="H143 H153">
      <formula1>"Saleable area Loading :,Builder Saleable Area"</formula1>
    </dataValidation>
    <dataValidation type="list" allowBlank="1" showInputMessage="1" showErrorMessage="1" sqref="D143:D144 D153:D154">
      <formula1>"Carpet area,RERA Carpet area"</formula1>
    </dataValidation>
  </dataValidations>
  <hyperlinks>
    <hyperlink ref="J71" r:id="rId1"/>
    <hyperlink ref="C40"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4" manualBreakCount="4">
    <brk id="234" max="16383" man="1"/>
    <brk id="277" max="16383" man="1"/>
    <brk id="320" max="16383" man="1"/>
    <brk id="363"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2" t="s">
        <v>105</v>
      </c>
      <c r="C3" s="232"/>
      <c r="D3" s="232"/>
      <c r="E3" s="232"/>
      <c r="F3" s="232"/>
      <c r="G3" s="232"/>
      <c r="H3" s="232"/>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38"/>
      <c r="C4" s="38" t="s">
        <v>11</v>
      </c>
      <c r="D4" s="39" t="s">
        <v>181</v>
      </c>
      <c r="E4" s="39" t="s">
        <v>191</v>
      </c>
      <c r="F4" s="39" t="s">
        <v>174</v>
      </c>
      <c r="G4" s="39" t="s">
        <v>196</v>
      </c>
      <c r="H4" s="39" t="s">
        <v>214</v>
      </c>
      <c r="J4" t="s">
        <v>196</v>
      </c>
      <c r="K4" t="s">
        <v>212</v>
      </c>
    </row>
    <row r="5" spans="2:11" x14ac:dyDescent="0.35">
      <c r="B5" s="38"/>
      <c r="C5" s="38"/>
      <c r="D5" s="39" t="s">
        <v>182</v>
      </c>
      <c r="E5" s="39" t="s">
        <v>189</v>
      </c>
      <c r="F5" s="39" t="s">
        <v>211</v>
      </c>
      <c r="G5" s="39" t="s">
        <v>197</v>
      </c>
      <c r="H5" s="39" t="s">
        <v>215</v>
      </c>
    </row>
    <row r="6" spans="2:11" x14ac:dyDescent="0.35">
      <c r="B6" s="38"/>
      <c r="C6" s="38"/>
      <c r="D6" s="39" t="s">
        <v>183</v>
      </c>
      <c r="E6" s="39" t="s">
        <v>190</v>
      </c>
      <c r="F6" s="39" t="s">
        <v>212</v>
      </c>
      <c r="G6" s="39" t="s">
        <v>198</v>
      </c>
      <c r="H6" s="39" t="s">
        <v>228</v>
      </c>
    </row>
    <row r="7" spans="2:11" x14ac:dyDescent="0.35">
      <c r="B7" s="38"/>
      <c r="C7" s="38"/>
      <c r="D7" s="39" t="s">
        <v>184</v>
      </c>
      <c r="E7" s="39" t="s">
        <v>192</v>
      </c>
      <c r="F7" s="39" t="s">
        <v>213</v>
      </c>
      <c r="G7" s="39" t="s">
        <v>199</v>
      </c>
      <c r="H7" s="39" t="s">
        <v>216</v>
      </c>
    </row>
    <row r="8" spans="2:11" x14ac:dyDescent="0.35">
      <c r="B8" s="38"/>
      <c r="C8" s="38"/>
      <c r="D8" s="39" t="s">
        <v>185</v>
      </c>
      <c r="E8" s="39" t="s">
        <v>193</v>
      </c>
      <c r="F8" s="39"/>
      <c r="G8" s="39" t="s">
        <v>200</v>
      </c>
      <c r="H8" s="39" t="s">
        <v>217</v>
      </c>
    </row>
    <row r="9" spans="2:11" x14ac:dyDescent="0.35">
      <c r="B9" s="38"/>
      <c r="C9" s="38"/>
      <c r="D9" s="39" t="s">
        <v>186</v>
      </c>
      <c r="E9" s="39" t="s">
        <v>191</v>
      </c>
      <c r="F9" s="39"/>
      <c r="G9" s="39" t="s">
        <v>201</v>
      </c>
      <c r="H9" s="39" t="s">
        <v>218</v>
      </c>
    </row>
    <row r="10" spans="2:11" x14ac:dyDescent="0.35">
      <c r="B10" s="38"/>
      <c r="C10" s="38"/>
      <c r="D10" s="39" t="s">
        <v>187</v>
      </c>
      <c r="E10" s="39" t="s">
        <v>194</v>
      </c>
      <c r="F10" s="39"/>
      <c r="G10" s="39" t="s">
        <v>202</v>
      </c>
      <c r="H10" s="39" t="s">
        <v>219</v>
      </c>
    </row>
    <row r="11" spans="2:11" x14ac:dyDescent="0.35">
      <c r="B11" s="38"/>
      <c r="C11" s="38"/>
      <c r="D11" s="39" t="s">
        <v>188</v>
      </c>
      <c r="E11" s="39" t="s">
        <v>195</v>
      </c>
      <c r="F11" s="39"/>
      <c r="G11" s="39" t="s">
        <v>203</v>
      </c>
      <c r="H11" s="39" t="s">
        <v>220</v>
      </c>
    </row>
    <row r="12" spans="2:11" x14ac:dyDescent="0.35">
      <c r="B12" s="38"/>
      <c r="C12" s="38"/>
      <c r="D12" s="39"/>
      <c r="E12" s="39"/>
      <c r="F12" s="39"/>
      <c r="G12" s="39" t="s">
        <v>204</v>
      </c>
      <c r="H12" s="39" t="s">
        <v>221</v>
      </c>
    </row>
    <row r="13" spans="2:11" x14ac:dyDescent="0.35">
      <c r="B13" s="38"/>
      <c r="C13" s="38"/>
      <c r="D13" s="39"/>
      <c r="E13" s="39"/>
      <c r="F13" s="39"/>
      <c r="G13" s="39" t="s">
        <v>205</v>
      </c>
      <c r="H13" s="39" t="s">
        <v>222</v>
      </c>
    </row>
    <row r="14" spans="2:11" x14ac:dyDescent="0.35">
      <c r="B14" s="38"/>
      <c r="C14" s="38"/>
      <c r="D14" s="39"/>
      <c r="E14" s="39"/>
      <c r="F14" s="39"/>
      <c r="G14" s="39" t="s">
        <v>206</v>
      </c>
      <c r="H14" s="39" t="s">
        <v>223</v>
      </c>
    </row>
    <row r="15" spans="2:11" x14ac:dyDescent="0.35">
      <c r="B15" s="38"/>
      <c r="C15" s="38"/>
      <c r="D15" s="39"/>
      <c r="E15" s="39"/>
      <c r="F15" s="39"/>
      <c r="G15" s="39" t="s">
        <v>207</v>
      </c>
      <c r="H15" s="39" t="s">
        <v>224</v>
      </c>
    </row>
    <row r="16" spans="2:11" x14ac:dyDescent="0.35">
      <c r="B16" s="38"/>
      <c r="C16" s="38"/>
      <c r="D16" s="39"/>
      <c r="E16" s="39"/>
      <c r="F16" s="39"/>
      <c r="G16" s="39" t="s">
        <v>208</v>
      </c>
      <c r="H16" s="39" t="s">
        <v>225</v>
      </c>
    </row>
    <row r="17" spans="2:8" x14ac:dyDescent="0.35">
      <c r="B17" s="38"/>
      <c r="C17" s="38"/>
      <c r="D17" s="39"/>
      <c r="E17" s="39"/>
      <c r="F17" s="39"/>
      <c r="G17" s="39" t="s">
        <v>209</v>
      </c>
      <c r="H17" s="39" t="s">
        <v>226</v>
      </c>
    </row>
    <row r="18" spans="2:8" x14ac:dyDescent="0.35">
      <c r="B18" s="38"/>
      <c r="C18" s="38"/>
      <c r="D18" s="39"/>
      <c r="E18" s="39"/>
      <c r="F18" s="39"/>
      <c r="G18" s="39" t="s">
        <v>210</v>
      </c>
      <c r="H18" s="39" t="s">
        <v>227</v>
      </c>
    </row>
    <row r="24" spans="2:8" x14ac:dyDescent="0.35">
      <c r="C24" t="s">
        <v>171</v>
      </c>
    </row>
    <row r="25" spans="2:8" x14ac:dyDescent="0.35">
      <c r="C25" t="s">
        <v>229</v>
      </c>
    </row>
    <row r="26" spans="2:8" x14ac:dyDescent="0.35">
      <c r="C26" t="s">
        <v>230</v>
      </c>
    </row>
    <row r="27" spans="2:8" x14ac:dyDescent="0.35">
      <c r="C27" t="s">
        <v>231</v>
      </c>
    </row>
    <row r="28" spans="2:8" x14ac:dyDescent="0.35">
      <c r="C28" t="s">
        <v>232</v>
      </c>
    </row>
    <row r="29" spans="2:8" x14ac:dyDescent="0.35">
      <c r="C29" t="s">
        <v>233</v>
      </c>
    </row>
    <row r="30" spans="2:8" x14ac:dyDescent="0.35">
      <c r="C30" t="s">
        <v>171</v>
      </c>
    </row>
    <row r="33" spans="3:11" x14ac:dyDescent="0.35">
      <c r="J33">
        <v>1</v>
      </c>
      <c r="K33">
        <v>2</v>
      </c>
    </row>
    <row r="34" spans="3:11" x14ac:dyDescent="0.35">
      <c r="C34" s="40" t="s">
        <v>239</v>
      </c>
      <c r="D34" s="39" t="s">
        <v>237</v>
      </c>
      <c r="E34" s="39" t="s">
        <v>242</v>
      </c>
      <c r="F34" s="39" t="s">
        <v>240</v>
      </c>
      <c r="G34" s="39" t="s">
        <v>241</v>
      </c>
      <c r="H34" s="39" t="s">
        <v>243</v>
      </c>
      <c r="J34" t="s">
        <v>196</v>
      </c>
      <c r="K34" t="s">
        <v>212</v>
      </c>
    </row>
    <row r="35" spans="3:11" x14ac:dyDescent="0.35">
      <c r="C35" s="38" t="s">
        <v>238</v>
      </c>
      <c r="D35" s="39" t="s">
        <v>172</v>
      </c>
      <c r="E35" s="39" t="s">
        <v>247</v>
      </c>
      <c r="F35" s="39" t="s">
        <v>249</v>
      </c>
      <c r="G35" s="39" t="s">
        <v>251</v>
      </c>
      <c r="H35" s="39"/>
    </row>
    <row r="36" spans="3:11" x14ac:dyDescent="0.35">
      <c r="C36" s="38"/>
      <c r="D36" s="39" t="s">
        <v>244</v>
      </c>
      <c r="E36" s="39" t="s">
        <v>248</v>
      </c>
      <c r="F36" s="39" t="s">
        <v>250</v>
      </c>
      <c r="G36" s="39" t="s">
        <v>252</v>
      </c>
      <c r="H36" s="39"/>
    </row>
    <row r="37" spans="3:11" x14ac:dyDescent="0.35">
      <c r="C37" s="38"/>
      <c r="D37" s="39" t="s">
        <v>245</v>
      </c>
      <c r="E37" s="39"/>
      <c r="F37" s="39"/>
      <c r="G37" s="39" t="s">
        <v>253</v>
      </c>
      <c r="H37" s="39"/>
    </row>
    <row r="38" spans="3:11" x14ac:dyDescent="0.35">
      <c r="C38" s="38"/>
      <c r="D38" s="39" t="s">
        <v>246</v>
      </c>
      <c r="E38" s="39"/>
      <c r="F38" s="39"/>
      <c r="G38" s="39" t="s">
        <v>253</v>
      </c>
      <c r="H38" s="39"/>
    </row>
    <row r="39" spans="3:11" x14ac:dyDescent="0.35">
      <c r="C39" s="38"/>
      <c r="D39" s="39"/>
      <c r="E39" s="39"/>
      <c r="F39" s="39"/>
      <c r="G39" s="39" t="s">
        <v>254</v>
      </c>
      <c r="H39" s="39"/>
    </row>
    <row r="40" spans="3:11" x14ac:dyDescent="0.35">
      <c r="C40" s="38"/>
      <c r="D40" s="39"/>
      <c r="E40" s="39"/>
      <c r="F40" s="39"/>
      <c r="G40" s="39" t="s">
        <v>255</v>
      </c>
      <c r="H40" s="39"/>
    </row>
    <row r="41" spans="3:11" x14ac:dyDescent="0.35">
      <c r="C41" s="38"/>
      <c r="D41" s="39"/>
      <c r="E41" s="39"/>
      <c r="F41" s="39"/>
      <c r="G41" s="39"/>
      <c r="H41" s="39"/>
    </row>
    <row r="43" spans="3:11" x14ac:dyDescent="0.35">
      <c r="C43" t="s">
        <v>256</v>
      </c>
    </row>
    <row r="44" spans="3:11" x14ac:dyDescent="0.35">
      <c r="C44" t="s">
        <v>174</v>
      </c>
      <c r="D44" t="s">
        <v>257</v>
      </c>
    </row>
    <row r="45" spans="3:11" x14ac:dyDescent="0.35">
      <c r="D45" t="s">
        <v>258</v>
      </c>
    </row>
    <row r="46" spans="3:11" x14ac:dyDescent="0.35">
      <c r="D46" t="s">
        <v>259</v>
      </c>
    </row>
    <row r="47" spans="3:11" x14ac:dyDescent="0.35">
      <c r="D47" t="s">
        <v>260</v>
      </c>
    </row>
    <row r="48" spans="3:11" x14ac:dyDescent="0.35">
      <c r="D48" t="s">
        <v>261</v>
      </c>
    </row>
    <row r="49" spans="3:4" x14ac:dyDescent="0.35">
      <c r="C49" t="s">
        <v>181</v>
      </c>
      <c r="D49" t="s">
        <v>262</v>
      </c>
    </row>
    <row r="50" spans="3:4" x14ac:dyDescent="0.35">
      <c r="D50" t="s">
        <v>263</v>
      </c>
    </row>
    <row r="51" spans="3:4" x14ac:dyDescent="0.35">
      <c r="D51" t="s">
        <v>264</v>
      </c>
    </row>
    <row r="52" spans="3:4" x14ac:dyDescent="0.35">
      <c r="D52" t="s">
        <v>267</v>
      </c>
    </row>
    <row r="53" spans="3:4" x14ac:dyDescent="0.35">
      <c r="D53" t="s">
        <v>265</v>
      </c>
    </row>
    <row r="54" spans="3:4" x14ac:dyDescent="0.35">
      <c r="D54" t="s">
        <v>266</v>
      </c>
    </row>
    <row r="55" spans="3:4" x14ac:dyDescent="0.35">
      <c r="D55" t="s">
        <v>268</v>
      </c>
    </row>
    <row r="56" spans="3:4" x14ac:dyDescent="0.35">
      <c r="D56" t="s">
        <v>269</v>
      </c>
    </row>
    <row r="57" spans="3:4" x14ac:dyDescent="0.35">
      <c r="D57" t="s">
        <v>270</v>
      </c>
    </row>
    <row r="58" spans="3:4" x14ac:dyDescent="0.35">
      <c r="D58" t="s">
        <v>272</v>
      </c>
    </row>
    <row r="59" spans="3:4" x14ac:dyDescent="0.35">
      <c r="D59" t="s">
        <v>281</v>
      </c>
    </row>
    <row r="60" spans="3:4" x14ac:dyDescent="0.35">
      <c r="C60" t="s">
        <v>196</v>
      </c>
      <c r="D60" t="s">
        <v>273</v>
      </c>
    </row>
    <row r="61" spans="3:4" x14ac:dyDescent="0.35">
      <c r="D61" t="s">
        <v>271</v>
      </c>
    </row>
    <row r="62" spans="3:4" x14ac:dyDescent="0.35">
      <c r="D62" t="s">
        <v>261</v>
      </c>
    </row>
    <row r="63" spans="3:4" x14ac:dyDescent="0.35">
      <c r="D63" t="s">
        <v>274</v>
      </c>
    </row>
    <row r="64" spans="3:4" x14ac:dyDescent="0.35">
      <c r="D64" t="s">
        <v>275</v>
      </c>
    </row>
    <row r="65" spans="3:4" x14ac:dyDescent="0.35">
      <c r="D65" t="s">
        <v>276</v>
      </c>
    </row>
    <row r="66" spans="3:4" x14ac:dyDescent="0.35">
      <c r="D66" t="s">
        <v>277</v>
      </c>
    </row>
    <row r="67" spans="3:4" x14ac:dyDescent="0.35">
      <c r="C67" t="s">
        <v>191</v>
      </c>
      <c r="D67" t="s">
        <v>278</v>
      </c>
    </row>
    <row r="68" spans="3:4" x14ac:dyDescent="0.35">
      <c r="D68" t="s">
        <v>279</v>
      </c>
    </row>
    <row r="69" spans="3:4" x14ac:dyDescent="0.3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13" sqref="C13"/>
    </sheetView>
  </sheetViews>
  <sheetFormatPr defaultRowHeight="14.5" x14ac:dyDescent="0.35"/>
  <cols>
    <col min="2" max="2" width="3" bestFit="1" customWidth="1"/>
    <col min="3" max="3" width="155.26953125" customWidth="1"/>
  </cols>
  <sheetData>
    <row r="2" spans="2:3" ht="15" customHeight="1" x14ac:dyDescent="0.35">
      <c r="B2" s="41">
        <v>1</v>
      </c>
      <c r="C2" s="44" t="s">
        <v>286</v>
      </c>
    </row>
    <row r="3" spans="2:3" x14ac:dyDescent="0.35">
      <c r="B3" s="41">
        <v>2</v>
      </c>
      <c r="C3" s="42" t="s">
        <v>287</v>
      </c>
    </row>
    <row r="4" spans="2:3" x14ac:dyDescent="0.35">
      <c r="B4" s="41">
        <v>3</v>
      </c>
      <c r="C4" s="43" t="s">
        <v>288</v>
      </c>
    </row>
    <row r="5" spans="2:3" x14ac:dyDescent="0.35">
      <c r="B5" s="41">
        <v>4</v>
      </c>
      <c r="C5" s="42" t="s">
        <v>289</v>
      </c>
    </row>
    <row r="6" spans="2:3" x14ac:dyDescent="0.35">
      <c r="B6" s="41">
        <v>5</v>
      </c>
      <c r="C6" s="43" t="s">
        <v>290</v>
      </c>
    </row>
    <row r="7" spans="2:3" ht="29" x14ac:dyDescent="0.35">
      <c r="B7" s="41">
        <v>6</v>
      </c>
      <c r="C7" s="42" t="s">
        <v>291</v>
      </c>
    </row>
    <row r="8" spans="2:3" ht="72.5" x14ac:dyDescent="0.35">
      <c r="B8" s="41">
        <v>7</v>
      </c>
      <c r="C8" s="42" t="s">
        <v>292</v>
      </c>
    </row>
    <row r="9" spans="2:3" x14ac:dyDescent="0.35">
      <c r="B9" s="41">
        <v>8</v>
      </c>
      <c r="C9" s="43" t="s">
        <v>293</v>
      </c>
    </row>
    <row r="10" spans="2:3" x14ac:dyDescent="0.35">
      <c r="B10" s="41">
        <v>9</v>
      </c>
      <c r="C10" s="43" t="s">
        <v>294</v>
      </c>
    </row>
    <row r="11" spans="2:3" x14ac:dyDescent="0.35">
      <c r="B11" s="41">
        <v>10</v>
      </c>
      <c r="C11" s="43" t="s">
        <v>295</v>
      </c>
    </row>
    <row r="12" spans="2:3" x14ac:dyDescent="0.35">
      <c r="B12" s="41">
        <v>11</v>
      </c>
      <c r="C12" s="43" t="s">
        <v>296</v>
      </c>
    </row>
    <row r="13" spans="2:3" x14ac:dyDescent="0.35">
      <c r="B13" s="41">
        <v>12</v>
      </c>
      <c r="C13" s="43" t="s">
        <v>297</v>
      </c>
    </row>
    <row r="14" spans="2:3" x14ac:dyDescent="0.35">
      <c r="B14" s="41">
        <v>13</v>
      </c>
      <c r="C14" s="43" t="s">
        <v>298</v>
      </c>
    </row>
    <row r="15" spans="2:3" x14ac:dyDescent="0.35">
      <c r="B15" s="41">
        <v>14</v>
      </c>
      <c r="C15" s="43" t="s">
        <v>288</v>
      </c>
    </row>
    <row r="16" spans="2:3" x14ac:dyDescent="0.35">
      <c r="B16" s="41">
        <v>15</v>
      </c>
      <c r="C16" s="43" t="s">
        <v>301</v>
      </c>
    </row>
    <row r="17" spans="2:3" ht="31.5" customHeight="1" x14ac:dyDescent="0.35">
      <c r="B17" s="45">
        <v>16</v>
      </c>
      <c r="C17" s="47" t="s">
        <v>302</v>
      </c>
    </row>
    <row r="18" spans="2:3" x14ac:dyDescent="0.35">
      <c r="B18" s="46">
        <v>17</v>
      </c>
      <c r="C18" s="47" t="s">
        <v>303</v>
      </c>
    </row>
    <row r="19" spans="2:3" x14ac:dyDescent="0.35">
      <c r="B19" s="45">
        <v>18</v>
      </c>
      <c r="C19" s="41" t="s">
        <v>304</v>
      </c>
    </row>
    <row r="20" spans="2:3" x14ac:dyDescent="0.35">
      <c r="B20" s="46">
        <v>19</v>
      </c>
      <c r="C20" s="41" t="s">
        <v>305</v>
      </c>
    </row>
    <row r="21" spans="2:3" x14ac:dyDescent="0.35">
      <c r="B21" s="48">
        <v>20</v>
      </c>
      <c r="C21" s="41" t="s">
        <v>306</v>
      </c>
    </row>
    <row r="22" spans="2:3" x14ac:dyDescent="0.35">
      <c r="B22" s="46">
        <v>21</v>
      </c>
      <c r="C22" s="41" t="s">
        <v>304</v>
      </c>
    </row>
    <row r="23" spans="2:3" s="56" customFormat="1" ht="29.25" customHeight="1" x14ac:dyDescent="0.35">
      <c r="B23" s="55">
        <v>22</v>
      </c>
      <c r="C23" s="44" t="s">
        <v>333</v>
      </c>
    </row>
    <row r="24" spans="2:3" s="56" customFormat="1" ht="30.75" customHeight="1" x14ac:dyDescent="0.35">
      <c r="B24" s="57">
        <v>23</v>
      </c>
      <c r="C24" s="44" t="s">
        <v>334</v>
      </c>
    </row>
    <row r="25" spans="2:3" x14ac:dyDescent="0.35">
      <c r="B25" s="48">
        <v>24</v>
      </c>
      <c r="C25" s="41" t="s">
        <v>337</v>
      </c>
    </row>
    <row r="26" spans="2:3" x14ac:dyDescent="0.35">
      <c r="B26" s="46">
        <v>25</v>
      </c>
      <c r="C26" s="41" t="s">
        <v>335</v>
      </c>
    </row>
    <row r="27" spans="2:3" x14ac:dyDescent="0.35">
      <c r="B27" s="57">
        <v>26</v>
      </c>
      <c r="C27" s="48" t="s">
        <v>336</v>
      </c>
    </row>
    <row r="28" spans="2:3" x14ac:dyDescent="0.35">
      <c r="B28" s="58">
        <v>27</v>
      </c>
      <c r="C28" s="41"/>
    </row>
    <row r="29" spans="2:3" x14ac:dyDescent="0.35">
      <c r="B29" s="46">
        <v>28</v>
      </c>
      <c r="C29" s="41"/>
    </row>
    <row r="30" spans="2:3" x14ac:dyDescent="0.35">
      <c r="B30" s="57">
        <v>29</v>
      </c>
      <c r="C30" s="41"/>
    </row>
    <row r="31" spans="2:3" x14ac:dyDescent="0.35">
      <c r="B31" s="58">
        <v>30</v>
      </c>
      <c r="C31" s="41"/>
    </row>
    <row r="32" spans="2:3" x14ac:dyDescent="0.35">
      <c r="B32" s="46">
        <v>31</v>
      </c>
      <c r="C32" s="41"/>
    </row>
    <row r="33" spans="2:3" x14ac:dyDescent="0.35">
      <c r="B33" s="57">
        <v>32</v>
      </c>
      <c r="C33" s="41"/>
    </row>
    <row r="34" spans="2:3" x14ac:dyDescent="0.35">
      <c r="B34" s="58">
        <v>33</v>
      </c>
      <c r="C34" s="41"/>
    </row>
    <row r="35" spans="2:3" x14ac:dyDescent="0.35">
      <c r="B35" s="46">
        <v>34</v>
      </c>
      <c r="C35" s="4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38"/>
    <col min="2" max="2" width="12.26953125" style="38" customWidth="1"/>
    <col min="3" max="16384" width="9.1796875" style="38"/>
  </cols>
  <sheetData>
    <row r="2" spans="1:12" x14ac:dyDescent="0.35">
      <c r="B2" s="49" t="s">
        <v>307</v>
      </c>
      <c r="C2" s="233"/>
      <c r="D2" s="233"/>
    </row>
    <row r="3" spans="1:12" x14ac:dyDescent="0.35">
      <c r="D3" s="50"/>
      <c r="E3" s="50"/>
      <c r="F3" s="50"/>
      <c r="G3" s="50"/>
      <c r="H3" s="50"/>
      <c r="I3" s="50"/>
    </row>
    <row r="4" spans="1:12" x14ac:dyDescent="0.35">
      <c r="A4" s="49" t="s">
        <v>66</v>
      </c>
      <c r="B4" s="51" t="s">
        <v>308</v>
      </c>
      <c r="C4" s="234" t="s">
        <v>309</v>
      </c>
      <c r="D4" s="234"/>
      <c r="E4" s="234"/>
      <c r="F4" s="51"/>
      <c r="G4" s="235" t="s">
        <v>310</v>
      </c>
      <c r="H4" s="235"/>
      <c r="I4" s="235"/>
      <c r="J4" s="236" t="s">
        <v>311</v>
      </c>
      <c r="K4" s="236"/>
      <c r="L4" s="236"/>
    </row>
    <row r="5" spans="1:12" x14ac:dyDescent="0.35">
      <c r="A5" s="49"/>
      <c r="B5" s="51"/>
      <c r="C5" s="51" t="s">
        <v>312</v>
      </c>
      <c r="D5" s="51" t="s">
        <v>313</v>
      </c>
      <c r="E5" s="51" t="s">
        <v>314</v>
      </c>
      <c r="F5" s="51"/>
      <c r="G5" s="51" t="s">
        <v>312</v>
      </c>
      <c r="H5" s="51" t="s">
        <v>313</v>
      </c>
      <c r="I5" s="51" t="s">
        <v>314</v>
      </c>
      <c r="J5" s="51" t="s">
        <v>312</v>
      </c>
      <c r="K5" s="51" t="s">
        <v>313</v>
      </c>
      <c r="L5" s="51" t="s">
        <v>314</v>
      </c>
    </row>
    <row r="6" spans="1:12" x14ac:dyDescent="0.35">
      <c r="B6" s="39" t="s">
        <v>315</v>
      </c>
      <c r="C6" s="39"/>
      <c r="D6" s="39"/>
      <c r="E6" s="39">
        <f>C6*D6</f>
        <v>0</v>
      </c>
      <c r="F6" s="39" t="s">
        <v>332</v>
      </c>
      <c r="G6" s="39"/>
      <c r="H6" s="39"/>
      <c r="I6" s="39">
        <f>G6*H6</f>
        <v>0</v>
      </c>
      <c r="J6" s="39"/>
      <c r="K6" s="39"/>
      <c r="L6" s="39">
        <f>J6*K6</f>
        <v>0</v>
      </c>
    </row>
    <row r="7" spans="1:12" x14ac:dyDescent="0.35">
      <c r="B7" s="39"/>
      <c r="C7" s="39"/>
      <c r="D7" s="39"/>
      <c r="E7" s="39">
        <f t="shared" ref="E7:E41" si="0">C7*D7</f>
        <v>0</v>
      </c>
      <c r="F7" s="39" t="s">
        <v>332</v>
      </c>
      <c r="G7" s="39"/>
      <c r="H7" s="39"/>
      <c r="I7" s="39">
        <f t="shared" ref="I7:I35" si="1">G7*H7</f>
        <v>0</v>
      </c>
      <c r="J7" s="39"/>
      <c r="K7" s="39"/>
      <c r="L7" s="39">
        <f t="shared" ref="L7:L35" si="2">J7*K7</f>
        <v>0</v>
      </c>
    </row>
    <row r="8" spans="1:12" x14ac:dyDescent="0.35">
      <c r="B8" s="39"/>
      <c r="C8" s="39"/>
      <c r="D8" s="39"/>
      <c r="E8" s="39">
        <f t="shared" si="0"/>
        <v>0</v>
      </c>
      <c r="F8" s="39"/>
      <c r="G8" s="39"/>
      <c r="H8" s="39"/>
      <c r="I8" s="39">
        <f t="shared" si="1"/>
        <v>0</v>
      </c>
      <c r="J8" s="39"/>
      <c r="K8" s="39"/>
      <c r="L8" s="39">
        <f t="shared" si="2"/>
        <v>0</v>
      </c>
    </row>
    <row r="9" spans="1:12" x14ac:dyDescent="0.35">
      <c r="B9" s="39"/>
      <c r="C9" s="39"/>
      <c r="D9" s="39"/>
      <c r="E9" s="39">
        <f t="shared" si="0"/>
        <v>0</v>
      </c>
      <c r="F9" s="39" t="s">
        <v>316</v>
      </c>
      <c r="G9" s="39"/>
      <c r="H9" s="39"/>
      <c r="I9" s="39">
        <f t="shared" si="1"/>
        <v>0</v>
      </c>
      <c r="J9" s="39"/>
      <c r="K9" s="39"/>
      <c r="L9" s="39">
        <f t="shared" si="2"/>
        <v>0</v>
      </c>
    </row>
    <row r="10" spans="1:12" x14ac:dyDescent="0.35">
      <c r="B10" s="39" t="s">
        <v>317</v>
      </c>
      <c r="C10" s="39"/>
      <c r="D10" s="39"/>
      <c r="E10" s="39">
        <f t="shared" si="0"/>
        <v>0</v>
      </c>
      <c r="F10" s="39" t="s">
        <v>316</v>
      </c>
      <c r="G10" s="39"/>
      <c r="H10" s="39"/>
      <c r="I10" s="39">
        <f t="shared" si="1"/>
        <v>0</v>
      </c>
      <c r="J10" s="39"/>
      <c r="K10" s="39"/>
      <c r="L10" s="39">
        <f t="shared" si="2"/>
        <v>0</v>
      </c>
    </row>
    <row r="11" spans="1:12" x14ac:dyDescent="0.35">
      <c r="B11" s="39"/>
      <c r="C11" s="39"/>
      <c r="D11" s="39"/>
      <c r="E11" s="39">
        <f t="shared" si="0"/>
        <v>0</v>
      </c>
      <c r="F11" s="39" t="s">
        <v>318</v>
      </c>
      <c r="G11" s="39"/>
      <c r="H11" s="39"/>
      <c r="I11" s="39">
        <f t="shared" si="1"/>
        <v>0</v>
      </c>
      <c r="J11" s="39"/>
      <c r="K11" s="39"/>
      <c r="L11" s="39">
        <f t="shared" si="2"/>
        <v>0</v>
      </c>
    </row>
    <row r="12" spans="1:12" x14ac:dyDescent="0.35">
      <c r="B12" s="39"/>
      <c r="C12" s="39"/>
      <c r="D12" s="39"/>
      <c r="E12" s="39">
        <f t="shared" si="0"/>
        <v>0</v>
      </c>
      <c r="F12" s="39"/>
      <c r="G12" s="39"/>
      <c r="H12" s="39"/>
      <c r="I12" s="39">
        <f t="shared" si="1"/>
        <v>0</v>
      </c>
      <c r="J12" s="39"/>
      <c r="K12" s="39"/>
      <c r="L12" s="39">
        <f t="shared" si="2"/>
        <v>0</v>
      </c>
    </row>
    <row r="13" spans="1:12" x14ac:dyDescent="0.35">
      <c r="B13" s="39"/>
      <c r="C13" s="39"/>
      <c r="D13" s="39"/>
      <c r="E13" s="39">
        <f t="shared" si="0"/>
        <v>0</v>
      </c>
      <c r="F13" s="39"/>
      <c r="G13" s="39"/>
      <c r="H13" s="39"/>
      <c r="I13" s="39">
        <f t="shared" si="1"/>
        <v>0</v>
      </c>
      <c r="J13" s="39"/>
      <c r="K13" s="39"/>
      <c r="L13" s="39">
        <f t="shared" si="2"/>
        <v>0</v>
      </c>
    </row>
    <row r="14" spans="1:12" x14ac:dyDescent="0.35">
      <c r="B14" s="39" t="s">
        <v>319</v>
      </c>
      <c r="C14" s="39"/>
      <c r="D14" s="39"/>
      <c r="E14" s="39">
        <f t="shared" si="0"/>
        <v>0</v>
      </c>
      <c r="F14" s="39" t="s">
        <v>316</v>
      </c>
      <c r="G14" s="39"/>
      <c r="H14" s="39"/>
      <c r="I14" s="39">
        <f t="shared" si="1"/>
        <v>0</v>
      </c>
      <c r="J14" s="39"/>
      <c r="K14" s="39"/>
      <c r="L14" s="39">
        <f t="shared" si="2"/>
        <v>0</v>
      </c>
    </row>
    <row r="15" spans="1:12" x14ac:dyDescent="0.35">
      <c r="B15" s="39"/>
      <c r="C15" s="39"/>
      <c r="D15" s="39"/>
      <c r="E15" s="39">
        <f t="shared" si="0"/>
        <v>0</v>
      </c>
      <c r="F15" s="39" t="s">
        <v>318</v>
      </c>
      <c r="G15" s="39"/>
      <c r="H15" s="39"/>
      <c r="I15" s="39">
        <f t="shared" si="1"/>
        <v>0</v>
      </c>
      <c r="J15" s="39"/>
      <c r="K15" s="39"/>
      <c r="L15" s="39">
        <f t="shared" si="2"/>
        <v>0</v>
      </c>
    </row>
    <row r="16" spans="1:12" x14ac:dyDescent="0.35">
      <c r="B16" s="39"/>
      <c r="C16" s="39"/>
      <c r="D16" s="39"/>
      <c r="E16" s="39">
        <f t="shared" si="0"/>
        <v>0</v>
      </c>
      <c r="F16" s="39"/>
      <c r="G16" s="39"/>
      <c r="H16" s="39"/>
      <c r="I16" s="39">
        <f t="shared" si="1"/>
        <v>0</v>
      </c>
      <c r="J16" s="39"/>
      <c r="K16" s="39"/>
      <c r="L16" s="39">
        <f t="shared" si="2"/>
        <v>0</v>
      </c>
    </row>
    <row r="17" spans="2:12" x14ac:dyDescent="0.35">
      <c r="B17" s="39"/>
      <c r="C17" s="39"/>
      <c r="D17" s="39"/>
      <c r="E17" s="39">
        <f t="shared" si="0"/>
        <v>0</v>
      </c>
      <c r="F17" s="39"/>
      <c r="G17" s="39"/>
      <c r="H17" s="39"/>
      <c r="I17" s="39">
        <f t="shared" si="1"/>
        <v>0</v>
      </c>
      <c r="J17" s="39"/>
      <c r="K17" s="39"/>
      <c r="L17" s="39">
        <f t="shared" si="2"/>
        <v>0</v>
      </c>
    </row>
    <row r="18" spans="2:12" x14ac:dyDescent="0.35">
      <c r="B18" s="39" t="s">
        <v>320</v>
      </c>
      <c r="C18" s="39"/>
      <c r="D18" s="39"/>
      <c r="E18" s="39">
        <f t="shared" si="0"/>
        <v>0</v>
      </c>
      <c r="F18" s="39" t="s">
        <v>316</v>
      </c>
      <c r="G18" s="39"/>
      <c r="H18" s="39"/>
      <c r="I18" s="39">
        <f t="shared" si="1"/>
        <v>0</v>
      </c>
      <c r="J18" s="39"/>
      <c r="K18" s="39"/>
      <c r="L18" s="39">
        <f t="shared" si="2"/>
        <v>0</v>
      </c>
    </row>
    <row r="19" spans="2:12" x14ac:dyDescent="0.35">
      <c r="B19" s="39"/>
      <c r="C19" s="39"/>
      <c r="D19" s="39"/>
      <c r="E19" s="39">
        <f t="shared" si="0"/>
        <v>0</v>
      </c>
      <c r="F19" s="39" t="s">
        <v>318</v>
      </c>
      <c r="G19" s="39"/>
      <c r="H19" s="39"/>
      <c r="I19" s="39">
        <f t="shared" si="1"/>
        <v>0</v>
      </c>
      <c r="J19" s="39"/>
      <c r="K19" s="39"/>
      <c r="L19" s="39">
        <f t="shared" si="2"/>
        <v>0</v>
      </c>
    </row>
    <row r="20" spans="2:12" x14ac:dyDescent="0.35">
      <c r="B20" s="39"/>
      <c r="C20" s="39"/>
      <c r="D20" s="39"/>
      <c r="E20" s="39">
        <f t="shared" si="0"/>
        <v>0</v>
      </c>
      <c r="F20" s="39"/>
      <c r="G20" s="39"/>
      <c r="H20" s="39"/>
      <c r="I20" s="39">
        <f t="shared" si="1"/>
        <v>0</v>
      </c>
      <c r="J20" s="39"/>
      <c r="K20" s="39"/>
      <c r="L20" s="39">
        <f t="shared" si="2"/>
        <v>0</v>
      </c>
    </row>
    <row r="21" spans="2:12" x14ac:dyDescent="0.35">
      <c r="B21" s="39" t="s">
        <v>321</v>
      </c>
      <c r="C21" s="39"/>
      <c r="D21" s="39"/>
      <c r="E21" s="39">
        <f t="shared" si="0"/>
        <v>0</v>
      </c>
      <c r="F21" s="39" t="s">
        <v>316</v>
      </c>
      <c r="G21" s="39"/>
      <c r="H21" s="39"/>
      <c r="I21" s="39">
        <f t="shared" si="1"/>
        <v>0</v>
      </c>
      <c r="J21" s="39"/>
      <c r="K21" s="39"/>
      <c r="L21" s="39">
        <f t="shared" si="2"/>
        <v>0</v>
      </c>
    </row>
    <row r="22" spans="2:12" x14ac:dyDescent="0.35">
      <c r="B22" s="39"/>
      <c r="C22" s="39"/>
      <c r="D22" s="39"/>
      <c r="E22" s="39">
        <f t="shared" si="0"/>
        <v>0</v>
      </c>
      <c r="F22" s="39" t="s">
        <v>318</v>
      </c>
      <c r="G22" s="39"/>
      <c r="H22" s="39"/>
      <c r="I22" s="39">
        <f t="shared" si="1"/>
        <v>0</v>
      </c>
      <c r="J22" s="39"/>
      <c r="K22" s="39"/>
      <c r="L22" s="39">
        <f t="shared" si="2"/>
        <v>0</v>
      </c>
    </row>
    <row r="23" spans="2:12" x14ac:dyDescent="0.35">
      <c r="B23" s="39"/>
      <c r="C23" s="39"/>
      <c r="D23" s="39"/>
      <c r="E23" s="39">
        <f t="shared" si="0"/>
        <v>0</v>
      </c>
      <c r="F23" s="39"/>
      <c r="G23" s="39"/>
      <c r="H23" s="39"/>
      <c r="I23" s="39">
        <f t="shared" si="1"/>
        <v>0</v>
      </c>
      <c r="J23" s="39"/>
      <c r="K23" s="39"/>
      <c r="L23" s="39">
        <f t="shared" si="2"/>
        <v>0</v>
      </c>
    </row>
    <row r="24" spans="2:12" x14ac:dyDescent="0.35">
      <c r="B24" s="39" t="s">
        <v>322</v>
      </c>
      <c r="C24" s="39"/>
      <c r="D24" s="39"/>
      <c r="E24" s="39">
        <f t="shared" si="0"/>
        <v>0</v>
      </c>
      <c r="F24" s="39" t="s">
        <v>323</v>
      </c>
      <c r="G24" s="39"/>
      <c r="H24" s="39"/>
      <c r="I24" s="39">
        <f t="shared" si="1"/>
        <v>0</v>
      </c>
      <c r="J24" s="39"/>
      <c r="K24" s="39"/>
      <c r="L24" s="39">
        <f t="shared" si="2"/>
        <v>0</v>
      </c>
    </row>
    <row r="25" spans="2:12" x14ac:dyDescent="0.35">
      <c r="B25" s="39"/>
      <c r="C25" s="39"/>
      <c r="D25" s="39"/>
      <c r="E25" s="39">
        <f t="shared" ref="E25:E27" si="3">C25*D25</f>
        <v>0</v>
      </c>
      <c r="F25" s="39" t="s">
        <v>323</v>
      </c>
      <c r="G25" s="39"/>
      <c r="H25" s="39"/>
      <c r="I25" s="39">
        <f t="shared" ref="I25:I27" si="4">G25*H25</f>
        <v>0</v>
      </c>
      <c r="J25" s="39"/>
      <c r="K25" s="39"/>
      <c r="L25" s="39">
        <f t="shared" ref="L25:L27" si="5">J25*K25</f>
        <v>0</v>
      </c>
    </row>
    <row r="26" spans="2:12" x14ac:dyDescent="0.35">
      <c r="B26" s="39"/>
      <c r="C26" s="39"/>
      <c r="D26" s="39"/>
      <c r="E26" s="39">
        <f t="shared" si="3"/>
        <v>0</v>
      </c>
      <c r="F26" s="39" t="s">
        <v>323</v>
      </c>
      <c r="G26" s="39"/>
      <c r="H26" s="39"/>
      <c r="I26" s="39">
        <f t="shared" si="4"/>
        <v>0</v>
      </c>
      <c r="J26" s="39"/>
      <c r="K26" s="39"/>
      <c r="L26" s="39">
        <f t="shared" si="5"/>
        <v>0</v>
      </c>
    </row>
    <row r="27" spans="2:12" x14ac:dyDescent="0.35">
      <c r="B27" s="39"/>
      <c r="C27" s="39"/>
      <c r="D27" s="39"/>
      <c r="E27" s="39">
        <f t="shared" si="3"/>
        <v>0</v>
      </c>
      <c r="F27" s="39" t="s">
        <v>323</v>
      </c>
      <c r="G27" s="39"/>
      <c r="H27" s="39"/>
      <c r="I27" s="39">
        <f t="shared" si="4"/>
        <v>0</v>
      </c>
      <c r="J27" s="39"/>
      <c r="K27" s="39"/>
      <c r="L27" s="39">
        <f t="shared" si="5"/>
        <v>0</v>
      </c>
    </row>
    <row r="28" spans="2:12" x14ac:dyDescent="0.35">
      <c r="B28" s="39" t="s">
        <v>324</v>
      </c>
      <c r="C28" s="39"/>
      <c r="D28" s="39"/>
      <c r="E28" s="39">
        <f t="shared" si="0"/>
        <v>0</v>
      </c>
      <c r="F28" s="39" t="s">
        <v>323</v>
      </c>
      <c r="G28" s="39"/>
      <c r="H28" s="39"/>
      <c r="I28" s="39">
        <f t="shared" si="1"/>
        <v>0</v>
      </c>
      <c r="J28" s="39"/>
      <c r="K28" s="39"/>
      <c r="L28" s="39">
        <f t="shared" si="2"/>
        <v>0</v>
      </c>
    </row>
    <row r="29" spans="2:12" x14ac:dyDescent="0.35">
      <c r="B29" s="39" t="s">
        <v>325</v>
      </c>
      <c r="C29" s="39"/>
      <c r="D29" s="39"/>
      <c r="E29" s="39">
        <f t="shared" si="0"/>
        <v>0</v>
      </c>
      <c r="F29" s="39" t="s">
        <v>323</v>
      </c>
      <c r="G29" s="39"/>
      <c r="H29" s="39"/>
      <c r="I29" s="39">
        <f t="shared" si="1"/>
        <v>0</v>
      </c>
      <c r="J29" s="39"/>
      <c r="K29" s="39"/>
      <c r="L29" s="39">
        <f t="shared" si="2"/>
        <v>0</v>
      </c>
    </row>
    <row r="30" spans="2:12" x14ac:dyDescent="0.35">
      <c r="B30" s="39" t="s">
        <v>329</v>
      </c>
      <c r="C30" s="39"/>
      <c r="D30" s="39"/>
      <c r="E30" s="39">
        <f t="shared" si="0"/>
        <v>0</v>
      </c>
      <c r="F30" s="39"/>
      <c r="G30" s="39"/>
      <c r="H30" s="39"/>
      <c r="I30" s="39">
        <f t="shared" si="1"/>
        <v>0</v>
      </c>
      <c r="J30" s="39"/>
      <c r="K30" s="39"/>
      <c r="L30" s="39">
        <f t="shared" si="2"/>
        <v>0</v>
      </c>
    </row>
    <row r="31" spans="2:12" x14ac:dyDescent="0.35">
      <c r="B31" s="39"/>
      <c r="C31" s="39"/>
      <c r="D31" s="39"/>
      <c r="E31" s="39">
        <f t="shared" ref="E31:E32" si="6">C31*D31</f>
        <v>0</v>
      </c>
      <c r="F31" s="39"/>
      <c r="G31" s="39"/>
      <c r="H31" s="39"/>
      <c r="I31" s="39">
        <f t="shared" ref="I31:I32" si="7">G31*H31</f>
        <v>0</v>
      </c>
      <c r="J31" s="39"/>
      <c r="K31" s="39"/>
      <c r="L31" s="39">
        <f t="shared" ref="L31:L32" si="8">J31*K31</f>
        <v>0</v>
      </c>
    </row>
    <row r="32" spans="2:12" x14ac:dyDescent="0.35">
      <c r="B32" s="39"/>
      <c r="C32" s="39"/>
      <c r="D32" s="39"/>
      <c r="E32" s="39">
        <f t="shared" si="6"/>
        <v>0</v>
      </c>
      <c r="F32" s="39"/>
      <c r="G32" s="39"/>
      <c r="H32" s="39"/>
      <c r="I32" s="39">
        <f t="shared" si="7"/>
        <v>0</v>
      </c>
      <c r="J32" s="39"/>
      <c r="K32" s="39"/>
      <c r="L32" s="39">
        <f t="shared" si="8"/>
        <v>0</v>
      </c>
    </row>
    <row r="33" spans="2:12" x14ac:dyDescent="0.35">
      <c r="B33" s="39" t="s">
        <v>326</v>
      </c>
      <c r="C33" s="39"/>
      <c r="D33" s="39"/>
      <c r="E33" s="39">
        <f t="shared" si="0"/>
        <v>0</v>
      </c>
      <c r="F33" s="39"/>
      <c r="G33" s="39"/>
      <c r="H33" s="39"/>
      <c r="I33" s="39">
        <f t="shared" si="1"/>
        <v>0</v>
      </c>
      <c r="J33" s="39"/>
      <c r="K33" s="39"/>
      <c r="L33" s="39">
        <f t="shared" si="2"/>
        <v>0</v>
      </c>
    </row>
    <row r="34" spans="2:12" x14ac:dyDescent="0.35">
      <c r="B34" s="39" t="s">
        <v>330</v>
      </c>
      <c r="C34" s="39"/>
      <c r="D34" s="39"/>
      <c r="E34" s="39">
        <f t="shared" si="0"/>
        <v>0</v>
      </c>
      <c r="F34" s="39"/>
      <c r="G34" s="39"/>
      <c r="H34" s="39"/>
      <c r="I34" s="39">
        <f t="shared" si="1"/>
        <v>0</v>
      </c>
      <c r="J34" s="39"/>
      <c r="K34" s="39"/>
      <c r="L34" s="39">
        <f t="shared" si="2"/>
        <v>0</v>
      </c>
    </row>
    <row r="35" spans="2:12" x14ac:dyDescent="0.35">
      <c r="B35" s="39" t="s">
        <v>327</v>
      </c>
      <c r="C35" s="39"/>
      <c r="D35" s="39"/>
      <c r="E35" s="39">
        <f t="shared" si="0"/>
        <v>0</v>
      </c>
      <c r="F35" s="39"/>
      <c r="G35" s="39"/>
      <c r="H35" s="39"/>
      <c r="I35" s="39">
        <f t="shared" si="1"/>
        <v>0</v>
      </c>
      <c r="J35" s="39"/>
      <c r="K35" s="39"/>
      <c r="L35" s="39">
        <f t="shared" si="2"/>
        <v>0</v>
      </c>
    </row>
    <row r="36" spans="2:12" x14ac:dyDescent="0.35">
      <c r="B36" s="39" t="s">
        <v>328</v>
      </c>
      <c r="C36" s="39"/>
      <c r="D36" s="39"/>
      <c r="E36" s="39">
        <f t="shared" si="0"/>
        <v>0</v>
      </c>
      <c r="F36" s="39"/>
      <c r="G36" s="39"/>
      <c r="H36" s="39"/>
      <c r="I36" s="39">
        <f>G36*H36</f>
        <v>0</v>
      </c>
      <c r="J36" s="39"/>
      <c r="K36" s="39"/>
      <c r="L36" s="39">
        <f>J36*K36</f>
        <v>0</v>
      </c>
    </row>
    <row r="37" spans="2:12" x14ac:dyDescent="0.35">
      <c r="B37" s="39"/>
      <c r="C37" s="39"/>
      <c r="D37" s="39"/>
      <c r="E37" s="39">
        <f t="shared" ref="E37:E38" si="9">C37*D37</f>
        <v>0</v>
      </c>
      <c r="F37" s="39"/>
      <c r="G37" s="39"/>
      <c r="H37" s="39"/>
      <c r="I37" s="39">
        <f t="shared" ref="I37:I38" si="10">G37*H37</f>
        <v>0</v>
      </c>
      <c r="J37" s="39"/>
      <c r="K37" s="39"/>
      <c r="L37" s="39">
        <f t="shared" ref="L37:L38" si="11">J37*K37</f>
        <v>0</v>
      </c>
    </row>
    <row r="38" spans="2:12" x14ac:dyDescent="0.35">
      <c r="B38" s="39" t="s">
        <v>331</v>
      </c>
      <c r="C38" s="39"/>
      <c r="D38" s="39"/>
      <c r="E38" s="39">
        <f t="shared" si="9"/>
        <v>0</v>
      </c>
      <c r="F38" s="39"/>
      <c r="G38" s="39"/>
      <c r="H38" s="39"/>
      <c r="I38" s="39">
        <f t="shared" si="10"/>
        <v>0</v>
      </c>
      <c r="J38" s="39"/>
      <c r="K38" s="39"/>
      <c r="L38" s="39">
        <f t="shared" si="11"/>
        <v>0</v>
      </c>
    </row>
    <row r="39" spans="2:12" x14ac:dyDescent="0.35">
      <c r="B39" s="39"/>
      <c r="C39" s="39"/>
      <c r="D39" s="39"/>
      <c r="E39" s="39">
        <f t="shared" si="0"/>
        <v>0</v>
      </c>
      <c r="F39" s="39"/>
      <c r="G39" s="39"/>
      <c r="H39" s="39"/>
      <c r="I39" s="39">
        <f>G39*H39</f>
        <v>0</v>
      </c>
      <c r="J39" s="39"/>
      <c r="K39" s="39"/>
      <c r="L39" s="39">
        <f>J39*K39</f>
        <v>0</v>
      </c>
    </row>
    <row r="40" spans="2:12" x14ac:dyDescent="0.35">
      <c r="B40" s="39"/>
      <c r="C40" s="39"/>
      <c r="D40" s="39"/>
      <c r="E40" s="39">
        <f t="shared" si="0"/>
        <v>0</v>
      </c>
      <c r="F40" s="39"/>
      <c r="G40" s="39"/>
      <c r="H40" s="39"/>
      <c r="I40" s="39">
        <f>G40*H40</f>
        <v>0</v>
      </c>
      <c r="J40" s="39"/>
      <c r="K40" s="39"/>
      <c r="L40" s="39">
        <f>J40*K40</f>
        <v>0</v>
      </c>
    </row>
    <row r="41" spans="2:12" x14ac:dyDescent="0.35">
      <c r="B41" s="39"/>
      <c r="C41" s="39"/>
      <c r="D41" s="39"/>
      <c r="E41" s="39">
        <f t="shared" si="0"/>
        <v>0</v>
      </c>
      <c r="F41" s="39"/>
      <c r="G41" s="39"/>
      <c r="H41" s="39"/>
      <c r="I41" s="39">
        <f>G41*H41</f>
        <v>0</v>
      </c>
      <c r="J41" s="39"/>
      <c r="K41" s="39"/>
      <c r="L41" s="39">
        <f>J41*K41</f>
        <v>0</v>
      </c>
    </row>
    <row r="42" spans="2:12" x14ac:dyDescent="0.35">
      <c r="B42" s="39" t="s">
        <v>150</v>
      </c>
      <c r="C42" s="39"/>
      <c r="D42" s="39">
        <f>E42*10.764</f>
        <v>0</v>
      </c>
      <c r="E42" s="54">
        <f>SUM(E6:E41)</f>
        <v>0</v>
      </c>
      <c r="F42" s="39"/>
      <c r="G42" s="39"/>
      <c r="H42" s="39">
        <f>I42*10.764</f>
        <v>0</v>
      </c>
      <c r="I42" s="53">
        <f>SUM(I6:I41)</f>
        <v>0</v>
      </c>
      <c r="J42" s="39"/>
      <c r="K42" s="39">
        <f>L42*10.764</f>
        <v>0</v>
      </c>
      <c r="L42" s="52">
        <f>SUM(L6:L41)</f>
        <v>0</v>
      </c>
    </row>
    <row r="44" spans="2:12" x14ac:dyDescent="0.35">
      <c r="D44" s="38">
        <f>D42+H42</f>
        <v>0</v>
      </c>
      <c r="E44" s="3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2024-10-04T13:03:36Z</cp:lastPrinted>
  <dcterms:created xsi:type="dcterms:W3CDTF">2019-07-16T09:29:46Z</dcterms:created>
  <dcterms:modified xsi:type="dcterms:W3CDTF">2025-09-27T11:26:31Z</dcterms:modified>
</cp:coreProperties>
</file>