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Old\17548 - Ananda Park\"/>
    </mc:Choice>
  </mc:AlternateContent>
  <xr:revisionPtr revIDLastSave="0" documentId="13_ncr:1_{F381378E-A7E3-4675-AC1C-5B17825E8DC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J102" i="1" l="1"/>
  <c r="D235" i="1"/>
  <c r="L209" i="1"/>
  <c r="J156" i="1"/>
  <c r="D128" i="1"/>
  <c r="D274" i="1" l="1"/>
  <c r="F274" i="1" s="1"/>
  <c r="D271" i="1"/>
  <c r="F271" i="1" s="1"/>
  <c r="D270" i="1"/>
  <c r="F270" i="1" s="1"/>
  <c r="D269" i="1"/>
  <c r="F269" i="1" s="1"/>
  <c r="D268" i="1"/>
  <c r="F268" i="1" s="1"/>
  <c r="A268" i="1"/>
  <c r="A269" i="1" s="1"/>
  <c r="A270" i="1" s="1"/>
  <c r="A271" i="1" s="1"/>
  <c r="A272" i="1" s="1"/>
  <c r="A273" i="1" s="1"/>
  <c r="A274" i="1" s="1"/>
  <c r="G267" i="1"/>
  <c r="D267" i="1"/>
  <c r="F267" i="1" s="1"/>
  <c r="D226" i="1"/>
  <c r="F226" i="1" s="1"/>
  <c r="D225" i="1"/>
  <c r="F225" i="1" s="1"/>
  <c r="A224" i="1"/>
  <c r="A225" i="1" s="1"/>
  <c r="A226" i="1" s="1"/>
  <c r="G223" i="1"/>
  <c r="G224" i="1" s="1"/>
  <c r="G225" i="1" s="1"/>
  <c r="G226" i="1" s="1"/>
  <c r="D194" i="1"/>
  <c r="F194" i="1" s="1"/>
  <c r="D191" i="1"/>
  <c r="F191" i="1" s="1"/>
  <c r="D190" i="1"/>
  <c r="F190" i="1" s="1"/>
  <c r="D189" i="1"/>
  <c r="F189" i="1" s="1"/>
  <c r="D188" i="1"/>
  <c r="F188" i="1" s="1"/>
  <c r="A188" i="1"/>
  <c r="A189" i="1" s="1"/>
  <c r="A190" i="1" s="1"/>
  <c r="A191" i="1" s="1"/>
  <c r="A192" i="1" s="1"/>
  <c r="A193" i="1" s="1"/>
  <c r="A194" i="1" s="1"/>
  <c r="G187" i="1"/>
  <c r="D187" i="1"/>
  <c r="F187" i="1" s="1"/>
  <c r="I187" i="1" s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D265" i="1"/>
  <c r="F265" i="1" s="1"/>
  <c r="D258" i="1"/>
  <c r="F258" i="1" s="1"/>
  <c r="F259" i="1"/>
  <c r="A259" i="1"/>
  <c r="A260" i="1" s="1"/>
  <c r="A261" i="1" s="1"/>
  <c r="A262" i="1" s="1"/>
  <c r="A263" i="1" s="1"/>
  <c r="A264" i="1" s="1"/>
  <c r="A265" i="1" s="1"/>
  <c r="G258" i="1"/>
  <c r="G259" i="1" s="1"/>
  <c r="G260" i="1" s="1"/>
  <c r="G261" i="1" s="1"/>
  <c r="G262" i="1" s="1"/>
  <c r="G263" i="1" s="1"/>
  <c r="G264" i="1" s="1"/>
  <c r="G265" i="1" s="1"/>
  <c r="D221" i="1"/>
  <c r="F221" i="1" s="1"/>
  <c r="D220" i="1"/>
  <c r="F220" i="1" s="1"/>
  <c r="D219" i="1"/>
  <c r="F219" i="1" s="1"/>
  <c r="D218" i="1"/>
  <c r="F218" i="1" s="1"/>
  <c r="A219" i="1"/>
  <c r="A220" i="1" s="1"/>
  <c r="A221" i="1" s="1"/>
  <c r="G218" i="1"/>
  <c r="G219" i="1" s="1"/>
  <c r="G220" i="1" s="1"/>
  <c r="G221" i="1" s="1"/>
  <c r="D182" i="1"/>
  <c r="F182" i="1" s="1"/>
  <c r="D181" i="1"/>
  <c r="F181" i="1" s="1"/>
  <c r="D183" i="1"/>
  <c r="F183" i="1" s="1"/>
  <c r="D180" i="1"/>
  <c r="F180" i="1" s="1"/>
  <c r="D184" i="1"/>
  <c r="F184" i="1" s="1"/>
  <c r="D179" i="1"/>
  <c r="F179" i="1" s="1"/>
  <c r="D185" i="1"/>
  <c r="F185" i="1" s="1"/>
  <c r="I185" i="1" s="1"/>
  <c r="D178" i="1"/>
  <c r="F178" i="1" s="1"/>
  <c r="D176" i="1"/>
  <c r="F176" i="1" s="1"/>
  <c r="A179" i="1"/>
  <c r="A180" i="1" s="1"/>
  <c r="A181" i="1" s="1"/>
  <c r="A182" i="1" s="1"/>
  <c r="A183" i="1" s="1"/>
  <c r="A184" i="1" s="1"/>
  <c r="A185" i="1" s="1"/>
  <c r="G178" i="1"/>
  <c r="G179" i="1" s="1"/>
  <c r="G180" i="1" s="1"/>
  <c r="G181" i="1" s="1"/>
  <c r="G182" i="1" s="1"/>
  <c r="G183" i="1" s="1"/>
  <c r="G184" i="1" s="1"/>
  <c r="G185" i="1" s="1"/>
  <c r="D256" i="1"/>
  <c r="F256" i="1" s="1"/>
  <c r="D255" i="1"/>
  <c r="F255" i="1" s="1"/>
  <c r="D254" i="1"/>
  <c r="F254" i="1" s="1"/>
  <c r="A254" i="1"/>
  <c r="A255" i="1" s="1"/>
  <c r="A256" i="1" s="1"/>
  <c r="G253" i="1"/>
  <c r="G254" i="1" s="1"/>
  <c r="D253" i="1"/>
  <c r="F253" i="1" s="1"/>
  <c r="D216" i="1"/>
  <c r="F216" i="1" s="1"/>
  <c r="D215" i="1"/>
  <c r="F215" i="1" s="1"/>
  <c r="A215" i="1"/>
  <c r="A216" i="1" s="1"/>
  <c r="G214" i="1"/>
  <c r="G215" i="1" s="1"/>
  <c r="G216" i="1" s="1"/>
  <c r="D214" i="1"/>
  <c r="F214" i="1" s="1"/>
  <c r="D175" i="1"/>
  <c r="F175" i="1" s="1"/>
  <c r="D174" i="1"/>
  <c r="F174" i="1" s="1"/>
  <c r="A174" i="1"/>
  <c r="A175" i="1" s="1"/>
  <c r="A176" i="1" s="1"/>
  <c r="G173" i="1"/>
  <c r="G174" i="1" s="1"/>
  <c r="G175" i="1" s="1"/>
  <c r="G176" i="1" s="1"/>
  <c r="D173" i="1"/>
  <c r="F173" i="1" s="1"/>
  <c r="D251" i="1"/>
  <c r="F251" i="1" s="1"/>
  <c r="D250" i="1"/>
  <c r="F250" i="1" s="1"/>
  <c r="A250" i="1"/>
  <c r="A251" i="1" s="1"/>
  <c r="G249" i="1"/>
  <c r="G250" i="1" s="1"/>
  <c r="G251" i="1" s="1"/>
  <c r="D249" i="1"/>
  <c r="F249" i="1" s="1"/>
  <c r="D212" i="1"/>
  <c r="F212" i="1" s="1"/>
  <c r="D171" i="1"/>
  <c r="F171" i="1" s="1"/>
  <c r="A171" i="1"/>
  <c r="G170" i="1"/>
  <c r="G171" i="1" s="1"/>
  <c r="D170" i="1"/>
  <c r="F170" i="1" s="1"/>
  <c r="A212" i="1"/>
  <c r="G211" i="1"/>
  <c r="G212" i="1" s="1"/>
  <c r="D211" i="1"/>
  <c r="F211" i="1" s="1"/>
  <c r="D247" i="1"/>
  <c r="F247" i="1" s="1"/>
  <c r="D246" i="1"/>
  <c r="F246" i="1" s="1"/>
  <c r="D245" i="1"/>
  <c r="F245" i="1" s="1"/>
  <c r="D244" i="1"/>
  <c r="F244" i="1" s="1"/>
  <c r="A244" i="1"/>
  <c r="A245" i="1" s="1"/>
  <c r="A246" i="1" s="1"/>
  <c r="A247" i="1" s="1"/>
  <c r="G243" i="1"/>
  <c r="D243" i="1"/>
  <c r="F243" i="1" s="1"/>
  <c r="D209" i="1"/>
  <c r="F209" i="1" s="1"/>
  <c r="D208" i="1"/>
  <c r="F208" i="1" s="1"/>
  <c r="A208" i="1"/>
  <c r="A209" i="1" s="1"/>
  <c r="G207" i="1"/>
  <c r="G208" i="1" s="1"/>
  <c r="G209" i="1" s="1"/>
  <c r="D207" i="1"/>
  <c r="F207" i="1" s="1"/>
  <c r="D168" i="1"/>
  <c r="F168" i="1" s="1"/>
  <c r="D167" i="1"/>
  <c r="F167" i="1" s="1"/>
  <c r="D166" i="1"/>
  <c r="F166" i="1" s="1"/>
  <c r="A166" i="1"/>
  <c r="A167" i="1" s="1"/>
  <c r="A168" i="1" s="1"/>
  <c r="G165" i="1"/>
  <c r="G166" i="1" s="1"/>
  <c r="G167" i="1" s="1"/>
  <c r="G168" i="1" s="1"/>
  <c r="D165" i="1"/>
  <c r="F165" i="1" s="1"/>
  <c r="D241" i="1"/>
  <c r="F241" i="1" s="1"/>
  <c r="D240" i="1"/>
  <c r="F240" i="1" s="1"/>
  <c r="D239" i="1"/>
  <c r="F239" i="1" s="1"/>
  <c r="D238" i="1"/>
  <c r="F238" i="1" s="1"/>
  <c r="A238" i="1"/>
  <c r="A239" i="1" s="1"/>
  <c r="A240" i="1" s="1"/>
  <c r="A241" i="1" s="1"/>
  <c r="G237" i="1"/>
  <c r="D237" i="1"/>
  <c r="F237" i="1" s="1"/>
  <c r="D205" i="1"/>
  <c r="F205" i="1" s="1"/>
  <c r="D204" i="1"/>
  <c r="F204" i="1" s="1"/>
  <c r="A204" i="1"/>
  <c r="A205" i="1" s="1"/>
  <c r="G203" i="1"/>
  <c r="G204" i="1" s="1"/>
  <c r="G205" i="1" s="1"/>
  <c r="D203" i="1"/>
  <c r="F203" i="1" s="1"/>
  <c r="D163" i="1"/>
  <c r="F163" i="1" s="1"/>
  <c r="D162" i="1"/>
  <c r="F162" i="1" s="1"/>
  <c r="I162" i="1" s="1"/>
  <c r="D161" i="1"/>
  <c r="F161" i="1" s="1"/>
  <c r="A161" i="1"/>
  <c r="A162" i="1" s="1"/>
  <c r="A163" i="1" s="1"/>
  <c r="G160" i="1"/>
  <c r="G161" i="1" s="1"/>
  <c r="G162" i="1" s="1"/>
  <c r="G163" i="1" s="1"/>
  <c r="D160" i="1"/>
  <c r="F160" i="1" s="1"/>
  <c r="D155" i="1"/>
  <c r="D156" i="1"/>
  <c r="F156" i="1" s="1"/>
  <c r="I156" i="1" s="1"/>
  <c r="D157" i="1"/>
  <c r="F157" i="1" s="1"/>
  <c r="D158" i="1"/>
  <c r="F158" i="1" s="1"/>
  <c r="I158" i="1" s="1"/>
  <c r="D234" i="1"/>
  <c r="D233" i="1"/>
  <c r="F233" i="1" s="1"/>
  <c r="D232" i="1"/>
  <c r="F232" i="1" s="1"/>
  <c r="F235" i="1"/>
  <c r="D231" i="1"/>
  <c r="D201" i="1"/>
  <c r="F201" i="1" s="1"/>
  <c r="D200" i="1"/>
  <c r="F200" i="1" s="1"/>
  <c r="D199" i="1"/>
  <c r="F234" i="1"/>
  <c r="A232" i="1"/>
  <c r="A233" i="1" s="1"/>
  <c r="A234" i="1" s="1"/>
  <c r="A235" i="1" s="1"/>
  <c r="G231" i="1"/>
  <c r="G232" i="1" s="1"/>
  <c r="G233" i="1" s="1"/>
  <c r="G234" i="1" s="1"/>
  <c r="G235" i="1" s="1"/>
  <c r="A200" i="1"/>
  <c r="A201" i="1" s="1"/>
  <c r="G199" i="1"/>
  <c r="G200" i="1" s="1"/>
  <c r="G201" i="1" s="1"/>
  <c r="J155" i="1"/>
  <c r="A156" i="1"/>
  <c r="A157" i="1" s="1"/>
  <c r="A158" i="1" s="1"/>
  <c r="G155" i="1"/>
  <c r="G156" i="1" s="1"/>
  <c r="G157" i="1" s="1"/>
  <c r="G158" i="1" s="1"/>
  <c r="D147" i="1"/>
  <c r="F147" i="1" s="1"/>
  <c r="D146" i="1"/>
  <c r="F146" i="1" s="1"/>
  <c r="D145" i="1"/>
  <c r="F145" i="1" s="1"/>
  <c r="D144" i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1" i="1"/>
  <c r="F131" i="1" s="1"/>
  <c r="D132" i="1"/>
  <c r="F132" i="1" s="1"/>
  <c r="D130" i="1"/>
  <c r="F130" i="1" s="1"/>
  <c r="D129" i="1"/>
  <c r="F129" i="1" s="1"/>
  <c r="F128" i="1"/>
  <c r="D127" i="1"/>
  <c r="F127" i="1" s="1"/>
  <c r="D126" i="1"/>
  <c r="F126" i="1" s="1"/>
  <c r="D125" i="1"/>
  <c r="F125" i="1" s="1"/>
  <c r="D124" i="1"/>
  <c r="F124" i="1" s="1"/>
  <c r="D123" i="1"/>
  <c r="F123" i="1" s="1"/>
  <c r="D122" i="1"/>
  <c r="F122" i="1" s="1"/>
  <c r="D121" i="1"/>
  <c r="F121" i="1" s="1"/>
  <c r="D120" i="1"/>
  <c r="D119" i="1"/>
  <c r="D118" i="1"/>
  <c r="D117" i="1"/>
  <c r="K124" i="1"/>
  <c r="K123" i="1"/>
  <c r="K122" i="1"/>
  <c r="J121" i="1"/>
  <c r="F144" i="1"/>
  <c r="F231" i="1" l="1"/>
  <c r="G107" i="1" s="1"/>
  <c r="E107" i="1"/>
  <c r="C107" i="1"/>
  <c r="F155" i="1"/>
  <c r="G105" i="1" s="1"/>
  <c r="C105" i="1"/>
  <c r="E105" i="1"/>
  <c r="E101" i="1"/>
  <c r="F199" i="1"/>
  <c r="C106" i="1"/>
  <c r="E106" i="1"/>
  <c r="E100" i="1"/>
  <c r="C100" i="1"/>
  <c r="C101" i="1"/>
  <c r="G255" i="1"/>
  <c r="G256" i="1" s="1"/>
  <c r="C16" i="1"/>
  <c r="E102" i="1" l="1"/>
  <c r="C102" i="1"/>
  <c r="I231" i="1"/>
  <c r="I199" i="1"/>
  <c r="G106" i="1"/>
  <c r="G108" i="1" s="1"/>
  <c r="E108" i="1"/>
  <c r="C108" i="1"/>
  <c r="E31" i="1"/>
  <c r="C109" i="1" l="1"/>
  <c r="E109" i="1"/>
  <c r="F277" i="1"/>
  <c r="F278" i="1"/>
  <c r="F279" i="1"/>
  <c r="F276" i="1"/>
  <c r="A277" i="1"/>
  <c r="A278" i="1" s="1"/>
  <c r="A279" i="1" s="1"/>
  <c r="G276" i="1"/>
  <c r="G277" i="1" s="1"/>
  <c r="G278" i="1" s="1"/>
  <c r="G279" i="1" s="1"/>
  <c r="F97" i="1" l="1"/>
  <c r="F118" i="1" l="1"/>
  <c r="F119" i="1"/>
  <c r="F120" i="1"/>
  <c r="G101" i="1" s="1"/>
  <c r="F117" i="1"/>
  <c r="G100" i="1" l="1"/>
  <c r="G102" i="1" s="1"/>
  <c r="G109" i="1" s="1"/>
  <c r="B306" i="1"/>
  <c r="A299" i="1"/>
  <c r="A293" i="1"/>
  <c r="A287" i="1"/>
  <c r="F303" i="1" l="1"/>
  <c r="F302" i="1"/>
  <c r="F301" i="1"/>
  <c r="F300" i="1"/>
  <c r="F299" i="1"/>
  <c r="F297" i="1"/>
  <c r="F296" i="1"/>
  <c r="F295" i="1"/>
  <c r="F294" i="1"/>
  <c r="F293" i="1"/>
  <c r="F291" i="1"/>
  <c r="F290" i="1"/>
  <c r="F289" i="1"/>
  <c r="F288" i="1"/>
  <c r="F287" i="1"/>
  <c r="F285" i="1"/>
  <c r="F284" i="1"/>
  <c r="F282" i="1"/>
  <c r="F281" i="1"/>
  <c r="F283" i="1"/>
  <c r="A294" i="1"/>
  <c r="A300" i="1"/>
  <c r="A288" i="1"/>
  <c r="B307" i="1" l="1"/>
  <c r="A295" i="1"/>
  <c r="A289" i="1"/>
  <c r="A30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33" i="1"/>
  <c r="G299" i="1"/>
  <c r="G300" i="1" s="1"/>
  <c r="G301" i="1" s="1"/>
  <c r="G302" i="1" s="1"/>
  <c r="G303" i="1" s="1"/>
  <c r="G293" i="1"/>
  <c r="G294" i="1" s="1"/>
  <c r="G295" i="1" s="1"/>
  <c r="G296" i="1" s="1"/>
  <c r="G297" i="1" s="1"/>
  <c r="G287" i="1"/>
  <c r="G288" i="1" s="1"/>
  <c r="G289" i="1" s="1"/>
  <c r="G290" i="1" s="1"/>
  <c r="G291" i="1" s="1"/>
  <c r="G281" i="1"/>
  <c r="G282" i="1" s="1"/>
  <c r="G283" i="1" s="1"/>
  <c r="G284" i="1" s="1"/>
  <c r="G285" i="1" s="1"/>
  <c r="A281" i="1"/>
  <c r="A282" i="1" s="1"/>
  <c r="A283" i="1" s="1"/>
  <c r="A284" i="1" s="1"/>
  <c r="A285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G117" i="1"/>
  <c r="J81" i="1"/>
  <c r="J80" i="1"/>
  <c r="J79" i="1"/>
  <c r="J78" i="1"/>
  <c r="C70" i="1"/>
  <c r="D59" i="1"/>
  <c r="G51" i="1"/>
  <c r="C51" i="1"/>
  <c r="E44" i="1"/>
  <c r="E45" i="1" s="1"/>
  <c r="E28" i="1"/>
  <c r="E26" i="1"/>
  <c r="E7" i="1"/>
  <c r="A290" i="1"/>
  <c r="H71" i="1"/>
  <c r="A302" i="1"/>
  <c r="A296" i="1"/>
  <c r="D64" i="1" l="1"/>
  <c r="D83" i="1"/>
  <c r="D81" i="1"/>
  <c r="D80" i="1"/>
  <c r="D79" i="1"/>
  <c r="D77" i="1"/>
  <c r="J70" i="1"/>
  <c r="D82" i="1"/>
  <c r="D78" i="1"/>
  <c r="J74" i="1"/>
  <c r="J75" i="1"/>
  <c r="C74" i="1" s="1"/>
  <c r="J73" i="1"/>
  <c r="J76" i="1"/>
  <c r="A291" i="1"/>
  <c r="A297" i="1"/>
  <c r="A303" i="1"/>
  <c r="J77" i="1" l="1"/>
  <c r="D76" i="1"/>
  <c r="J72" i="1"/>
  <c r="D74" i="1"/>
  <c r="J82" i="1" l="1"/>
  <c r="J83" i="1" s="1"/>
  <c r="C75" i="1"/>
  <c r="J71" i="1" s="1"/>
  <c r="D75" i="1" l="1"/>
  <c r="I71" i="1" s="1"/>
  <c r="I72" i="1" s="1"/>
  <c r="I70" i="1" s="1"/>
  <c r="C72" i="1" s="1"/>
  <c r="G74" i="1"/>
  <c r="D68" i="1" s="1"/>
  <c r="F69" i="1" s="1"/>
  <c r="E74" i="1"/>
  <c r="D69" i="1" l="1"/>
</calcChain>
</file>

<file path=xl/sharedStrings.xml><?xml version="1.0" encoding="utf-8"?>
<sst xmlns="http://schemas.openxmlformats.org/spreadsheetml/2006/main" count="399" uniqueCount="261">
  <si>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</si>
  <si>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</si>
  <si>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</si>
  <si>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</si>
  <si>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</si>
  <si>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</si>
  <si>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</si>
  <si>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</si>
  <si>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</si>
  <si>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</si>
  <si>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</si>
  <si>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</si>
  <si>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</si>
  <si>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</si>
  <si>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</si>
  <si>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</si>
  <si>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</si>
  <si>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</si>
  <si>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</si>
  <si>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</si>
  <si>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</si>
  <si>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</si>
  <si>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</si>
  <si>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</si>
  <si>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</si>
  <si>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</si>
  <si>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</si>
  <si>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</si>
  <si>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</si>
  <si>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</si>
  <si>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</si>
  <si>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</si>
  <si>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</si>
  <si>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</si>
  <si>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</si>
  <si>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</si>
  <si>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</si>
  <si>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</si>
  <si>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</si>
  <si>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</si>
  <si>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</si>
  <si>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</si>
  <si>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</si>
  <si>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</si>
  <si>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</si>
  <si>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</si>
  <si>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</si>
  <si>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</si>
  <si>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</si>
  <si>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</si>
  <si>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</si>
  <si>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</si>
  <si>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</si>
  <si>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</si>
  <si>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</si>
  <si>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</si>
  <si>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</si>
  <si>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</si>
  <si>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</si>
  <si>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</si>
  <si>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</si>
  <si>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</si>
  <si>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</si>
  <si>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</si>
  <si>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</si>
  <si>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</si>
  <si>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</si>
  <si>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</si>
  <si>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</si>
  <si>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</si>
  <si>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</si>
  <si>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</si>
  <si>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</si>
  <si>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</si>
  <si>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</si>
  <si>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</si>
  <si>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</si>
  <si>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</si>
  <si>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</si>
  <si>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</si>
  <si>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</si>
  <si>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</si>
  <si>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</si>
  <si>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</si>
  <si>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</si>
  <si>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</si>
  <si>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</si>
  <si>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</si>
  <si>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</si>
  <si>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</si>
  <si>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</si>
  <si>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</si>
  <si>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</si>
  <si>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</si>
  <si>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</si>
  <si>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</si>
  <si>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</si>
  <si>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</si>
  <si>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</si>
  <si>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</si>
  <si>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</si>
  <si>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</si>
  <si>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</si>
  <si>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</si>
  <si>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</si>
  <si>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</si>
  <si>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</si>
  <si>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</si>
  <si>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</si>
  <si>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</si>
  <si>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</si>
  <si>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</si>
  <si>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</si>
  <si>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</si>
  <si>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</si>
  <si>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</si>
  <si>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</si>
  <si>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</si>
  <si>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</si>
  <si>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</si>
  <si>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</si>
  <si>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</si>
  <si>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</si>
  <si>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</si>
  <si>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</si>
  <si>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</si>
  <si>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</si>
  <si>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</si>
  <si>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</si>
  <si>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</si>
  <si>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</si>
  <si>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</si>
  <si>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</si>
  <si>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</si>
  <si>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</si>
  <si>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</si>
  <si>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</si>
  <si>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</si>
  <si>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</si>
  <si>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</si>
  <si>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</si>
  <si>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</si>
  <si>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</si>
  <si>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</si>
  <si>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</si>
  <si>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</si>
  <si>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</si>
  <si>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</si>
  <si>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</si>
  <si>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</si>
  <si>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</si>
  <si>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</si>
  <si>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</si>
  <si>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</si>
  <si>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</si>
  <si>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</si>
  <si>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</si>
  <si>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</si>
  <si>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</si>
  <si>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</si>
  <si>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</si>
  <si>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</si>
  <si>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</si>
  <si>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</si>
  <si>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</si>
  <si>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</si>
  <si>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</si>
  <si>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</si>
  <si>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</si>
  <si>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</si>
  <si>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</si>
  <si>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</si>
  <si>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</si>
  <si>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</si>
  <si>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</si>
  <si>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Goregaon</t>
  </si>
  <si>
    <t>Shubhyuvi Infrastructure LLP</t>
  </si>
  <si>
    <t>Ananda Park</t>
  </si>
  <si>
    <t>Wing A to C</t>
  </si>
  <si>
    <t>Approved Plans, CC</t>
  </si>
  <si>
    <t>P51800034854</t>
  </si>
  <si>
    <t>F.P. No</t>
  </si>
  <si>
    <t>Chikuwadi Road</t>
  </si>
  <si>
    <t>Laxman Bhandari marg</t>
  </si>
  <si>
    <t>Borivali</t>
  </si>
  <si>
    <t>Mumbai</t>
  </si>
  <si>
    <t>Borivali West</t>
  </si>
  <si>
    <t>New Nikita Apartment</t>
  </si>
  <si>
    <t>2.1KM from Borivali Railway Station</t>
  </si>
  <si>
    <t>Shimpoli Playground</t>
  </si>
  <si>
    <t>Atal Smruti Udyan</t>
  </si>
  <si>
    <t>L Bhandari Marg</t>
  </si>
  <si>
    <t>SRA/ENG/RC/MCGM/0023/20210505/AP/C</t>
  </si>
  <si>
    <t>RC/MCGM/0023/20210505/AP/C</t>
  </si>
  <si>
    <t>This C.C is granted for work up to Plinth level only (Portion marked A, B, C, D &amp; E).</t>
  </si>
  <si>
    <t>As per RERA - 31/03/2027</t>
  </si>
  <si>
    <t>Rehab</t>
  </si>
  <si>
    <t>Sale</t>
  </si>
  <si>
    <t>Shop</t>
  </si>
  <si>
    <t>Wing A + B + C</t>
  </si>
  <si>
    <t>Wing A</t>
  </si>
  <si>
    <t>Wing B</t>
  </si>
  <si>
    <t>Wing C</t>
  </si>
  <si>
    <t>1st Podium Level Floor For Parking &amp; Residential</t>
  </si>
  <si>
    <t>2nd Podium Level Floor</t>
  </si>
  <si>
    <t>3rd to 7th Podium Level Floor</t>
  </si>
  <si>
    <t>8th Podium Level Floor (Part Refuge Area)</t>
  </si>
  <si>
    <t>9th Podium Level Floor</t>
  </si>
  <si>
    <t>10th to 14th, 16th to 19th Floor For Residential</t>
  </si>
  <si>
    <t>15th Floor For Residential (Part Refuge Area)</t>
  </si>
  <si>
    <t>Refuge Area</t>
  </si>
  <si>
    <t>Wing
 A + B + C</t>
  </si>
  <si>
    <t>704589414 / 8291045509</t>
  </si>
  <si>
    <t xml:space="preserve">Exsiting Building Name </t>
  </si>
  <si>
    <t>Gaodevi Rahwashi SRA CHS</t>
  </si>
  <si>
    <t>526(Pt) &amp; 531 of TPS Borivali No. III &amp; Exsiting Building Name - Gaodevi Rahwashi SRA CHS</t>
  </si>
  <si>
    <t>3 Wings</t>
  </si>
  <si>
    <t>Slum Rehabilitation Authority (SRA)</t>
  </si>
  <si>
    <t xml:space="preserve">Wing A, B &amp; C  = Basement + G/St + 1st to 9th Floor (Podium) + 10th to 19th Floor
</t>
  </si>
  <si>
    <t>Basement Floor For STP, WTP &amp; Parking</t>
  </si>
  <si>
    <t>Ground Floor for Commercial &amp; Parking</t>
  </si>
  <si>
    <t>Sale / Rehab Unit</t>
  </si>
  <si>
    <t>Sale Flats</t>
  </si>
  <si>
    <t>Rehab Shop</t>
  </si>
  <si>
    <t>Sale Shop</t>
  </si>
  <si>
    <t>Sale Flats - 296, Sale Shops - 18, Rehab Shops - 13</t>
  </si>
  <si>
    <t>rate sheet</t>
  </si>
  <si>
    <t>visitor</t>
  </si>
  <si>
    <t>CA</t>
  </si>
  <si>
    <t>SA</t>
  </si>
  <si>
    <t>P</t>
  </si>
  <si>
    <t xml:space="preserve">builder </t>
  </si>
  <si>
    <t>16100 - 19300</t>
  </si>
  <si>
    <t>H</t>
  </si>
  <si>
    <t>market</t>
  </si>
  <si>
    <t>MB</t>
  </si>
  <si>
    <t>Office No. 1031, Wing J, Akshar Business Park, Plot No. 03 Sector 25, Near APMC Market, 
Vashi, Navi Mumbai, Maharashtra 400703 TEL: 022-46090378/79/8
E mail : vsjcapf@gmail.com. Web site : www.vsjadon.com</t>
  </si>
  <si>
    <t>Vitrified tiles flooring, Kitchen Platform, Decorative Entrance, etc.</t>
  </si>
  <si>
    <t>Name of the Project As per RERA</t>
  </si>
  <si>
    <t>Paradigm Anantaara</t>
  </si>
  <si>
    <t>Site Meet Person Contact Details ( Name &amp; Contact No.)</t>
  </si>
  <si>
    <t>Grand Total</t>
  </si>
  <si>
    <t>Wing A, B &amp; C = Basement + G/St + 1st to 9th Floor (Podium) + 10th to 23rd Floor</t>
  </si>
  <si>
    <t>We considered Gross carpet area = Net carpet.</t>
  </si>
  <si>
    <t>Since the CC of the project was received on 04/04/2022 (i.e upto plinth level), still the construction work has not started yet.</t>
  </si>
  <si>
    <t>As the project is redevelopment project but rehab statement for flats are not mentioned in layout plan &amp; floor plan.</t>
  </si>
  <si>
    <t>Rahul Salve</t>
  </si>
  <si>
    <t>Construction work is in process at the time of visit.</t>
  </si>
  <si>
    <t>Mr. Ram : 704589414</t>
  </si>
  <si>
    <t>R-C/MCGM/0023/20210505/AP/C</t>
  </si>
  <si>
    <t>This C.C further extended full plunth CC for Rehab wing A and Sale wing B comprising of 01 level Basement + GR + 1st to 9th level floor + 10th Amenity floor with total height 36.50mt above plinth of composite building as per last approved amended plans dtd 16/10/2023.</t>
  </si>
  <si>
    <t>As per Rera, Project name is changed from "Ananda Park" to "Paradigm Anantaara"</t>
  </si>
  <si>
    <t>We have updated revised approved CC from RERA site (on 13/08/2025).</t>
  </si>
  <si>
    <t>Please provide revised approved CC and Plans.</t>
  </si>
  <si>
    <t>Kunal Kadam</t>
  </si>
  <si>
    <t>Layout :</t>
  </si>
  <si>
    <t>As per the approved layout plans dtd 01/12/2021, 
Project consist of the Sale Building (Wing A, B &amp; C) and Rehab Building (Wing D). 
But as per the revised approved layout plan dtd 29/10/2024 (Referred from RERA site), 
Project consist of Rehab Wing A &amp; Sale Wing B. 
Layout plans attached Below.
Please check above query from your end.</t>
  </si>
  <si>
    <t>Since the structure and wing bifurcation of project is changed. We are maintaining the same construction stage of the previous visit dated 30/07/2024.</t>
  </si>
  <si>
    <t>Latitude,Longitude</t>
  </si>
  <si>
    <t>19.223011,72.842944</t>
  </si>
  <si>
    <t>https://maps.app.goo.gl/yxVgYfEWKFkV7RDx7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</si>
</sst>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8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24" fillId="0" borderId="30" xfId="0" applyFont="1" applyBorder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12" fillId="0" borderId="17" xfId="1" applyNumberFormat="1" applyFont="1" applyBorder="1" applyAlignment="1" applyProtection="1">
      <alignment horizontal="center" vertical="center" wrapText="1"/>
      <protection locked="0"/>
    </xf>
    <xf numFmtId="168" fontId="12" fillId="0" borderId="24" xfId="1" applyNumberFormat="1" applyFont="1" applyBorder="1" applyAlignment="1" applyProtection="1">
      <alignment horizontal="center" vertical="center" wrapText="1"/>
      <protection locked="0"/>
    </xf>
    <xf numFmtId="168" fontId="12" fillId="0" borderId="18" xfId="1" applyNumberFormat="1" applyFont="1" applyBorder="1" applyAlignment="1" applyProtection="1">
      <alignment horizontal="center" vertical="center" wrapText="1"/>
      <protection locked="0"/>
    </xf>
    <xf numFmtId="168" fontId="12" fillId="0" borderId="19" xfId="1" applyNumberFormat="1" applyFont="1" applyBorder="1" applyAlignment="1" applyProtection="1">
      <alignment horizontal="center" vertical="center" wrapText="1"/>
      <protection locked="0"/>
    </xf>
    <xf numFmtId="168" fontId="12" fillId="0" borderId="2" xfId="1" applyNumberFormat="1" applyFont="1" applyBorder="1" applyAlignment="1" applyProtection="1">
      <alignment horizontal="center" vertical="center" wrapText="1"/>
      <protection locked="0"/>
    </xf>
    <xf numFmtId="168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68" fontId="6" fillId="0" borderId="17" xfId="1" applyNumberFormat="1" applyFont="1" applyBorder="1" applyAlignment="1" applyProtection="1">
      <alignment horizontal="center" vertical="center" wrapText="1"/>
      <protection locked="0"/>
    </xf>
    <xf numFmtId="168" fontId="6" fillId="0" borderId="24" xfId="1" applyNumberFormat="1" applyFont="1" applyBorder="1" applyAlignment="1" applyProtection="1">
      <alignment horizontal="center" vertical="center" wrapText="1"/>
      <protection locked="0"/>
    </xf>
    <xf numFmtId="168" fontId="6" fillId="0" borderId="18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2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1" fontId="13" fillId="0" borderId="3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2" xfId="0" applyNumberFormat="1" applyFont="1" applyBorder="1" applyAlignment="1" applyProtection="1">
      <alignment horizontal="center" vertical="center" wrapText="1"/>
      <protection locked="0"/>
    </xf>
    <xf numFmtId="1" fontId="12" fillId="0" borderId="16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/>
      <protection locked="0"/>
    </xf>
    <xf numFmtId="1" fontId="13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3" fillId="0" borderId="16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" fontId="13" fillId="0" borderId="33" xfId="0" applyNumberFormat="1" applyFont="1" applyBorder="1" applyAlignment="1" applyProtection="1">
      <alignment horizontal="center" vertical="center" wrapText="1"/>
      <protection locked="0"/>
    </xf>
    <xf numFmtId="1" fontId="13" fillId="0" borderId="34" xfId="0" applyNumberFormat="1" applyFont="1" applyBorder="1" applyAlignment="1" applyProtection="1">
      <alignment horizontal="center" vertical="center" wrapText="1"/>
      <protection locked="0"/>
    </xf>
    <xf numFmtId="1" fontId="13" fillId="0" borderId="34" xfId="0" applyNumberFormat="1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1" fontId="13" fillId="0" borderId="34" xfId="0" applyNumberFormat="1" applyFont="1" applyBorder="1" applyAlignment="1" applyProtection="1">
      <alignment horizontal="center" vertical="top" wrapText="1"/>
      <protection locked="0"/>
    </xf>
    <xf numFmtId="1" fontId="13" fillId="0" borderId="35" xfId="0" applyNumberFormat="1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320074</xdr:colOff>
      <xdr:row>353</xdr:row>
      <xdr:rowOff>122094</xdr:rowOff>
    </xdr:from>
    <xdr:to>
      <xdr:col>15</xdr:col>
      <xdr:colOff>71421</xdr:colOff>
      <xdr:row>364</xdr:row>
      <xdr:rowOff>116743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64174" y="67452414"/>
          <a:ext cx="2814587" cy="21739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265140</xdr:colOff>
      <xdr:row>330</xdr:row>
      <xdr:rowOff>83820</xdr:rowOff>
    </xdr:from>
    <xdr:to>
      <xdr:col>17</xdr:col>
      <xdr:colOff>124437</xdr:colOff>
      <xdr:row>341</xdr:row>
      <xdr:rowOff>84819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40860" y="62865000"/>
          <a:ext cx="2831097" cy="21726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351790</xdr:colOff>
      <xdr:row>330</xdr:row>
      <xdr:rowOff>83820</xdr:rowOff>
    </xdr:from>
    <xdr:to>
      <xdr:col>13</xdr:col>
      <xdr:colOff>133617</xdr:colOff>
      <xdr:row>341</xdr:row>
      <xdr:rowOff>84819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7130" y="62865000"/>
          <a:ext cx="2822207" cy="21726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265140</xdr:colOff>
      <xdr:row>342</xdr:row>
      <xdr:rowOff>7707</xdr:rowOff>
    </xdr:from>
    <xdr:to>
      <xdr:col>17</xdr:col>
      <xdr:colOff>135050</xdr:colOff>
      <xdr:row>353</xdr:row>
      <xdr:rowOff>2358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40860" y="65158707"/>
          <a:ext cx="2841710" cy="21739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351790</xdr:colOff>
      <xdr:row>342</xdr:row>
      <xdr:rowOff>7707</xdr:rowOff>
    </xdr:from>
    <xdr:to>
      <xdr:col>13</xdr:col>
      <xdr:colOff>133617</xdr:colOff>
      <xdr:row>353</xdr:row>
      <xdr:rowOff>2358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7130" y="65158707"/>
          <a:ext cx="2822207" cy="217397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586740</xdr:colOff>
      <xdr:row>49</xdr:row>
      <xdr:rowOff>358140</xdr:rowOff>
    </xdr:from>
    <xdr:to>
      <xdr:col>12</xdr:col>
      <xdr:colOff>757740</xdr:colOff>
      <xdr:row>54</xdr:row>
      <xdr:rowOff>580240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CF5493-8E58-E8E1-1AA9-A33F01B2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25740" y="11681460"/>
          <a:ext cx="3600000" cy="1616560"/>
        </a:xfrm>
        <a:prstGeom prst="rect">
          <a:avLst/>
        </a:prstGeom>
      </xdr:spPr>
    </xdr:pic>
    <xdr:clientData/>
  </xdr:twoCellAnchor>
  <xdr:twoCellAnchor>
    <xdr:from>
      <xdr:col>9</xdr:col>
      <xdr:colOff>95747</xdr:colOff>
      <xdr:row>304</xdr:row>
      <xdr:rowOff>70898</xdr:rowOff>
    </xdr:from>
    <xdr:to>
      <xdr:col>13</xdr:col>
      <xdr:colOff>655698</xdr:colOff>
      <xdr:row>313</xdr:row>
      <xdr:rowOff>106416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55A96B24-2494-357A-0E15-B78E9364E6F1}"/>
            </a:ext>
          </a:extLst>
        </xdr:cNvPr>
        <xdr:cNvGrpSpPr/>
      </xdr:nvGrpSpPr>
      <xdr:grpSpPr>
        <a:xfrm>
          <a:off x="8531087" y="56603678"/>
          <a:ext cx="3600331" cy="2024338"/>
          <a:chOff x="9067469" y="57552203"/>
          <a:chExt cx="3594699" cy="202997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961E142-B49D-C60A-6988-11EF94D431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9067469" y="57552203"/>
            <a:ext cx="3594699" cy="2029970"/>
          </a:xfrm>
          <a:prstGeom prst="rect">
            <a:avLst/>
          </a:prstGeom>
        </xdr:spPr>
      </xdr:pic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BA24E1-EDA1-0E78-1B3D-E02D256C3BAC}"/>
              </a:ext>
            </a:extLst>
          </xdr:cNvPr>
          <xdr:cNvSpPr txBox="1"/>
        </xdr:nvSpPr>
        <xdr:spPr>
          <a:xfrm>
            <a:off x="9243060" y="58984101"/>
            <a:ext cx="890821" cy="436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/>
              <a:t>Nov</a:t>
            </a:r>
            <a:r>
              <a:rPr lang="en-IN" sz="1100" b="1" baseline="0"/>
              <a:t> 21 </a:t>
            </a:r>
          </a:p>
          <a:p>
            <a:r>
              <a:rPr lang="en-IN" sz="1100" b="1" baseline="0"/>
              <a:t>Google map</a:t>
            </a:r>
            <a:endParaRPr lang="en-IN" sz="1100" b="1"/>
          </a:p>
        </xdr:txBody>
      </xdr:sp>
    </xdr:grpSp>
    <xdr:clientData/>
  </xdr:twoCellAnchor>
  <xdr:twoCellAnchor editAs="oneCell">
    <xdr:from>
      <xdr:col>9</xdr:col>
      <xdr:colOff>284921</xdr:colOff>
      <xdr:row>313</xdr:row>
      <xdr:rowOff>178904</xdr:rowOff>
    </xdr:from>
    <xdr:to>
      <xdr:col>13</xdr:col>
      <xdr:colOff>860973</xdr:colOff>
      <xdr:row>325</xdr:row>
      <xdr:rowOff>142700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6C6A30C-3446-C9E6-4D4A-DC2793843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19930" y="58879408"/>
          <a:ext cx="3610800" cy="3634649"/>
        </a:xfrm>
        <a:prstGeom prst="rect">
          <a:avLst/>
        </a:prstGeom>
      </xdr:spPr>
    </xdr:pic>
    <xdr:clientData/>
  </xdr:twoCellAnchor>
  <xdr:twoCellAnchor editAs="oneCell">
    <xdr:from>
      <xdr:col>8</xdr:col>
      <xdr:colOff>371061</xdr:colOff>
      <xdr:row>2</xdr:row>
      <xdr:rowOff>33132</xdr:rowOff>
    </xdr:from>
    <xdr:to>
      <xdr:col>13</xdr:col>
      <xdr:colOff>96991</xdr:colOff>
      <xdr:row>9</xdr:row>
      <xdr:rowOff>38964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93144AD-FDEF-DA6C-C5F6-13BB5EA4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06748" y="828262"/>
          <a:ext cx="3960000" cy="13906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716280</xdr:colOff>
      <xdr:row>334</xdr:row>
      <xdr:rowOff>7620</xdr:rowOff>
    </xdr:from>
    <xdr:to>
      <xdr:col>7</xdr:col>
      <xdr:colOff>752364</xdr:colOff>
      <xdr:row>365</xdr:row>
      <xdr:rowOff>187545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82A6694F-F97A-61A7-8CE3-A7C827A3E1E2}"/>
            </a:ext>
          </a:extLst>
        </xdr:cNvPr>
        <xdr:cNvGrpSpPr/>
      </xdr:nvGrpSpPr>
      <xdr:grpSpPr>
        <a:xfrm>
          <a:off x="716280" y="64190880"/>
          <a:ext cx="5918724" cy="6314025"/>
          <a:chOff x="476324" y="233763"/>
          <a:chExt cx="5918724" cy="6314025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25117BF4-AE2E-8930-F0FA-818BC7559E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324" y="233763"/>
            <a:ext cx="2880000" cy="21710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20BD34AD-CB22-69D4-59EB-211FAC0F4E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15048" y="2595818"/>
            <a:ext cx="2880000" cy="21710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37A73ACC-6D89-DDF0-9CF2-DB3EABBB87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15048" y="233763"/>
            <a:ext cx="2880000" cy="21710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1CCDA2ED-1344-70E9-A43B-9A6B325BBE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324" y="2595818"/>
            <a:ext cx="2880000" cy="217101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EC6BAAC3-4AD2-3E1F-1B73-0B9676B428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6324" y="4925534"/>
            <a:ext cx="2160000" cy="16222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38BA3BAE-72F9-A77B-4FD6-2C5CC06FDB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15048" y="4919527"/>
            <a:ext cx="2160000" cy="162826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TextBox 18">
            <a:extLst>
              <a:ext uri="{FF2B5EF4-FFF2-40B4-BE49-F238E27FC236}">
                <a16:creationId xmlns:a16="http://schemas.microsoft.com/office/drawing/2014/main" id="{619C76EC-652F-4595-A814-9F45CC2960BE}"/>
              </a:ext>
            </a:extLst>
          </xdr:cNvPr>
          <xdr:cNvSpPr txBox="1"/>
        </xdr:nvSpPr>
        <xdr:spPr>
          <a:xfrm>
            <a:off x="5018458" y="2111793"/>
            <a:ext cx="131318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Sale Wing B</a:t>
            </a:r>
            <a:endParaRPr lang="en-IN" b="1"/>
          </a:p>
        </xdr:txBody>
      </xdr:sp>
      <xdr:sp macro="" textlink="">
        <xdr:nvSpPr>
          <xdr:cNvPr id="23" name="TextBox 19">
            <a:extLst>
              <a:ext uri="{FF2B5EF4-FFF2-40B4-BE49-F238E27FC236}">
                <a16:creationId xmlns:a16="http://schemas.microsoft.com/office/drawing/2014/main" id="{D3AD6D67-A80F-2BF9-0470-3B9DF9228993}"/>
              </a:ext>
            </a:extLst>
          </xdr:cNvPr>
          <xdr:cNvSpPr txBox="1"/>
        </xdr:nvSpPr>
        <xdr:spPr>
          <a:xfrm>
            <a:off x="1619734" y="233763"/>
            <a:ext cx="1313180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Sale Wing B</a:t>
            </a:r>
            <a:endParaRPr lang="en-IN" b="1"/>
          </a:p>
        </xdr:txBody>
      </xdr:sp>
      <xdr:sp macro="" textlink="">
        <xdr:nvSpPr>
          <xdr:cNvPr id="24" name="TextBox 20">
            <a:extLst>
              <a:ext uri="{FF2B5EF4-FFF2-40B4-BE49-F238E27FC236}">
                <a16:creationId xmlns:a16="http://schemas.microsoft.com/office/drawing/2014/main" id="{B237F377-A5DE-881E-49FE-E5454383D1FB}"/>
              </a:ext>
            </a:extLst>
          </xdr:cNvPr>
          <xdr:cNvSpPr txBox="1"/>
        </xdr:nvSpPr>
        <xdr:spPr>
          <a:xfrm>
            <a:off x="539734" y="4411688"/>
            <a:ext cx="153099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Rehab Wing A</a:t>
            </a:r>
            <a:endParaRPr lang="en-IN" b="1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1</xdr:col>
      <xdr:colOff>434340</xdr:colOff>
      <xdr:row>378</xdr:row>
      <xdr:rowOff>15240</xdr:rowOff>
    </xdr:from>
    <xdr:to>
      <xdr:col>7</xdr:col>
      <xdr:colOff>175260</xdr:colOff>
      <xdr:row>419</xdr:row>
      <xdr:rowOff>83820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28603BD-D5F3-1DCE-6BFB-EDD9F2AD9C3E}"/>
            </a:ext>
          </a:extLst>
        </xdr:cNvPr>
        <xdr:cNvGrpSpPr/>
      </xdr:nvGrpSpPr>
      <xdr:grpSpPr>
        <a:xfrm>
          <a:off x="1219200" y="72908160"/>
          <a:ext cx="4838700" cy="8191500"/>
          <a:chOff x="1132432" y="455319"/>
          <a:chExt cx="4212688" cy="7347798"/>
        </a:xfrm>
      </xdr:grpSpPr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5968AC0F-3F5B-528F-B382-AA6C60D4DC22}"/>
              </a:ext>
            </a:extLst>
          </xdr:cNvPr>
          <xdr:cNvGrpSpPr/>
        </xdr:nvGrpSpPr>
        <xdr:grpSpPr>
          <a:xfrm>
            <a:off x="1132432" y="455319"/>
            <a:ext cx="4212688" cy="3600000"/>
            <a:chOff x="1132432" y="455319"/>
            <a:chExt cx="4212688" cy="3600000"/>
          </a:xfrm>
        </xdr:grpSpPr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C4BD5BD8-9688-89DF-7571-65E5F54D35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132432" y="455319"/>
              <a:ext cx="4122905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cxnSp macro="">
          <xdr:nvCxnSpPr>
            <xdr:cNvPr id="37" name="Straight Connector 36">
              <a:extLst>
                <a:ext uri="{FF2B5EF4-FFF2-40B4-BE49-F238E27FC236}">
                  <a16:creationId xmlns:a16="http://schemas.microsoft.com/office/drawing/2014/main" id="{EC1BB8C3-FA40-D498-6B36-507F7C675798}"/>
                </a:ext>
              </a:extLst>
            </xdr:cNvPr>
            <xdr:cNvCxnSpPr/>
          </xdr:nvCxnSpPr>
          <xdr:spPr>
            <a:xfrm>
              <a:off x="3337560" y="1066800"/>
              <a:ext cx="55880" cy="132588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Straight Connector 37">
              <a:extLst>
                <a:ext uri="{FF2B5EF4-FFF2-40B4-BE49-F238E27FC236}">
                  <a16:creationId xmlns:a16="http://schemas.microsoft.com/office/drawing/2014/main" id="{8AD6610E-007D-0193-CCA9-7FF36A6180F2}"/>
                </a:ext>
              </a:extLst>
            </xdr:cNvPr>
            <xdr:cNvCxnSpPr/>
          </xdr:nvCxnSpPr>
          <xdr:spPr>
            <a:xfrm flipH="1">
              <a:off x="2275840" y="2377440"/>
              <a:ext cx="1112520" cy="30988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Straight Connector 38">
              <a:extLst>
                <a:ext uri="{FF2B5EF4-FFF2-40B4-BE49-F238E27FC236}">
                  <a16:creationId xmlns:a16="http://schemas.microsoft.com/office/drawing/2014/main" id="{70E80E19-3CC2-33E0-78A7-8171D609D590}"/>
                </a:ext>
              </a:extLst>
            </xdr:cNvPr>
            <xdr:cNvCxnSpPr/>
          </xdr:nvCxnSpPr>
          <xdr:spPr>
            <a:xfrm>
              <a:off x="2265680" y="2697480"/>
              <a:ext cx="152400" cy="56388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Straight Connector 39">
              <a:extLst>
                <a:ext uri="{FF2B5EF4-FFF2-40B4-BE49-F238E27FC236}">
                  <a16:creationId xmlns:a16="http://schemas.microsoft.com/office/drawing/2014/main" id="{331DE8CF-22FC-B9A8-A481-B59183600870}"/>
                </a:ext>
              </a:extLst>
            </xdr:cNvPr>
            <xdr:cNvCxnSpPr/>
          </xdr:nvCxnSpPr>
          <xdr:spPr>
            <a:xfrm flipV="1">
              <a:off x="2423160" y="2687320"/>
              <a:ext cx="1737360" cy="57912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Straight Connector 40">
              <a:extLst>
                <a:ext uri="{FF2B5EF4-FFF2-40B4-BE49-F238E27FC236}">
                  <a16:creationId xmlns:a16="http://schemas.microsoft.com/office/drawing/2014/main" id="{B7A7000A-2211-F15F-1E35-BC9786D129E5}"/>
                </a:ext>
              </a:extLst>
            </xdr:cNvPr>
            <xdr:cNvCxnSpPr/>
          </xdr:nvCxnSpPr>
          <xdr:spPr>
            <a:xfrm flipV="1">
              <a:off x="4160520" y="2534920"/>
              <a:ext cx="45720" cy="16256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Straight Connector 41">
              <a:extLst>
                <a:ext uri="{FF2B5EF4-FFF2-40B4-BE49-F238E27FC236}">
                  <a16:creationId xmlns:a16="http://schemas.microsoft.com/office/drawing/2014/main" id="{19635A1F-5D82-5E16-77DC-B3A0CF235C13}"/>
                </a:ext>
              </a:extLst>
            </xdr:cNvPr>
            <xdr:cNvCxnSpPr/>
          </xdr:nvCxnSpPr>
          <xdr:spPr>
            <a:xfrm flipH="1" flipV="1">
              <a:off x="4160520" y="1005840"/>
              <a:ext cx="45720" cy="151892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Straight Connector 42">
              <a:extLst>
                <a:ext uri="{FF2B5EF4-FFF2-40B4-BE49-F238E27FC236}">
                  <a16:creationId xmlns:a16="http://schemas.microsoft.com/office/drawing/2014/main" id="{FCEB3193-2AAA-2150-CEE4-F4B14A435F32}"/>
                </a:ext>
              </a:extLst>
            </xdr:cNvPr>
            <xdr:cNvCxnSpPr/>
          </xdr:nvCxnSpPr>
          <xdr:spPr>
            <a:xfrm flipH="1">
              <a:off x="3337560" y="995680"/>
              <a:ext cx="812800" cy="71120"/>
            </a:xfrm>
            <a:prstGeom prst="line">
              <a:avLst/>
            </a:prstGeom>
            <a:ln w="190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4" name="Rectangle 43">
              <a:extLst>
                <a:ext uri="{FF2B5EF4-FFF2-40B4-BE49-F238E27FC236}">
                  <a16:creationId xmlns:a16="http://schemas.microsoft.com/office/drawing/2014/main" id="{BF7F6ED9-11A3-FA8A-FB85-7C3656B081C3}"/>
                </a:ext>
              </a:extLst>
            </xdr:cNvPr>
            <xdr:cNvSpPr/>
          </xdr:nvSpPr>
          <xdr:spPr>
            <a:xfrm>
              <a:off x="1752600" y="985520"/>
              <a:ext cx="899160" cy="1487649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5" name="TextBox 20">
              <a:extLst>
                <a:ext uri="{FF2B5EF4-FFF2-40B4-BE49-F238E27FC236}">
                  <a16:creationId xmlns:a16="http://schemas.microsoft.com/office/drawing/2014/main" id="{952CE9CD-CD67-A2C9-17F9-80ACBEC4A316}"/>
                </a:ext>
              </a:extLst>
            </xdr:cNvPr>
            <xdr:cNvSpPr txBox="1"/>
          </xdr:nvSpPr>
          <xdr:spPr>
            <a:xfrm>
              <a:off x="3388360" y="778131"/>
              <a:ext cx="1069524" cy="2308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900" b="1">
                  <a:solidFill>
                    <a:srgbClr val="FF0000"/>
                  </a:solidFill>
                </a:rPr>
                <a:t>Sale Wing A, B &amp; C</a:t>
              </a:r>
              <a:endParaRPr lang="en-IN" sz="9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6" name="TextBox 21">
              <a:extLst>
                <a:ext uri="{FF2B5EF4-FFF2-40B4-BE49-F238E27FC236}">
                  <a16:creationId xmlns:a16="http://schemas.microsoft.com/office/drawing/2014/main" id="{4BD03D34-BC27-1E49-DDC9-D44BD3019B50}"/>
                </a:ext>
              </a:extLst>
            </xdr:cNvPr>
            <xdr:cNvSpPr txBox="1"/>
          </xdr:nvSpPr>
          <xdr:spPr>
            <a:xfrm>
              <a:off x="1602663" y="769630"/>
              <a:ext cx="994183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 b="1">
                  <a:solidFill>
                    <a:srgbClr val="FF0000"/>
                  </a:solidFill>
                </a:rPr>
                <a:t>Rehab Wing D</a:t>
              </a:r>
              <a:endParaRPr lang="en-IN" sz="105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7" name="TextBox 26">
              <a:extLst>
                <a:ext uri="{FF2B5EF4-FFF2-40B4-BE49-F238E27FC236}">
                  <a16:creationId xmlns:a16="http://schemas.microsoft.com/office/drawing/2014/main" id="{D26E9C7E-AF05-71EF-7682-5D5F87355EED}"/>
                </a:ext>
              </a:extLst>
            </xdr:cNvPr>
            <xdr:cNvSpPr txBox="1"/>
          </xdr:nvSpPr>
          <xdr:spPr>
            <a:xfrm>
              <a:off x="3607208" y="3774932"/>
              <a:ext cx="173791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Plans Dated 01/12/2021</a:t>
              </a:r>
              <a:endParaRPr lang="en-IN" sz="1200" b="1"/>
            </a:p>
          </xdr:txBody>
        </xdr:sp>
      </xdr:grpSp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BD1E12D7-A35B-1D3B-B5AE-7366B29D2561}"/>
              </a:ext>
            </a:extLst>
          </xdr:cNvPr>
          <xdr:cNvGrpSpPr/>
        </xdr:nvGrpSpPr>
        <xdr:grpSpPr>
          <a:xfrm>
            <a:off x="1132432" y="4203117"/>
            <a:ext cx="4122905" cy="3600000"/>
            <a:chOff x="1132432" y="4269470"/>
            <a:chExt cx="4122905" cy="3600000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86B44625-3AFD-3B67-BA47-F9FAC83C7E7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1132432" y="4269470"/>
              <a:ext cx="4122905" cy="36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D7832D9E-8E8D-BFF6-53B4-0B9B6682EF57}"/>
                </a:ext>
              </a:extLst>
            </xdr:cNvPr>
            <xdr:cNvSpPr/>
          </xdr:nvSpPr>
          <xdr:spPr>
            <a:xfrm>
              <a:off x="3489960" y="4931239"/>
              <a:ext cx="1122680" cy="1860721"/>
            </a:xfrm>
            <a:prstGeom prst="rect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399CE90E-65BC-2403-02AC-6602A9B881E0}"/>
                </a:ext>
              </a:extLst>
            </xdr:cNvPr>
            <xdr:cNvSpPr/>
          </xdr:nvSpPr>
          <xdr:spPr>
            <a:xfrm>
              <a:off x="1661160" y="4729480"/>
              <a:ext cx="1590040" cy="672039"/>
            </a:xfrm>
            <a:prstGeom prst="rect">
              <a:avLst/>
            </a:prstGeom>
            <a:noFill/>
            <a:ln w="19050">
              <a:solidFill>
                <a:srgbClr val="FF00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3" name="TextBox 24">
              <a:extLst>
                <a:ext uri="{FF2B5EF4-FFF2-40B4-BE49-F238E27FC236}">
                  <a16:creationId xmlns:a16="http://schemas.microsoft.com/office/drawing/2014/main" id="{1FF69114-4E3E-B414-4CF3-DC222193977D}"/>
                </a:ext>
              </a:extLst>
            </xdr:cNvPr>
            <xdr:cNvSpPr txBox="1"/>
          </xdr:nvSpPr>
          <xdr:spPr>
            <a:xfrm>
              <a:off x="3651077" y="6365240"/>
              <a:ext cx="875561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 b="1">
                  <a:solidFill>
                    <a:srgbClr val="FF0000"/>
                  </a:solidFill>
                </a:rPr>
                <a:t>Sale Wing B</a:t>
              </a:r>
              <a:endParaRPr lang="en-IN" sz="11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4" name="TextBox 25">
              <a:extLst>
                <a:ext uri="{FF2B5EF4-FFF2-40B4-BE49-F238E27FC236}">
                  <a16:creationId xmlns:a16="http://schemas.microsoft.com/office/drawing/2014/main" id="{C2CE327A-D123-AB00-534D-5FC46AD4AA29}"/>
                </a:ext>
              </a:extLst>
            </xdr:cNvPr>
            <xdr:cNvSpPr txBox="1"/>
          </xdr:nvSpPr>
          <xdr:spPr>
            <a:xfrm>
              <a:off x="2018399" y="5081499"/>
              <a:ext cx="1010213" cy="26161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100" b="1">
                  <a:solidFill>
                    <a:srgbClr val="FF0000"/>
                  </a:solidFill>
                </a:rPr>
                <a:t>Rehab Wing A</a:t>
              </a:r>
              <a:endParaRPr lang="en-IN" sz="11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5" name="TextBox 27">
              <a:extLst>
                <a:ext uri="{FF2B5EF4-FFF2-40B4-BE49-F238E27FC236}">
                  <a16:creationId xmlns:a16="http://schemas.microsoft.com/office/drawing/2014/main" id="{16FB4CF4-B322-4316-BF58-BE1AEA250A9A}"/>
                </a:ext>
              </a:extLst>
            </xdr:cNvPr>
            <xdr:cNvSpPr txBox="1"/>
          </xdr:nvSpPr>
          <xdr:spPr>
            <a:xfrm>
              <a:off x="3480886" y="7592471"/>
              <a:ext cx="173791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 b="1"/>
                <a:t>Plans Dated 29/10/2024</a:t>
              </a:r>
              <a:endParaRPr lang="en-IN" sz="1200" b="1"/>
            </a:p>
          </xdr:txBody>
        </xdr:sp>
      </xdr:grpSp>
    </xdr:grpSp>
    <xdr:clientData/>
  </xdr:twoCellAnchor>
  <xdr:twoCellAnchor>
    <xdr:from>
      <xdr:col>1</xdr:col>
      <xdr:colOff>304800</xdr:colOff>
      <xdr:row>424</xdr:row>
      <xdr:rowOff>15240</xdr:rowOff>
    </xdr:from>
    <xdr:to>
      <xdr:col>7</xdr:col>
      <xdr:colOff>374610</xdr:colOff>
      <xdr:row>459</xdr:row>
      <xdr:rowOff>57453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1CDDADA1-8D91-B544-EDAA-B1BB997D056E}"/>
            </a:ext>
          </a:extLst>
        </xdr:cNvPr>
        <xdr:cNvGrpSpPr/>
      </xdr:nvGrpSpPr>
      <xdr:grpSpPr>
        <a:xfrm>
          <a:off x="1089660" y="82021680"/>
          <a:ext cx="5167590" cy="6976413"/>
          <a:chOff x="517752" y="165793"/>
          <a:chExt cx="5167590" cy="6976413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24A4D2E6-43E2-1F19-7E5D-E95B2E1EC8B0}"/>
              </a:ext>
            </a:extLst>
          </xdr:cNvPr>
          <xdr:cNvGrpSpPr/>
        </xdr:nvGrpSpPr>
        <xdr:grpSpPr>
          <a:xfrm>
            <a:off x="840260" y="3613330"/>
            <a:ext cx="4522573" cy="3528876"/>
            <a:chOff x="1668163" y="3571104"/>
            <a:chExt cx="2866768" cy="2187146"/>
          </a:xfrm>
        </xdr:grpSpPr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9CE6D1B8-78E0-BCEB-DFA9-489D9E3ED4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668163" y="3571104"/>
              <a:ext cx="2866768" cy="218714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50" name="Rectangle 49">
              <a:extLst>
                <a:ext uri="{FF2B5EF4-FFF2-40B4-BE49-F238E27FC236}">
                  <a16:creationId xmlns:a16="http://schemas.microsoft.com/office/drawing/2014/main" id="{402407DC-1898-5302-7C6A-F0B4BD84BEE6}"/>
                </a:ext>
              </a:extLst>
            </xdr:cNvPr>
            <xdr:cNvSpPr/>
          </xdr:nvSpPr>
          <xdr:spPr>
            <a:xfrm>
              <a:off x="3017520" y="4392930"/>
              <a:ext cx="609600" cy="586740"/>
            </a:xfrm>
            <a:prstGeom prst="rect">
              <a:avLst/>
            </a:prstGeom>
            <a:noFill/>
            <a:ln w="28575">
              <a:solidFill>
                <a:srgbClr val="FFFF00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365117B-85DA-41F2-AA4B-893E11F9FD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17752" y="165793"/>
            <a:ext cx="5167590" cy="3251873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4566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334452</xdr:colOff>
      <xdr:row>14</xdr:row>
      <xdr:rowOff>0</xdr:rowOff>
    </xdr:from>
    <xdr:to>
      <xdr:col>15</xdr:col>
      <xdr:colOff>226960</xdr:colOff>
      <xdr:row>32</xdr:row>
      <xdr:rowOff>171000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717" y="26782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34</xdr:row>
      <xdr:rowOff>11501</xdr:rowOff>
    </xdr:from>
    <xdr:to>
      <xdr:col>6</xdr:col>
      <xdr:colOff>4566</xdr:colOff>
      <xdr:row>52</xdr:row>
      <xdr:rowOff>182501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6499707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334452</xdr:colOff>
      <xdr:row>34</xdr:row>
      <xdr:rowOff>11501</xdr:rowOff>
    </xdr:from>
    <xdr:to>
      <xdr:col>15</xdr:col>
      <xdr:colOff>226960</xdr:colOff>
      <xdr:row>52</xdr:row>
      <xdr:rowOff>182501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717" y="6499707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55</xdr:row>
      <xdr:rowOff>0</xdr:rowOff>
    </xdr:from>
    <xdr:to>
      <xdr:col>6</xdr:col>
      <xdr:colOff>4567</xdr:colOff>
      <xdr:row>73</xdr:row>
      <xdr:rowOff>171000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10488706"/>
          <a:ext cx="6403125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yxVgYfEWKFkV7RDx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23"/>
  <sheetViews>
    <sheetView tabSelected="1" view="pageBreakPreview" topLeftCell="A318" zoomScaleNormal="100" zoomScaleSheetLayoutView="100" workbookViewId="0">
      <selection activeCell="I326" sqref="I326"/>
    </sheetView>
  </sheetViews>
  <sheetFormatPr defaultColWidth="9.21875" defaultRowHeight="15.6" x14ac:dyDescent="0.3"/>
  <cols>
    <col min="1" max="1" width="11.44140625" style="38" customWidth="1"/>
    <col min="2" max="2" width="12" style="38" customWidth="1"/>
    <col min="3" max="3" width="12.77734375" style="38" customWidth="1"/>
    <col min="4" max="4" width="14.21875" style="38" customWidth="1"/>
    <col min="5" max="7" width="11.77734375" style="38" customWidth="1"/>
    <col min="8" max="8" width="19.777343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77734375" style="19" customWidth="1"/>
    <col min="14" max="14" width="12.5546875" style="19" customWidth="1"/>
    <col min="15" max="15" width="9.77734375" style="19" customWidth="1"/>
    <col min="16" max="16" width="11.77734375" style="19" customWidth="1"/>
    <col min="17" max="247" width="9.21875" style="19"/>
    <col min="248" max="248" width="8.77734375" style="19" customWidth="1"/>
    <col min="249" max="249" width="9.77734375" style="19" customWidth="1"/>
    <col min="250" max="250" width="14.44140625" style="19" customWidth="1"/>
    <col min="251" max="251" width="7.21875" style="19" customWidth="1"/>
    <col min="252" max="252" width="5.5546875" style="19" customWidth="1"/>
    <col min="253" max="253" width="9" style="19" customWidth="1"/>
    <col min="254" max="255" width="9.77734375" style="19" customWidth="1"/>
    <col min="256" max="256" width="11.21875" style="19" customWidth="1"/>
    <col min="257" max="257" width="2.77734375" style="19" customWidth="1"/>
    <col min="258" max="258" width="3.5546875" style="19" customWidth="1"/>
    <col min="259" max="503" width="9.21875" style="19"/>
    <col min="504" max="504" width="8.77734375" style="19" customWidth="1"/>
    <col min="505" max="505" width="9.77734375" style="19" customWidth="1"/>
    <col min="506" max="506" width="14.44140625" style="19" customWidth="1"/>
    <col min="507" max="507" width="7.21875" style="19" customWidth="1"/>
    <col min="508" max="508" width="5.5546875" style="19" customWidth="1"/>
    <col min="509" max="509" width="9" style="19" customWidth="1"/>
    <col min="510" max="511" width="9.77734375" style="19" customWidth="1"/>
    <col min="512" max="512" width="11.21875" style="19" customWidth="1"/>
    <col min="513" max="513" width="2.77734375" style="19" customWidth="1"/>
    <col min="514" max="514" width="3.5546875" style="19" customWidth="1"/>
    <col min="515" max="759" width="9.21875" style="19"/>
    <col min="760" max="760" width="8.77734375" style="19" customWidth="1"/>
    <col min="761" max="761" width="9.77734375" style="19" customWidth="1"/>
    <col min="762" max="762" width="14.44140625" style="19" customWidth="1"/>
    <col min="763" max="763" width="7.21875" style="19" customWidth="1"/>
    <col min="764" max="764" width="5.5546875" style="19" customWidth="1"/>
    <col min="765" max="765" width="9" style="19" customWidth="1"/>
    <col min="766" max="767" width="9.77734375" style="19" customWidth="1"/>
    <col min="768" max="768" width="11.21875" style="19" customWidth="1"/>
    <col min="769" max="769" width="2.77734375" style="19" customWidth="1"/>
    <col min="770" max="770" width="3.5546875" style="19" customWidth="1"/>
    <col min="771" max="1015" width="9.21875" style="19"/>
    <col min="1016" max="1016" width="8.77734375" style="19" customWidth="1"/>
    <col min="1017" max="1017" width="9.77734375" style="19" customWidth="1"/>
    <col min="1018" max="1018" width="14.44140625" style="19" customWidth="1"/>
    <col min="1019" max="1019" width="7.21875" style="19" customWidth="1"/>
    <col min="1020" max="1020" width="5.5546875" style="19" customWidth="1"/>
    <col min="1021" max="1021" width="9" style="19" customWidth="1"/>
    <col min="1022" max="1023" width="9.77734375" style="19" customWidth="1"/>
    <col min="1024" max="1024" width="11.21875" style="19" customWidth="1"/>
    <col min="1025" max="1025" width="2.77734375" style="19" customWidth="1"/>
    <col min="1026" max="1026" width="3.5546875" style="19" customWidth="1"/>
    <col min="1027" max="1271" width="9.21875" style="19"/>
    <col min="1272" max="1272" width="8.77734375" style="19" customWidth="1"/>
    <col min="1273" max="1273" width="9.77734375" style="19" customWidth="1"/>
    <col min="1274" max="1274" width="14.44140625" style="19" customWidth="1"/>
    <col min="1275" max="1275" width="7.21875" style="19" customWidth="1"/>
    <col min="1276" max="1276" width="5.5546875" style="19" customWidth="1"/>
    <col min="1277" max="1277" width="9" style="19" customWidth="1"/>
    <col min="1278" max="1279" width="9.77734375" style="19" customWidth="1"/>
    <col min="1280" max="1280" width="11.21875" style="19" customWidth="1"/>
    <col min="1281" max="1281" width="2.77734375" style="19" customWidth="1"/>
    <col min="1282" max="1282" width="3.5546875" style="19" customWidth="1"/>
    <col min="1283" max="1527" width="9.21875" style="19"/>
    <col min="1528" max="1528" width="8.77734375" style="19" customWidth="1"/>
    <col min="1529" max="1529" width="9.77734375" style="19" customWidth="1"/>
    <col min="1530" max="1530" width="14.44140625" style="19" customWidth="1"/>
    <col min="1531" max="1531" width="7.21875" style="19" customWidth="1"/>
    <col min="1532" max="1532" width="5.5546875" style="19" customWidth="1"/>
    <col min="1533" max="1533" width="9" style="19" customWidth="1"/>
    <col min="1534" max="1535" width="9.77734375" style="19" customWidth="1"/>
    <col min="1536" max="1536" width="11.21875" style="19" customWidth="1"/>
    <col min="1537" max="1537" width="2.77734375" style="19" customWidth="1"/>
    <col min="1538" max="1538" width="3.5546875" style="19" customWidth="1"/>
    <col min="1539" max="1783" width="9.21875" style="19"/>
    <col min="1784" max="1784" width="8.77734375" style="19" customWidth="1"/>
    <col min="1785" max="1785" width="9.77734375" style="19" customWidth="1"/>
    <col min="1786" max="1786" width="14.44140625" style="19" customWidth="1"/>
    <col min="1787" max="1787" width="7.21875" style="19" customWidth="1"/>
    <col min="1788" max="1788" width="5.5546875" style="19" customWidth="1"/>
    <col min="1789" max="1789" width="9" style="19" customWidth="1"/>
    <col min="1790" max="1791" width="9.77734375" style="19" customWidth="1"/>
    <col min="1792" max="1792" width="11.21875" style="19" customWidth="1"/>
    <col min="1793" max="1793" width="2.77734375" style="19" customWidth="1"/>
    <col min="1794" max="1794" width="3.5546875" style="19" customWidth="1"/>
    <col min="1795" max="2039" width="9.21875" style="19"/>
    <col min="2040" max="2040" width="8.77734375" style="19" customWidth="1"/>
    <col min="2041" max="2041" width="9.77734375" style="19" customWidth="1"/>
    <col min="2042" max="2042" width="14.44140625" style="19" customWidth="1"/>
    <col min="2043" max="2043" width="7.21875" style="19" customWidth="1"/>
    <col min="2044" max="2044" width="5.5546875" style="19" customWidth="1"/>
    <col min="2045" max="2045" width="9" style="19" customWidth="1"/>
    <col min="2046" max="2047" width="9.77734375" style="19" customWidth="1"/>
    <col min="2048" max="2048" width="11.21875" style="19" customWidth="1"/>
    <col min="2049" max="2049" width="2.77734375" style="19" customWidth="1"/>
    <col min="2050" max="2050" width="3.5546875" style="19" customWidth="1"/>
    <col min="2051" max="2295" width="9.21875" style="19"/>
    <col min="2296" max="2296" width="8.77734375" style="19" customWidth="1"/>
    <col min="2297" max="2297" width="9.77734375" style="19" customWidth="1"/>
    <col min="2298" max="2298" width="14.44140625" style="19" customWidth="1"/>
    <col min="2299" max="2299" width="7.21875" style="19" customWidth="1"/>
    <col min="2300" max="2300" width="5.5546875" style="19" customWidth="1"/>
    <col min="2301" max="2301" width="9" style="19" customWidth="1"/>
    <col min="2302" max="2303" width="9.77734375" style="19" customWidth="1"/>
    <col min="2304" max="2304" width="11.21875" style="19" customWidth="1"/>
    <col min="2305" max="2305" width="2.77734375" style="19" customWidth="1"/>
    <col min="2306" max="2306" width="3.5546875" style="19" customWidth="1"/>
    <col min="2307" max="2551" width="9.21875" style="19"/>
    <col min="2552" max="2552" width="8.77734375" style="19" customWidth="1"/>
    <col min="2553" max="2553" width="9.77734375" style="19" customWidth="1"/>
    <col min="2554" max="2554" width="14.44140625" style="19" customWidth="1"/>
    <col min="2555" max="2555" width="7.21875" style="19" customWidth="1"/>
    <col min="2556" max="2556" width="5.5546875" style="19" customWidth="1"/>
    <col min="2557" max="2557" width="9" style="19" customWidth="1"/>
    <col min="2558" max="2559" width="9.77734375" style="19" customWidth="1"/>
    <col min="2560" max="2560" width="11.21875" style="19" customWidth="1"/>
    <col min="2561" max="2561" width="2.77734375" style="19" customWidth="1"/>
    <col min="2562" max="2562" width="3.5546875" style="19" customWidth="1"/>
    <col min="2563" max="2807" width="9.21875" style="19"/>
    <col min="2808" max="2808" width="8.77734375" style="19" customWidth="1"/>
    <col min="2809" max="2809" width="9.77734375" style="19" customWidth="1"/>
    <col min="2810" max="2810" width="14.44140625" style="19" customWidth="1"/>
    <col min="2811" max="2811" width="7.21875" style="19" customWidth="1"/>
    <col min="2812" max="2812" width="5.5546875" style="19" customWidth="1"/>
    <col min="2813" max="2813" width="9" style="19" customWidth="1"/>
    <col min="2814" max="2815" width="9.77734375" style="19" customWidth="1"/>
    <col min="2816" max="2816" width="11.21875" style="19" customWidth="1"/>
    <col min="2817" max="2817" width="2.77734375" style="19" customWidth="1"/>
    <col min="2818" max="2818" width="3.5546875" style="19" customWidth="1"/>
    <col min="2819" max="3063" width="9.21875" style="19"/>
    <col min="3064" max="3064" width="8.77734375" style="19" customWidth="1"/>
    <col min="3065" max="3065" width="9.77734375" style="19" customWidth="1"/>
    <col min="3066" max="3066" width="14.44140625" style="19" customWidth="1"/>
    <col min="3067" max="3067" width="7.21875" style="19" customWidth="1"/>
    <col min="3068" max="3068" width="5.5546875" style="19" customWidth="1"/>
    <col min="3069" max="3069" width="9" style="19" customWidth="1"/>
    <col min="3070" max="3071" width="9.77734375" style="19" customWidth="1"/>
    <col min="3072" max="3072" width="11.21875" style="19" customWidth="1"/>
    <col min="3073" max="3073" width="2.77734375" style="19" customWidth="1"/>
    <col min="3074" max="3074" width="3.5546875" style="19" customWidth="1"/>
    <col min="3075" max="3319" width="9.21875" style="19"/>
    <col min="3320" max="3320" width="8.77734375" style="19" customWidth="1"/>
    <col min="3321" max="3321" width="9.77734375" style="19" customWidth="1"/>
    <col min="3322" max="3322" width="14.44140625" style="19" customWidth="1"/>
    <col min="3323" max="3323" width="7.21875" style="19" customWidth="1"/>
    <col min="3324" max="3324" width="5.5546875" style="19" customWidth="1"/>
    <col min="3325" max="3325" width="9" style="19" customWidth="1"/>
    <col min="3326" max="3327" width="9.77734375" style="19" customWidth="1"/>
    <col min="3328" max="3328" width="11.21875" style="19" customWidth="1"/>
    <col min="3329" max="3329" width="2.77734375" style="19" customWidth="1"/>
    <col min="3330" max="3330" width="3.5546875" style="19" customWidth="1"/>
    <col min="3331" max="3575" width="9.21875" style="19"/>
    <col min="3576" max="3576" width="8.77734375" style="19" customWidth="1"/>
    <col min="3577" max="3577" width="9.77734375" style="19" customWidth="1"/>
    <col min="3578" max="3578" width="14.44140625" style="19" customWidth="1"/>
    <col min="3579" max="3579" width="7.21875" style="19" customWidth="1"/>
    <col min="3580" max="3580" width="5.5546875" style="19" customWidth="1"/>
    <col min="3581" max="3581" width="9" style="19" customWidth="1"/>
    <col min="3582" max="3583" width="9.77734375" style="19" customWidth="1"/>
    <col min="3584" max="3584" width="11.21875" style="19" customWidth="1"/>
    <col min="3585" max="3585" width="2.77734375" style="19" customWidth="1"/>
    <col min="3586" max="3586" width="3.5546875" style="19" customWidth="1"/>
    <col min="3587" max="3831" width="9.21875" style="19"/>
    <col min="3832" max="3832" width="8.77734375" style="19" customWidth="1"/>
    <col min="3833" max="3833" width="9.77734375" style="19" customWidth="1"/>
    <col min="3834" max="3834" width="14.44140625" style="19" customWidth="1"/>
    <col min="3835" max="3835" width="7.21875" style="19" customWidth="1"/>
    <col min="3836" max="3836" width="5.5546875" style="19" customWidth="1"/>
    <col min="3837" max="3837" width="9" style="19" customWidth="1"/>
    <col min="3838" max="3839" width="9.77734375" style="19" customWidth="1"/>
    <col min="3840" max="3840" width="11.21875" style="19" customWidth="1"/>
    <col min="3841" max="3841" width="2.77734375" style="19" customWidth="1"/>
    <col min="3842" max="3842" width="3.5546875" style="19" customWidth="1"/>
    <col min="3843" max="4087" width="9.21875" style="19"/>
    <col min="4088" max="4088" width="8.77734375" style="19" customWidth="1"/>
    <col min="4089" max="4089" width="9.77734375" style="19" customWidth="1"/>
    <col min="4090" max="4090" width="14.44140625" style="19" customWidth="1"/>
    <col min="4091" max="4091" width="7.21875" style="19" customWidth="1"/>
    <col min="4092" max="4092" width="5.5546875" style="19" customWidth="1"/>
    <col min="4093" max="4093" width="9" style="19" customWidth="1"/>
    <col min="4094" max="4095" width="9.77734375" style="19" customWidth="1"/>
    <col min="4096" max="4096" width="11.21875" style="19" customWidth="1"/>
    <col min="4097" max="4097" width="2.77734375" style="19" customWidth="1"/>
    <col min="4098" max="4098" width="3.5546875" style="19" customWidth="1"/>
    <col min="4099" max="4343" width="9.21875" style="19"/>
    <col min="4344" max="4344" width="8.77734375" style="19" customWidth="1"/>
    <col min="4345" max="4345" width="9.77734375" style="19" customWidth="1"/>
    <col min="4346" max="4346" width="14.44140625" style="19" customWidth="1"/>
    <col min="4347" max="4347" width="7.21875" style="19" customWidth="1"/>
    <col min="4348" max="4348" width="5.5546875" style="19" customWidth="1"/>
    <col min="4349" max="4349" width="9" style="19" customWidth="1"/>
    <col min="4350" max="4351" width="9.77734375" style="19" customWidth="1"/>
    <col min="4352" max="4352" width="11.21875" style="19" customWidth="1"/>
    <col min="4353" max="4353" width="2.77734375" style="19" customWidth="1"/>
    <col min="4354" max="4354" width="3.5546875" style="19" customWidth="1"/>
    <col min="4355" max="4599" width="9.21875" style="19"/>
    <col min="4600" max="4600" width="8.77734375" style="19" customWidth="1"/>
    <col min="4601" max="4601" width="9.77734375" style="19" customWidth="1"/>
    <col min="4602" max="4602" width="14.44140625" style="19" customWidth="1"/>
    <col min="4603" max="4603" width="7.21875" style="19" customWidth="1"/>
    <col min="4604" max="4604" width="5.5546875" style="19" customWidth="1"/>
    <col min="4605" max="4605" width="9" style="19" customWidth="1"/>
    <col min="4606" max="4607" width="9.77734375" style="19" customWidth="1"/>
    <col min="4608" max="4608" width="11.21875" style="19" customWidth="1"/>
    <col min="4609" max="4609" width="2.77734375" style="19" customWidth="1"/>
    <col min="4610" max="4610" width="3.5546875" style="19" customWidth="1"/>
    <col min="4611" max="4855" width="9.21875" style="19"/>
    <col min="4856" max="4856" width="8.77734375" style="19" customWidth="1"/>
    <col min="4857" max="4857" width="9.77734375" style="19" customWidth="1"/>
    <col min="4858" max="4858" width="14.44140625" style="19" customWidth="1"/>
    <col min="4859" max="4859" width="7.21875" style="19" customWidth="1"/>
    <col min="4860" max="4860" width="5.5546875" style="19" customWidth="1"/>
    <col min="4861" max="4861" width="9" style="19" customWidth="1"/>
    <col min="4862" max="4863" width="9.77734375" style="19" customWidth="1"/>
    <col min="4864" max="4864" width="11.21875" style="19" customWidth="1"/>
    <col min="4865" max="4865" width="2.77734375" style="19" customWidth="1"/>
    <col min="4866" max="4866" width="3.5546875" style="19" customWidth="1"/>
    <col min="4867" max="5111" width="9.21875" style="19"/>
    <col min="5112" max="5112" width="8.77734375" style="19" customWidth="1"/>
    <col min="5113" max="5113" width="9.77734375" style="19" customWidth="1"/>
    <col min="5114" max="5114" width="14.44140625" style="19" customWidth="1"/>
    <col min="5115" max="5115" width="7.21875" style="19" customWidth="1"/>
    <col min="5116" max="5116" width="5.5546875" style="19" customWidth="1"/>
    <col min="5117" max="5117" width="9" style="19" customWidth="1"/>
    <col min="5118" max="5119" width="9.77734375" style="19" customWidth="1"/>
    <col min="5120" max="5120" width="11.21875" style="19" customWidth="1"/>
    <col min="5121" max="5121" width="2.77734375" style="19" customWidth="1"/>
    <col min="5122" max="5122" width="3.5546875" style="19" customWidth="1"/>
    <col min="5123" max="5367" width="9.21875" style="19"/>
    <col min="5368" max="5368" width="8.77734375" style="19" customWidth="1"/>
    <col min="5369" max="5369" width="9.77734375" style="19" customWidth="1"/>
    <col min="5370" max="5370" width="14.44140625" style="19" customWidth="1"/>
    <col min="5371" max="5371" width="7.21875" style="19" customWidth="1"/>
    <col min="5372" max="5372" width="5.5546875" style="19" customWidth="1"/>
    <col min="5373" max="5373" width="9" style="19" customWidth="1"/>
    <col min="5374" max="5375" width="9.77734375" style="19" customWidth="1"/>
    <col min="5376" max="5376" width="11.21875" style="19" customWidth="1"/>
    <col min="5377" max="5377" width="2.77734375" style="19" customWidth="1"/>
    <col min="5378" max="5378" width="3.5546875" style="19" customWidth="1"/>
    <col min="5379" max="5623" width="9.21875" style="19"/>
    <col min="5624" max="5624" width="8.77734375" style="19" customWidth="1"/>
    <col min="5625" max="5625" width="9.77734375" style="19" customWidth="1"/>
    <col min="5626" max="5626" width="14.44140625" style="19" customWidth="1"/>
    <col min="5627" max="5627" width="7.21875" style="19" customWidth="1"/>
    <col min="5628" max="5628" width="5.5546875" style="19" customWidth="1"/>
    <col min="5629" max="5629" width="9" style="19" customWidth="1"/>
    <col min="5630" max="5631" width="9.77734375" style="19" customWidth="1"/>
    <col min="5632" max="5632" width="11.21875" style="19" customWidth="1"/>
    <col min="5633" max="5633" width="2.77734375" style="19" customWidth="1"/>
    <col min="5634" max="5634" width="3.5546875" style="19" customWidth="1"/>
    <col min="5635" max="5879" width="9.21875" style="19"/>
    <col min="5880" max="5880" width="8.77734375" style="19" customWidth="1"/>
    <col min="5881" max="5881" width="9.77734375" style="19" customWidth="1"/>
    <col min="5882" max="5882" width="14.44140625" style="19" customWidth="1"/>
    <col min="5883" max="5883" width="7.21875" style="19" customWidth="1"/>
    <col min="5884" max="5884" width="5.5546875" style="19" customWidth="1"/>
    <col min="5885" max="5885" width="9" style="19" customWidth="1"/>
    <col min="5886" max="5887" width="9.77734375" style="19" customWidth="1"/>
    <col min="5888" max="5888" width="11.21875" style="19" customWidth="1"/>
    <col min="5889" max="5889" width="2.77734375" style="19" customWidth="1"/>
    <col min="5890" max="5890" width="3.5546875" style="19" customWidth="1"/>
    <col min="5891" max="6135" width="9.21875" style="19"/>
    <col min="6136" max="6136" width="8.77734375" style="19" customWidth="1"/>
    <col min="6137" max="6137" width="9.77734375" style="19" customWidth="1"/>
    <col min="6138" max="6138" width="14.44140625" style="19" customWidth="1"/>
    <col min="6139" max="6139" width="7.21875" style="19" customWidth="1"/>
    <col min="6140" max="6140" width="5.5546875" style="19" customWidth="1"/>
    <col min="6141" max="6141" width="9" style="19" customWidth="1"/>
    <col min="6142" max="6143" width="9.77734375" style="19" customWidth="1"/>
    <col min="6144" max="6144" width="11.21875" style="19" customWidth="1"/>
    <col min="6145" max="6145" width="2.77734375" style="19" customWidth="1"/>
    <col min="6146" max="6146" width="3.5546875" style="19" customWidth="1"/>
    <col min="6147" max="6391" width="9.21875" style="19"/>
    <col min="6392" max="6392" width="8.77734375" style="19" customWidth="1"/>
    <col min="6393" max="6393" width="9.77734375" style="19" customWidth="1"/>
    <col min="6394" max="6394" width="14.44140625" style="19" customWidth="1"/>
    <col min="6395" max="6395" width="7.21875" style="19" customWidth="1"/>
    <col min="6396" max="6396" width="5.5546875" style="19" customWidth="1"/>
    <col min="6397" max="6397" width="9" style="19" customWidth="1"/>
    <col min="6398" max="6399" width="9.77734375" style="19" customWidth="1"/>
    <col min="6400" max="6400" width="11.21875" style="19" customWidth="1"/>
    <col min="6401" max="6401" width="2.77734375" style="19" customWidth="1"/>
    <col min="6402" max="6402" width="3.5546875" style="19" customWidth="1"/>
    <col min="6403" max="6647" width="9.21875" style="19"/>
    <col min="6648" max="6648" width="8.77734375" style="19" customWidth="1"/>
    <col min="6649" max="6649" width="9.77734375" style="19" customWidth="1"/>
    <col min="6650" max="6650" width="14.44140625" style="19" customWidth="1"/>
    <col min="6651" max="6651" width="7.21875" style="19" customWidth="1"/>
    <col min="6652" max="6652" width="5.5546875" style="19" customWidth="1"/>
    <col min="6653" max="6653" width="9" style="19" customWidth="1"/>
    <col min="6654" max="6655" width="9.77734375" style="19" customWidth="1"/>
    <col min="6656" max="6656" width="11.21875" style="19" customWidth="1"/>
    <col min="6657" max="6657" width="2.77734375" style="19" customWidth="1"/>
    <col min="6658" max="6658" width="3.5546875" style="19" customWidth="1"/>
    <col min="6659" max="6903" width="9.21875" style="19"/>
    <col min="6904" max="6904" width="8.77734375" style="19" customWidth="1"/>
    <col min="6905" max="6905" width="9.77734375" style="19" customWidth="1"/>
    <col min="6906" max="6906" width="14.44140625" style="19" customWidth="1"/>
    <col min="6907" max="6907" width="7.21875" style="19" customWidth="1"/>
    <col min="6908" max="6908" width="5.5546875" style="19" customWidth="1"/>
    <col min="6909" max="6909" width="9" style="19" customWidth="1"/>
    <col min="6910" max="6911" width="9.77734375" style="19" customWidth="1"/>
    <col min="6912" max="6912" width="11.21875" style="19" customWidth="1"/>
    <col min="6913" max="6913" width="2.77734375" style="19" customWidth="1"/>
    <col min="6914" max="6914" width="3.5546875" style="19" customWidth="1"/>
    <col min="6915" max="7159" width="9.21875" style="19"/>
    <col min="7160" max="7160" width="8.77734375" style="19" customWidth="1"/>
    <col min="7161" max="7161" width="9.77734375" style="19" customWidth="1"/>
    <col min="7162" max="7162" width="14.44140625" style="19" customWidth="1"/>
    <col min="7163" max="7163" width="7.21875" style="19" customWidth="1"/>
    <col min="7164" max="7164" width="5.5546875" style="19" customWidth="1"/>
    <col min="7165" max="7165" width="9" style="19" customWidth="1"/>
    <col min="7166" max="7167" width="9.77734375" style="19" customWidth="1"/>
    <col min="7168" max="7168" width="11.21875" style="19" customWidth="1"/>
    <col min="7169" max="7169" width="2.77734375" style="19" customWidth="1"/>
    <col min="7170" max="7170" width="3.5546875" style="19" customWidth="1"/>
    <col min="7171" max="7415" width="9.21875" style="19"/>
    <col min="7416" max="7416" width="8.77734375" style="19" customWidth="1"/>
    <col min="7417" max="7417" width="9.77734375" style="19" customWidth="1"/>
    <col min="7418" max="7418" width="14.44140625" style="19" customWidth="1"/>
    <col min="7419" max="7419" width="7.21875" style="19" customWidth="1"/>
    <col min="7420" max="7420" width="5.5546875" style="19" customWidth="1"/>
    <col min="7421" max="7421" width="9" style="19" customWidth="1"/>
    <col min="7422" max="7423" width="9.77734375" style="19" customWidth="1"/>
    <col min="7424" max="7424" width="11.21875" style="19" customWidth="1"/>
    <col min="7425" max="7425" width="2.77734375" style="19" customWidth="1"/>
    <col min="7426" max="7426" width="3.5546875" style="19" customWidth="1"/>
    <col min="7427" max="7671" width="9.21875" style="19"/>
    <col min="7672" max="7672" width="8.77734375" style="19" customWidth="1"/>
    <col min="7673" max="7673" width="9.77734375" style="19" customWidth="1"/>
    <col min="7674" max="7674" width="14.44140625" style="19" customWidth="1"/>
    <col min="7675" max="7675" width="7.21875" style="19" customWidth="1"/>
    <col min="7676" max="7676" width="5.5546875" style="19" customWidth="1"/>
    <col min="7677" max="7677" width="9" style="19" customWidth="1"/>
    <col min="7678" max="7679" width="9.77734375" style="19" customWidth="1"/>
    <col min="7680" max="7680" width="11.21875" style="19" customWidth="1"/>
    <col min="7681" max="7681" width="2.77734375" style="19" customWidth="1"/>
    <col min="7682" max="7682" width="3.5546875" style="19" customWidth="1"/>
    <col min="7683" max="7927" width="9.21875" style="19"/>
    <col min="7928" max="7928" width="8.77734375" style="19" customWidth="1"/>
    <col min="7929" max="7929" width="9.77734375" style="19" customWidth="1"/>
    <col min="7930" max="7930" width="14.44140625" style="19" customWidth="1"/>
    <col min="7931" max="7931" width="7.21875" style="19" customWidth="1"/>
    <col min="7932" max="7932" width="5.5546875" style="19" customWidth="1"/>
    <col min="7933" max="7933" width="9" style="19" customWidth="1"/>
    <col min="7934" max="7935" width="9.77734375" style="19" customWidth="1"/>
    <col min="7936" max="7936" width="11.21875" style="19" customWidth="1"/>
    <col min="7937" max="7937" width="2.77734375" style="19" customWidth="1"/>
    <col min="7938" max="7938" width="3.5546875" style="19" customWidth="1"/>
    <col min="7939" max="8183" width="9.21875" style="19"/>
    <col min="8184" max="8184" width="8.77734375" style="19" customWidth="1"/>
    <col min="8185" max="8185" width="9.77734375" style="19" customWidth="1"/>
    <col min="8186" max="8186" width="14.44140625" style="19" customWidth="1"/>
    <col min="8187" max="8187" width="7.21875" style="19" customWidth="1"/>
    <col min="8188" max="8188" width="5.5546875" style="19" customWidth="1"/>
    <col min="8189" max="8189" width="9" style="19" customWidth="1"/>
    <col min="8190" max="8191" width="9.77734375" style="19" customWidth="1"/>
    <col min="8192" max="8192" width="11.21875" style="19" customWidth="1"/>
    <col min="8193" max="8193" width="2.77734375" style="19" customWidth="1"/>
    <col min="8194" max="8194" width="3.5546875" style="19" customWidth="1"/>
    <col min="8195" max="8439" width="9.21875" style="19"/>
    <col min="8440" max="8440" width="8.77734375" style="19" customWidth="1"/>
    <col min="8441" max="8441" width="9.77734375" style="19" customWidth="1"/>
    <col min="8442" max="8442" width="14.44140625" style="19" customWidth="1"/>
    <col min="8443" max="8443" width="7.21875" style="19" customWidth="1"/>
    <col min="8444" max="8444" width="5.5546875" style="19" customWidth="1"/>
    <col min="8445" max="8445" width="9" style="19" customWidth="1"/>
    <col min="8446" max="8447" width="9.77734375" style="19" customWidth="1"/>
    <col min="8448" max="8448" width="11.21875" style="19" customWidth="1"/>
    <col min="8449" max="8449" width="2.77734375" style="19" customWidth="1"/>
    <col min="8450" max="8450" width="3.5546875" style="19" customWidth="1"/>
    <col min="8451" max="8695" width="9.21875" style="19"/>
    <col min="8696" max="8696" width="8.77734375" style="19" customWidth="1"/>
    <col min="8697" max="8697" width="9.77734375" style="19" customWidth="1"/>
    <col min="8698" max="8698" width="14.44140625" style="19" customWidth="1"/>
    <col min="8699" max="8699" width="7.21875" style="19" customWidth="1"/>
    <col min="8700" max="8700" width="5.5546875" style="19" customWidth="1"/>
    <col min="8701" max="8701" width="9" style="19" customWidth="1"/>
    <col min="8702" max="8703" width="9.77734375" style="19" customWidth="1"/>
    <col min="8704" max="8704" width="11.21875" style="19" customWidth="1"/>
    <col min="8705" max="8705" width="2.77734375" style="19" customWidth="1"/>
    <col min="8706" max="8706" width="3.5546875" style="19" customWidth="1"/>
    <col min="8707" max="8951" width="9.21875" style="19"/>
    <col min="8952" max="8952" width="8.77734375" style="19" customWidth="1"/>
    <col min="8953" max="8953" width="9.77734375" style="19" customWidth="1"/>
    <col min="8954" max="8954" width="14.44140625" style="19" customWidth="1"/>
    <col min="8955" max="8955" width="7.21875" style="19" customWidth="1"/>
    <col min="8956" max="8956" width="5.5546875" style="19" customWidth="1"/>
    <col min="8957" max="8957" width="9" style="19" customWidth="1"/>
    <col min="8958" max="8959" width="9.77734375" style="19" customWidth="1"/>
    <col min="8960" max="8960" width="11.21875" style="19" customWidth="1"/>
    <col min="8961" max="8961" width="2.77734375" style="19" customWidth="1"/>
    <col min="8962" max="8962" width="3.5546875" style="19" customWidth="1"/>
    <col min="8963" max="9207" width="9.21875" style="19"/>
    <col min="9208" max="9208" width="8.77734375" style="19" customWidth="1"/>
    <col min="9209" max="9209" width="9.77734375" style="19" customWidth="1"/>
    <col min="9210" max="9210" width="14.44140625" style="19" customWidth="1"/>
    <col min="9211" max="9211" width="7.21875" style="19" customWidth="1"/>
    <col min="9212" max="9212" width="5.5546875" style="19" customWidth="1"/>
    <col min="9213" max="9213" width="9" style="19" customWidth="1"/>
    <col min="9214" max="9215" width="9.77734375" style="19" customWidth="1"/>
    <col min="9216" max="9216" width="11.21875" style="19" customWidth="1"/>
    <col min="9217" max="9217" width="2.77734375" style="19" customWidth="1"/>
    <col min="9218" max="9218" width="3.5546875" style="19" customWidth="1"/>
    <col min="9219" max="9463" width="9.21875" style="19"/>
    <col min="9464" max="9464" width="8.77734375" style="19" customWidth="1"/>
    <col min="9465" max="9465" width="9.77734375" style="19" customWidth="1"/>
    <col min="9466" max="9466" width="14.44140625" style="19" customWidth="1"/>
    <col min="9467" max="9467" width="7.21875" style="19" customWidth="1"/>
    <col min="9468" max="9468" width="5.5546875" style="19" customWidth="1"/>
    <col min="9469" max="9469" width="9" style="19" customWidth="1"/>
    <col min="9470" max="9471" width="9.77734375" style="19" customWidth="1"/>
    <col min="9472" max="9472" width="11.21875" style="19" customWidth="1"/>
    <col min="9473" max="9473" width="2.77734375" style="19" customWidth="1"/>
    <col min="9474" max="9474" width="3.5546875" style="19" customWidth="1"/>
    <col min="9475" max="9719" width="9.21875" style="19"/>
    <col min="9720" max="9720" width="8.77734375" style="19" customWidth="1"/>
    <col min="9721" max="9721" width="9.77734375" style="19" customWidth="1"/>
    <col min="9722" max="9722" width="14.44140625" style="19" customWidth="1"/>
    <col min="9723" max="9723" width="7.21875" style="19" customWidth="1"/>
    <col min="9724" max="9724" width="5.5546875" style="19" customWidth="1"/>
    <col min="9725" max="9725" width="9" style="19" customWidth="1"/>
    <col min="9726" max="9727" width="9.77734375" style="19" customWidth="1"/>
    <col min="9728" max="9728" width="11.21875" style="19" customWidth="1"/>
    <col min="9729" max="9729" width="2.77734375" style="19" customWidth="1"/>
    <col min="9730" max="9730" width="3.5546875" style="19" customWidth="1"/>
    <col min="9731" max="9975" width="9.21875" style="19"/>
    <col min="9976" max="9976" width="8.77734375" style="19" customWidth="1"/>
    <col min="9977" max="9977" width="9.77734375" style="19" customWidth="1"/>
    <col min="9978" max="9978" width="14.44140625" style="19" customWidth="1"/>
    <col min="9979" max="9979" width="7.21875" style="19" customWidth="1"/>
    <col min="9980" max="9980" width="5.5546875" style="19" customWidth="1"/>
    <col min="9981" max="9981" width="9" style="19" customWidth="1"/>
    <col min="9982" max="9983" width="9.77734375" style="19" customWidth="1"/>
    <col min="9984" max="9984" width="11.21875" style="19" customWidth="1"/>
    <col min="9985" max="9985" width="2.77734375" style="19" customWidth="1"/>
    <col min="9986" max="9986" width="3.5546875" style="19" customWidth="1"/>
    <col min="9987" max="10231" width="9.21875" style="19"/>
    <col min="10232" max="10232" width="8.77734375" style="19" customWidth="1"/>
    <col min="10233" max="10233" width="9.77734375" style="19" customWidth="1"/>
    <col min="10234" max="10234" width="14.44140625" style="19" customWidth="1"/>
    <col min="10235" max="10235" width="7.21875" style="19" customWidth="1"/>
    <col min="10236" max="10236" width="5.5546875" style="19" customWidth="1"/>
    <col min="10237" max="10237" width="9" style="19" customWidth="1"/>
    <col min="10238" max="10239" width="9.77734375" style="19" customWidth="1"/>
    <col min="10240" max="10240" width="11.21875" style="19" customWidth="1"/>
    <col min="10241" max="10241" width="2.77734375" style="19" customWidth="1"/>
    <col min="10242" max="10242" width="3.5546875" style="19" customWidth="1"/>
    <col min="10243" max="10487" width="9.21875" style="19"/>
    <col min="10488" max="10488" width="8.77734375" style="19" customWidth="1"/>
    <col min="10489" max="10489" width="9.77734375" style="19" customWidth="1"/>
    <col min="10490" max="10490" width="14.44140625" style="19" customWidth="1"/>
    <col min="10491" max="10491" width="7.21875" style="19" customWidth="1"/>
    <col min="10492" max="10492" width="5.5546875" style="19" customWidth="1"/>
    <col min="10493" max="10493" width="9" style="19" customWidth="1"/>
    <col min="10494" max="10495" width="9.77734375" style="19" customWidth="1"/>
    <col min="10496" max="10496" width="11.21875" style="19" customWidth="1"/>
    <col min="10497" max="10497" width="2.77734375" style="19" customWidth="1"/>
    <col min="10498" max="10498" width="3.5546875" style="19" customWidth="1"/>
    <col min="10499" max="10743" width="9.21875" style="19"/>
    <col min="10744" max="10744" width="8.77734375" style="19" customWidth="1"/>
    <col min="10745" max="10745" width="9.77734375" style="19" customWidth="1"/>
    <col min="10746" max="10746" width="14.44140625" style="19" customWidth="1"/>
    <col min="10747" max="10747" width="7.21875" style="19" customWidth="1"/>
    <col min="10748" max="10748" width="5.5546875" style="19" customWidth="1"/>
    <col min="10749" max="10749" width="9" style="19" customWidth="1"/>
    <col min="10750" max="10751" width="9.77734375" style="19" customWidth="1"/>
    <col min="10752" max="10752" width="11.21875" style="19" customWidth="1"/>
    <col min="10753" max="10753" width="2.77734375" style="19" customWidth="1"/>
    <col min="10754" max="10754" width="3.5546875" style="19" customWidth="1"/>
    <col min="10755" max="10999" width="9.21875" style="19"/>
    <col min="11000" max="11000" width="8.77734375" style="19" customWidth="1"/>
    <col min="11001" max="11001" width="9.77734375" style="19" customWidth="1"/>
    <col min="11002" max="11002" width="14.44140625" style="19" customWidth="1"/>
    <col min="11003" max="11003" width="7.21875" style="19" customWidth="1"/>
    <col min="11004" max="11004" width="5.5546875" style="19" customWidth="1"/>
    <col min="11005" max="11005" width="9" style="19" customWidth="1"/>
    <col min="11006" max="11007" width="9.77734375" style="19" customWidth="1"/>
    <col min="11008" max="11008" width="11.21875" style="19" customWidth="1"/>
    <col min="11009" max="11009" width="2.77734375" style="19" customWidth="1"/>
    <col min="11010" max="11010" width="3.5546875" style="19" customWidth="1"/>
    <col min="11011" max="11255" width="9.21875" style="19"/>
    <col min="11256" max="11256" width="8.77734375" style="19" customWidth="1"/>
    <col min="11257" max="11257" width="9.77734375" style="19" customWidth="1"/>
    <col min="11258" max="11258" width="14.44140625" style="19" customWidth="1"/>
    <col min="11259" max="11259" width="7.21875" style="19" customWidth="1"/>
    <col min="11260" max="11260" width="5.5546875" style="19" customWidth="1"/>
    <col min="11261" max="11261" width="9" style="19" customWidth="1"/>
    <col min="11262" max="11263" width="9.77734375" style="19" customWidth="1"/>
    <col min="11264" max="11264" width="11.21875" style="19" customWidth="1"/>
    <col min="11265" max="11265" width="2.77734375" style="19" customWidth="1"/>
    <col min="11266" max="11266" width="3.5546875" style="19" customWidth="1"/>
    <col min="11267" max="11511" width="9.21875" style="19"/>
    <col min="11512" max="11512" width="8.77734375" style="19" customWidth="1"/>
    <col min="11513" max="11513" width="9.77734375" style="19" customWidth="1"/>
    <col min="11514" max="11514" width="14.44140625" style="19" customWidth="1"/>
    <col min="11515" max="11515" width="7.21875" style="19" customWidth="1"/>
    <col min="11516" max="11516" width="5.5546875" style="19" customWidth="1"/>
    <col min="11517" max="11517" width="9" style="19" customWidth="1"/>
    <col min="11518" max="11519" width="9.77734375" style="19" customWidth="1"/>
    <col min="11520" max="11520" width="11.21875" style="19" customWidth="1"/>
    <col min="11521" max="11521" width="2.77734375" style="19" customWidth="1"/>
    <col min="11522" max="11522" width="3.5546875" style="19" customWidth="1"/>
    <col min="11523" max="11767" width="9.21875" style="19"/>
    <col min="11768" max="11768" width="8.77734375" style="19" customWidth="1"/>
    <col min="11769" max="11769" width="9.77734375" style="19" customWidth="1"/>
    <col min="11770" max="11770" width="14.44140625" style="19" customWidth="1"/>
    <col min="11771" max="11771" width="7.21875" style="19" customWidth="1"/>
    <col min="11772" max="11772" width="5.5546875" style="19" customWidth="1"/>
    <col min="11773" max="11773" width="9" style="19" customWidth="1"/>
    <col min="11774" max="11775" width="9.77734375" style="19" customWidth="1"/>
    <col min="11776" max="11776" width="11.21875" style="19" customWidth="1"/>
    <col min="11777" max="11777" width="2.77734375" style="19" customWidth="1"/>
    <col min="11778" max="11778" width="3.5546875" style="19" customWidth="1"/>
    <col min="11779" max="12023" width="9.21875" style="19"/>
    <col min="12024" max="12024" width="8.77734375" style="19" customWidth="1"/>
    <col min="12025" max="12025" width="9.77734375" style="19" customWidth="1"/>
    <col min="12026" max="12026" width="14.44140625" style="19" customWidth="1"/>
    <col min="12027" max="12027" width="7.21875" style="19" customWidth="1"/>
    <col min="12028" max="12028" width="5.5546875" style="19" customWidth="1"/>
    <col min="12029" max="12029" width="9" style="19" customWidth="1"/>
    <col min="12030" max="12031" width="9.77734375" style="19" customWidth="1"/>
    <col min="12032" max="12032" width="11.21875" style="19" customWidth="1"/>
    <col min="12033" max="12033" width="2.77734375" style="19" customWidth="1"/>
    <col min="12034" max="12034" width="3.5546875" style="19" customWidth="1"/>
    <col min="12035" max="12279" width="9.21875" style="19"/>
    <col min="12280" max="12280" width="8.77734375" style="19" customWidth="1"/>
    <col min="12281" max="12281" width="9.77734375" style="19" customWidth="1"/>
    <col min="12282" max="12282" width="14.44140625" style="19" customWidth="1"/>
    <col min="12283" max="12283" width="7.21875" style="19" customWidth="1"/>
    <col min="12284" max="12284" width="5.5546875" style="19" customWidth="1"/>
    <col min="12285" max="12285" width="9" style="19" customWidth="1"/>
    <col min="12286" max="12287" width="9.77734375" style="19" customWidth="1"/>
    <col min="12288" max="12288" width="11.21875" style="19" customWidth="1"/>
    <col min="12289" max="12289" width="2.77734375" style="19" customWidth="1"/>
    <col min="12290" max="12290" width="3.5546875" style="19" customWidth="1"/>
    <col min="12291" max="12535" width="9.21875" style="19"/>
    <col min="12536" max="12536" width="8.77734375" style="19" customWidth="1"/>
    <col min="12537" max="12537" width="9.77734375" style="19" customWidth="1"/>
    <col min="12538" max="12538" width="14.44140625" style="19" customWidth="1"/>
    <col min="12539" max="12539" width="7.21875" style="19" customWidth="1"/>
    <col min="12540" max="12540" width="5.5546875" style="19" customWidth="1"/>
    <col min="12541" max="12541" width="9" style="19" customWidth="1"/>
    <col min="12542" max="12543" width="9.77734375" style="19" customWidth="1"/>
    <col min="12544" max="12544" width="11.21875" style="19" customWidth="1"/>
    <col min="12545" max="12545" width="2.77734375" style="19" customWidth="1"/>
    <col min="12546" max="12546" width="3.5546875" style="19" customWidth="1"/>
    <col min="12547" max="12791" width="9.21875" style="19"/>
    <col min="12792" max="12792" width="8.77734375" style="19" customWidth="1"/>
    <col min="12793" max="12793" width="9.77734375" style="19" customWidth="1"/>
    <col min="12794" max="12794" width="14.44140625" style="19" customWidth="1"/>
    <col min="12795" max="12795" width="7.21875" style="19" customWidth="1"/>
    <col min="12796" max="12796" width="5.5546875" style="19" customWidth="1"/>
    <col min="12797" max="12797" width="9" style="19" customWidth="1"/>
    <col min="12798" max="12799" width="9.77734375" style="19" customWidth="1"/>
    <col min="12800" max="12800" width="11.21875" style="19" customWidth="1"/>
    <col min="12801" max="12801" width="2.77734375" style="19" customWidth="1"/>
    <col min="12802" max="12802" width="3.5546875" style="19" customWidth="1"/>
    <col min="12803" max="13047" width="9.21875" style="19"/>
    <col min="13048" max="13048" width="8.77734375" style="19" customWidth="1"/>
    <col min="13049" max="13049" width="9.77734375" style="19" customWidth="1"/>
    <col min="13050" max="13050" width="14.44140625" style="19" customWidth="1"/>
    <col min="13051" max="13051" width="7.21875" style="19" customWidth="1"/>
    <col min="13052" max="13052" width="5.5546875" style="19" customWidth="1"/>
    <col min="13053" max="13053" width="9" style="19" customWidth="1"/>
    <col min="13054" max="13055" width="9.77734375" style="19" customWidth="1"/>
    <col min="13056" max="13056" width="11.21875" style="19" customWidth="1"/>
    <col min="13057" max="13057" width="2.77734375" style="19" customWidth="1"/>
    <col min="13058" max="13058" width="3.5546875" style="19" customWidth="1"/>
    <col min="13059" max="13303" width="9.21875" style="19"/>
    <col min="13304" max="13304" width="8.77734375" style="19" customWidth="1"/>
    <col min="13305" max="13305" width="9.77734375" style="19" customWidth="1"/>
    <col min="13306" max="13306" width="14.44140625" style="19" customWidth="1"/>
    <col min="13307" max="13307" width="7.21875" style="19" customWidth="1"/>
    <col min="13308" max="13308" width="5.5546875" style="19" customWidth="1"/>
    <col min="13309" max="13309" width="9" style="19" customWidth="1"/>
    <col min="13310" max="13311" width="9.77734375" style="19" customWidth="1"/>
    <col min="13312" max="13312" width="11.21875" style="19" customWidth="1"/>
    <col min="13313" max="13313" width="2.77734375" style="19" customWidth="1"/>
    <col min="13314" max="13314" width="3.5546875" style="19" customWidth="1"/>
    <col min="13315" max="13559" width="9.21875" style="19"/>
    <col min="13560" max="13560" width="8.77734375" style="19" customWidth="1"/>
    <col min="13561" max="13561" width="9.77734375" style="19" customWidth="1"/>
    <col min="13562" max="13562" width="14.44140625" style="19" customWidth="1"/>
    <col min="13563" max="13563" width="7.21875" style="19" customWidth="1"/>
    <col min="13564" max="13564" width="5.5546875" style="19" customWidth="1"/>
    <col min="13565" max="13565" width="9" style="19" customWidth="1"/>
    <col min="13566" max="13567" width="9.77734375" style="19" customWidth="1"/>
    <col min="13568" max="13568" width="11.21875" style="19" customWidth="1"/>
    <col min="13569" max="13569" width="2.77734375" style="19" customWidth="1"/>
    <col min="13570" max="13570" width="3.5546875" style="19" customWidth="1"/>
    <col min="13571" max="13815" width="9.21875" style="19"/>
    <col min="13816" max="13816" width="8.77734375" style="19" customWidth="1"/>
    <col min="13817" max="13817" width="9.77734375" style="19" customWidth="1"/>
    <col min="13818" max="13818" width="14.44140625" style="19" customWidth="1"/>
    <col min="13819" max="13819" width="7.21875" style="19" customWidth="1"/>
    <col min="13820" max="13820" width="5.5546875" style="19" customWidth="1"/>
    <col min="13821" max="13821" width="9" style="19" customWidth="1"/>
    <col min="13822" max="13823" width="9.77734375" style="19" customWidth="1"/>
    <col min="13824" max="13824" width="11.21875" style="19" customWidth="1"/>
    <col min="13825" max="13825" width="2.77734375" style="19" customWidth="1"/>
    <col min="13826" max="13826" width="3.5546875" style="19" customWidth="1"/>
    <col min="13827" max="14071" width="9.21875" style="19"/>
    <col min="14072" max="14072" width="8.77734375" style="19" customWidth="1"/>
    <col min="14073" max="14073" width="9.77734375" style="19" customWidth="1"/>
    <col min="14074" max="14074" width="14.44140625" style="19" customWidth="1"/>
    <col min="14075" max="14075" width="7.21875" style="19" customWidth="1"/>
    <col min="14076" max="14076" width="5.5546875" style="19" customWidth="1"/>
    <col min="14077" max="14077" width="9" style="19" customWidth="1"/>
    <col min="14078" max="14079" width="9.77734375" style="19" customWidth="1"/>
    <col min="14080" max="14080" width="11.21875" style="19" customWidth="1"/>
    <col min="14081" max="14081" width="2.77734375" style="19" customWidth="1"/>
    <col min="14082" max="14082" width="3.5546875" style="19" customWidth="1"/>
    <col min="14083" max="14327" width="9.21875" style="19"/>
    <col min="14328" max="14328" width="8.77734375" style="19" customWidth="1"/>
    <col min="14329" max="14329" width="9.77734375" style="19" customWidth="1"/>
    <col min="14330" max="14330" width="14.44140625" style="19" customWidth="1"/>
    <col min="14331" max="14331" width="7.21875" style="19" customWidth="1"/>
    <col min="14332" max="14332" width="5.5546875" style="19" customWidth="1"/>
    <col min="14333" max="14333" width="9" style="19" customWidth="1"/>
    <col min="14334" max="14335" width="9.77734375" style="19" customWidth="1"/>
    <col min="14336" max="14336" width="11.21875" style="19" customWidth="1"/>
    <col min="14337" max="14337" width="2.77734375" style="19" customWidth="1"/>
    <col min="14338" max="14338" width="3.5546875" style="19" customWidth="1"/>
    <col min="14339" max="14583" width="9.21875" style="19"/>
    <col min="14584" max="14584" width="8.77734375" style="19" customWidth="1"/>
    <col min="14585" max="14585" width="9.77734375" style="19" customWidth="1"/>
    <col min="14586" max="14586" width="14.44140625" style="19" customWidth="1"/>
    <col min="14587" max="14587" width="7.21875" style="19" customWidth="1"/>
    <col min="14588" max="14588" width="5.5546875" style="19" customWidth="1"/>
    <col min="14589" max="14589" width="9" style="19" customWidth="1"/>
    <col min="14590" max="14591" width="9.77734375" style="19" customWidth="1"/>
    <col min="14592" max="14592" width="11.21875" style="19" customWidth="1"/>
    <col min="14593" max="14593" width="2.77734375" style="19" customWidth="1"/>
    <col min="14594" max="14594" width="3.5546875" style="19" customWidth="1"/>
    <col min="14595" max="14839" width="9.21875" style="19"/>
    <col min="14840" max="14840" width="8.77734375" style="19" customWidth="1"/>
    <col min="14841" max="14841" width="9.77734375" style="19" customWidth="1"/>
    <col min="14842" max="14842" width="14.44140625" style="19" customWidth="1"/>
    <col min="14843" max="14843" width="7.21875" style="19" customWidth="1"/>
    <col min="14844" max="14844" width="5.5546875" style="19" customWidth="1"/>
    <col min="14845" max="14845" width="9" style="19" customWidth="1"/>
    <col min="14846" max="14847" width="9.77734375" style="19" customWidth="1"/>
    <col min="14848" max="14848" width="11.21875" style="19" customWidth="1"/>
    <col min="14849" max="14849" width="2.77734375" style="19" customWidth="1"/>
    <col min="14850" max="14850" width="3.5546875" style="19" customWidth="1"/>
    <col min="14851" max="15095" width="9.21875" style="19"/>
    <col min="15096" max="15096" width="8.77734375" style="19" customWidth="1"/>
    <col min="15097" max="15097" width="9.77734375" style="19" customWidth="1"/>
    <col min="15098" max="15098" width="14.44140625" style="19" customWidth="1"/>
    <col min="15099" max="15099" width="7.21875" style="19" customWidth="1"/>
    <col min="15100" max="15100" width="5.5546875" style="19" customWidth="1"/>
    <col min="15101" max="15101" width="9" style="19" customWidth="1"/>
    <col min="15102" max="15103" width="9.77734375" style="19" customWidth="1"/>
    <col min="15104" max="15104" width="11.21875" style="19" customWidth="1"/>
    <col min="15105" max="15105" width="2.77734375" style="19" customWidth="1"/>
    <col min="15106" max="15106" width="3.5546875" style="19" customWidth="1"/>
    <col min="15107" max="15351" width="9.21875" style="19"/>
    <col min="15352" max="15352" width="8.77734375" style="19" customWidth="1"/>
    <col min="15353" max="15353" width="9.77734375" style="19" customWidth="1"/>
    <col min="15354" max="15354" width="14.44140625" style="19" customWidth="1"/>
    <col min="15355" max="15355" width="7.21875" style="19" customWidth="1"/>
    <col min="15356" max="15356" width="5.5546875" style="19" customWidth="1"/>
    <col min="15357" max="15357" width="9" style="19" customWidth="1"/>
    <col min="15358" max="15359" width="9.77734375" style="19" customWidth="1"/>
    <col min="15360" max="15360" width="11.21875" style="19" customWidth="1"/>
    <col min="15361" max="15361" width="2.77734375" style="19" customWidth="1"/>
    <col min="15362" max="15362" width="3.5546875" style="19" customWidth="1"/>
    <col min="15363" max="15607" width="9.21875" style="19"/>
    <col min="15608" max="15608" width="8.77734375" style="19" customWidth="1"/>
    <col min="15609" max="15609" width="9.77734375" style="19" customWidth="1"/>
    <col min="15610" max="15610" width="14.44140625" style="19" customWidth="1"/>
    <col min="15611" max="15611" width="7.21875" style="19" customWidth="1"/>
    <col min="15612" max="15612" width="5.5546875" style="19" customWidth="1"/>
    <col min="15613" max="15613" width="9" style="19" customWidth="1"/>
    <col min="15614" max="15615" width="9.77734375" style="19" customWidth="1"/>
    <col min="15616" max="15616" width="11.21875" style="19" customWidth="1"/>
    <col min="15617" max="15617" width="2.77734375" style="19" customWidth="1"/>
    <col min="15618" max="15618" width="3.5546875" style="19" customWidth="1"/>
    <col min="15619" max="15863" width="9.21875" style="19"/>
    <col min="15864" max="15864" width="8.77734375" style="19" customWidth="1"/>
    <col min="15865" max="15865" width="9.77734375" style="19" customWidth="1"/>
    <col min="15866" max="15866" width="14.44140625" style="19" customWidth="1"/>
    <col min="15867" max="15867" width="7.21875" style="19" customWidth="1"/>
    <col min="15868" max="15868" width="5.5546875" style="19" customWidth="1"/>
    <col min="15869" max="15869" width="9" style="19" customWidth="1"/>
    <col min="15870" max="15871" width="9.77734375" style="19" customWidth="1"/>
    <col min="15872" max="15872" width="11.21875" style="19" customWidth="1"/>
    <col min="15873" max="15873" width="2.77734375" style="19" customWidth="1"/>
    <col min="15874" max="15874" width="3.5546875" style="19" customWidth="1"/>
    <col min="15875" max="16119" width="9.21875" style="19"/>
    <col min="16120" max="16120" width="8.77734375" style="19" customWidth="1"/>
    <col min="16121" max="16121" width="9.77734375" style="19" customWidth="1"/>
    <col min="16122" max="16122" width="14.44140625" style="19" customWidth="1"/>
    <col min="16123" max="16123" width="7.21875" style="19" customWidth="1"/>
    <col min="16124" max="16124" width="5.5546875" style="19" customWidth="1"/>
    <col min="16125" max="16125" width="9" style="19" customWidth="1"/>
    <col min="16126" max="16127" width="9.77734375" style="19" customWidth="1"/>
    <col min="16128" max="16128" width="11.21875" style="19" customWidth="1"/>
    <col min="16129" max="16129" width="2.77734375" style="19" customWidth="1"/>
    <col min="16130" max="16130" width="3.5546875" style="19" customWidth="1"/>
    <col min="16131" max="16384" width="9.21875" style="19"/>
  </cols>
  <sheetData>
    <row r="1" spans="1:8" ht="46.5" customHeight="1" x14ac:dyDescent="0.3">
      <c r="A1" s="155" t="s">
        <v>236</v>
      </c>
      <c r="B1" s="155"/>
      <c r="C1" s="155"/>
      <c r="D1" s="155"/>
      <c r="E1" s="155"/>
      <c r="F1" s="155"/>
      <c r="G1" s="155"/>
      <c r="H1" s="155"/>
    </row>
    <row r="2" spans="1:8" ht="16.5" customHeight="1" x14ac:dyDescent="0.3">
      <c r="A2" s="156" t="s">
        <v>0</v>
      </c>
      <c r="B2" s="156"/>
      <c r="C2" s="156"/>
      <c r="D2" s="156"/>
      <c r="E2" s="156"/>
      <c r="F2" s="156"/>
      <c r="G2" s="156"/>
      <c r="H2" s="156"/>
    </row>
    <row r="3" spans="1:8" x14ac:dyDescent="0.3">
      <c r="A3" s="110" t="s">
        <v>1</v>
      </c>
      <c r="B3" s="110"/>
      <c r="C3" s="110"/>
      <c r="D3" s="110"/>
      <c r="E3" s="157" t="str">
        <f ca="1">TEXT(TODAY(),"DD/MM/YYYY")</f>
        <v>13/08/2025</v>
      </c>
      <c r="F3" s="110"/>
      <c r="G3" s="110"/>
      <c r="H3" s="110"/>
    </row>
    <row r="4" spans="1:8" ht="15" customHeight="1" x14ac:dyDescent="0.3">
      <c r="A4" s="110" t="s">
        <v>2</v>
      </c>
      <c r="B4" s="110"/>
      <c r="C4" s="110"/>
      <c r="D4" s="110"/>
      <c r="E4" s="110" t="s">
        <v>175</v>
      </c>
      <c r="F4" s="110"/>
      <c r="G4" s="110"/>
      <c r="H4" s="110"/>
    </row>
    <row r="5" spans="1:8" x14ac:dyDescent="0.3">
      <c r="A5" s="110" t="s">
        <v>3</v>
      </c>
      <c r="B5" s="110"/>
      <c r="C5" s="110"/>
      <c r="D5" s="110"/>
      <c r="E5" s="157">
        <v>45881</v>
      </c>
      <c r="F5" s="110"/>
      <c r="G5" s="110"/>
      <c r="H5" s="110"/>
    </row>
    <row r="6" spans="1:8" ht="16.5" customHeight="1" x14ac:dyDescent="0.3">
      <c r="A6" s="110" t="s">
        <v>4</v>
      </c>
      <c r="B6" s="110"/>
      <c r="C6" s="110"/>
      <c r="D6" s="110"/>
      <c r="E6" s="110" t="s">
        <v>176</v>
      </c>
      <c r="F6" s="110"/>
      <c r="G6" s="110"/>
      <c r="H6" s="110"/>
    </row>
    <row r="7" spans="1:8" ht="15" customHeight="1" x14ac:dyDescent="0.3">
      <c r="A7" s="110" t="s">
        <v>5</v>
      </c>
      <c r="B7" s="110"/>
      <c r="C7" s="110"/>
      <c r="D7" s="110"/>
      <c r="E7" s="110" t="str">
        <f>E6</f>
        <v>Shubhyuvi Infrastructure LLP</v>
      </c>
      <c r="F7" s="110"/>
      <c r="G7" s="110"/>
      <c r="H7" s="110"/>
    </row>
    <row r="8" spans="1:8" x14ac:dyDescent="0.3">
      <c r="A8" s="110" t="s">
        <v>6</v>
      </c>
      <c r="B8" s="110"/>
      <c r="C8" s="110"/>
      <c r="D8" s="110"/>
      <c r="E8" s="158" t="s">
        <v>177</v>
      </c>
      <c r="F8" s="158"/>
      <c r="G8" s="158"/>
      <c r="H8" s="158"/>
    </row>
    <row r="9" spans="1:8" x14ac:dyDescent="0.3">
      <c r="A9" s="110" t="s">
        <v>238</v>
      </c>
      <c r="B9" s="110"/>
      <c r="C9" s="110"/>
      <c r="D9" s="110"/>
      <c r="E9" s="158" t="s">
        <v>239</v>
      </c>
      <c r="F9" s="158"/>
      <c r="G9" s="158"/>
      <c r="H9" s="158"/>
    </row>
    <row r="10" spans="1:8" x14ac:dyDescent="0.3">
      <c r="A10" s="110" t="s">
        <v>213</v>
      </c>
      <c r="B10" s="110"/>
      <c r="C10" s="110"/>
      <c r="D10" s="110"/>
      <c r="E10" s="110" t="s">
        <v>214</v>
      </c>
      <c r="F10" s="110"/>
      <c r="G10" s="110"/>
      <c r="H10" s="110"/>
    </row>
    <row r="11" spans="1:8" x14ac:dyDescent="0.3">
      <c r="A11" s="110" t="s">
        <v>125</v>
      </c>
      <c r="B11" s="110"/>
      <c r="C11" s="110"/>
      <c r="D11" s="110"/>
      <c r="E11" s="110" t="s">
        <v>212</v>
      </c>
      <c r="F11" s="110"/>
      <c r="G11" s="110"/>
      <c r="H11" s="110"/>
    </row>
    <row r="12" spans="1:8" x14ac:dyDescent="0.3">
      <c r="A12" s="110" t="s">
        <v>240</v>
      </c>
      <c r="B12" s="110"/>
      <c r="C12" s="110"/>
      <c r="D12" s="110"/>
      <c r="E12" s="110" t="s">
        <v>248</v>
      </c>
      <c r="F12" s="110"/>
      <c r="G12" s="110"/>
      <c r="H12" s="110"/>
    </row>
    <row r="13" spans="1:8" x14ac:dyDescent="0.3">
      <c r="A13" s="110" t="s">
        <v>7</v>
      </c>
      <c r="B13" s="110"/>
      <c r="C13" s="110"/>
      <c r="D13" s="110"/>
      <c r="E13" s="110" t="s">
        <v>178</v>
      </c>
      <c r="F13" s="110"/>
      <c r="G13" s="110"/>
      <c r="H13" s="110"/>
    </row>
    <row r="14" spans="1:8" ht="16.5" customHeight="1" x14ac:dyDescent="0.3">
      <c r="A14" s="88" t="s">
        <v>8</v>
      </c>
      <c r="B14" s="88"/>
      <c r="C14" s="88"/>
      <c r="D14" s="88"/>
      <c r="E14" s="130" t="s">
        <v>179</v>
      </c>
      <c r="F14" s="130"/>
      <c r="G14" s="130"/>
      <c r="H14" s="130"/>
    </row>
    <row r="15" spans="1:8" x14ac:dyDescent="0.3">
      <c r="A15" s="88" t="s">
        <v>9</v>
      </c>
      <c r="B15" s="88"/>
      <c r="C15" s="88"/>
      <c r="D15" s="88"/>
      <c r="E15" s="130" t="s">
        <v>180</v>
      </c>
      <c r="F15" s="110"/>
      <c r="G15" s="110"/>
      <c r="H15" s="110"/>
    </row>
    <row r="16" spans="1:8" ht="52.2" customHeight="1" x14ac:dyDescent="0.3">
      <c r="A16" s="118" t="s">
        <v>10</v>
      </c>
      <c r="B16" s="118"/>
      <c r="C16" s="118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Ananda Park, F.P. No.526(Pt) &amp; 531 of TPS Borivali No. III &amp; Exsiting Building Name - Gaodevi Rahwashi SRA CHS, near New Nikita Apartment, Laxman Bhandari marg, Chikuwadi Road, Borivali, Borivali West, Borivali, Mumbai - 400092.</v>
      </c>
      <c r="D16" s="118"/>
      <c r="E16" s="118"/>
      <c r="F16" s="118"/>
      <c r="G16" s="118"/>
      <c r="H16" s="118"/>
    </row>
    <row r="17" spans="1:8" ht="32.25" customHeight="1" x14ac:dyDescent="0.3">
      <c r="A17" s="130" t="s">
        <v>181</v>
      </c>
      <c r="B17" s="130"/>
      <c r="C17" s="130" t="s">
        <v>215</v>
      </c>
      <c r="D17" s="130"/>
      <c r="E17" s="130"/>
      <c r="F17" s="130"/>
      <c r="G17" s="130"/>
      <c r="H17" s="130"/>
    </row>
    <row r="18" spans="1:8" ht="15.75" customHeight="1" x14ac:dyDescent="0.3">
      <c r="A18" s="202" t="s">
        <v>172</v>
      </c>
      <c r="B18" s="203"/>
      <c r="C18" s="202" t="s">
        <v>182</v>
      </c>
      <c r="D18" s="204"/>
      <c r="E18" s="204"/>
      <c r="F18" s="204"/>
      <c r="G18" s="204"/>
      <c r="H18" s="203"/>
    </row>
    <row r="19" spans="1:8" ht="15.75" customHeight="1" x14ac:dyDescent="0.3">
      <c r="A19" s="118" t="s">
        <v>11</v>
      </c>
      <c r="B19" s="118"/>
      <c r="C19" s="110" t="s">
        <v>183</v>
      </c>
      <c r="D19" s="110"/>
      <c r="E19" s="118" t="s">
        <v>173</v>
      </c>
      <c r="F19" s="118"/>
      <c r="G19" s="130" t="s">
        <v>184</v>
      </c>
      <c r="H19" s="130"/>
    </row>
    <row r="20" spans="1:8" x14ac:dyDescent="0.3">
      <c r="A20" s="88" t="s">
        <v>13</v>
      </c>
      <c r="B20" s="88"/>
      <c r="C20" s="130" t="s">
        <v>186</v>
      </c>
      <c r="D20" s="130"/>
      <c r="E20" s="118" t="s">
        <v>12</v>
      </c>
      <c r="F20" s="118"/>
      <c r="G20" s="159" t="s">
        <v>185</v>
      </c>
      <c r="H20" s="159"/>
    </row>
    <row r="21" spans="1:8" x14ac:dyDescent="0.3">
      <c r="A21" s="88" t="s">
        <v>74</v>
      </c>
      <c r="B21" s="88"/>
      <c r="C21" s="130" t="s">
        <v>184</v>
      </c>
      <c r="D21" s="130"/>
      <c r="E21" s="118" t="s">
        <v>14</v>
      </c>
      <c r="F21" s="118"/>
      <c r="G21" s="130">
        <v>400092</v>
      </c>
      <c r="H21" s="130"/>
    </row>
    <row r="22" spans="1:8" ht="32.25" customHeight="1" x14ac:dyDescent="0.3">
      <c r="A22" s="88" t="s">
        <v>126</v>
      </c>
      <c r="B22" s="88"/>
      <c r="C22" s="130" t="s">
        <v>187</v>
      </c>
      <c r="D22" s="130"/>
      <c r="E22" s="118" t="s">
        <v>15</v>
      </c>
      <c r="F22" s="118"/>
      <c r="G22" s="130" t="s">
        <v>188</v>
      </c>
      <c r="H22" s="130"/>
    </row>
    <row r="23" spans="1:8" ht="15" customHeight="1" x14ac:dyDescent="0.3">
      <c r="A23" s="118" t="s">
        <v>77</v>
      </c>
      <c r="B23" s="118"/>
      <c r="C23" s="118"/>
      <c r="D23" s="118"/>
      <c r="E23" s="110" t="s">
        <v>16</v>
      </c>
      <c r="F23" s="110"/>
      <c r="G23" s="110"/>
      <c r="H23" s="110"/>
    </row>
    <row r="24" spans="1:8" ht="18.75" customHeight="1" x14ac:dyDescent="0.3">
      <c r="A24" s="118"/>
      <c r="B24" s="118"/>
      <c r="C24" s="118"/>
      <c r="D24" s="118"/>
      <c r="E24" s="110"/>
      <c r="F24" s="110"/>
      <c r="G24" s="110"/>
      <c r="H24" s="110"/>
    </row>
    <row r="25" spans="1:8" ht="15" customHeight="1" x14ac:dyDescent="0.3">
      <c r="A25" s="118" t="s">
        <v>17</v>
      </c>
      <c r="B25" s="118"/>
      <c r="C25" s="118"/>
      <c r="D25" s="118"/>
      <c r="E25" s="130" t="s">
        <v>18</v>
      </c>
      <c r="F25" s="130"/>
      <c r="G25" s="130"/>
      <c r="H25" s="130"/>
    </row>
    <row r="26" spans="1:8" ht="15" customHeight="1" x14ac:dyDescent="0.3">
      <c r="A26" s="88" t="s">
        <v>19</v>
      </c>
      <c r="B26" s="88"/>
      <c r="C26" s="88"/>
      <c r="D26" s="88"/>
      <c r="E26" s="130" t="str">
        <f>IF(AND(G20="Mumbai"),"Upper Class","Middle Class")</f>
        <v>Upper Class</v>
      </c>
      <c r="F26" s="130"/>
      <c r="G26" s="130"/>
      <c r="H26" s="130"/>
    </row>
    <row r="27" spans="1:8" x14ac:dyDescent="0.3">
      <c r="A27" s="88" t="s">
        <v>20</v>
      </c>
      <c r="B27" s="88"/>
      <c r="C27" s="88"/>
      <c r="D27" s="88"/>
      <c r="E27" s="130" t="s">
        <v>21</v>
      </c>
      <c r="F27" s="130"/>
      <c r="G27" s="130"/>
      <c r="H27" s="130"/>
    </row>
    <row r="28" spans="1:8" ht="15.75" customHeight="1" x14ac:dyDescent="0.3">
      <c r="A28" s="88" t="s">
        <v>22</v>
      </c>
      <c r="B28" s="88"/>
      <c r="C28" s="88"/>
      <c r="D28" s="88"/>
      <c r="E28" s="130" t="str">
        <f>IF(AND(G20="Mumbai"),"Developed","Developing")</f>
        <v>Developed</v>
      </c>
      <c r="F28" s="130"/>
      <c r="G28" s="130"/>
      <c r="H28" s="130"/>
    </row>
    <row r="29" spans="1:8" x14ac:dyDescent="0.3">
      <c r="A29" s="88" t="s">
        <v>23</v>
      </c>
      <c r="B29" s="88"/>
      <c r="C29" s="88"/>
      <c r="D29" s="88"/>
      <c r="E29" s="130" t="s">
        <v>24</v>
      </c>
      <c r="F29" s="130"/>
      <c r="G29" s="130"/>
      <c r="H29" s="130"/>
    </row>
    <row r="30" spans="1:8" ht="15.75" customHeight="1" x14ac:dyDescent="0.3">
      <c r="A30" s="88" t="s">
        <v>82</v>
      </c>
      <c r="B30" s="88"/>
      <c r="C30" s="88"/>
      <c r="D30" s="88"/>
      <c r="E30" s="130" t="s">
        <v>83</v>
      </c>
      <c r="F30" s="130"/>
      <c r="G30" s="130"/>
      <c r="H30" s="130"/>
    </row>
    <row r="31" spans="1:8" ht="15" customHeight="1" x14ac:dyDescent="0.3">
      <c r="A31" s="88" t="s">
        <v>33</v>
      </c>
      <c r="B31" s="88"/>
      <c r="C31" s="88"/>
      <c r="D31" s="88"/>
      <c r="E31" s="130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31" s="130"/>
      <c r="G31" s="130"/>
      <c r="H31" s="130"/>
    </row>
    <row r="32" spans="1:8" ht="15.75" customHeight="1" x14ac:dyDescent="0.3">
      <c r="A32" s="88" t="s">
        <v>94</v>
      </c>
      <c r="B32" s="88"/>
      <c r="C32" s="88"/>
      <c r="D32" s="88"/>
      <c r="E32" s="130" t="s">
        <v>34</v>
      </c>
      <c r="F32" s="130"/>
      <c r="G32" s="130"/>
      <c r="H32" s="130"/>
    </row>
    <row r="33" spans="1:8" s="20" customFormat="1" x14ac:dyDescent="0.3">
      <c r="A33" s="162" t="s">
        <v>95</v>
      </c>
      <c r="B33" s="162"/>
      <c r="C33" s="147" t="s">
        <v>29</v>
      </c>
      <c r="D33" s="147"/>
      <c r="E33" s="147"/>
      <c r="F33" s="147" t="s">
        <v>31</v>
      </c>
      <c r="G33" s="147"/>
      <c r="H33" s="147"/>
    </row>
    <row r="34" spans="1:8" s="20" customFormat="1" x14ac:dyDescent="0.3">
      <c r="A34" s="160" t="s">
        <v>25</v>
      </c>
      <c r="B34" s="160" t="s">
        <v>30</v>
      </c>
      <c r="C34" s="161" t="s">
        <v>30</v>
      </c>
      <c r="D34" s="161"/>
      <c r="E34" s="161"/>
      <c r="F34" s="161" t="s">
        <v>189</v>
      </c>
      <c r="G34" s="161"/>
      <c r="H34" s="161"/>
    </row>
    <row r="35" spans="1:8" x14ac:dyDescent="0.3">
      <c r="A35" s="160" t="s">
        <v>26</v>
      </c>
      <c r="B35" s="160" t="s">
        <v>30</v>
      </c>
      <c r="C35" s="161" t="s">
        <v>30</v>
      </c>
      <c r="D35" s="161"/>
      <c r="E35" s="161"/>
      <c r="F35" s="161" t="s">
        <v>187</v>
      </c>
      <c r="G35" s="161"/>
      <c r="H35" s="161"/>
    </row>
    <row r="36" spans="1:8" s="20" customFormat="1" x14ac:dyDescent="0.3">
      <c r="A36" s="160" t="s">
        <v>28</v>
      </c>
      <c r="B36" s="160" t="s">
        <v>30</v>
      </c>
      <c r="C36" s="161" t="s">
        <v>30</v>
      </c>
      <c r="D36" s="161"/>
      <c r="E36" s="161"/>
      <c r="F36" s="161" t="s">
        <v>190</v>
      </c>
      <c r="G36" s="161"/>
      <c r="H36" s="161"/>
    </row>
    <row r="37" spans="1:8" x14ac:dyDescent="0.3">
      <c r="A37" s="160" t="s">
        <v>27</v>
      </c>
      <c r="B37" s="160" t="s">
        <v>30</v>
      </c>
      <c r="C37" s="161" t="s">
        <v>30</v>
      </c>
      <c r="D37" s="161"/>
      <c r="E37" s="161"/>
      <c r="F37" s="161" t="s">
        <v>191</v>
      </c>
      <c r="G37" s="161"/>
      <c r="H37" s="161"/>
    </row>
    <row r="38" spans="1:8" x14ac:dyDescent="0.3">
      <c r="A38" s="88" t="s">
        <v>32</v>
      </c>
      <c r="B38" s="88"/>
      <c r="C38" s="88"/>
      <c r="D38" s="88"/>
      <c r="E38" s="88"/>
      <c r="F38" s="88"/>
      <c r="G38" s="88"/>
      <c r="H38" s="88"/>
    </row>
    <row r="39" spans="1:8" ht="15.75" customHeight="1" x14ac:dyDescent="0.3">
      <c r="A39" s="88" t="s">
        <v>258</v>
      </c>
      <c r="B39" s="88"/>
      <c r="C39" s="210" t="s">
        <v>259</v>
      </c>
      <c r="D39" s="211"/>
      <c r="E39" s="211"/>
      <c r="F39" s="211"/>
      <c r="G39" s="211"/>
      <c r="H39" s="212"/>
    </row>
    <row r="40" spans="1:8" x14ac:dyDescent="0.3">
      <c r="A40" s="88" t="s">
        <v>171</v>
      </c>
      <c r="B40" s="88"/>
      <c r="C40" s="205" t="s">
        <v>260</v>
      </c>
      <c r="D40" s="130"/>
      <c r="E40" s="130"/>
      <c r="F40" s="130"/>
      <c r="G40" s="130"/>
      <c r="H40" s="130"/>
    </row>
    <row r="41" spans="1:8" x14ac:dyDescent="0.3">
      <c r="A41" s="151" t="s">
        <v>35</v>
      </c>
      <c r="B41" s="151"/>
      <c r="C41" s="151"/>
      <c r="D41" s="151"/>
      <c r="E41" s="151"/>
      <c r="F41" s="151"/>
      <c r="G41" s="151"/>
      <c r="H41" s="151"/>
    </row>
    <row r="42" spans="1:8" x14ac:dyDescent="0.3">
      <c r="A42" s="88" t="s">
        <v>36</v>
      </c>
      <c r="B42" s="88"/>
      <c r="C42" s="88"/>
      <c r="D42" s="88"/>
      <c r="E42" s="163">
        <v>4764.18</v>
      </c>
      <c r="F42" s="163"/>
      <c r="G42" s="163"/>
      <c r="H42" s="163"/>
    </row>
    <row r="43" spans="1:8" x14ac:dyDescent="0.3">
      <c r="A43" s="88" t="s">
        <v>37</v>
      </c>
      <c r="B43" s="88"/>
      <c r="C43" s="88"/>
      <c r="D43" s="88"/>
      <c r="E43" s="87">
        <v>4</v>
      </c>
      <c r="F43" s="87"/>
      <c r="G43" s="87"/>
      <c r="H43" s="87"/>
    </row>
    <row r="44" spans="1:8" x14ac:dyDescent="0.3">
      <c r="A44" s="88" t="s">
        <v>38</v>
      </c>
      <c r="B44" s="88"/>
      <c r="C44" s="88"/>
      <c r="D44" s="88"/>
      <c r="E44" s="87">
        <f>E46/E42-E43</f>
        <v>1.7608717554752342</v>
      </c>
      <c r="F44" s="87"/>
      <c r="G44" s="87"/>
      <c r="H44" s="87"/>
    </row>
    <row r="45" spans="1:8" x14ac:dyDescent="0.3">
      <c r="A45" s="88" t="s">
        <v>39</v>
      </c>
      <c r="B45" s="88"/>
      <c r="C45" s="88"/>
      <c r="D45" s="88"/>
      <c r="E45" s="87">
        <f>E43+E44</f>
        <v>5.7608717554752342</v>
      </c>
      <c r="F45" s="87"/>
      <c r="G45" s="87"/>
      <c r="H45" s="87"/>
    </row>
    <row r="46" spans="1:8" x14ac:dyDescent="0.3">
      <c r="A46" s="110" t="s">
        <v>93</v>
      </c>
      <c r="B46" s="110"/>
      <c r="C46" s="110"/>
      <c r="D46" s="110"/>
      <c r="E46" s="178">
        <v>27445.83</v>
      </c>
      <c r="F46" s="178"/>
      <c r="G46" s="178"/>
      <c r="H46" s="178"/>
    </row>
    <row r="47" spans="1:8" x14ac:dyDescent="0.3">
      <c r="A47" s="110" t="s">
        <v>40</v>
      </c>
      <c r="B47" s="110"/>
      <c r="C47" s="110"/>
      <c r="D47" s="110"/>
      <c r="E47" s="110" t="s">
        <v>216</v>
      </c>
      <c r="F47" s="110"/>
      <c r="G47" s="110"/>
      <c r="H47" s="110"/>
    </row>
    <row r="48" spans="1:8" x14ac:dyDescent="0.3">
      <c r="A48" s="158" t="s">
        <v>41</v>
      </c>
      <c r="B48" s="158"/>
      <c r="C48" s="158"/>
      <c r="D48" s="158"/>
      <c r="E48" s="158"/>
      <c r="F48" s="158"/>
      <c r="G48" s="158"/>
      <c r="H48" s="158"/>
    </row>
    <row r="49" spans="1:14" ht="33.75" customHeight="1" x14ac:dyDescent="0.3">
      <c r="A49" s="105" t="s">
        <v>158</v>
      </c>
      <c r="B49" s="106"/>
      <c r="C49" s="206" t="s">
        <v>217</v>
      </c>
      <c r="D49" s="207"/>
      <c r="E49" s="207"/>
      <c r="F49" s="207"/>
      <c r="G49" s="207"/>
      <c r="H49" s="208"/>
    </row>
    <row r="50" spans="1:14" ht="32.25" customHeight="1" x14ac:dyDescent="0.3">
      <c r="A50" s="105" t="s">
        <v>42</v>
      </c>
      <c r="B50" s="106"/>
      <c r="C50" s="105" t="s">
        <v>192</v>
      </c>
      <c r="D50" s="107"/>
      <c r="E50" s="106"/>
      <c r="F50" s="18" t="s">
        <v>43</v>
      </c>
      <c r="G50" s="108">
        <v>44531</v>
      </c>
      <c r="H50" s="106"/>
    </row>
    <row r="51" spans="1:14" ht="31.5" customHeight="1" x14ac:dyDescent="0.3">
      <c r="A51" s="105" t="s">
        <v>44</v>
      </c>
      <c r="B51" s="106"/>
      <c r="C51" s="105" t="str">
        <f>C50</f>
        <v>SRA/ENG/RC/MCGM/0023/20210505/AP/C</v>
      </c>
      <c r="D51" s="107"/>
      <c r="E51" s="106"/>
      <c r="F51" s="18" t="s">
        <v>43</v>
      </c>
      <c r="G51" s="108">
        <f>G50</f>
        <v>44531</v>
      </c>
      <c r="H51" s="109"/>
    </row>
    <row r="52" spans="1:14" s="21" customFormat="1" ht="15.75" customHeight="1" x14ac:dyDescent="0.3">
      <c r="A52" s="165" t="s">
        <v>162</v>
      </c>
      <c r="B52" s="166"/>
      <c r="C52" s="105" t="s">
        <v>193</v>
      </c>
      <c r="D52" s="107"/>
      <c r="E52" s="106"/>
      <c r="F52" s="18" t="s">
        <v>43</v>
      </c>
      <c r="G52" s="108">
        <v>44655</v>
      </c>
      <c r="H52" s="109"/>
    </row>
    <row r="53" spans="1:14" s="21" customFormat="1" x14ac:dyDescent="0.3">
      <c r="A53" s="167"/>
      <c r="B53" s="168"/>
      <c r="C53" s="105" t="s">
        <v>194</v>
      </c>
      <c r="D53" s="107"/>
      <c r="E53" s="107"/>
      <c r="F53" s="107"/>
      <c r="G53" s="107"/>
      <c r="H53" s="106"/>
    </row>
    <row r="54" spans="1:14" s="21" customFormat="1" ht="15.75" customHeight="1" x14ac:dyDescent="0.3">
      <c r="A54" s="165" t="s">
        <v>162</v>
      </c>
      <c r="B54" s="166"/>
      <c r="C54" s="105" t="s">
        <v>249</v>
      </c>
      <c r="D54" s="107"/>
      <c r="E54" s="106"/>
      <c r="F54" s="18" t="s">
        <v>43</v>
      </c>
      <c r="G54" s="108">
        <v>45306</v>
      </c>
      <c r="H54" s="109"/>
    </row>
    <row r="55" spans="1:14" s="21" customFormat="1" ht="67.8" customHeight="1" x14ac:dyDescent="0.3">
      <c r="A55" s="167"/>
      <c r="B55" s="168"/>
      <c r="C55" s="105" t="s">
        <v>250</v>
      </c>
      <c r="D55" s="107"/>
      <c r="E55" s="107"/>
      <c r="F55" s="107"/>
      <c r="G55" s="107"/>
      <c r="H55" s="106"/>
    </row>
    <row r="56" spans="1:14" x14ac:dyDescent="0.3">
      <c r="A56" s="171" t="s">
        <v>174</v>
      </c>
      <c r="B56" s="172"/>
      <c r="C56" s="114" t="s">
        <v>30</v>
      </c>
      <c r="D56" s="115"/>
      <c r="E56" s="116"/>
      <c r="F56" s="55" t="s">
        <v>43</v>
      </c>
      <c r="G56" s="169" t="s">
        <v>30</v>
      </c>
      <c r="H56" s="170"/>
    </row>
    <row r="57" spans="1:14" hidden="1" x14ac:dyDescent="0.3">
      <c r="A57" s="173"/>
      <c r="B57" s="174"/>
      <c r="C57" s="114" t="s">
        <v>30</v>
      </c>
      <c r="D57" s="115"/>
      <c r="E57" s="115"/>
      <c r="F57" s="115"/>
      <c r="G57" s="115"/>
      <c r="H57" s="116"/>
    </row>
    <row r="58" spans="1:14" x14ac:dyDescent="0.3">
      <c r="A58" s="117" t="s">
        <v>46</v>
      </c>
      <c r="B58" s="117"/>
      <c r="C58" s="117"/>
      <c r="D58" s="117"/>
      <c r="E58" s="117"/>
      <c r="F58" s="117"/>
      <c r="G58" s="117"/>
      <c r="H58" s="117"/>
    </row>
    <row r="59" spans="1:14" x14ac:dyDescent="0.3">
      <c r="A59" s="118" t="s">
        <v>92</v>
      </c>
      <c r="B59" s="118"/>
      <c r="C59" s="118"/>
      <c r="D59" s="110">
        <f>E46</f>
        <v>27445.83</v>
      </c>
      <c r="E59" s="110"/>
      <c r="F59" s="110"/>
      <c r="G59" s="110"/>
      <c r="H59" s="110"/>
    </row>
    <row r="60" spans="1:14" x14ac:dyDescent="0.3">
      <c r="A60" s="130" t="s">
        <v>47</v>
      </c>
      <c r="B60" s="110"/>
      <c r="C60" s="110"/>
      <c r="D60" s="110" t="s">
        <v>225</v>
      </c>
      <c r="E60" s="110"/>
      <c r="F60" s="110"/>
      <c r="G60" s="110"/>
      <c r="H60" s="110"/>
      <c r="I60" s="22"/>
    </row>
    <row r="61" spans="1:14" ht="33" customHeight="1" x14ac:dyDescent="0.3">
      <c r="A61" s="111" t="s">
        <v>48</v>
      </c>
      <c r="B61" s="112"/>
      <c r="C61" s="113"/>
      <c r="D61" s="120" t="s">
        <v>218</v>
      </c>
      <c r="E61" s="164"/>
      <c r="F61" s="164"/>
      <c r="G61" s="164"/>
      <c r="H61" s="164"/>
    </row>
    <row r="62" spans="1:14" ht="32.25" customHeight="1" x14ac:dyDescent="0.3">
      <c r="A62" s="111" t="s">
        <v>90</v>
      </c>
      <c r="B62" s="112"/>
      <c r="C62" s="112"/>
      <c r="D62" s="111" t="s">
        <v>242</v>
      </c>
      <c r="E62" s="112"/>
      <c r="F62" s="112"/>
      <c r="G62" s="112"/>
      <c r="H62" s="113"/>
    </row>
    <row r="63" spans="1:14" ht="15.75" customHeight="1" x14ac:dyDescent="0.3">
      <c r="A63" s="88" t="s">
        <v>45</v>
      </c>
      <c r="B63" s="88"/>
      <c r="C63" s="88"/>
      <c r="D63" s="130" t="s">
        <v>195</v>
      </c>
      <c r="E63" s="130"/>
      <c r="F63" s="130"/>
      <c r="G63" s="130"/>
      <c r="H63" s="130"/>
      <c r="J63" s="23"/>
      <c r="K63" s="22"/>
      <c r="N63" s="22"/>
    </row>
    <row r="64" spans="1:14" ht="15.75" customHeight="1" x14ac:dyDescent="0.3">
      <c r="A64" s="88" t="s">
        <v>88</v>
      </c>
      <c r="B64" s="88"/>
      <c r="C64" s="88"/>
      <c r="D64" s="177" t="str">
        <f>(IF(G56="NA","60 Years After Completion",IF(G56&lt;&gt;"NA",""&amp;60-ROUNDDOWN((E3-G56)/360,0)&amp;" Years"," ")))</f>
        <v>60 Years After Completion</v>
      </c>
      <c r="E64" s="177"/>
      <c r="F64" s="177"/>
      <c r="G64" s="177"/>
      <c r="H64" s="177"/>
      <c r="N64" s="22"/>
    </row>
    <row r="65" spans="1:14" ht="15.75" customHeight="1" x14ac:dyDescent="0.3">
      <c r="A65" s="88" t="s">
        <v>89</v>
      </c>
      <c r="B65" s="88"/>
      <c r="C65" s="88"/>
      <c r="D65" s="118" t="s">
        <v>24</v>
      </c>
      <c r="E65" s="118"/>
      <c r="F65" s="118"/>
      <c r="G65" s="118"/>
      <c r="H65" s="118"/>
      <c r="J65" s="24"/>
      <c r="K65" s="24"/>
    </row>
    <row r="66" spans="1:14" ht="15" customHeight="1" x14ac:dyDescent="0.3">
      <c r="A66" s="88" t="s">
        <v>75</v>
      </c>
      <c r="B66" s="88"/>
      <c r="C66" s="88"/>
      <c r="D66" s="130" t="s">
        <v>237</v>
      </c>
      <c r="E66" s="118"/>
      <c r="F66" s="118"/>
      <c r="G66" s="118"/>
      <c r="H66" s="118"/>
    </row>
    <row r="67" spans="1:14" x14ac:dyDescent="0.3">
      <c r="A67" s="118" t="s">
        <v>154</v>
      </c>
      <c r="B67" s="118"/>
      <c r="C67" s="118"/>
      <c r="D67" s="118" t="s">
        <v>30</v>
      </c>
      <c r="E67" s="118"/>
      <c r="F67" s="118"/>
      <c r="G67" s="118"/>
      <c r="H67" s="118"/>
      <c r="I67" s="25"/>
      <c r="J67" s="25"/>
      <c r="K67" s="25"/>
      <c r="L67" s="25"/>
      <c r="M67" s="25"/>
      <c r="N67" s="25"/>
    </row>
    <row r="68" spans="1:14" ht="15.75" customHeight="1" x14ac:dyDescent="0.3">
      <c r="A68" s="119" t="s">
        <v>87</v>
      </c>
      <c r="B68" s="119"/>
      <c r="C68" s="119"/>
      <c r="D68" s="120" t="str">
        <f ca="1">(IF(G74&gt;95%,"Nothing",IF(G74&gt;0%,"Cement, Aggregate, Steel, etc",IF(G74=0%,"Work not yet Started"))))</f>
        <v>Cement, Aggregate, Steel, etc</v>
      </c>
      <c r="E68" s="120"/>
      <c r="F68" s="120"/>
      <c r="G68" s="120"/>
      <c r="H68" s="120"/>
      <c r="J68" s="24"/>
    </row>
    <row r="69" spans="1:14" ht="33.75" customHeight="1" thickBot="1" x14ac:dyDescent="0.35">
      <c r="A69" s="133" t="s">
        <v>119</v>
      </c>
      <c r="B69" s="133"/>
      <c r="C69" s="133"/>
      <c r="D69" s="120" t="str">
        <f ca="1">(IF(D68="Nothing","Yes",IF(D68="Cement, Aggregate, Steel, etc","Under Construction",IF(D68="Work not yet Started","Work not yet Started"))))</f>
        <v>Under Construction</v>
      </c>
      <c r="E69" s="120"/>
      <c r="F69" s="120" t="str">
        <f ca="1">(IF(D68="Nothing","Yes",IF(D68="Cement, Aggregate, Steel, etc","Under Construction",IF(D68="Work not yet Started","Work not yet Started"))))</f>
        <v>Under Construction</v>
      </c>
      <c r="G69" s="120"/>
      <c r="H69" s="120"/>
    </row>
    <row r="70" spans="1:14" x14ac:dyDescent="0.3">
      <c r="A70" s="180" t="s">
        <v>144</v>
      </c>
      <c r="B70" s="181"/>
      <c r="C70" s="182" t="str">
        <f>D62</f>
        <v>Wing A, B &amp; C = Basement + G/St + 1st to 9th Floor (Podium) + 10th to 23rd Floor</v>
      </c>
      <c r="D70" s="183"/>
      <c r="E70" s="183"/>
      <c r="F70" s="183"/>
      <c r="G70" s="183"/>
      <c r="H70" s="184"/>
      <c r="I70" s="58" t="str">
        <f ca="1">IF(D83=100%,"All work Completed. Possession granted to the Building.",IF(D82=100%,"All work Completed, Waiting for OC",I71&amp;""&amp;I72&amp;""&amp;J71&amp;""&amp;J70&amp;" "&amp;J72))</f>
        <v xml:space="preserve">Excavation Completed, Footing work Completed </v>
      </c>
      <c r="J70" s="40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/>
      </c>
    </row>
    <row r="71" spans="1:14" x14ac:dyDescent="0.3">
      <c r="A71" s="16" t="s">
        <v>146</v>
      </c>
      <c r="B71" s="56">
        <v>1</v>
      </c>
      <c r="C71" s="56" t="s">
        <v>73</v>
      </c>
      <c r="D71" s="56">
        <v>1</v>
      </c>
      <c r="E71" s="56" t="s">
        <v>72</v>
      </c>
      <c r="F71" s="56">
        <v>0</v>
      </c>
      <c r="G71" s="56" t="s">
        <v>81</v>
      </c>
      <c r="H71" s="17">
        <f ca="1">--TRIM(RIGHT(SUBSTITUTE(LEFT(C70,_xlfn.AGGREGATE(16,6,FIND({0,1,2,3,4,5,6,7,8,9},C70,ROW(INDIRECT("1:"&amp;LEN(C70)))),1))," ",REPT(" ",LEN(C70))),LEN(C70)))</f>
        <v>23</v>
      </c>
      <c r="I71" s="41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</v>
      </c>
      <c r="J71" s="42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>, Footing work Completed</v>
      </c>
    </row>
    <row r="72" spans="1:14" x14ac:dyDescent="0.3">
      <c r="A72" s="179" t="s">
        <v>91</v>
      </c>
      <c r="B72" s="158"/>
      <c r="C72" s="185" t="str">
        <f ca="1">(IF($C$57=C70,"All work Completed. OC Received.",I70))</f>
        <v xml:space="preserve">Excavation Completed, Footing work Completed </v>
      </c>
      <c r="D72" s="185"/>
      <c r="E72" s="185"/>
      <c r="F72" s="185"/>
      <c r="G72" s="185"/>
      <c r="H72" s="186"/>
      <c r="I72" s="41" t="str">
        <f ca="1">IF(I71&lt;&gt;""," Completed","")</f>
        <v xml:space="preserve"> Completed</v>
      </c>
      <c r="J72" s="42" t="str">
        <f ca="1">IF(J70&lt;&gt;"","Completed","")</f>
        <v/>
      </c>
    </row>
    <row r="73" spans="1:14" ht="15.75" customHeight="1" x14ac:dyDescent="0.3">
      <c r="A73" s="100" t="s">
        <v>49</v>
      </c>
      <c r="B73" s="101"/>
      <c r="C73" s="54" t="s">
        <v>143</v>
      </c>
      <c r="D73" s="54" t="s">
        <v>84</v>
      </c>
      <c r="E73" s="101" t="s">
        <v>86</v>
      </c>
      <c r="F73" s="101"/>
      <c r="G73" s="101" t="s">
        <v>85</v>
      </c>
      <c r="H73" s="121"/>
      <c r="I73" s="14" t="s">
        <v>145</v>
      </c>
      <c r="J73" s="26">
        <f ca="1">H71*25%</f>
        <v>5.75</v>
      </c>
    </row>
    <row r="74" spans="1:14" x14ac:dyDescent="0.3">
      <c r="A74" s="100" t="s">
        <v>132</v>
      </c>
      <c r="B74" s="101"/>
      <c r="C74" s="54">
        <f ca="1">J75</f>
        <v>23</v>
      </c>
      <c r="D74" s="47">
        <f ca="1">((100/H71)*C74)/100</f>
        <v>1</v>
      </c>
      <c r="E74" s="134">
        <f ca="1">(((C75/H71*10)+(40/(D71+F71+H71)*C76)+(7.5/(H71)*C77)+(7.5/(H71)*C78)+(10/H71*C79)+(10/H71*C80)+(5/H71*C81)+(5/H71*C82)+(5/H71*C83))/100)</f>
        <v>0.05</v>
      </c>
      <c r="F74" s="135"/>
      <c r="G74" s="134">
        <f ca="1">((((C74/H71)*20)+((C75/H71)*25)+(30/(H71+F71+D71)*C76)+(5/H71*C77)+(5/H71*C78)+(5/H71*C79)+(5/H71*C80)+(0/H71*C81)+(0/H71*C82)+(5/H71*C83))/100)</f>
        <v>0.32500000000000001</v>
      </c>
      <c r="H74" s="140"/>
      <c r="I74" s="14" t="s">
        <v>102</v>
      </c>
      <c r="J74" s="27">
        <f ca="1">H71*50%</f>
        <v>11.5</v>
      </c>
    </row>
    <row r="75" spans="1:14" x14ac:dyDescent="0.3">
      <c r="A75" s="100" t="s">
        <v>50</v>
      </c>
      <c r="B75" s="101"/>
      <c r="C75" s="59">
        <f ca="1">J77</f>
        <v>11.5</v>
      </c>
      <c r="D75" s="47">
        <f ca="1">((100/H71)*C75)/100</f>
        <v>0.5</v>
      </c>
      <c r="E75" s="136"/>
      <c r="F75" s="137"/>
      <c r="G75" s="136"/>
      <c r="H75" s="141"/>
      <c r="I75" s="14" t="s">
        <v>103</v>
      </c>
      <c r="J75" s="27">
        <f ca="1">H71</f>
        <v>23</v>
      </c>
    </row>
    <row r="76" spans="1:14" ht="15.75" customHeight="1" x14ac:dyDescent="0.3">
      <c r="A76" s="100" t="s">
        <v>133</v>
      </c>
      <c r="B76" s="101"/>
      <c r="C76" s="54">
        <v>0</v>
      </c>
      <c r="D76" s="47">
        <f ca="1">((100/(D71+F71+H71))*C76)/100</f>
        <v>0</v>
      </c>
      <c r="E76" s="136"/>
      <c r="F76" s="137"/>
      <c r="G76" s="136"/>
      <c r="H76" s="141"/>
      <c r="I76" s="14" t="s">
        <v>104</v>
      </c>
      <c r="J76" s="28">
        <f ca="1">(IF(B71&gt;1,(H71/(B71+2)),H71/4))</f>
        <v>5.75</v>
      </c>
    </row>
    <row r="77" spans="1:14" ht="15.75" customHeight="1" x14ac:dyDescent="0.3">
      <c r="A77" s="100" t="s">
        <v>140</v>
      </c>
      <c r="B77" s="101" t="s">
        <v>134</v>
      </c>
      <c r="C77" s="54">
        <v>0</v>
      </c>
      <c r="D77" s="47">
        <f ca="1">((100/H71)*C77)/100</f>
        <v>0</v>
      </c>
      <c r="E77" s="136"/>
      <c r="F77" s="137"/>
      <c r="G77" s="136"/>
      <c r="H77" s="141"/>
      <c r="I77" s="14" t="s">
        <v>105</v>
      </c>
      <c r="J77" s="28">
        <f ca="1">(IF(B71&gt;1,(H71/(B71+2)+J76),H71/4+J76))</f>
        <v>11.5</v>
      </c>
    </row>
    <row r="78" spans="1:14" ht="15.75" customHeight="1" x14ac:dyDescent="0.3">
      <c r="A78" s="100" t="s">
        <v>141</v>
      </c>
      <c r="B78" s="101" t="s">
        <v>134</v>
      </c>
      <c r="C78" s="54">
        <v>0</v>
      </c>
      <c r="D78" s="47">
        <f ca="1">((100/H71)*C78)/100</f>
        <v>0</v>
      </c>
      <c r="E78" s="136"/>
      <c r="F78" s="137"/>
      <c r="G78" s="136"/>
      <c r="H78" s="141"/>
      <c r="I78" s="14" t="s">
        <v>152</v>
      </c>
      <c r="J78" s="28">
        <f>(IF(B71&gt;1,(H71/(B71+2)+J77),0))</f>
        <v>0</v>
      </c>
    </row>
    <row r="79" spans="1:14" ht="15" customHeight="1" x14ac:dyDescent="0.3">
      <c r="A79" s="100" t="s">
        <v>139</v>
      </c>
      <c r="B79" s="101" t="s">
        <v>136</v>
      </c>
      <c r="C79" s="54">
        <v>0</v>
      </c>
      <c r="D79" s="47">
        <f ca="1">((100/(H71))*C79)/100</f>
        <v>0</v>
      </c>
      <c r="E79" s="136"/>
      <c r="F79" s="137"/>
      <c r="G79" s="136"/>
      <c r="H79" s="141"/>
      <c r="I79" s="14" t="s">
        <v>147</v>
      </c>
      <c r="J79" s="28">
        <f>(IF(B71&gt;2,(H71/(B71+2)+J78),0))</f>
        <v>0</v>
      </c>
    </row>
    <row r="80" spans="1:14" ht="15.75" customHeight="1" x14ac:dyDescent="0.3">
      <c r="A80" s="100" t="s">
        <v>135</v>
      </c>
      <c r="B80" s="101" t="s">
        <v>135</v>
      </c>
      <c r="C80" s="54">
        <v>0</v>
      </c>
      <c r="D80" s="47">
        <f ca="1">((100/H71)*C80)/100</f>
        <v>0</v>
      </c>
      <c r="E80" s="136"/>
      <c r="F80" s="137"/>
      <c r="G80" s="136"/>
      <c r="H80" s="141"/>
      <c r="I80" s="14" t="s">
        <v>148</v>
      </c>
      <c r="J80" s="29">
        <f>(IF(B71&gt;3,(H71/(B71+2)+J79),0))</f>
        <v>0</v>
      </c>
    </row>
    <row r="81" spans="1:10" ht="15.75" customHeight="1" x14ac:dyDescent="0.3">
      <c r="A81" s="100" t="s">
        <v>142</v>
      </c>
      <c r="B81" s="101"/>
      <c r="C81" s="54">
        <v>0</v>
      </c>
      <c r="D81" s="47">
        <f ca="1">((100/H71)*C81)/100</f>
        <v>0</v>
      </c>
      <c r="E81" s="136"/>
      <c r="F81" s="137"/>
      <c r="G81" s="136"/>
      <c r="H81" s="141"/>
      <c r="I81" s="14" t="s">
        <v>149</v>
      </c>
      <c r="J81" s="28">
        <f>(IF(B71&gt;4,(H71/(B71+2)+J80),0))</f>
        <v>0</v>
      </c>
    </row>
    <row r="82" spans="1:10" ht="15.75" customHeight="1" x14ac:dyDescent="0.3">
      <c r="A82" s="100" t="s">
        <v>137</v>
      </c>
      <c r="B82" s="101" t="s">
        <v>137</v>
      </c>
      <c r="C82" s="54">
        <v>0</v>
      </c>
      <c r="D82" s="47">
        <f ca="1">((100/(H71))*C82)/100</f>
        <v>0</v>
      </c>
      <c r="E82" s="136"/>
      <c r="F82" s="137"/>
      <c r="G82" s="136"/>
      <c r="H82" s="141"/>
      <c r="I82" s="14" t="s">
        <v>153</v>
      </c>
      <c r="J82" s="28">
        <f ca="1">(IF(B71=1,(H71/(B71+3)+J77),IF(B71=0,(H71/4+J77),IF(B71&gt;1,0))))</f>
        <v>17.25</v>
      </c>
    </row>
    <row r="83" spans="1:10" ht="16.2" thickBot="1" x14ac:dyDescent="0.35">
      <c r="A83" s="175" t="s">
        <v>138</v>
      </c>
      <c r="B83" s="176"/>
      <c r="C83" s="57">
        <v>0</v>
      </c>
      <c r="D83" s="48">
        <f ca="1">((100/(H71))*C83)/100</f>
        <v>0</v>
      </c>
      <c r="E83" s="138"/>
      <c r="F83" s="139"/>
      <c r="G83" s="138"/>
      <c r="H83" s="142"/>
      <c r="I83" s="15" t="s">
        <v>106</v>
      </c>
      <c r="J83" s="30">
        <f ca="1">(IF(B71&gt;1.5,(H71/(B71+2)+J77+MAX(0,J78-J77)+MAX(0,J79-J78)+MAX(0,J80-J79)+MAX(0,J81-J80)+MAX(0,J82-J81)),IF(B71=1,(H71/(B71+3)+J82),IF(B71=0,H71/4+J82))))</f>
        <v>23</v>
      </c>
    </row>
    <row r="84" spans="1:10" x14ac:dyDescent="0.3">
      <c r="A84" s="201" t="s">
        <v>164</v>
      </c>
      <c r="B84" s="201"/>
      <c r="C84" s="201"/>
      <c r="D84" s="201"/>
      <c r="E84" s="201"/>
      <c r="F84" s="187" t="s">
        <v>169</v>
      </c>
      <c r="G84" s="187"/>
      <c r="H84" s="187"/>
    </row>
    <row r="85" spans="1:10" x14ac:dyDescent="0.3">
      <c r="A85" s="88" t="s">
        <v>167</v>
      </c>
      <c r="B85" s="88"/>
      <c r="C85" s="88"/>
      <c r="D85" s="88"/>
      <c r="E85" s="88"/>
      <c r="F85" s="102">
        <v>17000</v>
      </c>
      <c r="G85" s="102"/>
      <c r="H85" s="102"/>
    </row>
    <row r="86" spans="1:10" x14ac:dyDescent="0.3">
      <c r="A86" s="88" t="s">
        <v>166</v>
      </c>
      <c r="B86" s="88"/>
      <c r="C86" s="88"/>
      <c r="D86" s="88"/>
      <c r="E86" s="88"/>
      <c r="F86" s="123">
        <v>28000</v>
      </c>
      <c r="G86" s="123"/>
      <c r="H86" s="123"/>
    </row>
    <row r="87" spans="1:10" hidden="1" x14ac:dyDescent="0.3">
      <c r="A87" s="88" t="s">
        <v>168</v>
      </c>
      <c r="B87" s="88"/>
      <c r="C87" s="88"/>
      <c r="D87" s="88"/>
      <c r="E87" s="88"/>
      <c r="F87" s="123"/>
      <c r="G87" s="123"/>
      <c r="H87" s="123"/>
    </row>
    <row r="88" spans="1:10" s="31" customFormat="1" hidden="1" x14ac:dyDescent="0.25">
      <c r="A88" s="88" t="s">
        <v>165</v>
      </c>
      <c r="B88" s="88"/>
      <c r="C88" s="88"/>
      <c r="D88" s="88"/>
      <c r="E88" s="88"/>
      <c r="F88" s="123"/>
      <c r="G88" s="123"/>
      <c r="H88" s="123"/>
    </row>
    <row r="89" spans="1:10" s="31" customFormat="1" hidden="1" x14ac:dyDescent="0.25">
      <c r="A89" s="88" t="s">
        <v>96</v>
      </c>
      <c r="B89" s="88"/>
      <c r="C89" s="88"/>
      <c r="D89" s="88"/>
      <c r="E89" s="88"/>
      <c r="F89" s="123"/>
      <c r="G89" s="123"/>
      <c r="H89" s="123"/>
    </row>
    <row r="90" spans="1:10" s="31" customFormat="1" hidden="1" x14ac:dyDescent="0.25">
      <c r="A90" s="88" t="s">
        <v>97</v>
      </c>
      <c r="B90" s="88"/>
      <c r="C90" s="88"/>
      <c r="D90" s="88"/>
      <c r="E90" s="88"/>
      <c r="F90" s="123"/>
      <c r="G90" s="123"/>
      <c r="H90" s="123"/>
    </row>
    <row r="91" spans="1:10" s="31" customFormat="1" hidden="1" x14ac:dyDescent="0.25">
      <c r="A91" s="88" t="s">
        <v>170</v>
      </c>
      <c r="B91" s="88"/>
      <c r="C91" s="88"/>
      <c r="D91" s="88"/>
      <c r="E91" s="88"/>
      <c r="F91" s="123"/>
      <c r="G91" s="123"/>
      <c r="H91" s="123"/>
    </row>
    <row r="92" spans="1:10" s="31" customFormat="1" hidden="1" x14ac:dyDescent="0.25">
      <c r="A92" s="88" t="s">
        <v>98</v>
      </c>
      <c r="B92" s="88"/>
      <c r="C92" s="88"/>
      <c r="D92" s="88"/>
      <c r="E92" s="88"/>
      <c r="F92" s="123"/>
      <c r="G92" s="123"/>
      <c r="H92" s="123"/>
    </row>
    <row r="93" spans="1:10" s="31" customFormat="1" hidden="1" x14ac:dyDescent="0.25">
      <c r="A93" s="88" t="s">
        <v>99</v>
      </c>
      <c r="B93" s="88"/>
      <c r="C93" s="88"/>
      <c r="D93" s="88"/>
      <c r="E93" s="88"/>
      <c r="F93" s="123"/>
      <c r="G93" s="123"/>
      <c r="H93" s="123"/>
    </row>
    <row r="94" spans="1:10" s="31" customFormat="1" hidden="1" x14ac:dyDescent="0.25">
      <c r="A94" s="88" t="s">
        <v>100</v>
      </c>
      <c r="B94" s="88"/>
      <c r="C94" s="88"/>
      <c r="D94" s="88"/>
      <c r="E94" s="88"/>
      <c r="F94" s="123"/>
      <c r="G94" s="123"/>
      <c r="H94" s="123"/>
    </row>
    <row r="95" spans="1:10" s="31" customFormat="1" hidden="1" x14ac:dyDescent="0.25">
      <c r="A95" s="88" t="s">
        <v>101</v>
      </c>
      <c r="B95" s="88"/>
      <c r="C95" s="88"/>
      <c r="D95" s="88"/>
      <c r="E95" s="88"/>
      <c r="F95" s="123"/>
      <c r="G95" s="123"/>
      <c r="H95" s="123"/>
    </row>
    <row r="96" spans="1:10" x14ac:dyDescent="0.3">
      <c r="A96" s="88" t="s">
        <v>51</v>
      </c>
      <c r="B96" s="88"/>
      <c r="C96" s="88"/>
      <c r="D96" s="88"/>
      <c r="E96" s="88"/>
      <c r="F96" s="123">
        <v>800000</v>
      </c>
      <c r="G96" s="123"/>
      <c r="H96" s="123"/>
    </row>
    <row r="97" spans="1:12" s="32" customFormat="1" x14ac:dyDescent="0.3">
      <c r="A97" s="151" t="s">
        <v>52</v>
      </c>
      <c r="B97" s="151"/>
      <c r="C97" s="151"/>
      <c r="D97" s="151"/>
      <c r="E97" s="151"/>
      <c r="F97" s="123">
        <f>F85*0.8</f>
        <v>13600</v>
      </c>
      <c r="G97" s="123"/>
      <c r="H97" s="123"/>
    </row>
    <row r="98" spans="1:12" s="33" customFormat="1" ht="15.75" customHeight="1" x14ac:dyDescent="0.3">
      <c r="A98" s="150" t="s">
        <v>76</v>
      </c>
      <c r="B98" s="150"/>
      <c r="C98" s="150"/>
      <c r="D98" s="150"/>
      <c r="E98" s="150"/>
      <c r="F98" s="150"/>
      <c r="G98" s="150"/>
      <c r="H98" s="150"/>
    </row>
    <row r="99" spans="1:12" s="33" customFormat="1" ht="15.75" customHeight="1" x14ac:dyDescent="0.3">
      <c r="A99" s="188" t="s">
        <v>53</v>
      </c>
      <c r="B99" s="188"/>
      <c r="C99" s="125" t="s">
        <v>79</v>
      </c>
      <c r="D99" s="125"/>
      <c r="E99" s="126" t="s">
        <v>54</v>
      </c>
      <c r="F99" s="126"/>
      <c r="G99" s="91" t="s">
        <v>55</v>
      </c>
      <c r="H99" s="91"/>
      <c r="J99" s="33" t="s">
        <v>226</v>
      </c>
    </row>
    <row r="100" spans="1:12" s="33" customFormat="1" x14ac:dyDescent="0.3">
      <c r="A100" s="199" t="s">
        <v>211</v>
      </c>
      <c r="B100" s="44" t="s">
        <v>223</v>
      </c>
      <c r="C100" s="131">
        <f>COUNT(D117:D119)+COUNT(D129:D130)+COUNT(D139)+COUNT(D141:D147)</f>
        <v>13</v>
      </c>
      <c r="D100" s="189"/>
      <c r="E100" s="103">
        <f>SUM(D117:D119)+SUM(D129:D130)+SUM(D139)+SUM(D141:D147)</f>
        <v>2091.7681199999997</v>
      </c>
      <c r="F100" s="104"/>
      <c r="G100" s="103">
        <f>SUM(F117:F119)+SUM(F129:F130)+SUM(F139)+SUM(F141:F147)</f>
        <v>3346.8289920000002</v>
      </c>
      <c r="H100" s="104"/>
      <c r="J100" s="33" t="s">
        <v>227</v>
      </c>
      <c r="K100" s="33" t="s">
        <v>231</v>
      </c>
      <c r="L100" s="33" t="s">
        <v>234</v>
      </c>
    </row>
    <row r="101" spans="1:12" s="33" customFormat="1" x14ac:dyDescent="0.3">
      <c r="A101" s="200"/>
      <c r="B101" s="44" t="s">
        <v>224</v>
      </c>
      <c r="C101" s="131">
        <f>COUNT(D120:D128)+COUNT(D131:D138)+COUNT(D140)</f>
        <v>18</v>
      </c>
      <c r="D101" s="189"/>
      <c r="E101" s="103">
        <f>SUM(D120:D128)+SUM(D131:D138)+SUM(D140)</f>
        <v>3836.8149477839997</v>
      </c>
      <c r="F101" s="104"/>
      <c r="G101" s="103">
        <f>SUM(F120:F128)+SUM(F131:F138)+SUM(F140)</f>
        <v>6138.9039164543992</v>
      </c>
      <c r="H101" s="104"/>
      <c r="I101" s="33" t="s">
        <v>228</v>
      </c>
      <c r="J101" s="33">
        <v>26000</v>
      </c>
      <c r="K101" s="33" t="s">
        <v>232</v>
      </c>
      <c r="L101" s="33">
        <v>17000</v>
      </c>
    </row>
    <row r="102" spans="1:12" s="33" customFormat="1" x14ac:dyDescent="0.3">
      <c r="A102" s="150" t="s">
        <v>157</v>
      </c>
      <c r="B102" s="150"/>
      <c r="C102" s="124">
        <f>SUM(C100:C101)</f>
        <v>31</v>
      </c>
      <c r="D102" s="125"/>
      <c r="E102" s="91">
        <f>SUM(E100:E101)</f>
        <v>5928.5830677839995</v>
      </c>
      <c r="F102" s="126"/>
      <c r="G102" s="91">
        <f>SUM(G100:G101)</f>
        <v>9485.7329084543999</v>
      </c>
      <c r="H102" s="126"/>
      <c r="I102" s="33" t="s">
        <v>229</v>
      </c>
      <c r="J102" s="50">
        <f>26000/1.55</f>
        <v>16774.193548387095</v>
      </c>
    </row>
    <row r="103" spans="1:12" s="33" customFormat="1" x14ac:dyDescent="0.3">
      <c r="A103" s="153" t="s">
        <v>71</v>
      </c>
      <c r="B103" s="153"/>
      <c r="C103" s="153"/>
      <c r="D103" s="153"/>
      <c r="E103" s="153"/>
      <c r="F103" s="153"/>
      <c r="G103" s="153"/>
      <c r="H103" s="153"/>
      <c r="I103" s="33" t="s">
        <v>230</v>
      </c>
      <c r="J103" s="33">
        <v>1200000</v>
      </c>
    </row>
    <row r="104" spans="1:12" s="33" customFormat="1" ht="15.75" customHeight="1" x14ac:dyDescent="0.3">
      <c r="A104" s="91" t="s">
        <v>53</v>
      </c>
      <c r="B104" s="91"/>
      <c r="C104" s="125" t="s">
        <v>79</v>
      </c>
      <c r="D104" s="125"/>
      <c r="E104" s="126" t="s">
        <v>54</v>
      </c>
      <c r="F104" s="126"/>
      <c r="G104" s="91" t="s">
        <v>55</v>
      </c>
      <c r="H104" s="91"/>
    </row>
    <row r="105" spans="1:12" s="33" customFormat="1" x14ac:dyDescent="0.3">
      <c r="A105" s="49" t="s">
        <v>200</v>
      </c>
      <c r="B105" s="127" t="s">
        <v>222</v>
      </c>
      <c r="C105" s="131">
        <f>COUNT(D155:D158)+COUNT(D160:D163)+COUNT(D165:D168)*5+COUNT(D170:D171)+COUNT(D173:D176)+COUNT(D178:D185)*9+COUNT(D187:D191,D194)</f>
        <v>112</v>
      </c>
      <c r="D105" s="131"/>
      <c r="E105" s="103">
        <f>SUM(D155:D158)+SUM(D160:D163)+SUM(D165:D168)*5+SUM(D170:D171)+SUM(D173:D176)+SUM(D178:D185)*9+SUM(D187:D191,D194)</f>
        <v>57817.103759999998</v>
      </c>
      <c r="F105" s="103"/>
      <c r="G105" s="103">
        <f>SUM(F155:F158)+SUM(F160:F163)+SUM(F165:F168)*5+SUM(F170:F171)+SUM(F173:F176)+SUM(F178:F185)*9+SUM(F187:F191,F194)</f>
        <v>89616.510827999999</v>
      </c>
      <c r="H105" s="103"/>
    </row>
    <row r="106" spans="1:12" s="33" customFormat="1" x14ac:dyDescent="0.3">
      <c r="A106" s="49" t="s">
        <v>201</v>
      </c>
      <c r="B106" s="128"/>
      <c r="C106" s="131">
        <f>COUNT(D199:D201)+COUNT(D203:D205)+COUNT(D207:D209)*5+COUNT(D211:D212)+COUNT(D214:D216)+COUNT(D218:D221)*9+COUNT(D225:D226)</f>
        <v>64</v>
      </c>
      <c r="D106" s="131"/>
      <c r="E106" s="103">
        <f>SUM(D199:D201)+SUM(D203:D205)+SUM(D207:D209)*5+SUM(D211:D212)+SUM(D214:D216)+SUM(D218:D221)*9+SUM(D225:D226)</f>
        <v>36737.854919999998</v>
      </c>
      <c r="F106" s="103"/>
      <c r="G106" s="103">
        <f>SUM(F199:F201)+SUM(F203:F205)+SUM(F207:F209)*5+SUM(F211:F212)+SUM(F214:F216)+SUM(F218:F221)*9+SUM(F225:F226)</f>
        <v>56943.675126000009</v>
      </c>
      <c r="H106" s="103"/>
    </row>
    <row r="107" spans="1:12" s="33" customFormat="1" x14ac:dyDescent="0.3">
      <c r="A107" s="49" t="s">
        <v>202</v>
      </c>
      <c r="B107" s="129"/>
      <c r="C107" s="131">
        <f>COUNT(D231:D235)+COUNT(D237:D241)+COUNT(D243:D247)*5+COUNT(D249:D251)+COUNT(D253:D256)+COUNT(D258:D265)*9+COUNT(D267:D271,D274)</f>
        <v>120</v>
      </c>
      <c r="D107" s="131"/>
      <c r="E107" s="103">
        <f>SUM(D231:D235)+SUM(D237:D241)+SUM(D243:D247)*5+SUM(D249:D251)+SUM(D253:D256)+SUM(D258:D265)*9+SUM(D267:D271,D274)</f>
        <v>61748.547120000003</v>
      </c>
      <c r="F107" s="103"/>
      <c r="G107" s="103">
        <f>SUM(F231:F235)+SUM(F237:F241)+SUM(F243:F247)*5+SUM(F249:F251)+SUM(F253:F256)+SUM(F258:F265)*9+SUM(F267:F271,F274)</f>
        <v>95710.24803599999</v>
      </c>
      <c r="H107" s="103"/>
    </row>
    <row r="108" spans="1:12" s="33" customFormat="1" ht="16.2" thickBot="1" x14ac:dyDescent="0.35">
      <c r="A108" s="132" t="s">
        <v>157</v>
      </c>
      <c r="B108" s="132"/>
      <c r="C108" s="191">
        <f>SUM(C105:D107)</f>
        <v>296</v>
      </c>
      <c r="D108" s="192"/>
      <c r="E108" s="122">
        <f>SUM(E105:F107)</f>
        <v>156303.50579999998</v>
      </c>
      <c r="F108" s="122"/>
      <c r="G108" s="122">
        <f>SUM(G105:H107)</f>
        <v>242270.43398999999</v>
      </c>
      <c r="H108" s="122"/>
    </row>
    <row r="109" spans="1:12" s="33" customFormat="1" ht="16.2" thickBot="1" x14ac:dyDescent="0.35">
      <c r="A109" s="193" t="s">
        <v>241</v>
      </c>
      <c r="B109" s="194"/>
      <c r="C109" s="195">
        <f>C102+C108</f>
        <v>327</v>
      </c>
      <c r="D109" s="196"/>
      <c r="E109" s="197">
        <f>E102+E108</f>
        <v>162232.08886778398</v>
      </c>
      <c r="F109" s="197"/>
      <c r="G109" s="197">
        <f>G102+G108</f>
        <v>251756.16689845439</v>
      </c>
      <c r="H109" s="198"/>
    </row>
    <row r="110" spans="1:12" s="32" customFormat="1" x14ac:dyDescent="0.3">
      <c r="A110" s="146" t="s">
        <v>56</v>
      </c>
      <c r="B110" s="146"/>
      <c r="C110" s="146"/>
      <c r="D110" s="146"/>
      <c r="E110" s="146"/>
      <c r="F110" s="146"/>
      <c r="G110" s="146"/>
      <c r="H110" s="146"/>
    </row>
    <row r="111" spans="1:12" x14ac:dyDescent="0.3">
      <c r="A111" s="147" t="s">
        <v>57</v>
      </c>
      <c r="B111" s="147"/>
      <c r="C111" s="147"/>
      <c r="D111" s="147"/>
      <c r="E111" s="147"/>
      <c r="F111" s="147"/>
      <c r="G111" s="147"/>
      <c r="H111" s="147"/>
    </row>
    <row r="112" spans="1:12" ht="47.25" customHeight="1" x14ac:dyDescent="0.3">
      <c r="A112" s="92" t="s">
        <v>122</v>
      </c>
      <c r="B112" s="92" t="s">
        <v>221</v>
      </c>
      <c r="C112" s="92" t="s">
        <v>58</v>
      </c>
      <c r="D112" s="92" t="s">
        <v>59</v>
      </c>
      <c r="E112" s="94" t="s">
        <v>163</v>
      </c>
      <c r="F112" s="53" t="s">
        <v>155</v>
      </c>
      <c r="G112" s="96" t="s">
        <v>61</v>
      </c>
      <c r="H112" s="97"/>
    </row>
    <row r="113" spans="1:14" s="35" customFormat="1" x14ac:dyDescent="0.3">
      <c r="A113" s="93"/>
      <c r="B113" s="93"/>
      <c r="C113" s="93"/>
      <c r="D113" s="93"/>
      <c r="E113" s="95"/>
      <c r="F113" s="13">
        <v>0.6</v>
      </c>
      <c r="G113" s="98"/>
      <c r="H113" s="99"/>
    </row>
    <row r="114" spans="1:14" s="35" customFormat="1" x14ac:dyDescent="0.3">
      <c r="A114" s="78" t="s">
        <v>199</v>
      </c>
      <c r="B114" s="79"/>
      <c r="C114" s="79"/>
      <c r="D114" s="79"/>
      <c r="E114" s="79"/>
      <c r="F114" s="79"/>
      <c r="G114" s="79"/>
      <c r="H114" s="80"/>
      <c r="J114" s="34"/>
    </row>
    <row r="115" spans="1:14" s="35" customFormat="1" x14ac:dyDescent="0.3">
      <c r="A115" s="78" t="s">
        <v>219</v>
      </c>
      <c r="B115" s="79"/>
      <c r="C115" s="79"/>
      <c r="D115" s="79"/>
      <c r="E115" s="79"/>
      <c r="F115" s="79"/>
      <c r="G115" s="79"/>
      <c r="H115" s="80"/>
      <c r="J115" s="34"/>
    </row>
    <row r="116" spans="1:14" s="35" customFormat="1" x14ac:dyDescent="0.3">
      <c r="A116" s="78" t="s">
        <v>220</v>
      </c>
      <c r="B116" s="79"/>
      <c r="C116" s="79"/>
      <c r="D116" s="79"/>
      <c r="E116" s="79"/>
      <c r="F116" s="79"/>
      <c r="G116" s="79"/>
      <c r="H116" s="80"/>
      <c r="J116" s="34"/>
    </row>
    <row r="117" spans="1:14" s="35" customFormat="1" ht="15.75" customHeight="1" x14ac:dyDescent="0.3">
      <c r="A117" s="51">
        <v>1</v>
      </c>
      <c r="B117" s="52" t="s">
        <v>196</v>
      </c>
      <c r="C117" s="52" t="s">
        <v>198</v>
      </c>
      <c r="D117" s="52">
        <f>6.84*10.764</f>
        <v>73.62576</v>
      </c>
      <c r="E117" s="52">
        <v>0</v>
      </c>
      <c r="F117" s="52">
        <f>(D117+E117)*(($F$113)+1)</f>
        <v>117.80121600000001</v>
      </c>
      <c r="G117" s="66" t="str">
        <f>A116</f>
        <v>Ground Floor for Commercial &amp; Parking</v>
      </c>
      <c r="H117" s="67"/>
      <c r="I117" s="34"/>
      <c r="L117" s="63"/>
      <c r="M117" s="63"/>
      <c r="N117" s="34"/>
    </row>
    <row r="118" spans="1:14" s="35" customFormat="1" ht="15.75" customHeight="1" x14ac:dyDescent="0.3">
      <c r="A118" s="51">
        <f t="shared" ref="A118:A147" si="0">A117+1</f>
        <v>2</v>
      </c>
      <c r="B118" s="52" t="s">
        <v>196</v>
      </c>
      <c r="C118" s="52" t="s">
        <v>198</v>
      </c>
      <c r="D118" s="52">
        <f>20.91*10.764</f>
        <v>225.07523999999998</v>
      </c>
      <c r="E118" s="52">
        <v>0</v>
      </c>
      <c r="F118" s="52">
        <f t="shared" ref="F118:F120" si="1">(D118+E118)*(($F$113)+1)</f>
        <v>360.120384</v>
      </c>
      <c r="G118" s="68"/>
      <c r="H118" s="69"/>
      <c r="I118" s="34"/>
      <c r="L118" s="63"/>
      <c r="M118" s="63"/>
      <c r="N118" s="34"/>
    </row>
    <row r="119" spans="1:14" s="35" customFormat="1" ht="15.75" customHeight="1" x14ac:dyDescent="0.3">
      <c r="A119" s="51">
        <f t="shared" si="0"/>
        <v>3</v>
      </c>
      <c r="B119" s="52" t="s">
        <v>196</v>
      </c>
      <c r="C119" s="52" t="s">
        <v>198</v>
      </c>
      <c r="D119" s="52">
        <f>20.92*10.764</f>
        <v>225.18288000000001</v>
      </c>
      <c r="E119" s="52">
        <v>0</v>
      </c>
      <c r="F119" s="52">
        <f t="shared" si="1"/>
        <v>360.29260800000003</v>
      </c>
      <c r="G119" s="68"/>
      <c r="H119" s="69"/>
      <c r="I119" s="34"/>
      <c r="L119" s="63"/>
      <c r="M119" s="63"/>
      <c r="N119" s="34"/>
    </row>
    <row r="120" spans="1:14" s="35" customFormat="1" ht="15.75" customHeight="1" x14ac:dyDescent="0.3">
      <c r="A120" s="51">
        <f t="shared" si="0"/>
        <v>4</v>
      </c>
      <c r="B120" s="52" t="s">
        <v>197</v>
      </c>
      <c r="C120" s="52" t="s">
        <v>198</v>
      </c>
      <c r="D120" s="52">
        <f>(1.58*2.89+1.57*2.73+4.41*2.98+((0.98+1.12)*0.98/2)+((1.27*1.12)*3.63/2))*10.764</f>
        <v>275.60959358399998</v>
      </c>
      <c r="E120" s="52">
        <v>0</v>
      </c>
      <c r="F120" s="52">
        <f t="shared" si="1"/>
        <v>440.97534973439997</v>
      </c>
      <c r="G120" s="68"/>
      <c r="H120" s="69"/>
      <c r="I120" s="34"/>
      <c r="L120" s="63"/>
      <c r="M120" s="63"/>
      <c r="N120" s="34"/>
    </row>
    <row r="121" spans="1:14" s="35" customFormat="1" ht="15.75" customHeight="1" x14ac:dyDescent="0.3">
      <c r="A121" s="51">
        <f t="shared" si="0"/>
        <v>5</v>
      </c>
      <c r="B121" s="52" t="s">
        <v>197</v>
      </c>
      <c r="C121" s="52" t="s">
        <v>198</v>
      </c>
      <c r="D121" s="52">
        <f>(1.75*1.31+3.13*4.41+((0.99+1.1)*2.67/2)+(0.15*2.13)+1.28*1.2)*10.764</f>
        <v>223.26096780000003</v>
      </c>
      <c r="E121" s="52">
        <v>0</v>
      </c>
      <c r="F121" s="52">
        <f t="shared" ref="F121:F126" si="2">(D121+E121)*(($F$113)+1)</f>
        <v>357.21754848000006</v>
      </c>
      <c r="G121" s="68"/>
      <c r="H121" s="69"/>
      <c r="I121" s="34"/>
      <c r="J121" s="35">
        <f>1.75*1.31+3.13*4.41</f>
        <v>16.095800000000001</v>
      </c>
      <c r="L121" s="63"/>
      <c r="M121" s="63"/>
      <c r="N121" s="34"/>
    </row>
    <row r="122" spans="1:14" s="35" customFormat="1" ht="15.75" customHeight="1" x14ac:dyDescent="0.3">
      <c r="A122" s="51">
        <f t="shared" si="0"/>
        <v>6</v>
      </c>
      <c r="B122" s="52" t="s">
        <v>197</v>
      </c>
      <c r="C122" s="52" t="s">
        <v>198</v>
      </c>
      <c r="D122" s="52">
        <f>(0.93*1.3+((4.96+5.39)*3.24/2)+0.15*2.47+1.36*1.2)*10.764</f>
        <v>215.048574</v>
      </c>
      <c r="E122" s="52">
        <v>0</v>
      </c>
      <c r="F122" s="52">
        <f t="shared" si="2"/>
        <v>344.07771840000004</v>
      </c>
      <c r="G122" s="68"/>
      <c r="H122" s="69"/>
      <c r="I122" s="34"/>
      <c r="K122" s="35">
        <f>(2.83*2.34+1.98*1.61+0.9*0.9+(2.32+2.54)*1.62/2+0.15*1.02)</f>
        <v>14.7096</v>
      </c>
      <c r="L122" s="63"/>
      <c r="M122" s="63"/>
      <c r="N122" s="34"/>
    </row>
    <row r="123" spans="1:14" s="35" customFormat="1" ht="15.75" customHeight="1" x14ac:dyDescent="0.3">
      <c r="A123" s="51">
        <f t="shared" si="0"/>
        <v>7</v>
      </c>
      <c r="B123" s="52" t="s">
        <v>197</v>
      </c>
      <c r="C123" s="52" t="s">
        <v>198</v>
      </c>
      <c r="D123" s="52">
        <f>(2.13*1.73+((2.95+3.36)*2.13/2)+0.15*2.48+1.13*1.05)*10.764</f>
        <v>128.7756522</v>
      </c>
      <c r="E123" s="52">
        <v>0</v>
      </c>
      <c r="F123" s="52">
        <f t="shared" si="2"/>
        <v>206.04104352000002</v>
      </c>
      <c r="G123" s="68"/>
      <c r="H123" s="69"/>
      <c r="I123" s="34"/>
      <c r="K123" s="35">
        <f>((6.11+6.52)*3.08/2+0.15*2.37)</f>
        <v>19.805699999999998</v>
      </c>
      <c r="L123" s="63"/>
      <c r="M123" s="63"/>
      <c r="N123" s="34"/>
    </row>
    <row r="124" spans="1:14" s="35" customFormat="1" ht="15.75" customHeight="1" x14ac:dyDescent="0.3">
      <c r="A124" s="51">
        <f t="shared" si="0"/>
        <v>8</v>
      </c>
      <c r="B124" s="52" t="s">
        <v>197</v>
      </c>
      <c r="C124" s="52" t="s">
        <v>198</v>
      </c>
      <c r="D124" s="52">
        <f>(3.01*0.55+((5.24+5.81)*4.31/2)+0.15*3.75)*10.764</f>
        <v>280.19499299999995</v>
      </c>
      <c r="E124" s="52">
        <v>0</v>
      </c>
      <c r="F124" s="52">
        <f t="shared" si="2"/>
        <v>448.31198879999994</v>
      </c>
      <c r="G124" s="68"/>
      <c r="H124" s="69"/>
      <c r="I124" s="34"/>
      <c r="K124" s="35">
        <f>((3.52+3.74)*1.6/2+0.15*1)</f>
        <v>5.9580000000000002</v>
      </c>
      <c r="L124" s="63"/>
      <c r="M124" s="63"/>
      <c r="N124" s="34"/>
    </row>
    <row r="125" spans="1:14" s="35" customFormat="1" ht="15.75" customHeight="1" x14ac:dyDescent="0.3">
      <c r="A125" s="51">
        <f t="shared" si="0"/>
        <v>9</v>
      </c>
      <c r="B125" s="52" t="s">
        <v>197</v>
      </c>
      <c r="C125" s="52" t="s">
        <v>198</v>
      </c>
      <c r="D125" s="52">
        <f>(2.13*1.9+((3.47+3.87)*2.98/2)+0.15*2.35)*10.764</f>
        <v>165.07778039999997</v>
      </c>
      <c r="E125" s="52">
        <v>0</v>
      </c>
      <c r="F125" s="52">
        <f t="shared" si="2"/>
        <v>264.12444863999997</v>
      </c>
      <c r="G125" s="68"/>
      <c r="H125" s="69"/>
      <c r="I125" s="34"/>
      <c r="L125" s="63"/>
      <c r="M125" s="63"/>
      <c r="N125" s="34"/>
    </row>
    <row r="126" spans="1:14" s="35" customFormat="1" ht="15.75" customHeight="1" x14ac:dyDescent="0.3">
      <c r="A126" s="51">
        <f t="shared" si="0"/>
        <v>10</v>
      </c>
      <c r="B126" s="52" t="s">
        <v>197</v>
      </c>
      <c r="C126" s="52" t="s">
        <v>198</v>
      </c>
      <c r="D126" s="52">
        <f>(((3.04+3.45)*3.07/2)+0.15*2.62+1.37*1.55)*10.764</f>
        <v>134.32018859999999</v>
      </c>
      <c r="E126" s="52">
        <v>0</v>
      </c>
      <c r="F126" s="52">
        <f t="shared" si="2"/>
        <v>214.91230175999999</v>
      </c>
      <c r="G126" s="68"/>
      <c r="H126" s="69"/>
      <c r="I126" s="34"/>
      <c r="L126" s="63"/>
      <c r="M126" s="63"/>
      <c r="N126" s="34"/>
    </row>
    <row r="127" spans="1:14" s="35" customFormat="1" ht="15.75" customHeight="1" x14ac:dyDescent="0.3">
      <c r="A127" s="51">
        <f t="shared" si="0"/>
        <v>11</v>
      </c>
      <c r="B127" s="52" t="s">
        <v>197</v>
      </c>
      <c r="C127" s="52" t="s">
        <v>198</v>
      </c>
      <c r="D127" s="52">
        <f>(((6.11+6.52)*3.08/2)+0.15*2.37)*10.764</f>
        <v>213.18855479999996</v>
      </c>
      <c r="E127" s="52">
        <v>0</v>
      </c>
      <c r="F127" s="52">
        <f t="shared" ref="F127:F138" si="3">(D127+E127)*(($F$113)+1)</f>
        <v>341.10168767999994</v>
      </c>
      <c r="G127" s="68"/>
      <c r="H127" s="69"/>
      <c r="I127" s="34"/>
      <c r="L127" s="63"/>
      <c r="M127" s="63"/>
      <c r="N127" s="34"/>
    </row>
    <row r="128" spans="1:14" s="35" customFormat="1" ht="15.75" customHeight="1" x14ac:dyDescent="0.3">
      <c r="A128" s="51">
        <f t="shared" si="0"/>
        <v>12</v>
      </c>
      <c r="B128" s="52" t="s">
        <v>197</v>
      </c>
      <c r="C128" s="52" t="s">
        <v>198</v>
      </c>
      <c r="D128" s="52">
        <f>(1.15*0.85+2.67*2.43+((2.41+2.81)*3.04/2)+0.15*2.52+1.42*1.57)*10.764</f>
        <v>193.83165360000004</v>
      </c>
      <c r="E128" s="52">
        <v>0</v>
      </c>
      <c r="F128" s="52">
        <f t="shared" si="3"/>
        <v>310.13064576000011</v>
      </c>
      <c r="G128" s="68"/>
      <c r="H128" s="69"/>
      <c r="I128" s="34"/>
      <c r="L128" s="63"/>
      <c r="M128" s="63"/>
      <c r="N128" s="34"/>
    </row>
    <row r="129" spans="1:14" s="35" customFormat="1" ht="15.75" customHeight="1" x14ac:dyDescent="0.3">
      <c r="A129" s="51">
        <f t="shared" si="0"/>
        <v>13</v>
      </c>
      <c r="B129" s="52" t="s">
        <v>196</v>
      </c>
      <c r="C129" s="52" t="s">
        <v>198</v>
      </c>
      <c r="D129" s="52">
        <f>14.72*10.764</f>
        <v>158.44607999999999</v>
      </c>
      <c r="E129" s="52">
        <v>0</v>
      </c>
      <c r="F129" s="52">
        <f t="shared" si="3"/>
        <v>253.51372800000001</v>
      </c>
      <c r="G129" s="68"/>
      <c r="H129" s="69"/>
      <c r="I129" s="34"/>
      <c r="L129" s="63"/>
      <c r="M129" s="63"/>
      <c r="N129" s="34"/>
    </row>
    <row r="130" spans="1:14" s="35" customFormat="1" ht="15.75" customHeight="1" x14ac:dyDescent="0.3">
      <c r="A130" s="51">
        <f t="shared" si="0"/>
        <v>14</v>
      </c>
      <c r="B130" s="52" t="s">
        <v>196</v>
      </c>
      <c r="C130" s="52" t="s">
        <v>198</v>
      </c>
      <c r="D130" s="52">
        <f>5.95*10.764</f>
        <v>64.0458</v>
      </c>
      <c r="E130" s="52">
        <v>0</v>
      </c>
      <c r="F130" s="52">
        <f t="shared" si="3"/>
        <v>102.47328</v>
      </c>
      <c r="G130" s="68"/>
      <c r="H130" s="69"/>
      <c r="I130" s="34"/>
      <c r="L130" s="63"/>
      <c r="M130" s="63"/>
      <c r="N130" s="34"/>
    </row>
    <row r="131" spans="1:14" s="35" customFormat="1" ht="15.75" customHeight="1" x14ac:dyDescent="0.3">
      <c r="A131" s="51">
        <f t="shared" si="0"/>
        <v>15</v>
      </c>
      <c r="B131" s="52" t="s">
        <v>197</v>
      </c>
      <c r="C131" s="52" t="s">
        <v>198</v>
      </c>
      <c r="D131" s="52">
        <f>(1.01*1.45+((4.22+4.57)*2.64/2)+0.15*2.06+1.53*1.35)*10.764</f>
        <v>166.21553519999998</v>
      </c>
      <c r="E131" s="52">
        <v>0</v>
      </c>
      <c r="F131" s="52">
        <f t="shared" si="3"/>
        <v>265.94485631999999</v>
      </c>
      <c r="G131" s="68"/>
      <c r="H131" s="69"/>
      <c r="I131" s="34"/>
      <c r="L131" s="63"/>
      <c r="M131" s="63"/>
      <c r="N131" s="34"/>
    </row>
    <row r="132" spans="1:14" s="35" customFormat="1" ht="15.75" customHeight="1" x14ac:dyDescent="0.3">
      <c r="A132" s="51">
        <f t="shared" si="0"/>
        <v>16</v>
      </c>
      <c r="B132" s="52" t="s">
        <v>197</v>
      </c>
      <c r="C132" s="52" t="s">
        <v>198</v>
      </c>
      <c r="D132" s="52">
        <f>(((5.45+5.14)*1.74/2)+((5.29+4.26)*1.91/2)+((4.26+3.44)*0.6/2)+((4.08+4.33)*1.88/2)+0.5*4.26*0.48+0.15*1.11+0.15*1.53+1.78*1.22)*10.764</f>
        <v>345.94365779999998</v>
      </c>
      <c r="E132" s="52">
        <v>0</v>
      </c>
      <c r="F132" s="52">
        <f t="shared" si="3"/>
        <v>553.50985247999995</v>
      </c>
      <c r="G132" s="68"/>
      <c r="H132" s="69"/>
      <c r="I132" s="34"/>
      <c r="L132" s="63"/>
      <c r="M132" s="63"/>
      <c r="N132" s="34"/>
    </row>
    <row r="133" spans="1:14" s="35" customFormat="1" ht="15.75" customHeight="1" x14ac:dyDescent="0.3">
      <c r="A133" s="51">
        <f t="shared" si="0"/>
        <v>17</v>
      </c>
      <c r="B133" s="52" t="s">
        <v>197</v>
      </c>
      <c r="C133" s="52" t="s">
        <v>198</v>
      </c>
      <c r="D133" s="52">
        <f>(((5.33+5.44)*2.89/2)+1.29*1.39+1.91*1.67+0.15*2.28+1.12*1.3)*10.764</f>
        <v>240.50489579999996</v>
      </c>
      <c r="E133" s="52">
        <v>0</v>
      </c>
      <c r="F133" s="52">
        <f t="shared" si="3"/>
        <v>384.80783327999995</v>
      </c>
      <c r="G133" s="68"/>
      <c r="H133" s="69"/>
      <c r="I133" s="34"/>
      <c r="L133" s="63"/>
      <c r="M133" s="63"/>
      <c r="N133" s="34"/>
    </row>
    <row r="134" spans="1:14" s="35" customFormat="1" ht="15.75" customHeight="1" x14ac:dyDescent="0.3">
      <c r="A134" s="51">
        <f t="shared" si="0"/>
        <v>18</v>
      </c>
      <c r="B134" s="52" t="s">
        <v>197</v>
      </c>
      <c r="C134" s="52" t="s">
        <v>198</v>
      </c>
      <c r="D134" s="52">
        <f>(((5.13+5.25)*3.13/2)+2.57*1.75+0.15*2.37+1.65*1.28)*10.764</f>
        <v>249.82921079999997</v>
      </c>
      <c r="E134" s="52">
        <v>0</v>
      </c>
      <c r="F134" s="52">
        <f t="shared" si="3"/>
        <v>399.72673727999995</v>
      </c>
      <c r="G134" s="68"/>
      <c r="H134" s="69"/>
      <c r="I134" s="34"/>
      <c r="L134" s="63"/>
      <c r="M134" s="63"/>
      <c r="N134" s="34"/>
    </row>
    <row r="135" spans="1:14" s="35" customFormat="1" ht="15.75" customHeight="1" x14ac:dyDescent="0.3">
      <c r="A135" s="51">
        <f t="shared" si="0"/>
        <v>19</v>
      </c>
      <c r="B135" s="52" t="s">
        <v>197</v>
      </c>
      <c r="C135" s="52" t="s">
        <v>198</v>
      </c>
      <c r="D135" s="52">
        <f>(((5.02+5.13)*2.91/2)+0.15*2.13+1.65*1.38)*10.764</f>
        <v>186.91416899999996</v>
      </c>
      <c r="E135" s="52">
        <v>0</v>
      </c>
      <c r="F135" s="52">
        <f t="shared" si="3"/>
        <v>299.06267039999994</v>
      </c>
      <c r="G135" s="68"/>
      <c r="H135" s="69"/>
      <c r="I135" s="34"/>
      <c r="L135" s="63"/>
      <c r="M135" s="63"/>
      <c r="N135" s="34"/>
    </row>
    <row r="136" spans="1:14" s="35" customFormat="1" ht="15.75" customHeight="1" x14ac:dyDescent="0.3">
      <c r="A136" s="51">
        <f t="shared" si="0"/>
        <v>20</v>
      </c>
      <c r="B136" s="52" t="s">
        <v>197</v>
      </c>
      <c r="C136" s="52" t="s">
        <v>198</v>
      </c>
      <c r="D136" s="52">
        <f>(((4.78+4.91)*3.22/2)+0.23*0.95+0.15*2.62+1*2.12)*10.764</f>
        <v>197.32995360000001</v>
      </c>
      <c r="E136" s="52">
        <v>0</v>
      </c>
      <c r="F136" s="52">
        <f t="shared" si="3"/>
        <v>315.72792576000006</v>
      </c>
      <c r="G136" s="68"/>
      <c r="H136" s="69"/>
      <c r="I136" s="34"/>
      <c r="L136" s="63"/>
      <c r="M136" s="63"/>
      <c r="N136" s="34"/>
    </row>
    <row r="137" spans="1:14" s="35" customFormat="1" ht="15.75" customHeight="1" x14ac:dyDescent="0.3">
      <c r="A137" s="51">
        <f t="shared" si="0"/>
        <v>21</v>
      </c>
      <c r="B137" s="52" t="s">
        <v>197</v>
      </c>
      <c r="C137" s="52" t="s">
        <v>198</v>
      </c>
      <c r="D137" s="52">
        <f>(((4.89+5)*2.92/2)+1.6*1.53+0.15*2.45+1.3*1.98)*10.764</f>
        <v>213.43827959999996</v>
      </c>
      <c r="E137" s="52">
        <v>0</v>
      </c>
      <c r="F137" s="52">
        <f t="shared" si="3"/>
        <v>341.50124735999998</v>
      </c>
      <c r="G137" s="68"/>
      <c r="H137" s="69"/>
      <c r="I137" s="34"/>
      <c r="L137" s="63"/>
      <c r="M137" s="63"/>
      <c r="N137" s="34"/>
    </row>
    <row r="138" spans="1:14" s="35" customFormat="1" ht="15.75" customHeight="1" x14ac:dyDescent="0.3">
      <c r="A138" s="51">
        <f t="shared" si="0"/>
        <v>22</v>
      </c>
      <c r="B138" s="52" t="s">
        <v>197</v>
      </c>
      <c r="C138" s="52" t="s">
        <v>198</v>
      </c>
      <c r="D138" s="52">
        <f>(((5.96+6.07)*2.86/2)+1.86*1.64+0.15*2.22+1.76*1.12)*10.764</f>
        <v>242.80892999999995</v>
      </c>
      <c r="E138" s="52">
        <v>0</v>
      </c>
      <c r="F138" s="52">
        <f t="shared" si="3"/>
        <v>388.49428799999993</v>
      </c>
      <c r="G138" s="68"/>
      <c r="H138" s="69"/>
      <c r="I138" s="34"/>
      <c r="L138" s="63"/>
      <c r="M138" s="63"/>
      <c r="N138" s="34"/>
    </row>
    <row r="139" spans="1:14" s="35" customFormat="1" ht="15.75" customHeight="1" x14ac:dyDescent="0.3">
      <c r="A139" s="51">
        <f t="shared" si="0"/>
        <v>23</v>
      </c>
      <c r="B139" s="52" t="s">
        <v>196</v>
      </c>
      <c r="C139" s="52" t="s">
        <v>198</v>
      </c>
      <c r="D139" s="52">
        <f>20.08*10.764</f>
        <v>216.14111999999997</v>
      </c>
      <c r="E139" s="52">
        <v>0</v>
      </c>
      <c r="F139" s="52">
        <f t="shared" ref="F139:F143" si="4">(D139+E139)*(($F$113)+1)</f>
        <v>345.82579199999998</v>
      </c>
      <c r="G139" s="68"/>
      <c r="H139" s="69"/>
      <c r="I139" s="34"/>
      <c r="L139" s="63"/>
      <c r="M139" s="63"/>
      <c r="N139" s="34"/>
    </row>
    <row r="140" spans="1:14" s="35" customFormat="1" ht="15.75" customHeight="1" x14ac:dyDescent="0.3">
      <c r="A140" s="51">
        <f t="shared" si="0"/>
        <v>24</v>
      </c>
      <c r="B140" s="52" t="s">
        <v>197</v>
      </c>
      <c r="C140" s="52" t="s">
        <v>198</v>
      </c>
      <c r="D140" s="52">
        <f>(((4.25+4.33)*2.02/2)+2.83*1.63+0.15*1.4+1.23*1.46)*10.764</f>
        <v>164.522358</v>
      </c>
      <c r="E140" s="52">
        <v>0</v>
      </c>
      <c r="F140" s="52">
        <f t="shared" si="4"/>
        <v>263.23577280000001</v>
      </c>
      <c r="G140" s="68"/>
      <c r="H140" s="69"/>
      <c r="I140" s="34"/>
      <c r="L140" s="63"/>
      <c r="M140" s="63"/>
      <c r="N140" s="34"/>
    </row>
    <row r="141" spans="1:14" s="35" customFormat="1" ht="15.75" customHeight="1" x14ac:dyDescent="0.3">
      <c r="A141" s="51">
        <f t="shared" si="0"/>
        <v>25</v>
      </c>
      <c r="B141" s="52" t="s">
        <v>196</v>
      </c>
      <c r="C141" s="52" t="s">
        <v>198</v>
      </c>
      <c r="D141" s="52">
        <f>11.47*10.764</f>
        <v>123.46308000000001</v>
      </c>
      <c r="E141" s="52">
        <v>0</v>
      </c>
      <c r="F141" s="52">
        <f t="shared" si="4"/>
        <v>197.54092800000001</v>
      </c>
      <c r="G141" s="68"/>
      <c r="H141" s="69"/>
      <c r="I141" s="34"/>
      <c r="L141" s="63"/>
      <c r="M141" s="63"/>
      <c r="N141" s="34"/>
    </row>
    <row r="142" spans="1:14" s="35" customFormat="1" ht="15.75" customHeight="1" x14ac:dyDescent="0.3">
      <c r="A142" s="51">
        <f t="shared" si="0"/>
        <v>26</v>
      </c>
      <c r="B142" s="52" t="s">
        <v>196</v>
      </c>
      <c r="C142" s="52" t="s">
        <v>198</v>
      </c>
      <c r="D142" s="52">
        <f>21.39*10.764</f>
        <v>230.24196000000001</v>
      </c>
      <c r="E142" s="52">
        <v>0</v>
      </c>
      <c r="F142" s="52">
        <f t="shared" si="4"/>
        <v>368.38713600000005</v>
      </c>
      <c r="G142" s="68"/>
      <c r="H142" s="69"/>
      <c r="I142" s="34"/>
      <c r="L142" s="63"/>
      <c r="M142" s="63"/>
      <c r="N142" s="34"/>
    </row>
    <row r="143" spans="1:14" s="35" customFormat="1" ht="15.75" customHeight="1" x14ac:dyDescent="0.3">
      <c r="A143" s="51">
        <f t="shared" si="0"/>
        <v>27</v>
      </c>
      <c r="B143" s="52" t="s">
        <v>196</v>
      </c>
      <c r="C143" s="52" t="s">
        <v>198</v>
      </c>
      <c r="D143" s="52">
        <f>11.8*10.764</f>
        <v>127.01519999999999</v>
      </c>
      <c r="E143" s="52">
        <v>0</v>
      </c>
      <c r="F143" s="52">
        <f t="shared" si="4"/>
        <v>203.22432000000001</v>
      </c>
      <c r="G143" s="68"/>
      <c r="H143" s="69"/>
      <c r="I143" s="34"/>
      <c r="L143" s="63"/>
      <c r="M143" s="63"/>
      <c r="N143" s="34"/>
    </row>
    <row r="144" spans="1:14" s="35" customFormat="1" ht="15.75" customHeight="1" x14ac:dyDescent="0.3">
      <c r="A144" s="51">
        <f t="shared" si="0"/>
        <v>28</v>
      </c>
      <c r="B144" s="52" t="s">
        <v>196</v>
      </c>
      <c r="C144" s="52" t="s">
        <v>198</v>
      </c>
      <c r="D144" s="52">
        <f>6.78*10.764</f>
        <v>72.979919999999993</v>
      </c>
      <c r="E144" s="52">
        <v>0</v>
      </c>
      <c r="F144" s="52">
        <f t="shared" ref="F144:F146" si="5">(D144+E144)*(($F$113)+1)</f>
        <v>116.767872</v>
      </c>
      <c r="G144" s="68"/>
      <c r="H144" s="69"/>
      <c r="I144" s="34"/>
      <c r="L144" s="63"/>
      <c r="M144" s="63"/>
      <c r="N144" s="34"/>
    </row>
    <row r="145" spans="1:14" s="35" customFormat="1" ht="15.75" customHeight="1" x14ac:dyDescent="0.3">
      <c r="A145" s="51">
        <f t="shared" si="0"/>
        <v>29</v>
      </c>
      <c r="B145" s="52" t="s">
        <v>196</v>
      </c>
      <c r="C145" s="52" t="s">
        <v>198</v>
      </c>
      <c r="D145" s="52">
        <f>11.66*10.764</f>
        <v>125.50824</v>
      </c>
      <c r="E145" s="52">
        <v>0</v>
      </c>
      <c r="F145" s="52">
        <f t="shared" si="5"/>
        <v>200.81318400000001</v>
      </c>
      <c r="G145" s="68"/>
      <c r="H145" s="69"/>
      <c r="I145" s="34"/>
      <c r="L145" s="63"/>
      <c r="M145" s="63"/>
      <c r="N145" s="34"/>
    </row>
    <row r="146" spans="1:14" s="35" customFormat="1" ht="15.75" customHeight="1" x14ac:dyDescent="0.3">
      <c r="A146" s="51">
        <f t="shared" si="0"/>
        <v>30</v>
      </c>
      <c r="B146" s="52" t="s">
        <v>196</v>
      </c>
      <c r="C146" s="52" t="s">
        <v>198</v>
      </c>
      <c r="D146" s="52">
        <f>20.91*10.764</f>
        <v>225.07523999999998</v>
      </c>
      <c r="E146" s="52">
        <v>0</v>
      </c>
      <c r="F146" s="52">
        <f t="shared" si="5"/>
        <v>360.120384</v>
      </c>
      <c r="G146" s="68"/>
      <c r="H146" s="69"/>
      <c r="I146" s="34"/>
      <c r="L146" s="63"/>
      <c r="M146" s="63"/>
      <c r="N146" s="34"/>
    </row>
    <row r="147" spans="1:14" s="35" customFormat="1" ht="15.75" customHeight="1" x14ac:dyDescent="0.3">
      <c r="A147" s="51">
        <f t="shared" si="0"/>
        <v>31</v>
      </c>
      <c r="B147" s="52" t="s">
        <v>196</v>
      </c>
      <c r="C147" s="52" t="s">
        <v>198</v>
      </c>
      <c r="D147" s="52">
        <f>20.9*10.764</f>
        <v>224.96759999999998</v>
      </c>
      <c r="E147" s="52">
        <v>0</v>
      </c>
      <c r="F147" s="52">
        <f t="shared" ref="F147" si="6">(D147+E147)*(($F$113)+1)</f>
        <v>359.94815999999997</v>
      </c>
      <c r="G147" s="70"/>
      <c r="H147" s="71"/>
      <c r="I147" s="34"/>
      <c r="L147" s="63"/>
      <c r="M147" s="63"/>
      <c r="N147" s="34"/>
    </row>
    <row r="148" spans="1:14" s="35" customFormat="1" x14ac:dyDescent="0.3">
      <c r="A148" s="64"/>
      <c r="B148" s="190"/>
      <c r="C148" s="190"/>
      <c r="D148" s="190"/>
      <c r="E148" s="190"/>
      <c r="F148" s="190"/>
      <c r="G148" s="190"/>
      <c r="H148" s="65"/>
      <c r="I148" s="34"/>
      <c r="N148" s="34"/>
    </row>
    <row r="149" spans="1:14" ht="47.25" customHeight="1" x14ac:dyDescent="0.3">
      <c r="A149" s="96" t="s">
        <v>123</v>
      </c>
      <c r="B149" s="96" t="s">
        <v>124</v>
      </c>
      <c r="C149" s="92" t="s">
        <v>58</v>
      </c>
      <c r="D149" s="92" t="s">
        <v>59</v>
      </c>
      <c r="E149" s="94" t="s">
        <v>60</v>
      </c>
      <c r="F149" s="53" t="s">
        <v>155</v>
      </c>
      <c r="G149" s="96" t="s">
        <v>61</v>
      </c>
      <c r="H149" s="97"/>
      <c r="I149" s="34"/>
    </row>
    <row r="150" spans="1:14" s="35" customFormat="1" x14ac:dyDescent="0.3">
      <c r="A150" s="98"/>
      <c r="B150" s="98"/>
      <c r="C150" s="93"/>
      <c r="D150" s="93"/>
      <c r="E150" s="95"/>
      <c r="F150" s="13">
        <v>0.55000000000000004</v>
      </c>
      <c r="G150" s="98"/>
      <c r="H150" s="99"/>
      <c r="I150" s="34"/>
    </row>
    <row r="151" spans="1:14" s="35" customFormat="1" x14ac:dyDescent="0.3">
      <c r="A151" s="78" t="s">
        <v>200</v>
      </c>
      <c r="B151" s="79"/>
      <c r="C151" s="79"/>
      <c r="D151" s="79"/>
      <c r="E151" s="79"/>
      <c r="F151" s="79"/>
      <c r="G151" s="79"/>
      <c r="H151" s="80"/>
      <c r="J151" s="34"/>
    </row>
    <row r="152" spans="1:14" s="35" customFormat="1" x14ac:dyDescent="0.3">
      <c r="A152" s="78" t="s">
        <v>219</v>
      </c>
      <c r="B152" s="79"/>
      <c r="C152" s="79"/>
      <c r="D152" s="79"/>
      <c r="E152" s="79"/>
      <c r="F152" s="79"/>
      <c r="G152" s="79"/>
      <c r="H152" s="80"/>
      <c r="J152" s="34"/>
    </row>
    <row r="153" spans="1:14" s="35" customFormat="1" x14ac:dyDescent="0.3">
      <c r="A153" s="78" t="s">
        <v>220</v>
      </c>
      <c r="B153" s="79"/>
      <c r="C153" s="79"/>
      <c r="D153" s="79"/>
      <c r="E153" s="79"/>
      <c r="F153" s="79"/>
      <c r="G153" s="79"/>
      <c r="H153" s="80"/>
      <c r="J153" s="34"/>
    </row>
    <row r="154" spans="1:14" s="35" customFormat="1" x14ac:dyDescent="0.3">
      <c r="A154" s="78" t="s">
        <v>203</v>
      </c>
      <c r="B154" s="79"/>
      <c r="C154" s="79"/>
      <c r="D154" s="79"/>
      <c r="E154" s="79"/>
      <c r="F154" s="79"/>
      <c r="G154" s="79"/>
      <c r="H154" s="80"/>
      <c r="J154" s="34"/>
    </row>
    <row r="155" spans="1:14" s="35" customFormat="1" ht="15.75" customHeight="1" x14ac:dyDescent="0.3">
      <c r="A155" s="64">
        <v>1</v>
      </c>
      <c r="B155" s="65"/>
      <c r="C155" s="43">
        <v>2</v>
      </c>
      <c r="D155" s="52">
        <f>56.91*10.764</f>
        <v>612.57923999999991</v>
      </c>
      <c r="E155" s="52">
        <v>0</v>
      </c>
      <c r="F155" s="52">
        <f>D155*(($F$150)+1)+(IF(E155&lt;101,E155,IF(E155&lt;201,E155/2,IF(E155&lt;=301,E155/3,E155/4))))</f>
        <v>949.49782199999993</v>
      </c>
      <c r="G155" s="66" t="str">
        <f>A154</f>
        <v>1st Podium Level Floor For Parking &amp; Residential</v>
      </c>
      <c r="H155" s="67"/>
      <c r="I155" s="34"/>
      <c r="J155" s="35">
        <f>(1.38*1.2+3.32*3.25+3.05*2.25+2.17*2.25+2*0.8+1.12*1.23+3.65*3.05+0.6*1.42+3.65*3.05+2.43*1.23+1.38*2.13)</f>
        <v>56.213899999999995</v>
      </c>
      <c r="L155" s="63"/>
      <c r="M155" s="63"/>
      <c r="N155" s="34"/>
    </row>
    <row r="156" spans="1:14" s="35" customFormat="1" ht="15.75" customHeight="1" x14ac:dyDescent="0.3">
      <c r="A156" s="64">
        <f t="shared" ref="A156:A158" si="7">A155+1</f>
        <v>2</v>
      </c>
      <c r="B156" s="65"/>
      <c r="C156" s="43">
        <v>1</v>
      </c>
      <c r="D156" s="52">
        <f>37.58*10.764</f>
        <v>404.51111999999995</v>
      </c>
      <c r="E156" s="52">
        <v>0</v>
      </c>
      <c r="F156" s="52">
        <f>D156*(($F$150)+1)+(IF(E156&lt;101,E156,IF(E156&lt;201,E156/2,IF(E156&lt;=301,E156/3,E156/4))))</f>
        <v>626.99223599999993</v>
      </c>
      <c r="G156" s="68" t="str">
        <f t="shared" ref="G156:G158" si="8">G155</f>
        <v>1st Podium Level Floor For Parking &amp; Residential</v>
      </c>
      <c r="H156" s="69"/>
      <c r="I156" s="34">
        <f>11675000/F156</f>
        <v>18620.645248308945</v>
      </c>
      <c r="J156" s="35">
        <f>(1.3*1.3+4.24*3+0.93*2.5+3.05*3.05+0.59*1.63+1.82*1.38+1.83*1.63+2.13*2.13)</f>
        <v>37.030599999999993</v>
      </c>
      <c r="L156" s="63"/>
      <c r="M156" s="63"/>
      <c r="N156" s="34"/>
    </row>
    <row r="157" spans="1:14" s="35" customFormat="1" ht="15.75" customHeight="1" x14ac:dyDescent="0.3">
      <c r="A157" s="64">
        <f t="shared" si="7"/>
        <v>3</v>
      </c>
      <c r="B157" s="65"/>
      <c r="C157" s="43">
        <v>1</v>
      </c>
      <c r="D157" s="52">
        <f>37.84*10.764</f>
        <v>407.30976000000004</v>
      </c>
      <c r="E157" s="52">
        <v>0</v>
      </c>
      <c r="F157" s="52">
        <f>D157*(($F$150)+1)+(IF(E157&lt;101,E157,IF(E157&lt;201,E157/2,IF(E157&lt;=301,E157/3,E157/4))))</f>
        <v>631.33012800000006</v>
      </c>
      <c r="G157" s="68" t="str">
        <f t="shared" si="8"/>
        <v>1st Podium Level Floor For Parking &amp; Residential</v>
      </c>
      <c r="H157" s="69"/>
      <c r="I157" s="34"/>
      <c r="L157" s="63"/>
      <c r="M157" s="63"/>
      <c r="N157" s="34"/>
    </row>
    <row r="158" spans="1:14" s="35" customFormat="1" ht="15.75" customHeight="1" x14ac:dyDescent="0.3">
      <c r="A158" s="64">
        <f t="shared" si="7"/>
        <v>4</v>
      </c>
      <c r="B158" s="65"/>
      <c r="C158" s="43">
        <v>2</v>
      </c>
      <c r="D158" s="52">
        <f>58.09*10.764</f>
        <v>625.28075999999999</v>
      </c>
      <c r="E158" s="52">
        <v>0</v>
      </c>
      <c r="F158" s="52">
        <f>D158*(($F$150)+1)+(IF(E158&lt;101,E158,IF(E158&lt;201,E158/2,IF(E158&lt;=301,E158/3,E158/4))))</f>
        <v>969.18517799999995</v>
      </c>
      <c r="G158" s="68" t="str">
        <f t="shared" si="8"/>
        <v>1st Podium Level Floor For Parking &amp; Residential</v>
      </c>
      <c r="H158" s="69"/>
      <c r="I158" s="34">
        <f>19425000/F158</f>
        <v>20042.609442382538</v>
      </c>
      <c r="L158" s="63"/>
      <c r="M158" s="63"/>
      <c r="N158" s="34"/>
    </row>
    <row r="159" spans="1:14" s="35" customFormat="1" x14ac:dyDescent="0.3">
      <c r="A159" s="78" t="s">
        <v>204</v>
      </c>
      <c r="B159" s="79"/>
      <c r="C159" s="79"/>
      <c r="D159" s="79"/>
      <c r="E159" s="79"/>
      <c r="F159" s="79"/>
      <c r="G159" s="79"/>
      <c r="H159" s="80"/>
      <c r="J159" s="34"/>
    </row>
    <row r="160" spans="1:14" s="35" customFormat="1" ht="15.75" customHeight="1" x14ac:dyDescent="0.3">
      <c r="A160" s="64">
        <v>1</v>
      </c>
      <c r="B160" s="65"/>
      <c r="C160" s="45">
        <v>2</v>
      </c>
      <c r="D160" s="46">
        <f>56.91*10.764</f>
        <v>612.57923999999991</v>
      </c>
      <c r="E160" s="52">
        <v>0</v>
      </c>
      <c r="F160" s="52">
        <f>D160*(($F$150)+1)+(IF(E160&lt;101,E160,IF(E160&lt;201,E160/2,IF(E160&lt;=301,E160/3,E160/4))))</f>
        <v>949.49782199999993</v>
      </c>
      <c r="G160" s="66" t="str">
        <f>A159</f>
        <v>2nd Podium Level Floor</v>
      </c>
      <c r="H160" s="67"/>
      <c r="I160" s="34"/>
      <c r="L160" s="63"/>
      <c r="M160" s="63"/>
      <c r="N160" s="34"/>
    </row>
    <row r="161" spans="1:14" s="35" customFormat="1" ht="15.75" customHeight="1" x14ac:dyDescent="0.3">
      <c r="A161" s="64">
        <f t="shared" ref="A161:A163" si="9">A160+1</f>
        <v>2</v>
      </c>
      <c r="B161" s="65"/>
      <c r="C161" s="45">
        <v>1</v>
      </c>
      <c r="D161" s="46">
        <f>37.58*10.764</f>
        <v>404.51111999999995</v>
      </c>
      <c r="E161" s="52">
        <v>0</v>
      </c>
      <c r="F161" s="52">
        <f>D161*(($F$150)+1)+(IF(E161&lt;101,E161,IF(E161&lt;201,E161/2,IF(E161&lt;=301,E161/3,E161/4))))</f>
        <v>626.99223599999993</v>
      </c>
      <c r="G161" s="68" t="str">
        <f t="shared" ref="G161:G163" si="10">G160</f>
        <v>2nd Podium Level Floor</v>
      </c>
      <c r="H161" s="69"/>
      <c r="I161" s="34"/>
      <c r="L161" s="63"/>
      <c r="M161" s="63"/>
      <c r="N161" s="34"/>
    </row>
    <row r="162" spans="1:14" s="35" customFormat="1" ht="15.75" customHeight="1" x14ac:dyDescent="0.3">
      <c r="A162" s="64">
        <f t="shared" si="9"/>
        <v>3</v>
      </c>
      <c r="B162" s="65"/>
      <c r="C162" s="45">
        <v>1</v>
      </c>
      <c r="D162" s="46">
        <f>37.84*10.764</f>
        <v>407.30976000000004</v>
      </c>
      <c r="E162" s="52">
        <v>0</v>
      </c>
      <c r="F162" s="52">
        <f>D162*(($F$150)+1)+(IF(E162&lt;101,E162,IF(E162&lt;201,E162/2,IF(E162&lt;=301,E162/3,E162/4))))</f>
        <v>631.33012800000006</v>
      </c>
      <c r="G162" s="68" t="str">
        <f t="shared" si="10"/>
        <v>2nd Podium Level Floor</v>
      </c>
      <c r="H162" s="69"/>
      <c r="I162" s="34">
        <f>9900000/F162</f>
        <v>15681.177819538496</v>
      </c>
      <c r="J162" s="35" t="s">
        <v>233</v>
      </c>
      <c r="L162" s="63"/>
      <c r="M162" s="63"/>
      <c r="N162" s="34"/>
    </row>
    <row r="163" spans="1:14" s="35" customFormat="1" ht="15.75" customHeight="1" x14ac:dyDescent="0.3">
      <c r="A163" s="64">
        <f t="shared" si="9"/>
        <v>4</v>
      </c>
      <c r="B163" s="65"/>
      <c r="C163" s="45">
        <v>2</v>
      </c>
      <c r="D163" s="46">
        <f>58.09*10.764</f>
        <v>625.28075999999999</v>
      </c>
      <c r="E163" s="52">
        <v>0</v>
      </c>
      <c r="F163" s="52">
        <f>D163*(($F$150)+1)+(IF(E163&lt;101,E163,IF(E163&lt;201,E163/2,IF(E163&lt;=301,E163/3,E163/4))))</f>
        <v>969.18517799999995</v>
      </c>
      <c r="G163" s="68" t="str">
        <f t="shared" si="10"/>
        <v>2nd Podium Level Floor</v>
      </c>
      <c r="H163" s="69"/>
      <c r="I163" s="34"/>
      <c r="L163" s="63"/>
      <c r="M163" s="63"/>
      <c r="N163" s="34"/>
    </row>
    <row r="164" spans="1:14" s="35" customFormat="1" x14ac:dyDescent="0.3">
      <c r="A164" s="78" t="s">
        <v>205</v>
      </c>
      <c r="B164" s="79"/>
      <c r="C164" s="79"/>
      <c r="D164" s="79"/>
      <c r="E164" s="79"/>
      <c r="F164" s="79"/>
      <c r="G164" s="79"/>
      <c r="H164" s="80"/>
      <c r="J164" s="34"/>
    </row>
    <row r="165" spans="1:14" s="35" customFormat="1" ht="15.75" customHeight="1" x14ac:dyDescent="0.3">
      <c r="A165" s="64">
        <v>1</v>
      </c>
      <c r="B165" s="65"/>
      <c r="C165" s="45">
        <v>2</v>
      </c>
      <c r="D165" s="46">
        <f>56.91*10.764</f>
        <v>612.57923999999991</v>
      </c>
      <c r="E165" s="46">
        <v>0</v>
      </c>
      <c r="F165" s="52">
        <f>D165*(($F$150)+1)+(IF(E165&lt;101,E165,IF(E165&lt;201,E165/2,IF(E165&lt;=301,E165/3,E165/4))))</f>
        <v>949.49782199999993</v>
      </c>
      <c r="G165" s="66" t="str">
        <f>A164</f>
        <v>3rd to 7th Podium Level Floor</v>
      </c>
      <c r="H165" s="67"/>
      <c r="I165" s="34"/>
      <c r="L165" s="63"/>
      <c r="M165" s="63"/>
      <c r="N165" s="34"/>
    </row>
    <row r="166" spans="1:14" s="35" customFormat="1" ht="15.75" customHeight="1" x14ac:dyDescent="0.3">
      <c r="A166" s="64">
        <f t="shared" ref="A166:A168" si="11">A165+1</f>
        <v>2</v>
      </c>
      <c r="B166" s="65"/>
      <c r="C166" s="45">
        <v>1</v>
      </c>
      <c r="D166" s="46">
        <f>37.58*10.764</f>
        <v>404.51111999999995</v>
      </c>
      <c r="E166" s="46">
        <v>0</v>
      </c>
      <c r="F166" s="52">
        <f>D166*(($F$150)+1)+(IF(E166&lt;101,E166,IF(E166&lt;201,E166/2,IF(E166&lt;=301,E166/3,E166/4))))</f>
        <v>626.99223599999993</v>
      </c>
      <c r="G166" s="68" t="str">
        <f t="shared" ref="G166:G168" si="12">G165</f>
        <v>3rd to 7th Podium Level Floor</v>
      </c>
      <c r="H166" s="69"/>
      <c r="I166" s="34"/>
      <c r="L166" s="63"/>
      <c r="M166" s="63"/>
      <c r="N166" s="34"/>
    </row>
    <row r="167" spans="1:14" s="35" customFormat="1" ht="15.75" customHeight="1" x14ac:dyDescent="0.3">
      <c r="A167" s="64">
        <f t="shared" si="11"/>
        <v>3</v>
      </c>
      <c r="B167" s="65"/>
      <c r="C167" s="45">
        <v>1</v>
      </c>
      <c r="D167" s="46">
        <f>37.84*10.764</f>
        <v>407.30976000000004</v>
      </c>
      <c r="E167" s="46">
        <v>0</v>
      </c>
      <c r="F167" s="52">
        <f>D167*(($F$150)+1)+(IF(E167&lt;101,E167,IF(E167&lt;201,E167/2,IF(E167&lt;=301,E167/3,E167/4))))</f>
        <v>631.33012800000006</v>
      </c>
      <c r="G167" s="68" t="str">
        <f t="shared" si="12"/>
        <v>3rd to 7th Podium Level Floor</v>
      </c>
      <c r="H167" s="69"/>
      <c r="I167" s="34"/>
      <c r="L167" s="63"/>
      <c r="M167" s="63"/>
      <c r="N167" s="34"/>
    </row>
    <row r="168" spans="1:14" s="35" customFormat="1" ht="15.75" customHeight="1" x14ac:dyDescent="0.3">
      <c r="A168" s="64">
        <f t="shared" si="11"/>
        <v>4</v>
      </c>
      <c r="B168" s="65"/>
      <c r="C168" s="45">
        <v>2</v>
      </c>
      <c r="D168" s="46">
        <f>58.09*10.764</f>
        <v>625.28075999999999</v>
      </c>
      <c r="E168" s="46">
        <v>0</v>
      </c>
      <c r="F168" s="52">
        <f>D168*(($F$150)+1)+(IF(E168&lt;101,E168,IF(E168&lt;201,E168/2,IF(E168&lt;=301,E168/3,E168/4))))</f>
        <v>969.18517799999995</v>
      </c>
      <c r="G168" s="68" t="str">
        <f t="shared" si="12"/>
        <v>3rd to 7th Podium Level Floor</v>
      </c>
      <c r="H168" s="69"/>
      <c r="I168" s="34"/>
      <c r="L168" s="63"/>
      <c r="M168" s="63"/>
      <c r="N168" s="34"/>
    </row>
    <row r="169" spans="1:14" s="35" customFormat="1" x14ac:dyDescent="0.3">
      <c r="A169" s="78" t="s">
        <v>206</v>
      </c>
      <c r="B169" s="79"/>
      <c r="C169" s="79"/>
      <c r="D169" s="79"/>
      <c r="E169" s="79"/>
      <c r="F169" s="79"/>
      <c r="G169" s="79"/>
      <c r="H169" s="80"/>
      <c r="J169" s="34"/>
    </row>
    <row r="170" spans="1:14" s="35" customFormat="1" ht="15.75" customHeight="1" x14ac:dyDescent="0.3">
      <c r="A170" s="64">
        <v>1</v>
      </c>
      <c r="B170" s="65"/>
      <c r="C170" s="45">
        <v>2</v>
      </c>
      <c r="D170" s="46">
        <f>56.91*10.764</f>
        <v>612.57923999999991</v>
      </c>
      <c r="E170" s="52">
        <v>0</v>
      </c>
      <c r="F170" s="52">
        <f>D170*(($F$150)+1)+(IF(E170&lt;101,E170,IF(E170&lt;201,E170/2,IF(E170&lt;=301,E170/3,E170/4))))</f>
        <v>949.49782199999993</v>
      </c>
      <c r="G170" s="66" t="str">
        <f>A169</f>
        <v>8th Podium Level Floor (Part Refuge Area)</v>
      </c>
      <c r="H170" s="67"/>
      <c r="I170" s="34"/>
      <c r="L170" s="63"/>
      <c r="M170" s="63"/>
      <c r="N170" s="34"/>
    </row>
    <row r="171" spans="1:14" s="35" customFormat="1" ht="15.75" customHeight="1" x14ac:dyDescent="0.3">
      <c r="A171" s="64">
        <f t="shared" ref="A171" si="13">A170+1</f>
        <v>2</v>
      </c>
      <c r="B171" s="65"/>
      <c r="C171" s="45">
        <v>2</v>
      </c>
      <c r="D171" s="46">
        <f>58.09*10.764</f>
        <v>625.28075999999999</v>
      </c>
      <c r="E171" s="52">
        <v>0</v>
      </c>
      <c r="F171" s="52">
        <f>D171*(($F$150)+1)+(IF(E171&lt;101,E171,IF(E171&lt;201,E171/2,IF(E171&lt;=301,E171/3,E171/4))))</f>
        <v>969.18517799999995</v>
      </c>
      <c r="G171" s="68" t="str">
        <f t="shared" ref="G171" si="14">G170</f>
        <v>8th Podium Level Floor (Part Refuge Area)</v>
      </c>
      <c r="H171" s="69"/>
      <c r="I171" s="34"/>
      <c r="L171" s="63"/>
      <c r="M171" s="63"/>
      <c r="N171" s="34"/>
    </row>
    <row r="172" spans="1:14" s="35" customFormat="1" x14ac:dyDescent="0.3">
      <c r="A172" s="78" t="s">
        <v>207</v>
      </c>
      <c r="B172" s="79"/>
      <c r="C172" s="79"/>
      <c r="D172" s="79"/>
      <c r="E172" s="79"/>
      <c r="F172" s="79"/>
      <c r="G172" s="79"/>
      <c r="H172" s="80"/>
      <c r="J172" s="34"/>
    </row>
    <row r="173" spans="1:14" s="35" customFormat="1" ht="15.75" customHeight="1" x14ac:dyDescent="0.3">
      <c r="A173" s="64">
        <v>1</v>
      </c>
      <c r="B173" s="65"/>
      <c r="C173" s="45">
        <v>2</v>
      </c>
      <c r="D173" s="46">
        <f>56.91*10.764</f>
        <v>612.57923999999991</v>
      </c>
      <c r="E173" s="52">
        <v>0</v>
      </c>
      <c r="F173" s="52">
        <f>D173*(($F$150)+1)+(IF(E173&lt;101,E173,IF(E173&lt;201,E173/2,IF(E173&lt;=301,E173/3,E173/4))))</f>
        <v>949.49782199999993</v>
      </c>
      <c r="G173" s="66" t="str">
        <f>A172</f>
        <v>9th Podium Level Floor</v>
      </c>
      <c r="H173" s="67"/>
      <c r="I173" s="34"/>
      <c r="L173" s="63"/>
      <c r="M173" s="63"/>
      <c r="N173" s="34"/>
    </row>
    <row r="174" spans="1:14" s="35" customFormat="1" ht="15.75" customHeight="1" x14ac:dyDescent="0.3">
      <c r="A174" s="64">
        <f t="shared" ref="A174:A176" si="15">A173+1</f>
        <v>2</v>
      </c>
      <c r="B174" s="65"/>
      <c r="C174" s="45">
        <v>1</v>
      </c>
      <c r="D174" s="46">
        <f>37.58*10.764</f>
        <v>404.51111999999995</v>
      </c>
      <c r="E174" s="52">
        <v>0</v>
      </c>
      <c r="F174" s="52">
        <f>D174*(($F$150)+1)+(IF(E174&lt;101,E174,IF(E174&lt;201,E174/2,IF(E174&lt;=301,E174/3,E174/4))))</f>
        <v>626.99223599999993</v>
      </c>
      <c r="G174" s="68" t="str">
        <f t="shared" ref="G174:G176" si="16">G173</f>
        <v>9th Podium Level Floor</v>
      </c>
      <c r="H174" s="69"/>
      <c r="I174" s="34"/>
      <c r="L174" s="63"/>
      <c r="M174" s="63"/>
      <c r="N174" s="34"/>
    </row>
    <row r="175" spans="1:14" s="35" customFormat="1" ht="15.75" customHeight="1" x14ac:dyDescent="0.3">
      <c r="A175" s="64">
        <f t="shared" si="15"/>
        <v>3</v>
      </c>
      <c r="B175" s="65"/>
      <c r="C175" s="45">
        <v>1</v>
      </c>
      <c r="D175" s="46">
        <f>37.84*10.764</f>
        <v>407.30976000000004</v>
      </c>
      <c r="E175" s="52">
        <v>0</v>
      </c>
      <c r="F175" s="52">
        <f>D175*(($F$150)+1)+(IF(E175&lt;101,E175,IF(E175&lt;201,E175/2,IF(E175&lt;=301,E175/3,E175/4))))</f>
        <v>631.33012800000006</v>
      </c>
      <c r="G175" s="68" t="str">
        <f t="shared" si="16"/>
        <v>9th Podium Level Floor</v>
      </c>
      <c r="H175" s="69"/>
      <c r="I175" s="34"/>
      <c r="L175" s="63"/>
      <c r="M175" s="63"/>
      <c r="N175" s="34"/>
    </row>
    <row r="176" spans="1:14" s="35" customFormat="1" ht="15.75" customHeight="1" x14ac:dyDescent="0.3">
      <c r="A176" s="64">
        <f t="shared" si="15"/>
        <v>4</v>
      </c>
      <c r="B176" s="65"/>
      <c r="C176" s="45">
        <v>2</v>
      </c>
      <c r="D176" s="46">
        <f>58.09*10.764</f>
        <v>625.28075999999999</v>
      </c>
      <c r="E176" s="52">
        <v>0</v>
      </c>
      <c r="F176" s="52">
        <f>D176*(($F$150)+1)+(IF(E176&lt;101,E176,IF(E176&lt;201,E176/2,IF(E176&lt;=301,E176/3,E176/4))))</f>
        <v>969.18517799999995</v>
      </c>
      <c r="G176" s="68" t="str">
        <f t="shared" si="16"/>
        <v>9th Podium Level Floor</v>
      </c>
      <c r="H176" s="69"/>
      <c r="I176" s="34"/>
      <c r="L176" s="63"/>
      <c r="M176" s="63"/>
      <c r="N176" s="34"/>
    </row>
    <row r="177" spans="1:14" s="35" customFormat="1" x14ac:dyDescent="0.3">
      <c r="A177" s="78" t="s">
        <v>208</v>
      </c>
      <c r="B177" s="79"/>
      <c r="C177" s="79"/>
      <c r="D177" s="79"/>
      <c r="E177" s="79"/>
      <c r="F177" s="79"/>
      <c r="G177" s="79"/>
      <c r="H177" s="80"/>
      <c r="J177" s="34"/>
    </row>
    <row r="178" spans="1:14" s="35" customFormat="1" ht="15.75" customHeight="1" x14ac:dyDescent="0.3">
      <c r="A178" s="64">
        <v>1</v>
      </c>
      <c r="B178" s="65"/>
      <c r="C178" s="43">
        <v>2</v>
      </c>
      <c r="D178" s="52">
        <f>58.09*10.764</f>
        <v>625.28075999999999</v>
      </c>
      <c r="E178" s="52">
        <v>0</v>
      </c>
      <c r="F178" s="52">
        <f t="shared" ref="F178:F185" si="17">D178*(($F$150)+1)+(IF(E178&lt;101,E178,IF(E178&lt;201,E178/2,IF(E178&lt;=301,E178/3,E178/4))))</f>
        <v>969.18517799999995</v>
      </c>
      <c r="G178" s="66" t="str">
        <f>A177</f>
        <v>10th to 14th, 16th to 19th Floor For Residential</v>
      </c>
      <c r="H178" s="67"/>
      <c r="I178" s="34"/>
      <c r="L178" s="63"/>
      <c r="M178" s="63"/>
      <c r="N178" s="34"/>
    </row>
    <row r="179" spans="1:14" s="35" customFormat="1" ht="15.75" customHeight="1" x14ac:dyDescent="0.3">
      <c r="A179" s="64">
        <f t="shared" ref="A179:A185" si="18">A178+1</f>
        <v>2</v>
      </c>
      <c r="B179" s="65"/>
      <c r="C179" s="43">
        <v>1</v>
      </c>
      <c r="D179" s="46">
        <f>37.84*10.764</f>
        <v>407.30976000000004</v>
      </c>
      <c r="E179" s="52">
        <v>0</v>
      </c>
      <c r="F179" s="52">
        <f t="shared" si="17"/>
        <v>631.33012800000006</v>
      </c>
      <c r="G179" s="68" t="str">
        <f t="shared" ref="G179:G185" si="19">G178</f>
        <v>10th to 14th, 16th to 19th Floor For Residential</v>
      </c>
      <c r="H179" s="69"/>
      <c r="I179" s="34"/>
      <c r="L179" s="63"/>
      <c r="M179" s="63"/>
      <c r="N179" s="34"/>
    </row>
    <row r="180" spans="1:14" s="35" customFormat="1" ht="15.75" customHeight="1" x14ac:dyDescent="0.3">
      <c r="A180" s="64">
        <f t="shared" si="18"/>
        <v>3</v>
      </c>
      <c r="B180" s="65"/>
      <c r="C180" s="43">
        <v>1</v>
      </c>
      <c r="D180" s="46">
        <f>37.58*10.764</f>
        <v>404.51111999999995</v>
      </c>
      <c r="E180" s="52">
        <v>0</v>
      </c>
      <c r="F180" s="52">
        <f t="shared" si="17"/>
        <v>626.99223599999993</v>
      </c>
      <c r="G180" s="68" t="str">
        <f t="shared" si="19"/>
        <v>10th to 14th, 16th to 19th Floor For Residential</v>
      </c>
      <c r="H180" s="69"/>
      <c r="I180" s="34"/>
      <c r="L180" s="63"/>
      <c r="M180" s="63"/>
      <c r="N180" s="34"/>
    </row>
    <row r="181" spans="1:14" s="35" customFormat="1" ht="15.75" customHeight="1" x14ac:dyDescent="0.3">
      <c r="A181" s="64">
        <f t="shared" si="18"/>
        <v>4</v>
      </c>
      <c r="B181" s="65"/>
      <c r="C181" s="43">
        <v>2</v>
      </c>
      <c r="D181" s="46">
        <f>56.91*10.764</f>
        <v>612.57923999999991</v>
      </c>
      <c r="E181" s="52">
        <v>0</v>
      </c>
      <c r="F181" s="52">
        <f t="shared" si="17"/>
        <v>949.49782199999993</v>
      </c>
      <c r="G181" s="68" t="str">
        <f t="shared" si="19"/>
        <v>10th to 14th, 16th to 19th Floor For Residential</v>
      </c>
      <c r="H181" s="69"/>
      <c r="I181" s="34"/>
      <c r="L181" s="63"/>
      <c r="M181" s="63"/>
      <c r="N181" s="34"/>
    </row>
    <row r="182" spans="1:14" s="35" customFormat="1" ht="15.75" customHeight="1" x14ac:dyDescent="0.3">
      <c r="A182" s="64">
        <f t="shared" si="18"/>
        <v>5</v>
      </c>
      <c r="B182" s="65"/>
      <c r="C182" s="43">
        <v>2</v>
      </c>
      <c r="D182" s="46">
        <f>56.91*10.764</f>
        <v>612.57923999999991</v>
      </c>
      <c r="E182" s="52">
        <v>0</v>
      </c>
      <c r="F182" s="52">
        <f>D182*(($F$150)+1)+(IF(E182&lt;101,E182,IF(E182&lt;201,E182/2,IF(E182&lt;=301,E182/3,E182/4))))</f>
        <v>949.49782199999993</v>
      </c>
      <c r="G182" s="68" t="str">
        <f t="shared" si="19"/>
        <v>10th to 14th, 16th to 19th Floor For Residential</v>
      </c>
      <c r="H182" s="69"/>
      <c r="I182" s="34"/>
      <c r="L182" s="63"/>
      <c r="M182" s="63"/>
      <c r="N182" s="34"/>
    </row>
    <row r="183" spans="1:14" s="35" customFormat="1" ht="15.75" customHeight="1" x14ac:dyDescent="0.3">
      <c r="A183" s="64">
        <f t="shared" si="18"/>
        <v>6</v>
      </c>
      <c r="B183" s="65"/>
      <c r="C183" s="43">
        <v>1</v>
      </c>
      <c r="D183" s="46">
        <f>37.58*10.764</f>
        <v>404.51111999999995</v>
      </c>
      <c r="E183" s="52">
        <v>0</v>
      </c>
      <c r="F183" s="52">
        <f t="shared" si="17"/>
        <v>626.99223599999993</v>
      </c>
      <c r="G183" s="68" t="str">
        <f t="shared" si="19"/>
        <v>10th to 14th, 16th to 19th Floor For Residential</v>
      </c>
      <c r="H183" s="69"/>
      <c r="I183" s="34"/>
      <c r="L183" s="63"/>
      <c r="M183" s="63"/>
      <c r="N183" s="34"/>
    </row>
    <row r="184" spans="1:14" s="35" customFormat="1" ht="15.75" customHeight="1" x14ac:dyDescent="0.3">
      <c r="A184" s="64">
        <f t="shared" si="18"/>
        <v>7</v>
      </c>
      <c r="B184" s="65"/>
      <c r="C184" s="43">
        <v>1</v>
      </c>
      <c r="D184" s="46">
        <f>37.84*10.764</f>
        <v>407.30976000000004</v>
      </c>
      <c r="E184" s="52">
        <v>0</v>
      </c>
      <c r="F184" s="52">
        <f t="shared" si="17"/>
        <v>631.33012800000006</v>
      </c>
      <c r="G184" s="68" t="str">
        <f t="shared" si="19"/>
        <v>10th to 14th, 16th to 19th Floor For Residential</v>
      </c>
      <c r="H184" s="69"/>
      <c r="I184" s="34"/>
      <c r="L184" s="63"/>
      <c r="M184" s="63"/>
      <c r="N184" s="34"/>
    </row>
    <row r="185" spans="1:14" s="35" customFormat="1" ht="15.75" customHeight="1" x14ac:dyDescent="0.3">
      <c r="A185" s="64">
        <f t="shared" si="18"/>
        <v>8</v>
      </c>
      <c r="B185" s="65"/>
      <c r="C185" s="43">
        <v>2</v>
      </c>
      <c r="D185" s="52">
        <f>58.09*10.764</f>
        <v>625.28075999999999</v>
      </c>
      <c r="E185" s="52">
        <v>0</v>
      </c>
      <c r="F185" s="52">
        <f t="shared" si="17"/>
        <v>969.18517799999995</v>
      </c>
      <c r="G185" s="70" t="str">
        <f t="shared" si="19"/>
        <v>10th to 14th, 16th to 19th Floor For Residential</v>
      </c>
      <c r="H185" s="71"/>
      <c r="I185" s="34">
        <f>16500000/F185</f>
        <v>17024.610337158912</v>
      </c>
      <c r="J185" s="35" t="s">
        <v>235</v>
      </c>
      <c r="L185" s="63"/>
      <c r="M185" s="63"/>
      <c r="N185" s="34"/>
    </row>
    <row r="186" spans="1:14" s="35" customFormat="1" x14ac:dyDescent="0.3">
      <c r="A186" s="78" t="s">
        <v>209</v>
      </c>
      <c r="B186" s="79"/>
      <c r="C186" s="79"/>
      <c r="D186" s="79"/>
      <c r="E186" s="79"/>
      <c r="F186" s="79"/>
      <c r="G186" s="79"/>
      <c r="H186" s="80"/>
      <c r="J186" s="34"/>
    </row>
    <row r="187" spans="1:14" s="35" customFormat="1" ht="15.75" customHeight="1" x14ac:dyDescent="0.3">
      <c r="A187" s="64">
        <v>1</v>
      </c>
      <c r="B187" s="65"/>
      <c r="C187" s="43">
        <v>2</v>
      </c>
      <c r="D187" s="52">
        <f>58.09*10.764</f>
        <v>625.28075999999999</v>
      </c>
      <c r="E187" s="52">
        <v>0</v>
      </c>
      <c r="F187" s="52">
        <f>D187*(($F$150)+1)+(IF(E187&lt;101,E187,IF(E187&lt;201,E187/2,IF(E187&lt;=301,E187/3,E187/4))))</f>
        <v>969.18517799999995</v>
      </c>
      <c r="G187" s="66" t="str">
        <f>A186</f>
        <v>15th Floor For Residential (Part Refuge Area)</v>
      </c>
      <c r="H187" s="67"/>
      <c r="I187" s="34">
        <f>15200000/F187</f>
        <v>15683.277401503969</v>
      </c>
      <c r="J187" s="35" t="s">
        <v>233</v>
      </c>
      <c r="L187" s="63"/>
      <c r="M187" s="63"/>
      <c r="N187" s="34"/>
    </row>
    <row r="188" spans="1:14" s="35" customFormat="1" ht="15.75" customHeight="1" x14ac:dyDescent="0.3">
      <c r="A188" s="64">
        <f t="shared" ref="A188:A194" si="20">A187+1</f>
        <v>2</v>
      </c>
      <c r="B188" s="65"/>
      <c r="C188" s="43">
        <v>1</v>
      </c>
      <c r="D188" s="46">
        <f>37.84*10.764</f>
        <v>407.30976000000004</v>
      </c>
      <c r="E188" s="52">
        <v>0</v>
      </c>
      <c r="F188" s="52">
        <f>D188*(($F$150)+1)+(IF(E188&lt;101,E188,IF(E188&lt;201,E188/2,IF(E188&lt;=301,E188/3,E188/4))))</f>
        <v>631.33012800000006</v>
      </c>
      <c r="G188" s="68"/>
      <c r="H188" s="69"/>
      <c r="I188" s="34"/>
      <c r="L188" s="63"/>
      <c r="M188" s="63"/>
      <c r="N188" s="34"/>
    </row>
    <row r="189" spans="1:14" s="35" customFormat="1" ht="15.75" customHeight="1" x14ac:dyDescent="0.3">
      <c r="A189" s="64">
        <f t="shared" si="20"/>
        <v>3</v>
      </c>
      <c r="B189" s="65"/>
      <c r="C189" s="43">
        <v>1</v>
      </c>
      <c r="D189" s="46">
        <f>37.58*10.764</f>
        <v>404.51111999999995</v>
      </c>
      <c r="E189" s="52">
        <v>0</v>
      </c>
      <c r="F189" s="52">
        <f>D189*(($F$150)+1)+(IF(E189&lt;101,E189,IF(E189&lt;201,E189/2,IF(E189&lt;=301,E189/3,E189/4))))</f>
        <v>626.99223599999993</v>
      </c>
      <c r="G189" s="68"/>
      <c r="H189" s="69"/>
      <c r="I189" s="34"/>
      <c r="L189" s="63"/>
      <c r="M189" s="63"/>
      <c r="N189" s="34"/>
    </row>
    <row r="190" spans="1:14" s="35" customFormat="1" ht="15.75" customHeight="1" x14ac:dyDescent="0.3">
      <c r="A190" s="64">
        <f t="shared" si="20"/>
        <v>4</v>
      </c>
      <c r="B190" s="65"/>
      <c r="C190" s="43">
        <v>2</v>
      </c>
      <c r="D190" s="46">
        <f>56.91*10.764</f>
        <v>612.57923999999991</v>
      </c>
      <c r="E190" s="52">
        <v>0</v>
      </c>
      <c r="F190" s="52">
        <f>D190*(($F$150)+1)+(IF(E190&lt;101,E190,IF(E190&lt;201,E190/2,IF(E190&lt;=301,E190/3,E190/4))))</f>
        <v>949.49782199999993</v>
      </c>
      <c r="G190" s="68"/>
      <c r="H190" s="69"/>
      <c r="I190" s="34"/>
      <c r="L190" s="63"/>
      <c r="M190" s="63"/>
      <c r="N190" s="34"/>
    </row>
    <row r="191" spans="1:14" s="35" customFormat="1" ht="15.75" customHeight="1" x14ac:dyDescent="0.3">
      <c r="A191" s="64">
        <f t="shared" si="20"/>
        <v>5</v>
      </c>
      <c r="B191" s="65"/>
      <c r="C191" s="43">
        <v>2</v>
      </c>
      <c r="D191" s="46">
        <f>56.91*10.764</f>
        <v>612.57923999999991</v>
      </c>
      <c r="E191" s="52">
        <v>0</v>
      </c>
      <c r="F191" s="52">
        <f>D191*(($F$150)+1)+(IF(E191&lt;101,E191,IF(E191&lt;201,E191/2,IF(E191&lt;=301,E191/3,E191/4))))</f>
        <v>949.49782199999993</v>
      </c>
      <c r="G191" s="68"/>
      <c r="H191" s="69"/>
      <c r="I191" s="34"/>
      <c r="L191" s="63"/>
      <c r="M191" s="63"/>
      <c r="N191" s="34"/>
    </row>
    <row r="192" spans="1:14" s="35" customFormat="1" ht="15.75" customHeight="1" x14ac:dyDescent="0.3">
      <c r="A192" s="64">
        <f t="shared" si="20"/>
        <v>6</v>
      </c>
      <c r="B192" s="65"/>
      <c r="C192" s="81" t="s">
        <v>210</v>
      </c>
      <c r="D192" s="82"/>
      <c r="E192" s="82"/>
      <c r="F192" s="83"/>
      <c r="G192" s="68"/>
      <c r="H192" s="69"/>
      <c r="I192" s="34"/>
      <c r="L192" s="63"/>
      <c r="M192" s="63"/>
      <c r="N192" s="34"/>
    </row>
    <row r="193" spans="1:14" s="35" customFormat="1" ht="15.75" customHeight="1" x14ac:dyDescent="0.3">
      <c r="A193" s="64">
        <f t="shared" si="20"/>
        <v>7</v>
      </c>
      <c r="B193" s="65"/>
      <c r="C193" s="84"/>
      <c r="D193" s="85"/>
      <c r="E193" s="85"/>
      <c r="F193" s="86"/>
      <c r="G193" s="68"/>
      <c r="H193" s="69"/>
      <c r="I193" s="34"/>
      <c r="L193" s="63"/>
      <c r="M193" s="63"/>
      <c r="N193" s="34"/>
    </row>
    <row r="194" spans="1:14" s="35" customFormat="1" ht="15.75" customHeight="1" x14ac:dyDescent="0.3">
      <c r="A194" s="64">
        <f t="shared" si="20"/>
        <v>8</v>
      </c>
      <c r="B194" s="65"/>
      <c r="C194" s="43">
        <v>2</v>
      </c>
      <c r="D194" s="52">
        <f>58.09*10.764</f>
        <v>625.28075999999999</v>
      </c>
      <c r="E194" s="52">
        <v>0</v>
      </c>
      <c r="F194" s="52">
        <f>D194*(($F$150)+1)+(IF(E194&lt;101,E194,IF(E194&lt;201,E194/2,IF(E194&lt;=301,E194/3,E194/4))))</f>
        <v>969.18517799999995</v>
      </c>
      <c r="G194" s="70"/>
      <c r="H194" s="71"/>
      <c r="I194" s="34"/>
      <c r="L194" s="63"/>
      <c r="M194" s="63"/>
      <c r="N194" s="34"/>
    </row>
    <row r="195" spans="1:14" s="35" customFormat="1" x14ac:dyDescent="0.3">
      <c r="A195" s="78" t="s">
        <v>201</v>
      </c>
      <c r="B195" s="79"/>
      <c r="C195" s="79"/>
      <c r="D195" s="79"/>
      <c r="E195" s="79"/>
      <c r="F195" s="79"/>
      <c r="G195" s="79"/>
      <c r="H195" s="80"/>
      <c r="J195" s="34"/>
    </row>
    <row r="196" spans="1:14" s="35" customFormat="1" x14ac:dyDescent="0.3">
      <c r="A196" s="78" t="s">
        <v>219</v>
      </c>
      <c r="B196" s="79"/>
      <c r="C196" s="79"/>
      <c r="D196" s="79"/>
      <c r="E196" s="79"/>
      <c r="F196" s="79"/>
      <c r="G196" s="79"/>
      <c r="H196" s="80"/>
      <c r="J196" s="34"/>
    </row>
    <row r="197" spans="1:14" s="35" customFormat="1" x14ac:dyDescent="0.3">
      <c r="A197" s="78" t="s">
        <v>220</v>
      </c>
      <c r="B197" s="79"/>
      <c r="C197" s="79"/>
      <c r="D197" s="79"/>
      <c r="E197" s="79"/>
      <c r="F197" s="79"/>
      <c r="G197" s="79"/>
      <c r="H197" s="80"/>
      <c r="J197" s="34"/>
    </row>
    <row r="198" spans="1:14" s="35" customFormat="1" x14ac:dyDescent="0.3">
      <c r="A198" s="78" t="s">
        <v>203</v>
      </c>
      <c r="B198" s="79"/>
      <c r="C198" s="79"/>
      <c r="D198" s="79"/>
      <c r="E198" s="79"/>
      <c r="F198" s="79"/>
      <c r="G198" s="79"/>
      <c r="H198" s="80"/>
      <c r="J198" s="34"/>
    </row>
    <row r="199" spans="1:14" s="35" customFormat="1" ht="15.75" customHeight="1" x14ac:dyDescent="0.3">
      <c r="A199" s="64">
        <v>1</v>
      </c>
      <c r="B199" s="65"/>
      <c r="C199" s="43">
        <v>2</v>
      </c>
      <c r="D199" s="52">
        <f>56.13*10.764</f>
        <v>604.18331999999998</v>
      </c>
      <c r="E199" s="52">
        <v>0</v>
      </c>
      <c r="F199" s="52">
        <f>D199*(($F$150)+1)+(IF(E199&lt;101,E199,IF(E199&lt;201,E199/2,IF(E199&lt;=301,E199/3,E199/4))))</f>
        <v>936.48414600000001</v>
      </c>
      <c r="G199" s="66" t="str">
        <f>A198</f>
        <v>1st Podium Level Floor For Parking &amp; Residential</v>
      </c>
      <c r="H199" s="67"/>
      <c r="I199" s="34">
        <f>15900000/F199</f>
        <v>16978.397411118585</v>
      </c>
      <c r="J199" s="35" t="s">
        <v>235</v>
      </c>
      <c r="L199" s="63"/>
      <c r="M199" s="63"/>
      <c r="N199" s="34"/>
    </row>
    <row r="200" spans="1:14" s="35" customFormat="1" ht="15.75" customHeight="1" x14ac:dyDescent="0.3">
      <c r="A200" s="64">
        <f t="shared" ref="A200:A201" si="21">A199+1</f>
        <v>2</v>
      </c>
      <c r="B200" s="65"/>
      <c r="C200" s="43">
        <v>2</v>
      </c>
      <c r="D200" s="52">
        <f>56.13*10.764</f>
        <v>604.18331999999998</v>
      </c>
      <c r="E200" s="52">
        <v>0</v>
      </c>
      <c r="F200" s="52">
        <f>D200*(($F$150)+1)+(IF(E200&lt;101,E200,IF(E200&lt;201,E200/2,IF(E200&lt;=301,E200/3,E200/4))))</f>
        <v>936.48414600000001</v>
      </c>
      <c r="G200" s="68" t="str">
        <f t="shared" ref="G200:G201" si="22">G199</f>
        <v>1st Podium Level Floor For Parking &amp; Residential</v>
      </c>
      <c r="H200" s="69"/>
      <c r="I200" s="34"/>
      <c r="L200" s="63"/>
      <c r="M200" s="63"/>
      <c r="N200" s="34"/>
    </row>
    <row r="201" spans="1:14" s="35" customFormat="1" ht="15.75" customHeight="1" x14ac:dyDescent="0.3">
      <c r="A201" s="64">
        <f t="shared" si="21"/>
        <v>3</v>
      </c>
      <c r="B201" s="65"/>
      <c r="C201" s="43">
        <v>2</v>
      </c>
      <c r="D201" s="52">
        <f>56.02*10.764</f>
        <v>602.99928</v>
      </c>
      <c r="E201" s="52">
        <v>0</v>
      </c>
      <c r="F201" s="52">
        <f>D201*(($F$150)+1)+(IF(E201&lt;101,E201,IF(E201&lt;201,E201/2,IF(E201&lt;=301,E201/3,E201/4))))</f>
        <v>934.64888400000007</v>
      </c>
      <c r="G201" s="68" t="str">
        <f t="shared" si="22"/>
        <v>1st Podium Level Floor For Parking &amp; Residential</v>
      </c>
      <c r="H201" s="69"/>
      <c r="I201" s="34"/>
      <c r="L201" s="63"/>
      <c r="M201" s="63"/>
      <c r="N201" s="34"/>
    </row>
    <row r="202" spans="1:14" s="35" customFormat="1" x14ac:dyDescent="0.3">
      <c r="A202" s="78" t="s">
        <v>204</v>
      </c>
      <c r="B202" s="79"/>
      <c r="C202" s="79"/>
      <c r="D202" s="79"/>
      <c r="E202" s="79"/>
      <c r="F202" s="79"/>
      <c r="G202" s="79"/>
      <c r="H202" s="80"/>
      <c r="J202" s="34"/>
    </row>
    <row r="203" spans="1:14" s="35" customFormat="1" ht="15.75" customHeight="1" x14ac:dyDescent="0.3">
      <c r="A203" s="64">
        <v>1</v>
      </c>
      <c r="B203" s="65"/>
      <c r="C203" s="45">
        <v>2</v>
      </c>
      <c r="D203" s="46">
        <f>56.13*10.764</f>
        <v>604.18331999999998</v>
      </c>
      <c r="E203" s="52">
        <v>0</v>
      </c>
      <c r="F203" s="52">
        <f>D203*(($F$150)+1)+(IF(E203&lt;101,E203,IF(E203&lt;201,E203/2,IF(E203&lt;=301,E203/3,E203/4))))</f>
        <v>936.48414600000001</v>
      </c>
      <c r="G203" s="66" t="str">
        <f>A202</f>
        <v>2nd Podium Level Floor</v>
      </c>
      <c r="H203" s="67"/>
      <c r="I203" s="34"/>
      <c r="L203" s="63"/>
      <c r="M203" s="63"/>
      <c r="N203" s="34"/>
    </row>
    <row r="204" spans="1:14" s="35" customFormat="1" ht="15.75" customHeight="1" x14ac:dyDescent="0.3">
      <c r="A204" s="64">
        <f t="shared" ref="A204:A205" si="23">A203+1</f>
        <v>2</v>
      </c>
      <c r="B204" s="65"/>
      <c r="C204" s="45">
        <v>2</v>
      </c>
      <c r="D204" s="46">
        <f>56.13*10.764</f>
        <v>604.18331999999998</v>
      </c>
      <c r="E204" s="52">
        <v>0</v>
      </c>
      <c r="F204" s="52">
        <f>D204*(($F$150)+1)+(IF(E204&lt;101,E204,IF(E204&lt;201,E204/2,IF(E204&lt;=301,E204/3,E204/4))))</f>
        <v>936.48414600000001</v>
      </c>
      <c r="G204" s="68" t="str">
        <f t="shared" ref="G204:G205" si="24">G203</f>
        <v>2nd Podium Level Floor</v>
      </c>
      <c r="H204" s="69"/>
      <c r="I204" s="34"/>
      <c r="L204" s="63"/>
      <c r="M204" s="63"/>
      <c r="N204" s="34"/>
    </row>
    <row r="205" spans="1:14" s="35" customFormat="1" ht="15.75" customHeight="1" x14ac:dyDescent="0.3">
      <c r="A205" s="64">
        <f t="shared" si="23"/>
        <v>3</v>
      </c>
      <c r="B205" s="65"/>
      <c r="C205" s="45">
        <v>2</v>
      </c>
      <c r="D205" s="46">
        <f>56.02*10.764</f>
        <v>602.99928</v>
      </c>
      <c r="E205" s="52">
        <v>0</v>
      </c>
      <c r="F205" s="52">
        <f>D205*(($F$150)+1)+(IF(E205&lt;101,E205,IF(E205&lt;201,E205/2,IF(E205&lt;=301,E205/3,E205/4))))</f>
        <v>934.64888400000007</v>
      </c>
      <c r="G205" s="68" t="str">
        <f t="shared" si="24"/>
        <v>2nd Podium Level Floor</v>
      </c>
      <c r="H205" s="69"/>
      <c r="I205" s="34"/>
      <c r="L205" s="63"/>
      <c r="M205" s="63"/>
      <c r="N205" s="34"/>
    </row>
    <row r="206" spans="1:14" s="35" customFormat="1" ht="15.75" customHeight="1" x14ac:dyDescent="0.3">
      <c r="A206" s="78" t="s">
        <v>205</v>
      </c>
      <c r="B206" s="79"/>
      <c r="C206" s="79"/>
      <c r="D206" s="79"/>
      <c r="E206" s="79"/>
      <c r="F206" s="79"/>
      <c r="G206" s="79"/>
      <c r="H206" s="80"/>
      <c r="J206" s="34"/>
    </row>
    <row r="207" spans="1:14" s="35" customFormat="1" ht="15.75" customHeight="1" x14ac:dyDescent="0.3">
      <c r="A207" s="64">
        <v>1</v>
      </c>
      <c r="B207" s="65"/>
      <c r="C207" s="45">
        <v>2</v>
      </c>
      <c r="D207" s="46">
        <f>56.13*10.764</f>
        <v>604.18331999999998</v>
      </c>
      <c r="E207" s="46">
        <v>0</v>
      </c>
      <c r="F207" s="52">
        <f>D207*(($F$150)+1)+(IF(E207&lt;101,E207,IF(E207&lt;201,E207/2,IF(E207&lt;=301,E207/3,E207/4))))</f>
        <v>936.48414600000001</v>
      </c>
      <c r="G207" s="66" t="str">
        <f>A206</f>
        <v>3rd to 7th Podium Level Floor</v>
      </c>
      <c r="H207" s="67"/>
      <c r="I207" s="34"/>
      <c r="L207" s="63"/>
      <c r="M207" s="63"/>
      <c r="N207" s="34"/>
    </row>
    <row r="208" spans="1:14" s="35" customFormat="1" ht="15.75" customHeight="1" x14ac:dyDescent="0.3">
      <c r="A208" s="64">
        <f t="shared" ref="A208:A209" si="25">A207+1</f>
        <v>2</v>
      </c>
      <c r="B208" s="65"/>
      <c r="C208" s="45">
        <v>2</v>
      </c>
      <c r="D208" s="46">
        <f>56.13*10.764</f>
        <v>604.18331999999998</v>
      </c>
      <c r="E208" s="46">
        <v>0</v>
      </c>
      <c r="F208" s="52">
        <f>D208*(($F$150)+1)+(IF(E208&lt;101,E208,IF(E208&lt;201,E208/2,IF(E208&lt;=301,E208/3,E208/4))))</f>
        <v>936.48414600000001</v>
      </c>
      <c r="G208" s="68" t="str">
        <f t="shared" ref="G208:G209" si="26">G207</f>
        <v>3rd to 7th Podium Level Floor</v>
      </c>
      <c r="H208" s="69"/>
      <c r="I208" s="34"/>
      <c r="L208" s="63"/>
      <c r="M208" s="63"/>
      <c r="N208" s="34"/>
    </row>
    <row r="209" spans="1:14" s="35" customFormat="1" ht="15.75" customHeight="1" x14ac:dyDescent="0.3">
      <c r="A209" s="64">
        <f t="shared" si="25"/>
        <v>3</v>
      </c>
      <c r="B209" s="65"/>
      <c r="C209" s="45">
        <v>2</v>
      </c>
      <c r="D209" s="46">
        <f>56.02*10.764</f>
        <v>602.99928</v>
      </c>
      <c r="E209" s="46">
        <v>0</v>
      </c>
      <c r="F209" s="52">
        <f>D209*(($F$150)+1)+(IF(E209&lt;101,E209,IF(E209&lt;201,E209/2,IF(E209&lt;=301,E209/3,E209/4))))</f>
        <v>934.64888400000007</v>
      </c>
      <c r="G209" s="68" t="str">
        <f t="shared" si="26"/>
        <v>3rd to 7th Podium Level Floor</v>
      </c>
      <c r="H209" s="69"/>
      <c r="I209" s="34"/>
      <c r="L209" s="63">
        <f>(6.32*3.05+0.38*1.15+1.48*1.92+1.57*1.82+2.8*3.05+0.55*3.21+0.9*3.15+2.12*1.37+3.65*3.13+0.6*1.42+2.12*1.37)</f>
        <v>56.637800000000006</v>
      </c>
      <c r="M209" s="63"/>
      <c r="N209" s="34"/>
    </row>
    <row r="210" spans="1:14" s="35" customFormat="1" x14ac:dyDescent="0.3">
      <c r="A210" s="78" t="s">
        <v>206</v>
      </c>
      <c r="B210" s="79"/>
      <c r="C210" s="79"/>
      <c r="D210" s="79"/>
      <c r="E210" s="79"/>
      <c r="F210" s="79"/>
      <c r="G210" s="79"/>
      <c r="H210" s="80"/>
      <c r="J210" s="34"/>
    </row>
    <row r="211" spans="1:14" s="35" customFormat="1" ht="15.75" customHeight="1" x14ac:dyDescent="0.3">
      <c r="A211" s="64">
        <v>1</v>
      </c>
      <c r="B211" s="65"/>
      <c r="C211" s="45">
        <v>2</v>
      </c>
      <c r="D211" s="46">
        <f>56.13*10.764</f>
        <v>604.18331999999998</v>
      </c>
      <c r="E211" s="46">
        <v>0</v>
      </c>
      <c r="F211" s="46">
        <f>D211*(($F$150)+1)+(IF(E211&lt;101,E211,IF(E211&lt;201,E211/2,IF(E211&lt;=301,E211/3,E211/4))))</f>
        <v>936.48414600000001</v>
      </c>
      <c r="G211" s="66" t="str">
        <f>A210</f>
        <v>8th Podium Level Floor (Part Refuge Area)</v>
      </c>
      <c r="H211" s="67"/>
      <c r="I211" s="34"/>
      <c r="L211" s="63"/>
      <c r="M211" s="63"/>
      <c r="N211" s="34"/>
    </row>
    <row r="212" spans="1:14" s="35" customFormat="1" ht="15.75" customHeight="1" x14ac:dyDescent="0.3">
      <c r="A212" s="64">
        <f t="shared" ref="A212" si="27">A211+1</f>
        <v>2</v>
      </c>
      <c r="B212" s="65"/>
      <c r="C212" s="45">
        <v>2</v>
      </c>
      <c r="D212" s="46">
        <f>56.02*10.764</f>
        <v>602.99928</v>
      </c>
      <c r="E212" s="46">
        <v>0</v>
      </c>
      <c r="F212" s="46">
        <f>D212*(($F$150)+1)+(IF(E212&lt;101,E212,IF(E212&lt;201,E212/2,IF(E212&lt;=301,E212/3,E212/4))))</f>
        <v>934.64888400000007</v>
      </c>
      <c r="G212" s="68" t="str">
        <f t="shared" ref="G212" si="28">G211</f>
        <v>8th Podium Level Floor (Part Refuge Area)</v>
      </c>
      <c r="H212" s="69"/>
      <c r="I212" s="34"/>
      <c r="L212" s="63"/>
      <c r="M212" s="63"/>
      <c r="N212" s="34"/>
    </row>
    <row r="213" spans="1:14" s="35" customFormat="1" x14ac:dyDescent="0.3">
      <c r="A213" s="78" t="s">
        <v>207</v>
      </c>
      <c r="B213" s="79"/>
      <c r="C213" s="79"/>
      <c r="D213" s="79"/>
      <c r="E213" s="79"/>
      <c r="F213" s="79"/>
      <c r="G213" s="79"/>
      <c r="H213" s="80"/>
      <c r="J213" s="34"/>
    </row>
    <row r="214" spans="1:14" s="35" customFormat="1" ht="15.75" customHeight="1" x14ac:dyDescent="0.3">
      <c r="A214" s="64">
        <v>1</v>
      </c>
      <c r="B214" s="65"/>
      <c r="C214" s="45">
        <v>2</v>
      </c>
      <c r="D214" s="46">
        <f>56.13*10.764</f>
        <v>604.18331999999998</v>
      </c>
      <c r="E214" s="52">
        <v>0</v>
      </c>
      <c r="F214" s="52">
        <f>D214*(($F$150)+1)+(IF(E214&lt;101,E214,IF(E214&lt;201,E214/2,IF(E214&lt;=301,E214/3,E214/4))))</f>
        <v>936.48414600000001</v>
      </c>
      <c r="G214" s="66" t="str">
        <f>A213</f>
        <v>9th Podium Level Floor</v>
      </c>
      <c r="H214" s="67"/>
      <c r="I214" s="34"/>
      <c r="L214" s="63"/>
      <c r="M214" s="63"/>
      <c r="N214" s="34"/>
    </row>
    <row r="215" spans="1:14" s="35" customFormat="1" ht="15.75" customHeight="1" x14ac:dyDescent="0.3">
      <c r="A215" s="64">
        <f t="shared" ref="A215:A216" si="29">A214+1</f>
        <v>2</v>
      </c>
      <c r="B215" s="65"/>
      <c r="C215" s="45">
        <v>2</v>
      </c>
      <c r="D215" s="46">
        <f>56.13*10.764</f>
        <v>604.18331999999998</v>
      </c>
      <c r="E215" s="52">
        <v>0</v>
      </c>
      <c r="F215" s="52">
        <f>D215*(($F$150)+1)+(IF(E215&lt;101,E215,IF(E215&lt;201,E215/2,IF(E215&lt;=301,E215/3,E215/4))))</f>
        <v>936.48414600000001</v>
      </c>
      <c r="G215" s="68" t="str">
        <f t="shared" ref="G215:G216" si="30">G214</f>
        <v>9th Podium Level Floor</v>
      </c>
      <c r="H215" s="69"/>
      <c r="I215" s="34"/>
      <c r="L215" s="63"/>
      <c r="M215" s="63"/>
      <c r="N215" s="34"/>
    </row>
    <row r="216" spans="1:14" s="35" customFormat="1" ht="15.75" customHeight="1" x14ac:dyDescent="0.3">
      <c r="A216" s="64">
        <f t="shared" si="29"/>
        <v>3</v>
      </c>
      <c r="B216" s="65"/>
      <c r="C216" s="45">
        <v>2</v>
      </c>
      <c r="D216" s="46">
        <f>56.02*10.764</f>
        <v>602.99928</v>
      </c>
      <c r="E216" s="52">
        <v>0</v>
      </c>
      <c r="F216" s="52">
        <f>D216*(($F$150)+1)+(IF(E216&lt;101,E216,IF(E216&lt;201,E216/2,IF(E216&lt;=301,E216/3,E216/4))))</f>
        <v>934.64888400000007</v>
      </c>
      <c r="G216" s="68" t="str">
        <f t="shared" si="30"/>
        <v>9th Podium Level Floor</v>
      </c>
      <c r="H216" s="69"/>
      <c r="I216" s="34"/>
      <c r="L216" s="63"/>
      <c r="M216" s="63"/>
      <c r="N216" s="34"/>
    </row>
    <row r="217" spans="1:14" s="35" customFormat="1" x14ac:dyDescent="0.3">
      <c r="A217" s="78" t="s">
        <v>208</v>
      </c>
      <c r="B217" s="79"/>
      <c r="C217" s="79"/>
      <c r="D217" s="79"/>
      <c r="E217" s="79"/>
      <c r="F217" s="79"/>
      <c r="G217" s="79"/>
      <c r="H217" s="80"/>
      <c r="J217" s="34"/>
    </row>
    <row r="218" spans="1:14" s="35" customFormat="1" ht="15.75" customHeight="1" x14ac:dyDescent="0.3">
      <c r="A218" s="64">
        <v>1</v>
      </c>
      <c r="B218" s="65"/>
      <c r="C218" s="43">
        <v>2</v>
      </c>
      <c r="D218" s="46">
        <f>56.13*10.764</f>
        <v>604.18331999999998</v>
      </c>
      <c r="E218" s="52">
        <v>0</v>
      </c>
      <c r="F218" s="52">
        <f>D218*(($F$150)+1)+(IF(E218&lt;101,E218,IF(E218&lt;201,E218/2,IF(E218&lt;=301,E218/3,E218/4))))</f>
        <v>936.48414600000001</v>
      </c>
      <c r="G218" s="66" t="str">
        <f>A217</f>
        <v>10th to 14th, 16th to 19th Floor For Residential</v>
      </c>
      <c r="H218" s="67"/>
      <c r="I218" s="34"/>
      <c r="L218" s="63"/>
      <c r="M218" s="63"/>
      <c r="N218" s="34"/>
    </row>
    <row r="219" spans="1:14" s="35" customFormat="1" ht="15.75" customHeight="1" x14ac:dyDescent="0.3">
      <c r="A219" s="64">
        <f t="shared" ref="A219:A221" si="31">A218+1</f>
        <v>2</v>
      </c>
      <c r="B219" s="65"/>
      <c r="C219" s="43">
        <v>2</v>
      </c>
      <c r="D219" s="46">
        <f>56.13*10.764</f>
        <v>604.18331999999998</v>
      </c>
      <c r="E219" s="52">
        <v>0</v>
      </c>
      <c r="F219" s="52">
        <f>D219*(($F$150)+1)+(IF(E219&lt;101,E219,IF(E219&lt;201,E219/2,IF(E219&lt;=301,E219/3,E219/4))))</f>
        <v>936.48414600000001</v>
      </c>
      <c r="G219" s="68" t="str">
        <f t="shared" ref="G219:G221" si="32">G218</f>
        <v>10th to 14th, 16th to 19th Floor For Residential</v>
      </c>
      <c r="H219" s="69"/>
      <c r="I219" s="34"/>
      <c r="L219" s="63"/>
      <c r="M219" s="63"/>
      <c r="N219" s="34"/>
    </row>
    <row r="220" spans="1:14" s="35" customFormat="1" ht="15.75" customHeight="1" x14ac:dyDescent="0.3">
      <c r="A220" s="64">
        <f t="shared" si="31"/>
        <v>3</v>
      </c>
      <c r="B220" s="65"/>
      <c r="C220" s="43">
        <v>2</v>
      </c>
      <c r="D220" s="46">
        <f>56.02*10.764</f>
        <v>602.99928</v>
      </c>
      <c r="E220" s="52">
        <v>0</v>
      </c>
      <c r="F220" s="52">
        <f>D220*(($F$150)+1)+(IF(E220&lt;101,E220,IF(E220&lt;201,E220/2,IF(E220&lt;=301,E220/3,E220/4))))</f>
        <v>934.64888400000007</v>
      </c>
      <c r="G220" s="68" t="str">
        <f t="shared" si="32"/>
        <v>10th to 14th, 16th to 19th Floor For Residential</v>
      </c>
      <c r="H220" s="69"/>
      <c r="I220" s="34"/>
      <c r="L220" s="63"/>
      <c r="M220" s="63"/>
      <c r="N220" s="34"/>
    </row>
    <row r="221" spans="1:14" s="35" customFormat="1" ht="15.75" customHeight="1" x14ac:dyDescent="0.3">
      <c r="A221" s="64">
        <f t="shared" si="31"/>
        <v>4</v>
      </c>
      <c r="B221" s="65"/>
      <c r="C221" s="43">
        <v>1</v>
      </c>
      <c r="D221" s="46">
        <f>38.41*10.764</f>
        <v>413.44523999999996</v>
      </c>
      <c r="E221" s="52">
        <v>0</v>
      </c>
      <c r="F221" s="52">
        <f>D221*(($F$150)+1)+(IF(E221&lt;101,E221,IF(E221&lt;201,E221/2,IF(E221&lt;=301,E221/3,E221/4))))</f>
        <v>640.84012199999995</v>
      </c>
      <c r="G221" s="68" t="str">
        <f t="shared" si="32"/>
        <v>10th to 14th, 16th to 19th Floor For Residential</v>
      </c>
      <c r="H221" s="69"/>
      <c r="I221" s="34"/>
      <c r="L221" s="63"/>
      <c r="M221" s="63"/>
      <c r="N221" s="34"/>
    </row>
    <row r="222" spans="1:14" s="35" customFormat="1" x14ac:dyDescent="0.3">
      <c r="A222" s="78" t="s">
        <v>209</v>
      </c>
      <c r="B222" s="79"/>
      <c r="C222" s="79"/>
      <c r="D222" s="79"/>
      <c r="E222" s="79"/>
      <c r="F222" s="79"/>
      <c r="G222" s="79"/>
      <c r="H222" s="80"/>
      <c r="J222" s="34"/>
    </row>
    <row r="223" spans="1:14" s="35" customFormat="1" ht="15.75" customHeight="1" x14ac:dyDescent="0.3">
      <c r="A223" s="64">
        <v>1</v>
      </c>
      <c r="B223" s="65"/>
      <c r="C223" s="81" t="s">
        <v>210</v>
      </c>
      <c r="D223" s="82"/>
      <c r="E223" s="82"/>
      <c r="F223" s="83"/>
      <c r="G223" s="66" t="str">
        <f>A222</f>
        <v>15th Floor For Residential (Part Refuge Area)</v>
      </c>
      <c r="H223" s="67"/>
      <c r="I223" s="34"/>
      <c r="L223" s="63"/>
      <c r="M223" s="63"/>
      <c r="N223" s="34"/>
    </row>
    <row r="224" spans="1:14" s="35" customFormat="1" ht="15.75" customHeight="1" x14ac:dyDescent="0.3">
      <c r="A224" s="64">
        <f t="shared" ref="A224:A226" si="33">A223+1</f>
        <v>2</v>
      </c>
      <c r="B224" s="65"/>
      <c r="C224" s="84"/>
      <c r="D224" s="85"/>
      <c r="E224" s="85"/>
      <c r="F224" s="86"/>
      <c r="G224" s="68" t="str">
        <f t="shared" ref="G224:G226" si="34">G223</f>
        <v>15th Floor For Residential (Part Refuge Area)</v>
      </c>
      <c r="H224" s="69"/>
      <c r="I224" s="34"/>
      <c r="L224" s="63"/>
      <c r="M224" s="63"/>
      <c r="N224" s="34"/>
    </row>
    <row r="225" spans="1:14" s="35" customFormat="1" ht="15.75" customHeight="1" x14ac:dyDescent="0.3">
      <c r="A225" s="64">
        <f t="shared" si="33"/>
        <v>3</v>
      </c>
      <c r="B225" s="65"/>
      <c r="C225" s="43">
        <v>2</v>
      </c>
      <c r="D225" s="46">
        <f>56.02*10.764</f>
        <v>602.99928</v>
      </c>
      <c r="E225" s="52">
        <v>0</v>
      </c>
      <c r="F225" s="52">
        <f>D225*(($F$150)+1)+(IF(E225&lt;101,E225,IF(E225&lt;201,E225/2,IF(E225&lt;=301,E225/3,E225/4))))</f>
        <v>934.64888400000007</v>
      </c>
      <c r="G225" s="68" t="str">
        <f t="shared" si="34"/>
        <v>15th Floor For Residential (Part Refuge Area)</v>
      </c>
      <c r="H225" s="69"/>
      <c r="I225" s="34"/>
      <c r="L225" s="63"/>
      <c r="M225" s="63"/>
      <c r="N225" s="34"/>
    </row>
    <row r="226" spans="1:14" s="35" customFormat="1" ht="15.75" customHeight="1" x14ac:dyDescent="0.3">
      <c r="A226" s="64">
        <f t="shared" si="33"/>
        <v>4</v>
      </c>
      <c r="B226" s="65"/>
      <c r="C226" s="43">
        <v>1</v>
      </c>
      <c r="D226" s="46">
        <f>38.41*10.764</f>
        <v>413.44523999999996</v>
      </c>
      <c r="E226" s="52">
        <v>0</v>
      </c>
      <c r="F226" s="52">
        <f>D226*(($F$150)+1)+(IF(E226&lt;101,E226,IF(E226&lt;201,E226/2,IF(E226&lt;=301,E226/3,E226/4))))</f>
        <v>640.84012199999995</v>
      </c>
      <c r="G226" s="68" t="str">
        <f t="shared" si="34"/>
        <v>15th Floor For Residential (Part Refuge Area)</v>
      </c>
      <c r="H226" s="69"/>
      <c r="I226" s="34"/>
      <c r="L226" s="63"/>
      <c r="M226" s="63"/>
      <c r="N226" s="34"/>
    </row>
    <row r="227" spans="1:14" s="35" customFormat="1" x14ac:dyDescent="0.3">
      <c r="A227" s="78" t="s">
        <v>202</v>
      </c>
      <c r="B227" s="79"/>
      <c r="C227" s="79"/>
      <c r="D227" s="79"/>
      <c r="E227" s="79"/>
      <c r="F227" s="79"/>
      <c r="G227" s="79"/>
      <c r="H227" s="80"/>
      <c r="J227" s="34"/>
    </row>
    <row r="228" spans="1:14" s="35" customFormat="1" x14ac:dyDescent="0.3">
      <c r="A228" s="78" t="s">
        <v>219</v>
      </c>
      <c r="B228" s="79"/>
      <c r="C228" s="79"/>
      <c r="D228" s="79"/>
      <c r="E228" s="79"/>
      <c r="F228" s="79"/>
      <c r="G228" s="79"/>
      <c r="H228" s="80"/>
      <c r="J228" s="34"/>
    </row>
    <row r="229" spans="1:14" s="35" customFormat="1" x14ac:dyDescent="0.3">
      <c r="A229" s="78" t="s">
        <v>220</v>
      </c>
      <c r="B229" s="79"/>
      <c r="C229" s="79"/>
      <c r="D229" s="79"/>
      <c r="E229" s="79"/>
      <c r="F229" s="79"/>
      <c r="G229" s="79"/>
      <c r="H229" s="80"/>
      <c r="J229" s="34"/>
    </row>
    <row r="230" spans="1:14" s="35" customFormat="1" ht="15.75" customHeight="1" x14ac:dyDescent="0.3">
      <c r="A230" s="78" t="s">
        <v>203</v>
      </c>
      <c r="B230" s="79"/>
      <c r="C230" s="79"/>
      <c r="D230" s="79"/>
      <c r="E230" s="79"/>
      <c r="F230" s="79"/>
      <c r="G230" s="79"/>
      <c r="H230" s="80"/>
      <c r="J230" s="34"/>
    </row>
    <row r="231" spans="1:14" s="35" customFormat="1" ht="15.75" customHeight="1" x14ac:dyDescent="0.3">
      <c r="A231" s="64">
        <v>1</v>
      </c>
      <c r="B231" s="65"/>
      <c r="C231" s="43">
        <v>2</v>
      </c>
      <c r="D231" s="52">
        <f>56.49*10.764</f>
        <v>608.05835999999999</v>
      </c>
      <c r="E231" s="52">
        <v>0</v>
      </c>
      <c r="F231" s="52">
        <f>D231*(($F$150)+1)+(IF(E231&lt;101,E231,IF(E231&lt;201,E231/2,IF(E231&lt;=301,E231/3,E231/4))))</f>
        <v>942.49045799999999</v>
      </c>
      <c r="G231" s="66" t="str">
        <f>A230</f>
        <v>1st Podium Level Floor For Parking &amp; Residential</v>
      </c>
      <c r="H231" s="67"/>
      <c r="I231" s="34">
        <f>14800000/F231</f>
        <v>15703.076751998267</v>
      </c>
      <c r="J231" s="35" t="s">
        <v>233</v>
      </c>
      <c r="L231" s="63"/>
      <c r="M231" s="63"/>
      <c r="N231" s="34"/>
    </row>
    <row r="232" spans="1:14" s="35" customFormat="1" ht="15.75" customHeight="1" x14ac:dyDescent="0.3">
      <c r="A232" s="64">
        <f t="shared" ref="A232:A235" si="35">A231+1</f>
        <v>2</v>
      </c>
      <c r="B232" s="65"/>
      <c r="C232" s="43">
        <v>2</v>
      </c>
      <c r="D232" s="52">
        <f>56.49*10.764</f>
        <v>608.05835999999999</v>
      </c>
      <c r="E232" s="52">
        <v>0</v>
      </c>
      <c r="F232" s="52">
        <f>D232*(($F$150)+1)+(IF(E232&lt;101,E232,IF(E232&lt;201,E232/2,IF(E232&lt;=301,E232/3,E232/4))))</f>
        <v>942.49045799999999</v>
      </c>
      <c r="G232" s="68" t="str">
        <f t="shared" ref="G232:G235" si="36">G231</f>
        <v>1st Podium Level Floor For Parking &amp; Residential</v>
      </c>
      <c r="H232" s="69"/>
      <c r="I232" s="34"/>
      <c r="L232" s="63"/>
      <c r="M232" s="63"/>
      <c r="N232" s="34"/>
    </row>
    <row r="233" spans="1:14" s="35" customFormat="1" ht="15.75" customHeight="1" x14ac:dyDescent="0.3">
      <c r="A233" s="64">
        <f t="shared" si="35"/>
        <v>3</v>
      </c>
      <c r="B233" s="65"/>
      <c r="C233" s="43">
        <v>1</v>
      </c>
      <c r="D233" s="52">
        <f>38.6*10.764</f>
        <v>415.49039999999997</v>
      </c>
      <c r="E233" s="52">
        <v>0</v>
      </c>
      <c r="F233" s="52">
        <f>D233*(($F$150)+1)+(IF(E233&lt;101,E233,IF(E233&lt;201,E233/2,IF(E233&lt;=301,E233/3,E233/4))))</f>
        <v>644.01011999999992</v>
      </c>
      <c r="G233" s="68" t="str">
        <f t="shared" si="36"/>
        <v>1st Podium Level Floor For Parking &amp; Residential</v>
      </c>
      <c r="H233" s="69"/>
      <c r="I233" s="34"/>
      <c r="L233" s="63"/>
      <c r="M233" s="63"/>
      <c r="N233" s="34"/>
    </row>
    <row r="234" spans="1:14" s="35" customFormat="1" ht="15.75" customHeight="1" x14ac:dyDescent="0.3">
      <c r="A234" s="64">
        <f t="shared" si="35"/>
        <v>4</v>
      </c>
      <c r="B234" s="65"/>
      <c r="C234" s="43">
        <v>1</v>
      </c>
      <c r="D234" s="52">
        <f>38.6*10.764</f>
        <v>415.49039999999997</v>
      </c>
      <c r="E234" s="52">
        <v>0</v>
      </c>
      <c r="F234" s="52">
        <f>D234*(($F$150)+1)+(IF(E234&lt;101,E234,IF(E234&lt;201,E234/2,IF(E234&lt;=301,E234/3,E234/4))))</f>
        <v>644.01011999999992</v>
      </c>
      <c r="G234" s="68" t="str">
        <f t="shared" si="36"/>
        <v>1st Podium Level Floor For Parking &amp; Residential</v>
      </c>
      <c r="H234" s="69"/>
      <c r="I234" s="34"/>
      <c r="L234" s="63"/>
      <c r="M234" s="63"/>
      <c r="N234" s="34"/>
    </row>
    <row r="235" spans="1:14" s="35" customFormat="1" ht="15.75" customHeight="1" x14ac:dyDescent="0.3">
      <c r="A235" s="64">
        <f t="shared" si="35"/>
        <v>5</v>
      </c>
      <c r="B235" s="65"/>
      <c r="C235" s="43">
        <v>2</v>
      </c>
      <c r="D235" s="46">
        <f>54.85*10.764</f>
        <v>590.40539999999999</v>
      </c>
      <c r="E235" s="52">
        <v>0</v>
      </c>
      <c r="F235" s="52">
        <f>D235*(($F$150)+1)+(IF(E235&lt;101,E235,IF(E235&lt;201,E235/2,IF(E235&lt;=301,E235/3,E235/4))))</f>
        <v>915.12837000000002</v>
      </c>
      <c r="G235" s="70" t="str">
        <f t="shared" si="36"/>
        <v>1st Podium Level Floor For Parking &amp; Residential</v>
      </c>
      <c r="H235" s="71"/>
      <c r="I235" s="34"/>
      <c r="L235" s="63"/>
      <c r="M235" s="63"/>
      <c r="N235" s="34"/>
    </row>
    <row r="236" spans="1:14" s="35" customFormat="1" x14ac:dyDescent="0.3">
      <c r="A236" s="78" t="s">
        <v>204</v>
      </c>
      <c r="B236" s="79"/>
      <c r="C236" s="79"/>
      <c r="D236" s="79"/>
      <c r="E236" s="79"/>
      <c r="F236" s="79"/>
      <c r="G236" s="79"/>
      <c r="H236" s="80"/>
      <c r="J236" s="34"/>
    </row>
    <row r="237" spans="1:14" s="35" customFormat="1" ht="15.75" customHeight="1" x14ac:dyDescent="0.3">
      <c r="A237" s="64">
        <v>1</v>
      </c>
      <c r="B237" s="65"/>
      <c r="C237" s="45">
        <v>2</v>
      </c>
      <c r="D237" s="46">
        <f>56.49*10.764</f>
        <v>608.05835999999999</v>
      </c>
      <c r="E237" s="52">
        <v>0</v>
      </c>
      <c r="F237" s="52">
        <f>D237*(($F$150)+1)+(IF(E237&lt;101,E237,IF(E237&lt;201,E237/2,IF(E237&lt;=301,E237/3,E237/4))))</f>
        <v>942.49045799999999</v>
      </c>
      <c r="G237" s="66" t="str">
        <f>A236</f>
        <v>2nd Podium Level Floor</v>
      </c>
      <c r="H237" s="67"/>
      <c r="I237" s="34"/>
      <c r="L237" s="63"/>
      <c r="M237" s="63"/>
      <c r="N237" s="34"/>
    </row>
    <row r="238" spans="1:14" s="35" customFormat="1" ht="15.75" customHeight="1" x14ac:dyDescent="0.3">
      <c r="A238" s="64">
        <f t="shared" ref="A238:A241" si="37">A237+1</f>
        <v>2</v>
      </c>
      <c r="B238" s="65"/>
      <c r="C238" s="45">
        <v>2</v>
      </c>
      <c r="D238" s="46">
        <f>56.49*10.764</f>
        <v>608.05835999999999</v>
      </c>
      <c r="E238" s="52">
        <v>0</v>
      </c>
      <c r="F238" s="52">
        <f>D238*(($F$150)+1)+(IF(E238&lt;101,E238,IF(E238&lt;201,E238/2,IF(E238&lt;=301,E238/3,E238/4))))</f>
        <v>942.49045799999999</v>
      </c>
      <c r="G238" s="68"/>
      <c r="H238" s="69"/>
      <c r="I238" s="34"/>
      <c r="L238" s="63"/>
      <c r="M238" s="63"/>
      <c r="N238" s="34"/>
    </row>
    <row r="239" spans="1:14" s="35" customFormat="1" ht="15.75" customHeight="1" x14ac:dyDescent="0.3">
      <c r="A239" s="64">
        <f t="shared" si="37"/>
        <v>3</v>
      </c>
      <c r="B239" s="65"/>
      <c r="C239" s="45">
        <v>1</v>
      </c>
      <c r="D239" s="46">
        <f>38.6*10.764</f>
        <v>415.49039999999997</v>
      </c>
      <c r="E239" s="52">
        <v>0</v>
      </c>
      <c r="F239" s="52">
        <f>D239*(($F$150)+1)+(IF(E239&lt;101,E239,IF(E239&lt;201,E239/2,IF(E239&lt;=301,E239/3,E239/4))))</f>
        <v>644.01011999999992</v>
      </c>
      <c r="G239" s="68"/>
      <c r="H239" s="69"/>
      <c r="I239" s="34"/>
      <c r="L239" s="63"/>
      <c r="M239" s="63"/>
      <c r="N239" s="34"/>
    </row>
    <row r="240" spans="1:14" s="35" customFormat="1" ht="15.75" customHeight="1" x14ac:dyDescent="0.3">
      <c r="A240" s="64">
        <f t="shared" si="37"/>
        <v>4</v>
      </c>
      <c r="B240" s="65"/>
      <c r="C240" s="45">
        <v>1</v>
      </c>
      <c r="D240" s="46">
        <f>38.6*10.764</f>
        <v>415.49039999999997</v>
      </c>
      <c r="E240" s="52">
        <v>0</v>
      </c>
      <c r="F240" s="52">
        <f>D240*(($F$150)+1)+(IF(E240&lt;101,E240,IF(E240&lt;201,E240/2,IF(E240&lt;=301,E240/3,E240/4))))</f>
        <v>644.01011999999992</v>
      </c>
      <c r="G240" s="68"/>
      <c r="H240" s="69"/>
      <c r="I240" s="34"/>
      <c r="L240" s="63"/>
      <c r="M240" s="63"/>
      <c r="N240" s="34"/>
    </row>
    <row r="241" spans="1:14" s="35" customFormat="1" ht="15.75" customHeight="1" x14ac:dyDescent="0.3">
      <c r="A241" s="64">
        <f t="shared" si="37"/>
        <v>5</v>
      </c>
      <c r="B241" s="65"/>
      <c r="C241" s="45">
        <v>2</v>
      </c>
      <c r="D241" s="46">
        <f>54.85*10.764</f>
        <v>590.40539999999999</v>
      </c>
      <c r="E241" s="52">
        <v>0</v>
      </c>
      <c r="F241" s="52">
        <f>D241*(($F$150)+1)+(IF(E241&lt;101,E241,IF(E241&lt;201,E241/2,IF(E241&lt;=301,E241/3,E241/4))))</f>
        <v>915.12837000000002</v>
      </c>
      <c r="G241" s="70"/>
      <c r="H241" s="71"/>
      <c r="I241" s="34"/>
      <c r="L241" s="63"/>
      <c r="M241" s="63"/>
      <c r="N241" s="34"/>
    </row>
    <row r="242" spans="1:14" s="35" customFormat="1" x14ac:dyDescent="0.3">
      <c r="A242" s="78" t="s">
        <v>205</v>
      </c>
      <c r="B242" s="79"/>
      <c r="C242" s="79"/>
      <c r="D242" s="79"/>
      <c r="E242" s="79"/>
      <c r="F242" s="79"/>
      <c r="G242" s="79"/>
      <c r="H242" s="80"/>
      <c r="J242" s="34"/>
    </row>
    <row r="243" spans="1:14" s="35" customFormat="1" ht="15.75" customHeight="1" x14ac:dyDescent="0.3">
      <c r="A243" s="64">
        <v>1</v>
      </c>
      <c r="B243" s="65"/>
      <c r="C243" s="45">
        <v>2</v>
      </c>
      <c r="D243" s="46">
        <f>56.49*10.764</f>
        <v>608.05835999999999</v>
      </c>
      <c r="E243" s="46">
        <v>0</v>
      </c>
      <c r="F243" s="52">
        <f>D243*(($F$150)+1)+(IF(E243&lt;101,E243,IF(E243&lt;201,E243/2,IF(E243&lt;=301,E243/3,E243/4))))</f>
        <v>942.49045799999999</v>
      </c>
      <c r="G243" s="66" t="str">
        <f>A242</f>
        <v>3rd to 7th Podium Level Floor</v>
      </c>
      <c r="H243" s="67"/>
      <c r="I243" s="34"/>
      <c r="L243" s="63"/>
      <c r="M243" s="63"/>
      <c r="N243" s="34"/>
    </row>
    <row r="244" spans="1:14" s="35" customFormat="1" ht="15.75" customHeight="1" x14ac:dyDescent="0.3">
      <c r="A244" s="64">
        <f t="shared" ref="A244:A247" si="38">A243+1</f>
        <v>2</v>
      </c>
      <c r="B244" s="65"/>
      <c r="C244" s="45">
        <v>2</v>
      </c>
      <c r="D244" s="46">
        <f>56.49*10.764</f>
        <v>608.05835999999999</v>
      </c>
      <c r="E244" s="46">
        <v>0</v>
      </c>
      <c r="F244" s="52">
        <f>D244*(($F$150)+1)+(IF(E244&lt;101,E244,IF(E244&lt;201,E244/2,IF(E244&lt;=301,E244/3,E244/4))))</f>
        <v>942.49045799999999</v>
      </c>
      <c r="G244" s="68"/>
      <c r="H244" s="69"/>
      <c r="I244" s="34"/>
      <c r="L244" s="63"/>
      <c r="M244" s="63"/>
      <c r="N244" s="34"/>
    </row>
    <row r="245" spans="1:14" s="35" customFormat="1" ht="15.75" customHeight="1" x14ac:dyDescent="0.3">
      <c r="A245" s="64">
        <f t="shared" si="38"/>
        <v>3</v>
      </c>
      <c r="B245" s="65"/>
      <c r="C245" s="45">
        <v>1</v>
      </c>
      <c r="D245" s="46">
        <f>38.6*10.764</f>
        <v>415.49039999999997</v>
      </c>
      <c r="E245" s="46">
        <v>0</v>
      </c>
      <c r="F245" s="52">
        <f>D245*(($F$150)+1)+(IF(E245&lt;101,E245,IF(E245&lt;201,E245/2,IF(E245&lt;=301,E245/3,E245/4))))</f>
        <v>644.01011999999992</v>
      </c>
      <c r="G245" s="68"/>
      <c r="H245" s="69"/>
      <c r="I245" s="34"/>
      <c r="L245" s="63"/>
      <c r="M245" s="63"/>
      <c r="N245" s="34"/>
    </row>
    <row r="246" spans="1:14" s="35" customFormat="1" ht="15.75" customHeight="1" x14ac:dyDescent="0.3">
      <c r="A246" s="64">
        <f t="shared" si="38"/>
        <v>4</v>
      </c>
      <c r="B246" s="65"/>
      <c r="C246" s="45">
        <v>1</v>
      </c>
      <c r="D246" s="46">
        <f>38.6*10.764</f>
        <v>415.49039999999997</v>
      </c>
      <c r="E246" s="46">
        <v>0</v>
      </c>
      <c r="F246" s="52">
        <f>D246*(($F$150)+1)+(IF(E246&lt;101,E246,IF(E246&lt;201,E246/2,IF(E246&lt;=301,E246/3,E246/4))))</f>
        <v>644.01011999999992</v>
      </c>
      <c r="G246" s="68"/>
      <c r="H246" s="69"/>
      <c r="I246" s="34"/>
      <c r="L246" s="63"/>
      <c r="M246" s="63"/>
      <c r="N246" s="34"/>
    </row>
    <row r="247" spans="1:14" s="35" customFormat="1" ht="15.75" customHeight="1" x14ac:dyDescent="0.3">
      <c r="A247" s="64">
        <f t="shared" si="38"/>
        <v>5</v>
      </c>
      <c r="B247" s="65"/>
      <c r="C247" s="45">
        <v>2</v>
      </c>
      <c r="D247" s="46">
        <f>54.85*10.764</f>
        <v>590.40539999999999</v>
      </c>
      <c r="E247" s="46">
        <v>0</v>
      </c>
      <c r="F247" s="52">
        <f>D247*(($F$150)+1)+(IF(E247&lt;101,E247,IF(E247&lt;201,E247/2,IF(E247&lt;=301,E247/3,E247/4))))</f>
        <v>915.12837000000002</v>
      </c>
      <c r="G247" s="70"/>
      <c r="H247" s="71"/>
      <c r="I247" s="34"/>
      <c r="L247" s="63"/>
      <c r="M247" s="63"/>
      <c r="N247" s="34"/>
    </row>
    <row r="248" spans="1:14" s="35" customFormat="1" x14ac:dyDescent="0.3">
      <c r="A248" s="78" t="s">
        <v>206</v>
      </c>
      <c r="B248" s="79"/>
      <c r="C248" s="79"/>
      <c r="D248" s="79"/>
      <c r="E248" s="79"/>
      <c r="F248" s="79"/>
      <c r="G248" s="79"/>
      <c r="H248" s="80"/>
      <c r="J248" s="34"/>
    </row>
    <row r="249" spans="1:14" s="35" customFormat="1" ht="15.75" customHeight="1" x14ac:dyDescent="0.3">
      <c r="A249" s="64">
        <v>1</v>
      </c>
      <c r="B249" s="65"/>
      <c r="C249" s="45">
        <v>2</v>
      </c>
      <c r="D249" s="46">
        <f>56.49*10.764</f>
        <v>608.05835999999999</v>
      </c>
      <c r="E249" s="52">
        <v>0</v>
      </c>
      <c r="F249" s="52">
        <f>D249*(($F$150)+1)+(IF(E249&lt;101,E249,IF(E249&lt;201,E249/2,IF(E249&lt;=301,E249/3,E249/4))))</f>
        <v>942.49045799999999</v>
      </c>
      <c r="G249" s="66" t="str">
        <f>A248</f>
        <v>8th Podium Level Floor (Part Refuge Area)</v>
      </c>
      <c r="H249" s="67"/>
      <c r="I249" s="34"/>
      <c r="L249" s="63"/>
      <c r="M249" s="63"/>
      <c r="N249" s="34"/>
    </row>
    <row r="250" spans="1:14" s="35" customFormat="1" ht="15.75" customHeight="1" x14ac:dyDescent="0.3">
      <c r="A250" s="64">
        <f t="shared" ref="A250:A251" si="39">A249+1</f>
        <v>2</v>
      </c>
      <c r="B250" s="65"/>
      <c r="C250" s="45">
        <v>2</v>
      </c>
      <c r="D250" s="46">
        <f>56.49*10.764</f>
        <v>608.05835999999999</v>
      </c>
      <c r="E250" s="52">
        <v>0</v>
      </c>
      <c r="F250" s="52">
        <f>D250*(($F$150)+1)+(IF(E250&lt;101,E250,IF(E250&lt;201,E250/2,IF(E250&lt;=301,E250/3,E250/4))))</f>
        <v>942.49045799999999</v>
      </c>
      <c r="G250" s="68" t="str">
        <f t="shared" ref="G250:G251" si="40">G249</f>
        <v>8th Podium Level Floor (Part Refuge Area)</v>
      </c>
      <c r="H250" s="69"/>
      <c r="I250" s="34"/>
      <c r="L250" s="63"/>
      <c r="M250" s="63"/>
      <c r="N250" s="34"/>
    </row>
    <row r="251" spans="1:14" s="35" customFormat="1" ht="15.75" customHeight="1" x14ac:dyDescent="0.3">
      <c r="A251" s="64">
        <f t="shared" si="39"/>
        <v>3</v>
      </c>
      <c r="B251" s="65"/>
      <c r="C251" s="45">
        <v>2</v>
      </c>
      <c r="D251" s="46">
        <f>54.85*10.764</f>
        <v>590.40539999999999</v>
      </c>
      <c r="E251" s="52">
        <v>0</v>
      </c>
      <c r="F251" s="52">
        <f>D251*(($F$150)+1)+(IF(E251&lt;101,E251,IF(E251&lt;201,E251/2,IF(E251&lt;=301,E251/3,E251/4))))</f>
        <v>915.12837000000002</v>
      </c>
      <c r="G251" s="68" t="str">
        <f t="shared" si="40"/>
        <v>8th Podium Level Floor (Part Refuge Area)</v>
      </c>
      <c r="H251" s="69"/>
      <c r="I251" s="34"/>
      <c r="L251" s="63"/>
      <c r="M251" s="63"/>
      <c r="N251" s="34"/>
    </row>
    <row r="252" spans="1:14" s="35" customFormat="1" x14ac:dyDescent="0.3">
      <c r="A252" s="78" t="s">
        <v>207</v>
      </c>
      <c r="B252" s="79"/>
      <c r="C252" s="79"/>
      <c r="D252" s="79"/>
      <c r="E252" s="79"/>
      <c r="F252" s="79"/>
      <c r="G252" s="79"/>
      <c r="H252" s="80"/>
      <c r="J252" s="34"/>
    </row>
    <row r="253" spans="1:14" s="35" customFormat="1" ht="15.75" customHeight="1" x14ac:dyDescent="0.3">
      <c r="A253" s="64">
        <v>1</v>
      </c>
      <c r="B253" s="65"/>
      <c r="C253" s="45">
        <v>2</v>
      </c>
      <c r="D253" s="46">
        <f>56.49*10.764</f>
        <v>608.05835999999999</v>
      </c>
      <c r="E253" s="52">
        <v>0</v>
      </c>
      <c r="F253" s="52">
        <f>D253*(($F$150)+1)+(IF(E253&lt;101,E253,IF(E253&lt;201,E253/2,IF(E253&lt;=301,E253/3,E253/4))))</f>
        <v>942.49045799999999</v>
      </c>
      <c r="G253" s="66" t="str">
        <f>A252</f>
        <v>9th Podium Level Floor</v>
      </c>
      <c r="H253" s="67"/>
      <c r="I253" s="34"/>
      <c r="L253" s="63"/>
      <c r="M253" s="63"/>
      <c r="N253" s="34"/>
    </row>
    <row r="254" spans="1:14" s="35" customFormat="1" ht="15.75" customHeight="1" x14ac:dyDescent="0.3">
      <c r="A254" s="64">
        <f t="shared" ref="A254:A256" si="41">A253+1</f>
        <v>2</v>
      </c>
      <c r="B254" s="65"/>
      <c r="C254" s="45">
        <v>1</v>
      </c>
      <c r="D254" s="46">
        <f>38.6*10.764</f>
        <v>415.49039999999997</v>
      </c>
      <c r="E254" s="52">
        <v>0</v>
      </c>
      <c r="F254" s="52">
        <f>D254*(($F$150)+1)+(IF(E254&lt;101,E254,IF(E254&lt;201,E254/2,IF(E254&lt;=301,E254/3,E254/4))))</f>
        <v>644.01011999999992</v>
      </c>
      <c r="G254" s="68" t="str">
        <f t="shared" ref="G254:G256" si="42">G253</f>
        <v>9th Podium Level Floor</v>
      </c>
      <c r="H254" s="69"/>
      <c r="I254" s="34"/>
      <c r="L254" s="63"/>
      <c r="M254" s="63"/>
      <c r="N254" s="34"/>
    </row>
    <row r="255" spans="1:14" s="35" customFormat="1" ht="15.75" customHeight="1" x14ac:dyDescent="0.3">
      <c r="A255" s="64">
        <f>A254+1</f>
        <v>3</v>
      </c>
      <c r="B255" s="65"/>
      <c r="C255" s="45">
        <v>1</v>
      </c>
      <c r="D255" s="46">
        <f>38.6*10.764</f>
        <v>415.49039999999997</v>
      </c>
      <c r="E255" s="52">
        <v>0</v>
      </c>
      <c r="F255" s="52">
        <f>D255*(($F$150)+1)+(IF(E255&lt;101,E255,IF(E255&lt;201,E255/2,IF(E255&lt;=301,E255/3,E255/4))))</f>
        <v>644.01011999999992</v>
      </c>
      <c r="G255" s="68" t="str">
        <f>G254</f>
        <v>9th Podium Level Floor</v>
      </c>
      <c r="H255" s="69"/>
      <c r="I255" s="34"/>
      <c r="L255" s="63"/>
      <c r="M255" s="63"/>
      <c r="N255" s="34"/>
    </row>
    <row r="256" spans="1:14" s="35" customFormat="1" ht="15.75" customHeight="1" x14ac:dyDescent="0.3">
      <c r="A256" s="64">
        <f t="shared" si="41"/>
        <v>4</v>
      </c>
      <c r="B256" s="65"/>
      <c r="C256" s="45">
        <v>2</v>
      </c>
      <c r="D256" s="46">
        <f>54.85*10.764</f>
        <v>590.40539999999999</v>
      </c>
      <c r="E256" s="52">
        <v>0</v>
      </c>
      <c r="F256" s="52">
        <f>D256*(($F$150)+1)+(IF(E256&lt;101,E256,IF(E256&lt;201,E256/2,IF(E256&lt;=301,E256/3,E256/4))))</f>
        <v>915.12837000000002</v>
      </c>
      <c r="G256" s="68" t="str">
        <f t="shared" si="42"/>
        <v>9th Podium Level Floor</v>
      </c>
      <c r="H256" s="69"/>
      <c r="I256" s="34"/>
      <c r="L256" s="63"/>
      <c r="M256" s="63"/>
      <c r="N256" s="34"/>
    </row>
    <row r="257" spans="1:14" s="35" customFormat="1" x14ac:dyDescent="0.3">
      <c r="A257" s="78" t="s">
        <v>208</v>
      </c>
      <c r="B257" s="79"/>
      <c r="C257" s="79"/>
      <c r="D257" s="79"/>
      <c r="E257" s="79"/>
      <c r="F257" s="79"/>
      <c r="G257" s="79"/>
      <c r="H257" s="80"/>
      <c r="J257" s="34"/>
    </row>
    <row r="258" spans="1:14" s="35" customFormat="1" ht="15.75" customHeight="1" x14ac:dyDescent="0.3">
      <c r="A258" s="64">
        <v>1</v>
      </c>
      <c r="B258" s="65"/>
      <c r="C258" s="45">
        <v>2</v>
      </c>
      <c r="D258" s="46">
        <f>56.49*10.764</f>
        <v>608.05835999999999</v>
      </c>
      <c r="E258" s="52">
        <v>0</v>
      </c>
      <c r="F258" s="52">
        <f t="shared" ref="F258:F265" si="43">D258*(($F$150)+1)+(IF(E258&lt;101,E258,IF(E258&lt;201,E258/2,IF(E258&lt;=301,E258/3,E258/4))))</f>
        <v>942.49045799999999</v>
      </c>
      <c r="G258" s="66" t="str">
        <f>A257</f>
        <v>10th to 14th, 16th to 19th Floor For Residential</v>
      </c>
      <c r="H258" s="67"/>
      <c r="I258" s="34"/>
      <c r="L258" s="63"/>
      <c r="M258" s="63"/>
      <c r="N258" s="34"/>
    </row>
    <row r="259" spans="1:14" s="35" customFormat="1" ht="15.75" customHeight="1" x14ac:dyDescent="0.3">
      <c r="A259" s="64">
        <f t="shared" ref="A259:A265" si="44">A258+1</f>
        <v>2</v>
      </c>
      <c r="B259" s="65"/>
      <c r="C259" s="45">
        <v>1</v>
      </c>
      <c r="D259" s="46">
        <f>37.17*10.764</f>
        <v>400.09787999999998</v>
      </c>
      <c r="E259" s="52">
        <v>0</v>
      </c>
      <c r="F259" s="52">
        <f t="shared" si="43"/>
        <v>620.15171399999997</v>
      </c>
      <c r="G259" s="68" t="str">
        <f t="shared" ref="G259:G265" si="45">G258</f>
        <v>10th to 14th, 16th to 19th Floor For Residential</v>
      </c>
      <c r="H259" s="69"/>
      <c r="I259" s="34"/>
      <c r="L259" s="63"/>
      <c r="M259" s="63"/>
      <c r="N259" s="34"/>
    </row>
    <row r="260" spans="1:14" s="35" customFormat="1" ht="15.75" customHeight="1" x14ac:dyDescent="0.3">
      <c r="A260" s="64">
        <f t="shared" si="44"/>
        <v>3</v>
      </c>
      <c r="B260" s="65"/>
      <c r="C260" s="45">
        <v>1</v>
      </c>
      <c r="D260" s="46">
        <f>37.17*10.764</f>
        <v>400.09787999999998</v>
      </c>
      <c r="E260" s="52">
        <v>0</v>
      </c>
      <c r="F260" s="52">
        <f t="shared" si="43"/>
        <v>620.15171399999997</v>
      </c>
      <c r="G260" s="68" t="str">
        <f t="shared" si="45"/>
        <v>10th to 14th, 16th to 19th Floor For Residential</v>
      </c>
      <c r="H260" s="69"/>
      <c r="I260" s="34"/>
      <c r="L260" s="63"/>
      <c r="M260" s="63"/>
      <c r="N260" s="34"/>
    </row>
    <row r="261" spans="1:14" s="35" customFormat="1" ht="15.75" customHeight="1" x14ac:dyDescent="0.3">
      <c r="A261" s="64">
        <f t="shared" si="44"/>
        <v>4</v>
      </c>
      <c r="B261" s="65"/>
      <c r="C261" s="45">
        <v>2</v>
      </c>
      <c r="D261" s="46">
        <f>54.85*10.764</f>
        <v>590.40539999999999</v>
      </c>
      <c r="E261" s="52">
        <v>0</v>
      </c>
      <c r="F261" s="52">
        <f t="shared" si="43"/>
        <v>915.12837000000002</v>
      </c>
      <c r="G261" s="68" t="str">
        <f t="shared" si="45"/>
        <v>10th to 14th, 16th to 19th Floor For Residential</v>
      </c>
      <c r="H261" s="69"/>
      <c r="I261" s="34"/>
      <c r="L261" s="63"/>
      <c r="M261" s="63"/>
      <c r="N261" s="34"/>
    </row>
    <row r="262" spans="1:14" s="35" customFormat="1" ht="15.75" customHeight="1" x14ac:dyDescent="0.3">
      <c r="A262" s="64">
        <f t="shared" si="44"/>
        <v>5</v>
      </c>
      <c r="B262" s="65"/>
      <c r="C262" s="45">
        <v>2</v>
      </c>
      <c r="D262" s="46">
        <f>54.85*10.764</f>
        <v>590.40539999999999</v>
      </c>
      <c r="E262" s="52">
        <v>0</v>
      </c>
      <c r="F262" s="52">
        <f t="shared" si="43"/>
        <v>915.12837000000002</v>
      </c>
      <c r="G262" s="68" t="str">
        <f t="shared" si="45"/>
        <v>10th to 14th, 16th to 19th Floor For Residential</v>
      </c>
      <c r="H262" s="69"/>
      <c r="I262" s="34"/>
      <c r="L262" s="63"/>
      <c r="M262" s="63"/>
      <c r="N262" s="34"/>
    </row>
    <row r="263" spans="1:14" s="35" customFormat="1" ht="15.75" customHeight="1" x14ac:dyDescent="0.3">
      <c r="A263" s="64">
        <f t="shared" si="44"/>
        <v>6</v>
      </c>
      <c r="B263" s="65"/>
      <c r="C263" s="45">
        <v>1</v>
      </c>
      <c r="D263" s="46">
        <f>38.6*10.764</f>
        <v>415.49039999999997</v>
      </c>
      <c r="E263" s="52">
        <v>0</v>
      </c>
      <c r="F263" s="52">
        <f t="shared" si="43"/>
        <v>644.01011999999992</v>
      </c>
      <c r="G263" s="68" t="str">
        <f t="shared" si="45"/>
        <v>10th to 14th, 16th to 19th Floor For Residential</v>
      </c>
      <c r="H263" s="69"/>
      <c r="I263" s="34"/>
      <c r="L263" s="63"/>
      <c r="M263" s="63"/>
      <c r="N263" s="34"/>
    </row>
    <row r="264" spans="1:14" s="35" customFormat="1" ht="15.75" customHeight="1" x14ac:dyDescent="0.3">
      <c r="A264" s="64">
        <f t="shared" si="44"/>
        <v>7</v>
      </c>
      <c r="B264" s="65"/>
      <c r="C264" s="45">
        <v>1</v>
      </c>
      <c r="D264" s="46">
        <f>38.6*10.764</f>
        <v>415.49039999999997</v>
      </c>
      <c r="E264" s="52">
        <v>0</v>
      </c>
      <c r="F264" s="52">
        <f t="shared" si="43"/>
        <v>644.01011999999992</v>
      </c>
      <c r="G264" s="68" t="str">
        <f t="shared" si="45"/>
        <v>10th to 14th, 16th to 19th Floor For Residential</v>
      </c>
      <c r="H264" s="69"/>
      <c r="I264" s="34"/>
      <c r="L264" s="63"/>
      <c r="M264" s="63"/>
      <c r="N264" s="34"/>
    </row>
    <row r="265" spans="1:14" s="35" customFormat="1" ht="15.75" customHeight="1" x14ac:dyDescent="0.3">
      <c r="A265" s="64">
        <f t="shared" si="44"/>
        <v>8</v>
      </c>
      <c r="B265" s="65"/>
      <c r="C265" s="45">
        <v>2</v>
      </c>
      <c r="D265" s="46">
        <f>56.49*10.764</f>
        <v>608.05835999999999</v>
      </c>
      <c r="E265" s="52">
        <v>0</v>
      </c>
      <c r="F265" s="52">
        <f t="shared" si="43"/>
        <v>942.49045799999999</v>
      </c>
      <c r="G265" s="70" t="str">
        <f t="shared" si="45"/>
        <v>10th to 14th, 16th to 19th Floor For Residential</v>
      </c>
      <c r="H265" s="71"/>
      <c r="I265" s="34"/>
      <c r="L265" s="63"/>
      <c r="M265" s="63"/>
      <c r="N265" s="34"/>
    </row>
    <row r="266" spans="1:14" s="35" customFormat="1" x14ac:dyDescent="0.3">
      <c r="A266" s="78" t="s">
        <v>209</v>
      </c>
      <c r="B266" s="79"/>
      <c r="C266" s="79"/>
      <c r="D266" s="79"/>
      <c r="E266" s="79"/>
      <c r="F266" s="79"/>
      <c r="G266" s="79"/>
      <c r="H266" s="80"/>
      <c r="J266" s="34"/>
    </row>
    <row r="267" spans="1:14" s="35" customFormat="1" ht="15.75" customHeight="1" x14ac:dyDescent="0.3">
      <c r="A267" s="64">
        <v>1</v>
      </c>
      <c r="B267" s="65"/>
      <c r="C267" s="45">
        <v>2</v>
      </c>
      <c r="D267" s="46">
        <f>56.49*10.764</f>
        <v>608.05835999999999</v>
      </c>
      <c r="E267" s="52">
        <v>0</v>
      </c>
      <c r="F267" s="52">
        <f>D267*(($F$150)+1)+(IF(E267&lt;101,E267,IF(E267&lt;201,E267/2,IF(E267&lt;=301,E267/3,E267/4))))</f>
        <v>942.49045799999999</v>
      </c>
      <c r="G267" s="66" t="str">
        <f>A266</f>
        <v>15th Floor For Residential (Part Refuge Area)</v>
      </c>
      <c r="H267" s="67"/>
      <c r="I267" s="34"/>
      <c r="L267" s="63"/>
      <c r="M267" s="63"/>
      <c r="N267" s="34"/>
    </row>
    <row r="268" spans="1:14" s="35" customFormat="1" ht="15.75" customHeight="1" x14ac:dyDescent="0.3">
      <c r="A268" s="64">
        <f t="shared" ref="A268:A274" si="46">A267+1</f>
        <v>2</v>
      </c>
      <c r="B268" s="65"/>
      <c r="C268" s="45">
        <v>1</v>
      </c>
      <c r="D268" s="46">
        <f>37.17*10.764</f>
        <v>400.09787999999998</v>
      </c>
      <c r="E268" s="52">
        <v>0</v>
      </c>
      <c r="F268" s="52">
        <f>D268*(($F$150)+1)+(IF(E268&lt;101,E268,IF(E268&lt;201,E268/2,IF(E268&lt;=301,E268/3,E268/4))))</f>
        <v>620.15171399999997</v>
      </c>
      <c r="G268" s="68"/>
      <c r="H268" s="69"/>
      <c r="I268" s="34"/>
      <c r="L268" s="63"/>
      <c r="M268" s="63"/>
      <c r="N268" s="34"/>
    </row>
    <row r="269" spans="1:14" s="35" customFormat="1" ht="15.75" customHeight="1" x14ac:dyDescent="0.3">
      <c r="A269" s="64">
        <f t="shared" si="46"/>
        <v>3</v>
      </c>
      <c r="B269" s="65"/>
      <c r="C269" s="45">
        <v>1</v>
      </c>
      <c r="D269" s="46">
        <f>37.17*10.764</f>
        <v>400.09787999999998</v>
      </c>
      <c r="E269" s="52">
        <v>0</v>
      </c>
      <c r="F269" s="52">
        <f>D269*(($F$150)+1)+(IF(E269&lt;101,E269,IF(E269&lt;201,E269/2,IF(E269&lt;=301,E269/3,E269/4))))</f>
        <v>620.15171399999997</v>
      </c>
      <c r="G269" s="68"/>
      <c r="H269" s="69"/>
      <c r="I269" s="34"/>
      <c r="L269" s="63"/>
      <c r="M269" s="63"/>
      <c r="N269" s="34"/>
    </row>
    <row r="270" spans="1:14" s="35" customFormat="1" ht="15.75" customHeight="1" x14ac:dyDescent="0.3">
      <c r="A270" s="64">
        <f t="shared" si="46"/>
        <v>4</v>
      </c>
      <c r="B270" s="65"/>
      <c r="C270" s="45">
        <v>2</v>
      </c>
      <c r="D270" s="46">
        <f>54.85*10.764</f>
        <v>590.40539999999999</v>
      </c>
      <c r="E270" s="52">
        <v>0</v>
      </c>
      <c r="F270" s="52">
        <f>D270*(($F$150)+1)+(IF(E270&lt;101,E270,IF(E270&lt;201,E270/2,IF(E270&lt;=301,E270/3,E270/4))))</f>
        <v>915.12837000000002</v>
      </c>
      <c r="G270" s="68"/>
      <c r="H270" s="69"/>
      <c r="I270" s="34"/>
      <c r="L270" s="63"/>
      <c r="M270" s="63"/>
      <c r="N270" s="34"/>
    </row>
    <row r="271" spans="1:14" s="35" customFormat="1" ht="15.75" customHeight="1" x14ac:dyDescent="0.3">
      <c r="A271" s="64">
        <f t="shared" si="46"/>
        <v>5</v>
      </c>
      <c r="B271" s="65"/>
      <c r="C271" s="45">
        <v>2</v>
      </c>
      <c r="D271" s="46">
        <f>54.85*10.764</f>
        <v>590.40539999999999</v>
      </c>
      <c r="E271" s="52">
        <v>0</v>
      </c>
      <c r="F271" s="52">
        <f>D271*(($F$150)+1)+(IF(E271&lt;101,E271,IF(E271&lt;201,E271/2,IF(E271&lt;=301,E271/3,E271/4))))</f>
        <v>915.12837000000002</v>
      </c>
      <c r="G271" s="68"/>
      <c r="H271" s="69"/>
      <c r="I271" s="34"/>
      <c r="L271" s="63"/>
      <c r="M271" s="63"/>
      <c r="N271" s="34"/>
    </row>
    <row r="272" spans="1:14" s="35" customFormat="1" ht="15.75" customHeight="1" x14ac:dyDescent="0.3">
      <c r="A272" s="64">
        <f t="shared" si="46"/>
        <v>6</v>
      </c>
      <c r="B272" s="65"/>
      <c r="C272" s="72" t="s">
        <v>210</v>
      </c>
      <c r="D272" s="73"/>
      <c r="E272" s="73"/>
      <c r="F272" s="74"/>
      <c r="G272" s="68"/>
      <c r="H272" s="69"/>
      <c r="I272" s="34"/>
      <c r="L272" s="63"/>
      <c r="M272" s="63"/>
      <c r="N272" s="34"/>
    </row>
    <row r="273" spans="1:14" s="35" customFormat="1" ht="15.75" customHeight="1" x14ac:dyDescent="0.3">
      <c r="A273" s="64">
        <f t="shared" si="46"/>
        <v>7</v>
      </c>
      <c r="B273" s="65"/>
      <c r="C273" s="75"/>
      <c r="D273" s="76"/>
      <c r="E273" s="76"/>
      <c r="F273" s="77"/>
      <c r="G273" s="68"/>
      <c r="H273" s="69"/>
      <c r="I273" s="34"/>
      <c r="L273" s="63"/>
      <c r="M273" s="63"/>
      <c r="N273" s="34"/>
    </row>
    <row r="274" spans="1:14" s="35" customFormat="1" ht="15.75" customHeight="1" x14ac:dyDescent="0.3">
      <c r="A274" s="64">
        <f t="shared" si="46"/>
        <v>8</v>
      </c>
      <c r="B274" s="65"/>
      <c r="C274" s="45">
        <v>2</v>
      </c>
      <c r="D274" s="46">
        <f>56.49*10.764</f>
        <v>608.05835999999999</v>
      </c>
      <c r="E274" s="52">
        <v>0</v>
      </c>
      <c r="F274" s="52">
        <f>D274*(($F$150)+1)+(IF(E274&lt;101,E274,IF(E274&lt;201,E274/2,IF(E274&lt;=301,E274/3,E274/4))))</f>
        <v>942.49045799999999</v>
      </c>
      <c r="G274" s="70"/>
      <c r="H274" s="71"/>
      <c r="I274" s="34"/>
      <c r="L274" s="63"/>
      <c r="M274" s="63"/>
      <c r="N274" s="34"/>
    </row>
    <row r="275" spans="1:14" s="35" customFormat="1" hidden="1" x14ac:dyDescent="0.3">
      <c r="A275" s="78" t="s">
        <v>120</v>
      </c>
      <c r="B275" s="79"/>
      <c r="C275" s="79"/>
      <c r="D275" s="79"/>
      <c r="E275" s="79"/>
      <c r="F275" s="79"/>
      <c r="G275" s="79"/>
      <c r="H275" s="80"/>
      <c r="J275" s="34"/>
    </row>
    <row r="276" spans="1:14" s="35" customFormat="1" hidden="1" x14ac:dyDescent="0.3">
      <c r="A276" s="64">
        <v>1</v>
      </c>
      <c r="B276" s="65"/>
      <c r="C276" s="43"/>
      <c r="D276" s="52"/>
      <c r="E276" s="52">
        <v>0</v>
      </c>
      <c r="F276" s="52">
        <f>D276*(($F$150)+1)+(IF(E276&lt;101,E276,IF(E276&lt;201,E276/2,IF(E276&lt;=301,E276/3,E276/4))))</f>
        <v>0</v>
      </c>
      <c r="G276" s="64" t="str">
        <f>A275</f>
        <v>Ground Floor</v>
      </c>
      <c r="H276" s="65"/>
      <c r="I276" s="34"/>
      <c r="L276" s="63"/>
      <c r="M276" s="63"/>
      <c r="N276" s="34"/>
    </row>
    <row r="277" spans="1:14" s="35" customFormat="1" hidden="1" x14ac:dyDescent="0.3">
      <c r="A277" s="64">
        <f t="shared" ref="A277:A279" si="47">A276+1</f>
        <v>2</v>
      </c>
      <c r="B277" s="65"/>
      <c r="C277" s="43"/>
      <c r="D277" s="52"/>
      <c r="E277" s="52">
        <v>0</v>
      </c>
      <c r="F277" s="52">
        <f>D277*(($F$150)+1)+(IF(E277&lt;101,E277,IF(E277&lt;201,E277/2,IF(E277&lt;=301,E277/3,E277/4))))</f>
        <v>0</v>
      </c>
      <c r="G277" s="64" t="str">
        <f t="shared" ref="G277:G279" si="48">G276</f>
        <v>Ground Floor</v>
      </c>
      <c r="H277" s="65"/>
      <c r="I277" s="34"/>
      <c r="L277" s="63"/>
      <c r="M277" s="63"/>
      <c r="N277" s="34"/>
    </row>
    <row r="278" spans="1:14" s="35" customFormat="1" hidden="1" x14ac:dyDescent="0.3">
      <c r="A278" s="64">
        <f t="shared" si="47"/>
        <v>3</v>
      </c>
      <c r="B278" s="65"/>
      <c r="C278" s="43"/>
      <c r="D278" s="52"/>
      <c r="E278" s="52">
        <v>0</v>
      </c>
      <c r="F278" s="52">
        <f>D278*(($F$150)+1)+(IF(E278&lt;101,E278,IF(E278&lt;201,E278/2,IF(E278&lt;=301,E278/3,E278/4))))</f>
        <v>0</v>
      </c>
      <c r="G278" s="64" t="str">
        <f t="shared" si="48"/>
        <v>Ground Floor</v>
      </c>
      <c r="H278" s="65"/>
      <c r="I278" s="34"/>
      <c r="L278" s="63"/>
      <c r="M278" s="63"/>
      <c r="N278" s="34"/>
    </row>
    <row r="279" spans="1:14" s="35" customFormat="1" hidden="1" x14ac:dyDescent="0.3">
      <c r="A279" s="64">
        <f t="shared" si="47"/>
        <v>4</v>
      </c>
      <c r="B279" s="65"/>
      <c r="C279" s="43"/>
      <c r="D279" s="52"/>
      <c r="E279" s="52">
        <v>0</v>
      </c>
      <c r="F279" s="52">
        <f>D279*(($F$150)+1)+(IF(E279&lt;101,E279,IF(E279&lt;201,E279/2,IF(E279&lt;=301,E279/3,E279/4))))</f>
        <v>0</v>
      </c>
      <c r="G279" s="64" t="str">
        <f t="shared" si="48"/>
        <v>Ground Floor</v>
      </c>
      <c r="H279" s="65"/>
      <c r="I279" s="34"/>
      <c r="L279" s="63"/>
      <c r="M279" s="63"/>
      <c r="N279" s="34"/>
    </row>
    <row r="280" spans="1:14" s="35" customFormat="1" hidden="1" x14ac:dyDescent="0.3">
      <c r="A280" s="152" t="s">
        <v>121</v>
      </c>
      <c r="B280" s="152"/>
      <c r="C280" s="152"/>
      <c r="D280" s="152"/>
      <c r="E280" s="152"/>
      <c r="F280" s="152"/>
      <c r="G280" s="152"/>
      <c r="H280" s="152"/>
      <c r="I280" s="34"/>
      <c r="L280" s="63"/>
      <c r="M280" s="63"/>
    </row>
    <row r="281" spans="1:14" s="35" customFormat="1" hidden="1" x14ac:dyDescent="0.3">
      <c r="A281" s="90">
        <f>LEFT(A280,SUM(LEN(A280)-LEN(SUBSTITUTE(A280,{"0","1","2","3","4","5","6","7","8","9"},""))))*100+1</f>
        <v>201</v>
      </c>
      <c r="B281" s="90"/>
      <c r="C281" s="43"/>
      <c r="D281" s="52"/>
      <c r="E281" s="52">
        <v>0</v>
      </c>
      <c r="F281" s="52">
        <f t="shared" ref="F281:F282" si="49">D281*(($F$150)+1)+(IF(E281&lt;101,E281,IF(E281&lt;201,E281/2,IF(E281&lt;=301,E281/3,E281/4))))</f>
        <v>0</v>
      </c>
      <c r="G281" s="90" t="str">
        <f>A280</f>
        <v>2nd Floor</v>
      </c>
      <c r="H281" s="90"/>
      <c r="I281" s="34"/>
      <c r="N281" s="34"/>
    </row>
    <row r="282" spans="1:14" s="35" customFormat="1" hidden="1" x14ac:dyDescent="0.3">
      <c r="A282" s="90">
        <f>A281+1</f>
        <v>202</v>
      </c>
      <c r="B282" s="90"/>
      <c r="C282" s="43"/>
      <c r="D282" s="52"/>
      <c r="E282" s="52">
        <v>0</v>
      </c>
      <c r="F282" s="52">
        <f t="shared" si="49"/>
        <v>0</v>
      </c>
      <c r="G282" s="90" t="str">
        <f>G281</f>
        <v>2nd Floor</v>
      </c>
      <c r="H282" s="90"/>
      <c r="I282" s="34"/>
      <c r="N282" s="34"/>
    </row>
    <row r="283" spans="1:14" s="35" customFormat="1" hidden="1" x14ac:dyDescent="0.3">
      <c r="A283" s="90">
        <f>A282+1</f>
        <v>203</v>
      </c>
      <c r="B283" s="90"/>
      <c r="C283" s="43"/>
      <c r="D283" s="52"/>
      <c r="E283" s="52">
        <v>0</v>
      </c>
      <c r="F283" s="52">
        <f>D283*(($F$150)+1)+(IF(E283&lt;101,E283,IF(E283&lt;201,E283/2,IF(E283&lt;=301,E283/3,E283/4))))</f>
        <v>0</v>
      </c>
      <c r="G283" s="90" t="str">
        <f>G282</f>
        <v>2nd Floor</v>
      </c>
      <c r="H283" s="90"/>
      <c r="I283" s="34"/>
      <c r="N283" s="34"/>
    </row>
    <row r="284" spans="1:14" s="35" customFormat="1" hidden="1" x14ac:dyDescent="0.3">
      <c r="A284" s="90">
        <f>A283+1</f>
        <v>204</v>
      </c>
      <c r="B284" s="90"/>
      <c r="C284" s="43"/>
      <c r="D284" s="52"/>
      <c r="E284" s="52">
        <v>0</v>
      </c>
      <c r="F284" s="52">
        <f>D284*(($F$150)+1)+(IF(E284&lt;101,E284,IF(E284&lt;201,E284/2,IF(E284&lt;=301,E284/3,E284/4))))</f>
        <v>0</v>
      </c>
      <c r="G284" s="90" t="str">
        <f>G283</f>
        <v>2nd Floor</v>
      </c>
      <c r="H284" s="90"/>
      <c r="I284" s="34"/>
      <c r="N284" s="34"/>
    </row>
    <row r="285" spans="1:14" s="35" customFormat="1" hidden="1" x14ac:dyDescent="0.3">
      <c r="A285" s="90">
        <f>A284+1</f>
        <v>205</v>
      </c>
      <c r="B285" s="90"/>
      <c r="C285" s="43"/>
      <c r="D285" s="52"/>
      <c r="E285" s="52">
        <v>0</v>
      </c>
      <c r="F285" s="52">
        <f>D285*(($F$150)+1)+(IF(E285&lt;101,E285,IF(E285&lt;201,E285/2,IF(E285&lt;=301,E285/3,E285/4))))</f>
        <v>0</v>
      </c>
      <c r="G285" s="90" t="str">
        <f>G284</f>
        <v>2nd Floor</v>
      </c>
      <c r="H285" s="90"/>
      <c r="I285" s="34"/>
      <c r="N285" s="34"/>
    </row>
    <row r="286" spans="1:14" s="35" customFormat="1" ht="15.75" hidden="1" customHeight="1" x14ac:dyDescent="0.3">
      <c r="A286" s="78" t="s">
        <v>156</v>
      </c>
      <c r="B286" s="79"/>
      <c r="C286" s="79"/>
      <c r="D286" s="79"/>
      <c r="E286" s="79"/>
      <c r="F286" s="79"/>
      <c r="G286" s="79"/>
      <c r="H286" s="80"/>
      <c r="I286" s="34"/>
    </row>
    <row r="287" spans="1:14" s="35" customFormat="1" hidden="1" x14ac:dyDescent="0.3">
      <c r="A287" s="64" t="str">
        <f ca="1">(SUMPRODUCT(MID(0&amp;(LEFT(A286,SUM(LEN(A286)-LEN(SUBSTITUTE(A286,{"0","1","2"},""))))), LARGE(INDEX(ISNUMBER(--MID((LEFT(A286,SUM(LEN(A286)-LEN(SUBSTITUTE(A286,{"0","1","2"},""))))), ROW(INDIRECT("1:"&amp;LEN((LEFT(A286,SUM(LEN(A286)-LEN(SUBSTITUTE(A286,{"0","1","2"},"")))))))), 1)) * ROW(INDIRECT("1:"&amp;LEN((LEFT(A286,SUM(LEN(A286)-LEN(SUBSTITUTE(A286,{"0","1","2"},"")))))))), 0), ROW(INDIRECT("1:"&amp;LEN((LEFT(A286,SUM(LEN(A286)-LEN(SUBSTITUTE(A286,{"0","1","2"},"")))))))))+1, 1) * 10^ROW(INDIRECT("1:"&amp;LEN((LEFT(A286,SUM(LEN(A286)-LEN(SUBSTITUTE(A286,{"0","1","2"},""))))))))/10))*100+1&amp;""&amp;" ,.., "&amp;""&amp;(SUMPRODUCT(MID(0&amp;(--TRIM(RIGHT(SUBSTITUTE(LEFT(A286,_xlfn.AGGREGATE(16,6,FIND({0,1,2,3,4,5,6,7,8,9},A286,ROW(INDIRECT("1:"&amp;LEN(A286)))),1))," ",REPT(" ",LEN(A286))),LEN(A286)))), LARGE(INDEX(ISNUMBER(--MID((--TRIM(RIGHT(SUBSTITUTE(LEFT(A286,_xlfn.AGGREGATE(16,6,FIND({0,1,2,3,4,5,6,7,8,9},A286,ROW(INDIRECT("1:"&amp;LEN(A286)))),1))," ",REPT(" ",LEN(A286))),LEN(A286)))), ROW(INDIRECT("1:"&amp;LEN((--TRIM(RIGHT(SUBSTITUTE(LEFT(A286,_xlfn.AGGREGATE(16,6,FIND({0,1,2,3,4,5,6,7,8,9},A286,ROW(INDIRECT("1:"&amp;LEN(A286)))),1))," ",REPT(" ",LEN(A286))),LEN(A286))))))), 1)) * ROW(INDIRECT("1:"&amp;LEN((--TRIM(RIGHT(SUBSTITUTE(LEFT(A286,_xlfn.AGGREGATE(16,6,FIND({0,1,2,3,4,5,6,7,8,9},A286,ROW(INDIRECT("1:"&amp;LEN(A286)))),1))," ",REPT(" ",LEN(A286))),LEN(A286))))))), 0), ROW(INDIRECT("1:"&amp;LEN((--TRIM(RIGHT(SUBSTITUTE(LEFT(A286,_xlfn.AGGREGATE(16,6,FIND({0,1,2,3,4,5,6,7,8,9},A286,ROW(INDIRECT("1:"&amp;LEN(A286)))),1))," ",REPT(" ",LEN(A286))),LEN(A286))))))))+1, 1) * 10^ROW(INDIRECT("1:"&amp;LEN((--TRIM(RIGHT(SUBSTITUTE(LEFT(A286,_xlfn.AGGREGATE(16,6,FIND({0,1,2,3,4,5,6,7,8,9},A286,ROW(INDIRECT("1:"&amp;LEN(A286)))),1))," ",REPT(" ",LEN(A286))),LEN(A286)))))))/10))*100+1</f>
        <v>301 ,.., 1501</v>
      </c>
      <c r="B287" s="65"/>
      <c r="C287" s="43"/>
      <c r="D287" s="52"/>
      <c r="E287" s="52">
        <v>0</v>
      </c>
      <c r="F287" s="52">
        <f>D287*(($F$150)+1)+(IF(E287&lt;101,E287,IF(E287&lt;201,E287/2,IF(E287&lt;=301,E287/3,E287/4))))</f>
        <v>0</v>
      </c>
      <c r="G287" s="64" t="str">
        <f>A286</f>
        <v>3rd, 5th, 7th, 9th, 11th, 13th, 15th Floor</v>
      </c>
      <c r="H287" s="65"/>
      <c r="I287" s="34"/>
    </row>
    <row r="288" spans="1:14" s="35" customFormat="1" hidden="1" x14ac:dyDescent="0.3">
      <c r="A288" s="64" t="str">
        <f ca="1">(SUMPRODUCT(MID(0&amp;(LEFT(A287,SUM(LEN(A287)-LEN(SUBSTITUTE(A287,{"0","1","2"},""))))), LARGE(INDEX(ISNUMBER(--MID((LEFT(A287,SUM(LEN(A287)-LEN(SUBSTITUTE(A287,{"0","1","2"},""))))), ROW(INDIRECT("1:"&amp;LEN((LEFT(A287,SUM(LEN(A287)-LEN(SUBSTITUTE(A287,{"0","1","2"},"")))))))), 1)) * ROW(INDIRECT("1:"&amp;LEN((LEFT(A287,SUM(LEN(A287)-LEN(SUBSTITUTE(A287,{"0","1","2"},"")))))))), 0), ROW(INDIRECT("1:"&amp;LEN((LEFT(A287,SUM(LEN(A287)-LEN(SUBSTITUTE(A287,{"0","1","2"},"")))))))))+1, 1) * 10^ROW(INDIRECT("1:"&amp;LEN((LEFT(A287,SUM(LEN(A287)-LEN(SUBSTITUTE(A287,{"0","1","2"},""))))))))/10))*1+1&amp;""&amp;" ,.., "&amp;""&amp;(SUMPRODUCT(MID(0&amp;(--TRIM(RIGHT(SUBSTITUTE(LEFT(A287,_xlfn.AGGREGATE(16,6,FIND({0,1,2,3,4,5,6,7,8,9},A287,ROW(INDIRECT("1:"&amp;LEN(A287)))),1))," ",REPT(" ",LEN(A287))),LEN(A287)))), LARGE(INDEX(ISNUMBER(--MID((--TRIM(RIGHT(SUBSTITUTE(LEFT(A287,_xlfn.AGGREGATE(16,6,FIND({0,1,2,3,4,5,6,7,8,9},A287,ROW(INDIRECT("1:"&amp;LEN(A287)))),1))," ",REPT(" ",LEN(A287))),LEN(A287)))), ROW(INDIRECT("1:"&amp;LEN((--TRIM(RIGHT(SUBSTITUTE(LEFT(A287,_xlfn.AGGREGATE(16,6,FIND({0,1,2,3,4,5,6,7,8,9},A287,ROW(INDIRECT("1:"&amp;LEN(A287)))),1))," ",REPT(" ",LEN(A287))),LEN(A287))))))), 1)) * ROW(INDIRECT("1:"&amp;LEN((--TRIM(RIGHT(SUBSTITUTE(LEFT(A287,_xlfn.AGGREGATE(16,6,FIND({0,1,2,3,4,5,6,7,8,9},A287,ROW(INDIRECT("1:"&amp;LEN(A287)))),1))," ",REPT(" ",LEN(A287))),LEN(A287))))))), 0), ROW(INDIRECT("1:"&amp;LEN((--TRIM(RIGHT(SUBSTITUTE(LEFT(A287,_xlfn.AGGREGATE(16,6,FIND({0,1,2,3,4,5,6,7,8,9},A287,ROW(INDIRECT("1:"&amp;LEN(A287)))),1))," ",REPT(" ",LEN(A287))),LEN(A287))))))))+1, 1) * 10^ROW(INDIRECT("1:"&amp;LEN((--TRIM(RIGHT(SUBSTITUTE(LEFT(A287,_xlfn.AGGREGATE(16,6,FIND({0,1,2,3,4,5,6,7,8,9},A287,ROW(INDIRECT("1:"&amp;LEN(A287)))),1))," ",REPT(" ",LEN(A287))),LEN(A287)))))))/10))*1+1</f>
        <v>302 ,.., 1502</v>
      </c>
      <c r="B288" s="65"/>
      <c r="C288" s="43"/>
      <c r="D288" s="52"/>
      <c r="E288" s="52">
        <v>0</v>
      </c>
      <c r="F288" s="52">
        <f>D288*(($F$150)+1)+(IF(E288&lt;101,E288,IF(E288&lt;201,E288/2,IF(E288&lt;=301,E288/3,E288/4))))</f>
        <v>0</v>
      </c>
      <c r="G288" s="64" t="str">
        <f>G287</f>
        <v>3rd, 5th, 7th, 9th, 11th, 13th, 15th Floor</v>
      </c>
      <c r="H288" s="65"/>
      <c r="I288" s="34"/>
    </row>
    <row r="289" spans="1:9" s="35" customFormat="1" ht="15.75" hidden="1" customHeight="1" x14ac:dyDescent="0.3">
      <c r="A289" s="64" t="str">
        <f ca="1">(SUMPRODUCT(MID(0&amp;(LEFT(A288,SUM(LEN(A288)-LEN(SUBSTITUTE(A288,{"0","1","2"},""))))), LARGE(INDEX(ISNUMBER(--MID((LEFT(A288,SUM(LEN(A288)-LEN(SUBSTITUTE(A288,{"0","1","2"},""))))), ROW(INDIRECT("1:"&amp;LEN((LEFT(A288,SUM(LEN(A288)-LEN(SUBSTITUTE(A288,{"0","1","2"},"")))))))), 1)) * ROW(INDIRECT("1:"&amp;LEN((LEFT(A288,SUM(LEN(A288)-LEN(SUBSTITUTE(A288,{"0","1","2"},"")))))))), 0), ROW(INDIRECT("1:"&amp;LEN((LEFT(A288,SUM(LEN(A288)-LEN(SUBSTITUTE(A288,{"0","1","2"},"")))))))))+1, 1) * 10^ROW(INDIRECT("1:"&amp;LEN((LEFT(A288,SUM(LEN(A288)-LEN(SUBSTITUTE(A288,{"0","1","2"},""))))))))/10))*1+1&amp;""&amp;" ,.., "&amp;""&amp;(SUMPRODUCT(MID(0&amp;(--TRIM(RIGHT(SUBSTITUTE(LEFT(A288,_xlfn.AGGREGATE(16,6,FIND({0,1,2,3,4,5,6,7,8,9},A288,ROW(INDIRECT("1:"&amp;LEN(A288)))),1))," ",REPT(" ",LEN(A288))),LEN(A288)))), LARGE(INDEX(ISNUMBER(--MID((--TRIM(RIGHT(SUBSTITUTE(LEFT(A288,_xlfn.AGGREGATE(16,6,FIND({0,1,2,3,4,5,6,7,8,9},A288,ROW(INDIRECT("1:"&amp;LEN(A288)))),1))," ",REPT(" ",LEN(A288))),LEN(A288)))), ROW(INDIRECT("1:"&amp;LEN((--TRIM(RIGHT(SUBSTITUTE(LEFT(A288,_xlfn.AGGREGATE(16,6,FIND({0,1,2,3,4,5,6,7,8,9},A288,ROW(INDIRECT("1:"&amp;LEN(A288)))),1))," ",REPT(" ",LEN(A288))),LEN(A288))))))), 1)) * ROW(INDIRECT("1:"&amp;LEN((--TRIM(RIGHT(SUBSTITUTE(LEFT(A288,_xlfn.AGGREGATE(16,6,FIND({0,1,2,3,4,5,6,7,8,9},A288,ROW(INDIRECT("1:"&amp;LEN(A288)))),1))," ",REPT(" ",LEN(A288))),LEN(A288))))))), 0), ROW(INDIRECT("1:"&amp;LEN((--TRIM(RIGHT(SUBSTITUTE(LEFT(A288,_xlfn.AGGREGATE(16,6,FIND({0,1,2,3,4,5,6,7,8,9},A288,ROW(INDIRECT("1:"&amp;LEN(A288)))),1))," ",REPT(" ",LEN(A288))),LEN(A288))))))))+1, 1) * 10^ROW(INDIRECT("1:"&amp;LEN((--TRIM(RIGHT(SUBSTITUTE(LEFT(A288,_xlfn.AGGREGATE(16,6,FIND({0,1,2,3,4,5,6,7,8,9},A288,ROW(INDIRECT("1:"&amp;LEN(A288)))),1))," ",REPT(" ",LEN(A288))),LEN(A288)))))))/10))*1+1</f>
        <v>303 ,.., 1503</v>
      </c>
      <c r="B289" s="65"/>
      <c r="C289" s="43"/>
      <c r="D289" s="52"/>
      <c r="E289" s="52">
        <v>0</v>
      </c>
      <c r="F289" s="52">
        <f>D289*(($F$150)+1)+(IF(E289&lt;101,E289,IF(E289&lt;201,E289/2,IF(E289&lt;=301,E289/3,E289/4))))</f>
        <v>0</v>
      </c>
      <c r="G289" s="64" t="str">
        <f>G288</f>
        <v>3rd, 5th, 7th, 9th, 11th, 13th, 15th Floor</v>
      </c>
      <c r="H289" s="65"/>
      <c r="I289" s="34"/>
    </row>
    <row r="290" spans="1:9" s="35" customFormat="1" ht="15.75" hidden="1" customHeight="1" x14ac:dyDescent="0.3">
      <c r="A290" s="64" t="str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10^ROW(INDIRECT("1:"&amp;LEN((LEFT(A289,SUM(LEN(A289)-LEN(SUBSTITUTE(A289,{"0","1","2"},""))))))))/10))*1+1&amp;""&amp;" ,.., "&amp;""&amp;(SUMPRODUCT(MID(0&amp;(--TRIM(RIGHT(SUBSTITUTE(LEFT(A289,_xlfn.AGGREGATE(16,6,FIND({0,1,2,3,4,5,6,7,8,9},A289,ROW(INDIRECT("1:"&amp;LEN(A289)))),1)),"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",LEN(A289))),LEN(A289)))))))/10))*1+1</f>
        <v>304 ,.., 1504</v>
      </c>
      <c r="B290" s="65"/>
      <c r="C290" s="43"/>
      <c r="D290" s="52"/>
      <c r="E290" s="52">
        <v>0</v>
      </c>
      <c r="F290" s="52">
        <f>D290*(($F$150)+1)+(IF(E290&lt;101,E290,IF(E290&lt;201,E290/2,IF(E290&lt;=301,E290/3,E290/4))))</f>
        <v>0</v>
      </c>
      <c r="G290" s="64" t="str">
        <f>G289</f>
        <v>3rd, 5th, 7th, 9th, 11th, 13th, 15th Floor</v>
      </c>
      <c r="H290" s="65"/>
      <c r="I290" s="34"/>
    </row>
    <row r="291" spans="1:9" s="35" customFormat="1" ht="15.75" hidden="1" customHeight="1" x14ac:dyDescent="0.3">
      <c r="A291" s="64" t="str">
        <f ca="1">(SUMPRODUCT(MID(0&amp;(LEFT(A290,SUM(LEN(A290)-LEN(SUBSTITUTE(A290,{"0","1","2"},""))))), LARGE(INDEX(ISNUMBER(--MID((LEFT(A290,SUM(LEN(A290)-LEN(SUBSTITUTE(A290,{"0","1","2"},""))))), ROW(INDIRECT("1:"&amp;LEN((LEFT(A290,SUM(LEN(A290)-LEN(SUBSTITUTE(A290,{"0","1","2"},"")))))))), 1)) * ROW(INDIRECT("1:"&amp;LEN((LEFT(A290,SUM(LEN(A290)-LEN(SUBSTITUTE(A290,{"0","1","2"},"")))))))), 0), ROW(INDIRECT("1:"&amp;LEN((LEFT(A290,SUM(LEN(A290)-LEN(SUBSTITUTE(A290,{"0","1","2"},"")))))))))+1, 1) * 10^ROW(INDIRECT("1:"&amp;LEN((LEFT(A290,SUM(LEN(A290)-LEN(SUBSTITUTE(A290,{"0","1","2"},""))))))))/10))*1+1&amp;""&amp;" ,.., "&amp;""&amp;(SUMPRODUCT(MID(0&amp;(--TRIM(RIGHT(SUBSTITUTE(LEFT(A290,_xlfn.AGGREGATE(16,6,FIND({0,1,2,3,4,5,6,7,8,9},A290,ROW(INDIRECT("1:"&amp;LEN(A290)))),1))," ",REPT(" ",LEN(A290))),LEN(A290)))), LARGE(INDEX(ISNUMBER(--MID((--TRIM(RIGHT(SUBSTITUTE(LEFT(A290,_xlfn.AGGREGATE(16,6,FIND({0,1,2,3,4,5,6,7,8,9},A290,ROW(INDIRECT("1:"&amp;LEN(A290)))),1))," ",REPT(" ",LEN(A290))),LEN(A290)))), ROW(INDIRECT("1:"&amp;LEN((--TRIM(RIGHT(SUBSTITUTE(LEFT(A290,_xlfn.AGGREGATE(16,6,FIND({0,1,2,3,4,5,6,7,8,9},A290,ROW(INDIRECT("1:"&amp;LEN(A290)))),1))," ",REPT(" ",LEN(A290))),LEN(A290))))))), 1)) * ROW(INDIRECT("1:"&amp;LEN((--TRIM(RIGHT(SUBSTITUTE(LEFT(A290,_xlfn.AGGREGATE(16,6,FIND({0,1,2,3,4,5,6,7,8,9},A290,ROW(INDIRECT("1:"&amp;LEN(A290)))),1))," ",REPT(" ",LEN(A290))),LEN(A290))))))), 0), ROW(INDIRECT("1:"&amp;LEN((--TRIM(RIGHT(SUBSTITUTE(LEFT(A290,_xlfn.AGGREGATE(16,6,FIND({0,1,2,3,4,5,6,7,8,9},A290,ROW(INDIRECT("1:"&amp;LEN(A290)))),1))," ",REPT(" ",LEN(A290))),LEN(A290))))))))+1, 1) * 10^ROW(INDIRECT("1:"&amp;LEN((--TRIM(RIGHT(SUBSTITUTE(LEFT(A290,_xlfn.AGGREGATE(16,6,FIND({0,1,2,3,4,5,6,7,8,9},A290,ROW(INDIRECT("1:"&amp;LEN(A290)))),1))," ",REPT(" ",LEN(A290))),LEN(A290)))))))/10))*1+1</f>
        <v>305 ,.., 1505</v>
      </c>
      <c r="B291" s="65"/>
      <c r="C291" s="43"/>
      <c r="D291" s="52"/>
      <c r="E291" s="52">
        <v>0</v>
      </c>
      <c r="F291" s="52">
        <f>D291*(($F$150)+1)+(IF(E291&lt;101,E291,IF(E291&lt;201,E291/2,IF(E291&lt;=301,E291/3,E291/4))))</f>
        <v>0</v>
      </c>
      <c r="G291" s="64" t="str">
        <f>G290</f>
        <v>3rd, 5th, 7th, 9th, 11th, 13th, 15th Floor</v>
      </c>
      <c r="H291" s="65"/>
      <c r="I291" s="34"/>
    </row>
    <row r="292" spans="1:9" s="35" customFormat="1" hidden="1" x14ac:dyDescent="0.3">
      <c r="A292" s="78" t="s">
        <v>150</v>
      </c>
      <c r="B292" s="79"/>
      <c r="C292" s="79"/>
      <c r="D292" s="79"/>
      <c r="E292" s="79"/>
      <c r="F292" s="79"/>
      <c r="G292" s="79"/>
      <c r="H292" s="80"/>
      <c r="I292" s="34"/>
    </row>
    <row r="293" spans="1:9" s="35" customFormat="1" hidden="1" x14ac:dyDescent="0.3">
      <c r="A293" s="64" t="str">
        <f ca="1">(SUMPRODUCT(MID(0&amp;(LEFT(A292,SUM(LEN(A292)-LEN(SUBSTITUTE(A292,{"0","1","2"},""))))), LARGE(INDEX(ISNUMBER(--MID((LEFT(A292,SUM(LEN(A292)-LEN(SUBSTITUTE(A292,{"0","1","2"},""))))), ROW(INDIRECT("1:"&amp;LEN((LEFT(A292,SUM(LEN(A292)-LEN(SUBSTITUTE(A292,{"0","1","2"},"")))))))), 1)) * ROW(INDIRECT("1:"&amp;LEN((LEFT(A292,SUM(LEN(A292)-LEN(SUBSTITUTE(A292,{"0","1","2"},"")))))))), 0), ROW(INDIRECT("1:"&amp;LEN((LEFT(A292,SUM(LEN(A292)-LEN(SUBSTITUTE(A292,{"0","1","2"},"")))))))))+1, 1) * 10^ROW(INDIRECT("1:"&amp;LEN((LEFT(A292,SUM(LEN(A292)-LEN(SUBSTITUTE(A292,{"0","1","2"},""))))))))/10))*100+1&amp;""&amp;" to "&amp;""&amp;(SUMPRODUCT(MID(0&amp;(--TRIM(RIGHT(SUBSTITUTE(LEFT(A292,_xlfn.AGGREGATE(16,6,FIND({0,1,2,3,4,5,6,7,8,9},A292,ROW(INDIRECT("1:"&amp;LEN(A292)))),1))," ",REPT(" ",LEN(A292))),LEN(A292)))), LARGE(INDEX(ISNUMBER(--MID((--TRIM(RIGHT(SUBSTITUTE(LEFT(A292,_xlfn.AGGREGATE(16,6,FIND({0,1,2,3,4,5,6,7,8,9},A292,ROW(INDIRECT("1:"&amp;LEN(A292)))),1))," ",REPT(" ",LEN(A292))),LEN(A292)))), ROW(INDIRECT("1:"&amp;LEN((--TRIM(RIGHT(SUBSTITUTE(LEFT(A292,_xlfn.AGGREGATE(16,6,FIND({0,1,2,3,4,5,6,7,8,9},A292,ROW(INDIRECT("1:"&amp;LEN(A292)))),1))," ",REPT(" ",LEN(A292))),LEN(A292))))))), 1)) * ROW(INDIRECT("1:"&amp;LEN((--TRIM(RIGHT(SUBSTITUTE(LEFT(A292,_xlfn.AGGREGATE(16,6,FIND({0,1,2,3,4,5,6,7,8,9},A292,ROW(INDIRECT("1:"&amp;LEN(A292)))),1))," ",REPT(" ",LEN(A292))),LEN(A292))))))), 0), ROW(INDIRECT("1:"&amp;LEN((--TRIM(RIGHT(SUBSTITUTE(LEFT(A292,_xlfn.AGGREGATE(16,6,FIND({0,1,2,3,4,5,6,7,8,9},A292,ROW(INDIRECT("1:"&amp;LEN(A292)))),1))," ",REPT(" ",LEN(A292))),LEN(A292))))))))+1, 1) * 10^ROW(INDIRECT("1:"&amp;LEN((--TRIM(RIGHT(SUBSTITUTE(LEFT(A292,_xlfn.AGGREGATE(16,6,FIND({0,1,2,3,4,5,6,7,8,9},A292,ROW(INDIRECT("1:"&amp;LEN(A292)))),1))," ",REPT(" ",LEN(A292))),LEN(A292)))))))/10))*100+1</f>
        <v>201 to 501</v>
      </c>
      <c r="B293" s="65"/>
      <c r="C293" s="43"/>
      <c r="D293" s="52"/>
      <c r="E293" s="52">
        <v>0</v>
      </c>
      <c r="F293" s="52">
        <f>D293*(($F$150)+1)+(IF(E293&lt;101,E293,IF(E293&lt;201,E293/2,IF(E293&lt;=301,E293/3,E293/4))))</f>
        <v>0</v>
      </c>
      <c r="G293" s="64" t="str">
        <f>A292</f>
        <v>2nd to 5th Floor</v>
      </c>
      <c r="H293" s="65"/>
      <c r="I293" s="34"/>
    </row>
    <row r="294" spans="1:9" s="35" customFormat="1" hidden="1" x14ac:dyDescent="0.3">
      <c r="A294" s="64" t="str">
        <f ca="1">(SUMPRODUCT(MID(0&amp;(LEFT(A293,SUM(LEN(A293)-LEN(SUBSTITUTE(A293,{"0","1","2"},""))))), LARGE(INDEX(ISNUMBER(--MID((LEFT(A293,SUM(LEN(A293)-LEN(SUBSTITUTE(A293,{"0","1","2"},""))))), ROW(INDIRECT("1:"&amp;LEN((LEFT(A293,SUM(LEN(A293)-LEN(SUBSTITUTE(A293,{"0","1","2"},"")))))))), 1)) * ROW(INDIRECT("1:"&amp;LEN((LEFT(A293,SUM(LEN(A293)-LEN(SUBSTITUTE(A293,{"0","1","2"},"")))))))), 0), ROW(INDIRECT("1:"&amp;LEN((LEFT(A293,SUM(LEN(A293)-LEN(SUBSTITUTE(A293,{"0","1","2"},"")))))))))+1, 1) * 10^ROW(INDIRECT("1:"&amp;LEN((LEFT(A293,SUM(LEN(A293)-LEN(SUBSTITUTE(A293,{"0","1","2"},""))))))))/10))*1+1&amp;""&amp;" to "&amp;""&amp;(SUMPRODUCT(MID(0&amp;(--TRIM(RIGHT(SUBSTITUTE(LEFT(A293,_xlfn.AGGREGATE(16,6,FIND({0,1,2,3,4,5,6,7,8,9},A293,ROW(INDIRECT("1:"&amp;LEN(A293)))),1))," ",REPT(" ",LEN(A293))),LEN(A293)))), LARGE(INDEX(ISNUMBER(--MID((--TRIM(RIGHT(SUBSTITUTE(LEFT(A293,_xlfn.AGGREGATE(16,6,FIND({0,1,2,3,4,5,6,7,8,9},A293,ROW(INDIRECT("1:"&amp;LEN(A293)))),1))," ",REPT(" ",LEN(A293))),LEN(A293)))), ROW(INDIRECT("1:"&amp;LEN((--TRIM(RIGHT(SUBSTITUTE(LEFT(A293,_xlfn.AGGREGATE(16,6,FIND({0,1,2,3,4,5,6,7,8,9},A293,ROW(INDIRECT("1:"&amp;LEN(A293)))),1))," ",REPT(" ",LEN(A293))),LEN(A293))))))), 1)) * ROW(INDIRECT("1:"&amp;LEN((--TRIM(RIGHT(SUBSTITUTE(LEFT(A293,_xlfn.AGGREGATE(16,6,FIND({0,1,2,3,4,5,6,7,8,9},A293,ROW(INDIRECT("1:"&amp;LEN(A293)))),1))," ",REPT(" ",LEN(A293))),LEN(A293))))))), 0), ROW(INDIRECT("1:"&amp;LEN((--TRIM(RIGHT(SUBSTITUTE(LEFT(A293,_xlfn.AGGREGATE(16,6,FIND({0,1,2,3,4,5,6,7,8,9},A293,ROW(INDIRECT("1:"&amp;LEN(A293)))),1))," ",REPT(" ",LEN(A293))),LEN(A293))))))))+1, 1) * 10^ROW(INDIRECT("1:"&amp;LEN((--TRIM(RIGHT(SUBSTITUTE(LEFT(A293,_xlfn.AGGREGATE(16,6,FIND({0,1,2,3,4,5,6,7,8,9},A293,ROW(INDIRECT("1:"&amp;LEN(A293)))),1))," ",REPT(" ",LEN(A293))),LEN(A293)))))))/10))*1+1</f>
        <v>202 to 502</v>
      </c>
      <c r="B294" s="65"/>
      <c r="C294" s="43"/>
      <c r="D294" s="52"/>
      <c r="E294" s="52">
        <v>0</v>
      </c>
      <c r="F294" s="52">
        <f>D294*(($F$150)+1)+(IF(E294&lt;101,E294,IF(E294&lt;201,E294/2,IF(E294&lt;=301,E294/3,E294/4))))</f>
        <v>0</v>
      </c>
      <c r="G294" s="64" t="str">
        <f>G293</f>
        <v>2nd to 5th Floor</v>
      </c>
      <c r="H294" s="65"/>
      <c r="I294" s="34"/>
    </row>
    <row r="295" spans="1:9" s="35" customFormat="1" hidden="1" x14ac:dyDescent="0.3">
      <c r="A295" s="64" t="str">
        <f ca="1">(SUMPRODUCT(MID(0&amp;(LEFT(A294,SUM(LEN(A294)-LEN(SUBSTITUTE(A294,{"0","1","2"},""))))), LARGE(INDEX(ISNUMBER(--MID((LEFT(A294,SUM(LEN(A294)-LEN(SUBSTITUTE(A294,{"0","1","2"},""))))), ROW(INDIRECT("1:"&amp;LEN((LEFT(A294,SUM(LEN(A294)-LEN(SUBSTITUTE(A294,{"0","1","2"},"")))))))), 1)) * ROW(INDIRECT("1:"&amp;LEN((LEFT(A294,SUM(LEN(A294)-LEN(SUBSTITUTE(A294,{"0","1","2"},"")))))))), 0), ROW(INDIRECT("1:"&amp;LEN((LEFT(A294,SUM(LEN(A294)-LEN(SUBSTITUTE(A294,{"0","1","2"},"")))))))))+1, 1) * 10^ROW(INDIRECT("1:"&amp;LEN((LEFT(A294,SUM(LEN(A294)-LEN(SUBSTITUTE(A294,{"0","1","2"},""))))))))/10))*1+1&amp;""&amp;" to "&amp;""&amp;(SUMPRODUCT(MID(0&amp;(--TRIM(RIGHT(SUBSTITUTE(LEFT(A294,_xlfn.AGGREGATE(16,6,FIND({0,1,2,3,4,5,6,7,8,9},A294,ROW(INDIRECT("1:"&amp;LEN(A294)))),1))," ",REPT(" ",LEN(A294))),LEN(A294)))), LARGE(INDEX(ISNUMBER(--MID((--TRIM(RIGHT(SUBSTITUTE(LEFT(A294,_xlfn.AGGREGATE(16,6,FIND({0,1,2,3,4,5,6,7,8,9},A294,ROW(INDIRECT("1:"&amp;LEN(A294)))),1))," ",REPT(" ",LEN(A294))),LEN(A294)))), ROW(INDIRECT("1:"&amp;LEN((--TRIM(RIGHT(SUBSTITUTE(LEFT(A294,_xlfn.AGGREGATE(16,6,FIND({0,1,2,3,4,5,6,7,8,9},A294,ROW(INDIRECT("1:"&amp;LEN(A294)))),1))," ",REPT(" ",LEN(A294))),LEN(A294))))))), 1)) * ROW(INDIRECT("1:"&amp;LEN((--TRIM(RIGHT(SUBSTITUTE(LEFT(A294,_xlfn.AGGREGATE(16,6,FIND({0,1,2,3,4,5,6,7,8,9},A294,ROW(INDIRECT("1:"&amp;LEN(A294)))),1))," ",REPT(" ",LEN(A294))),LEN(A294))))))), 0), ROW(INDIRECT("1:"&amp;LEN((--TRIM(RIGHT(SUBSTITUTE(LEFT(A294,_xlfn.AGGREGATE(16,6,FIND({0,1,2,3,4,5,6,7,8,9},A294,ROW(INDIRECT("1:"&amp;LEN(A294)))),1))," ",REPT(" ",LEN(A294))),LEN(A294))))))))+1, 1) * 10^ROW(INDIRECT("1:"&amp;LEN((--TRIM(RIGHT(SUBSTITUTE(LEFT(A294,_xlfn.AGGREGATE(16,6,FIND({0,1,2,3,4,5,6,7,8,9},A294,ROW(INDIRECT("1:"&amp;LEN(A294)))),1))," ",REPT(" ",LEN(A294))),LEN(A294)))))))/10))*1+1</f>
        <v>203 to 503</v>
      </c>
      <c r="B295" s="65"/>
      <c r="C295" s="43"/>
      <c r="D295" s="52"/>
      <c r="E295" s="52">
        <v>0</v>
      </c>
      <c r="F295" s="52">
        <f>D295*(($F$150)+1)+(IF(E295&lt;101,E295,IF(E295&lt;201,E295/2,IF(E295&lt;=301,E295/3,E295/4))))</f>
        <v>0</v>
      </c>
      <c r="G295" s="64" t="str">
        <f>G294</f>
        <v>2nd to 5th Floor</v>
      </c>
      <c r="H295" s="65"/>
      <c r="I295" s="34"/>
    </row>
    <row r="296" spans="1:9" s="35" customFormat="1" hidden="1" x14ac:dyDescent="0.3">
      <c r="A296" s="64" t="str">
        <f ca="1">(SUMPRODUCT(MID(0&amp;(LEFT(A295,SUM(LEN(A295)-LEN(SUBSTITUTE(A295,{"0","1","2"},""))))), LARGE(INDEX(ISNUMBER(--MID((LEFT(A295,SUM(LEN(A295)-LEN(SUBSTITUTE(A295,{"0","1","2"},""))))), ROW(INDIRECT("1:"&amp;LEN((LEFT(A295,SUM(LEN(A295)-LEN(SUBSTITUTE(A295,{"0","1","2"},"")))))))), 1)) * ROW(INDIRECT("1:"&amp;LEN((LEFT(A295,SUM(LEN(A295)-LEN(SUBSTITUTE(A295,{"0","1","2"},"")))))))), 0), ROW(INDIRECT("1:"&amp;LEN((LEFT(A295,SUM(LEN(A295)-LEN(SUBSTITUTE(A295,{"0","1","2"},"")))))))))+1, 1) * 10^ROW(INDIRECT("1:"&amp;LEN((LEFT(A295,SUM(LEN(A295)-LEN(SUBSTITUTE(A295,{"0","1","2"},""))))))))/10))*1+1&amp;""&amp;" to "&amp;""&amp;(SUMPRODUCT(MID(0&amp;(--TRIM(RIGHT(SUBSTITUTE(LEFT(A295,_xlfn.AGGREGATE(16,6,FIND({0,1,2,3,4,5,6,7,8,9},A295,ROW(INDIRECT("1:"&amp;LEN(A295)))),1))," ",REPT(" ",LEN(A295))),LEN(A295)))), LARGE(INDEX(ISNUMBER(--MID((--TRIM(RIGHT(SUBSTITUTE(LEFT(A295,_xlfn.AGGREGATE(16,6,FIND({0,1,2,3,4,5,6,7,8,9},A295,ROW(INDIRECT("1:"&amp;LEN(A295)))),1))," ",REPT(" ",LEN(A295))),LEN(A295)))), ROW(INDIRECT("1:"&amp;LEN((--TRIM(RIGHT(SUBSTITUTE(LEFT(A295,_xlfn.AGGREGATE(16,6,FIND({0,1,2,3,4,5,6,7,8,9},A295,ROW(INDIRECT("1:"&amp;LEN(A295)))),1))," ",REPT(" ",LEN(A295))),LEN(A295))))))), 1)) * ROW(INDIRECT("1:"&amp;LEN((--TRIM(RIGHT(SUBSTITUTE(LEFT(A295,_xlfn.AGGREGATE(16,6,FIND({0,1,2,3,4,5,6,7,8,9},A295,ROW(INDIRECT("1:"&amp;LEN(A295)))),1))," ",REPT(" ",LEN(A295))),LEN(A295))))))), 0), ROW(INDIRECT("1:"&amp;LEN((--TRIM(RIGHT(SUBSTITUTE(LEFT(A295,_xlfn.AGGREGATE(16,6,FIND({0,1,2,3,4,5,6,7,8,9},A295,ROW(INDIRECT("1:"&amp;LEN(A295)))),1))," ",REPT(" ",LEN(A295))),LEN(A295))))))))+1, 1) * 10^ROW(INDIRECT("1:"&amp;LEN((--TRIM(RIGHT(SUBSTITUTE(LEFT(A295,_xlfn.AGGREGATE(16,6,FIND({0,1,2,3,4,5,6,7,8,9},A295,ROW(INDIRECT("1:"&amp;LEN(A295)))),1))," ",REPT(" ",LEN(A295))),LEN(A295)))))))/10))*1+1</f>
        <v>204 to 504</v>
      </c>
      <c r="B296" s="65"/>
      <c r="C296" s="43"/>
      <c r="D296" s="52"/>
      <c r="E296" s="52">
        <v>0</v>
      </c>
      <c r="F296" s="52">
        <f>D296*(($F$150)+1)+(IF(E296&lt;101,E296,IF(E296&lt;201,E296/2,IF(E296&lt;=301,E296/3,E296/4))))</f>
        <v>0</v>
      </c>
      <c r="G296" s="64" t="str">
        <f>G295</f>
        <v>2nd to 5th Floor</v>
      </c>
      <c r="H296" s="65"/>
      <c r="I296" s="34"/>
    </row>
    <row r="297" spans="1:9" s="35" customFormat="1" hidden="1" x14ac:dyDescent="0.3">
      <c r="A297" s="64" t="str">
        <f ca="1">(SUMPRODUCT(MID(0&amp;(LEFT(A296,SUM(LEN(A296)-LEN(SUBSTITUTE(A296,{"0","1","2"},""))))), LARGE(INDEX(ISNUMBER(--MID((LEFT(A296,SUM(LEN(A296)-LEN(SUBSTITUTE(A296,{"0","1","2"},""))))), ROW(INDIRECT("1:"&amp;LEN((LEFT(A296,SUM(LEN(A296)-LEN(SUBSTITUTE(A296,{"0","1","2"},"")))))))), 1)) * ROW(INDIRECT("1:"&amp;LEN((LEFT(A296,SUM(LEN(A296)-LEN(SUBSTITUTE(A296,{"0","1","2"},"")))))))), 0), ROW(INDIRECT("1:"&amp;LEN((LEFT(A296,SUM(LEN(A296)-LEN(SUBSTITUTE(A296,{"0","1","2"},"")))))))))+1, 1) * 10^ROW(INDIRECT("1:"&amp;LEN((LEFT(A296,SUM(LEN(A296)-LEN(SUBSTITUTE(A296,{"0","1","2"},""))))))))/10))*1+1&amp;""&amp;" to "&amp;""&amp;(SUMPRODUCT(MID(0&amp;(--TRIM(RIGHT(SUBSTITUTE(LEFT(A296,_xlfn.AGGREGATE(16,6,FIND({0,1,2,3,4,5,6,7,8,9},A296,ROW(INDIRECT("1:"&amp;LEN(A296)))),1))," ",REPT(" ",LEN(A296))),LEN(A296)))), LARGE(INDEX(ISNUMBER(--MID((--TRIM(RIGHT(SUBSTITUTE(LEFT(A296,_xlfn.AGGREGATE(16,6,FIND({0,1,2,3,4,5,6,7,8,9},A296,ROW(INDIRECT("1:"&amp;LEN(A296)))),1))," ",REPT(" ",LEN(A296))),LEN(A296)))), ROW(INDIRECT("1:"&amp;LEN((--TRIM(RIGHT(SUBSTITUTE(LEFT(A296,_xlfn.AGGREGATE(16,6,FIND({0,1,2,3,4,5,6,7,8,9},A296,ROW(INDIRECT("1:"&amp;LEN(A296)))),1))," ",REPT(" ",LEN(A296))),LEN(A296))))))), 1)) * ROW(INDIRECT("1:"&amp;LEN((--TRIM(RIGHT(SUBSTITUTE(LEFT(A296,_xlfn.AGGREGATE(16,6,FIND({0,1,2,3,4,5,6,7,8,9},A296,ROW(INDIRECT("1:"&amp;LEN(A296)))),1))," ",REPT(" ",LEN(A296))),LEN(A296))))))), 0), ROW(INDIRECT("1:"&amp;LEN((--TRIM(RIGHT(SUBSTITUTE(LEFT(A296,_xlfn.AGGREGATE(16,6,FIND({0,1,2,3,4,5,6,7,8,9},A296,ROW(INDIRECT("1:"&amp;LEN(A296)))),1))," ",REPT(" ",LEN(A296))),LEN(A296))))))))+1, 1) * 10^ROW(INDIRECT("1:"&amp;LEN((--TRIM(RIGHT(SUBSTITUTE(LEFT(A296,_xlfn.AGGREGATE(16,6,FIND({0,1,2,3,4,5,6,7,8,9},A296,ROW(INDIRECT("1:"&amp;LEN(A296)))),1))," ",REPT(" ",LEN(A296))),LEN(A296)))))))/10))*1+1</f>
        <v>205 to 505</v>
      </c>
      <c r="B297" s="65"/>
      <c r="C297" s="43"/>
      <c r="D297" s="52"/>
      <c r="E297" s="52">
        <v>0</v>
      </c>
      <c r="F297" s="52">
        <f>D297*(($F$150)+1)+(IF(E297&lt;101,E297,IF(E297&lt;201,E297/2,IF(E297&lt;=301,E297/3,E297/4))))</f>
        <v>0</v>
      </c>
      <c r="G297" s="64" t="str">
        <f>G296</f>
        <v>2nd to 5th Floor</v>
      </c>
      <c r="H297" s="65"/>
      <c r="I297" s="34"/>
    </row>
    <row r="298" spans="1:9" s="35" customFormat="1" hidden="1" x14ac:dyDescent="0.3">
      <c r="A298" s="78" t="s">
        <v>151</v>
      </c>
      <c r="B298" s="79"/>
      <c r="C298" s="79"/>
      <c r="D298" s="79"/>
      <c r="E298" s="79"/>
      <c r="F298" s="79"/>
      <c r="G298" s="79"/>
      <c r="H298" s="80"/>
      <c r="I298" s="34"/>
    </row>
    <row r="299" spans="1:9" s="35" customFormat="1" hidden="1" x14ac:dyDescent="0.3">
      <c r="A299" s="64" t="str">
        <f ca="1">(SUMPRODUCT(MID(0&amp;(LEFT(A298,SUM(LEN(A298)-LEN(SUBSTITUTE(A298,{"0","1","2"},""))))), LARGE(INDEX(ISNUMBER(--MID((LEFT(A298,SUM(LEN(A298)-LEN(SUBSTITUTE(A298,{"0","1","2"},""))))), ROW(INDIRECT("1:"&amp;LEN((LEFT(A298,SUM(LEN(A298)-LEN(SUBSTITUTE(A298,{"0","1","2"},"")))))))), 1)) * ROW(INDIRECT("1:"&amp;LEN((LEFT(A298,SUM(LEN(A298)-LEN(SUBSTITUTE(A298,{"0","1","2"},"")))))))), 0), ROW(INDIRECT("1:"&amp;LEN((LEFT(A298,SUM(LEN(A298)-LEN(SUBSTITUTE(A298,{"0","1","2"},"")))))))))+1, 1) * 10^ROW(INDIRECT("1:"&amp;LEN((LEFT(A298,SUM(LEN(A298)-LEN(SUBSTITUTE(A298,{"0","1","2"},""))))))))/10))*100+1&amp;""&amp;" &amp; "&amp;""&amp;(SUMPRODUCT(MID(0&amp;(--TRIM(RIGHT(SUBSTITUTE(LEFT(A298,_xlfn.AGGREGATE(16,6,FIND({0,1,2,3,4,5,6,7,8,9},A298,ROW(INDIRECT("1:"&amp;LEN(A298)))),1))," ",REPT(" ",LEN(A298))),LEN(A298)))), LARGE(INDEX(ISNUMBER(--MID((--TRIM(RIGHT(SUBSTITUTE(LEFT(A298,_xlfn.AGGREGATE(16,6,FIND({0,1,2,3,4,5,6,7,8,9},A298,ROW(INDIRECT("1:"&amp;LEN(A298)))),1))," ",REPT(" ",LEN(A298))),LEN(A298)))), ROW(INDIRECT("1:"&amp;LEN((--TRIM(RIGHT(SUBSTITUTE(LEFT(A298,_xlfn.AGGREGATE(16,6,FIND({0,1,2,3,4,5,6,7,8,9},A298,ROW(INDIRECT("1:"&amp;LEN(A298)))),1))," ",REPT(" ",LEN(A298))),LEN(A298))))))), 1)) * ROW(INDIRECT("1:"&amp;LEN((--TRIM(RIGHT(SUBSTITUTE(LEFT(A298,_xlfn.AGGREGATE(16,6,FIND({0,1,2,3,4,5,6,7,8,9},A298,ROW(INDIRECT("1:"&amp;LEN(A298)))),1))," ",REPT(" ",LEN(A298))),LEN(A298))))))), 0), ROW(INDIRECT("1:"&amp;LEN((--TRIM(RIGHT(SUBSTITUTE(LEFT(A298,_xlfn.AGGREGATE(16,6,FIND({0,1,2,3,4,5,6,7,8,9},A298,ROW(INDIRECT("1:"&amp;LEN(A298)))),1))," ",REPT(" ",LEN(A298))),LEN(A298))))))))+1, 1) * 10^ROW(INDIRECT("1:"&amp;LEN((--TRIM(RIGHT(SUBSTITUTE(LEFT(A298,_xlfn.AGGREGATE(16,6,FIND({0,1,2,3,4,5,6,7,8,9},A298,ROW(INDIRECT("1:"&amp;LEN(A298)))),1))," ",REPT(" ",LEN(A298))),LEN(A298)))))))/10))*100+1</f>
        <v>201 &amp; 501</v>
      </c>
      <c r="B299" s="65"/>
      <c r="C299" s="43"/>
      <c r="D299" s="52"/>
      <c r="E299" s="52">
        <v>0</v>
      </c>
      <c r="F299" s="52">
        <f>D299*(($F$150)+1)+(IF(E299&lt;101,E299,IF(E299&lt;201,E299/2,IF(E299&lt;=301,E299/3,E299/4))))</f>
        <v>0</v>
      </c>
      <c r="G299" s="64" t="str">
        <f>A298</f>
        <v>2nd &amp; 5th Floor</v>
      </c>
      <c r="H299" s="65"/>
      <c r="I299" s="34"/>
    </row>
    <row r="300" spans="1:9" s="35" customFormat="1" hidden="1" x14ac:dyDescent="0.3">
      <c r="A300" s="64" t="str">
        <f ca="1">(SUMPRODUCT(MID(0&amp;(LEFT(A299,SUM(LEN(A299)-LEN(SUBSTITUTE(A299,{"0","1","2"},""))))), LARGE(INDEX(ISNUMBER(--MID((LEFT(A299,SUM(LEN(A299)-LEN(SUBSTITUTE(A299,{"0","1","2"},""))))), ROW(INDIRECT("1:"&amp;LEN((LEFT(A299,SUM(LEN(A299)-LEN(SUBSTITUTE(A299,{"0","1","2"},"")))))))), 1)) * ROW(INDIRECT("1:"&amp;LEN((LEFT(A299,SUM(LEN(A299)-LEN(SUBSTITUTE(A299,{"0","1","2"},"")))))))), 0), ROW(INDIRECT("1:"&amp;LEN((LEFT(A299,SUM(LEN(A299)-LEN(SUBSTITUTE(A299,{"0","1","2"},"")))))))))+1, 1) * 10^ROW(INDIRECT("1:"&amp;LEN((LEFT(A299,SUM(LEN(A299)-LEN(SUBSTITUTE(A299,{"0","1","2"},""))))))))/10))*1+1&amp;""&amp;" &amp; "&amp;""&amp;(SUMPRODUCT(MID(0&amp;(--TRIM(RIGHT(SUBSTITUTE(LEFT(A299,_xlfn.AGGREGATE(16,6,FIND({0,1,2,3,4,5,6,7,8,9},A299,ROW(INDIRECT("1:"&amp;LEN(A299)))),1))," ",REPT(" ",LEN(A299))),LEN(A299)))), LARGE(INDEX(ISNUMBER(--MID((--TRIM(RIGHT(SUBSTITUTE(LEFT(A299,_xlfn.AGGREGATE(16,6,FIND({0,1,2,3,4,5,6,7,8,9},A299,ROW(INDIRECT("1:"&amp;LEN(A299)))),1))," ",REPT(" ",LEN(A299))),LEN(A299)))), ROW(INDIRECT("1:"&amp;LEN((--TRIM(RIGHT(SUBSTITUTE(LEFT(A299,_xlfn.AGGREGATE(16,6,FIND({0,1,2,3,4,5,6,7,8,9},A299,ROW(INDIRECT("1:"&amp;LEN(A299)))),1))," ",REPT(" ",LEN(A299))),LEN(A299))))))), 1)) * ROW(INDIRECT("1:"&amp;LEN((--TRIM(RIGHT(SUBSTITUTE(LEFT(A299,_xlfn.AGGREGATE(16,6,FIND({0,1,2,3,4,5,6,7,8,9},A299,ROW(INDIRECT("1:"&amp;LEN(A299)))),1))," ",REPT(" ",LEN(A299))),LEN(A299))))))), 0), ROW(INDIRECT("1:"&amp;LEN((--TRIM(RIGHT(SUBSTITUTE(LEFT(A299,_xlfn.AGGREGATE(16,6,FIND({0,1,2,3,4,5,6,7,8,9},A299,ROW(INDIRECT("1:"&amp;LEN(A299)))),1))," ",REPT(" ",LEN(A299))),LEN(A299))))))))+1, 1) * 10^ROW(INDIRECT("1:"&amp;LEN((--TRIM(RIGHT(SUBSTITUTE(LEFT(A299,_xlfn.AGGREGATE(16,6,FIND({0,1,2,3,4,5,6,7,8,9},A299,ROW(INDIRECT("1:"&amp;LEN(A299)))),1))," ",REPT(" ",LEN(A299))),LEN(A299)))))))/10))*1+1</f>
        <v>202 &amp; 502</v>
      </c>
      <c r="B300" s="65"/>
      <c r="C300" s="43"/>
      <c r="D300" s="52"/>
      <c r="E300" s="52">
        <v>0</v>
      </c>
      <c r="F300" s="52">
        <f>D300*(($F$150)+1)+(IF(E300&lt;101,E300,IF(E300&lt;201,E300/2,IF(E300&lt;=301,E300/3,E300/4))))</f>
        <v>0</v>
      </c>
      <c r="G300" s="64" t="str">
        <f t="shared" ref="G300:G303" si="50">G299</f>
        <v>2nd &amp; 5th Floor</v>
      </c>
      <c r="H300" s="65"/>
      <c r="I300" s="34"/>
    </row>
    <row r="301" spans="1:9" s="35" customFormat="1" hidden="1" x14ac:dyDescent="0.3">
      <c r="A301" s="64" t="str">
        <f ca="1">(SUMPRODUCT(MID(0&amp;(LEFT(A300,SUM(LEN(A300)-LEN(SUBSTITUTE(A300,{"0","1","2"},""))))), LARGE(INDEX(ISNUMBER(--MID((LEFT(A300,SUM(LEN(A300)-LEN(SUBSTITUTE(A300,{"0","1","2"},""))))), ROW(INDIRECT("1:"&amp;LEN((LEFT(A300,SUM(LEN(A300)-LEN(SUBSTITUTE(A300,{"0","1","2"},"")))))))), 1)) * ROW(INDIRECT("1:"&amp;LEN((LEFT(A300,SUM(LEN(A300)-LEN(SUBSTITUTE(A300,{"0","1","2"},"")))))))), 0), ROW(INDIRECT("1:"&amp;LEN((LEFT(A300,SUM(LEN(A300)-LEN(SUBSTITUTE(A300,{"0","1","2"},"")))))))))+1, 1) * 10^ROW(INDIRECT("1:"&amp;LEN((LEFT(A300,SUM(LEN(A300)-LEN(SUBSTITUTE(A300,{"0","1","2"},""))))))))/10))*1+1&amp;""&amp;" &amp; "&amp;""&amp;(SUMPRODUCT(MID(0&amp;(--TRIM(RIGHT(SUBSTITUTE(LEFT(A300,_xlfn.AGGREGATE(16,6,FIND({0,1,2,3,4,5,6,7,8,9},A300,ROW(INDIRECT("1:"&amp;LEN(A300)))),1))," ",REPT(" ",LEN(A300))),LEN(A300)))), LARGE(INDEX(ISNUMBER(--MID((--TRIM(RIGHT(SUBSTITUTE(LEFT(A300,_xlfn.AGGREGATE(16,6,FIND({0,1,2,3,4,5,6,7,8,9},A300,ROW(INDIRECT("1:"&amp;LEN(A300)))),1))," ",REPT(" ",LEN(A300))),LEN(A300)))), ROW(INDIRECT("1:"&amp;LEN((--TRIM(RIGHT(SUBSTITUTE(LEFT(A300,_xlfn.AGGREGATE(16,6,FIND({0,1,2,3,4,5,6,7,8,9},A300,ROW(INDIRECT("1:"&amp;LEN(A300)))),1))," ",REPT(" ",LEN(A300))),LEN(A300))))))), 1)) * ROW(INDIRECT("1:"&amp;LEN((--TRIM(RIGHT(SUBSTITUTE(LEFT(A300,_xlfn.AGGREGATE(16,6,FIND({0,1,2,3,4,5,6,7,8,9},A300,ROW(INDIRECT("1:"&amp;LEN(A300)))),1))," ",REPT(" ",LEN(A300))),LEN(A300))))))), 0), ROW(INDIRECT("1:"&amp;LEN((--TRIM(RIGHT(SUBSTITUTE(LEFT(A300,_xlfn.AGGREGATE(16,6,FIND({0,1,2,3,4,5,6,7,8,9},A300,ROW(INDIRECT("1:"&amp;LEN(A300)))),1))," ",REPT(" ",LEN(A300))),LEN(A300))))))))+1, 1) * 10^ROW(INDIRECT("1:"&amp;LEN((--TRIM(RIGHT(SUBSTITUTE(LEFT(A300,_xlfn.AGGREGATE(16,6,FIND({0,1,2,3,4,5,6,7,8,9},A300,ROW(INDIRECT("1:"&amp;LEN(A300)))),1))," ",REPT(" ",LEN(A300))),LEN(A300)))))))/10))*1+1</f>
        <v>203 &amp; 503</v>
      </c>
      <c r="B301" s="65"/>
      <c r="C301" s="43"/>
      <c r="D301" s="52"/>
      <c r="E301" s="52">
        <v>0</v>
      </c>
      <c r="F301" s="52">
        <f>D301*(($F$150)+1)+(IF(E301&lt;101,E301,IF(E301&lt;201,E301/2,IF(E301&lt;=301,E301/3,E301/4))))</f>
        <v>0</v>
      </c>
      <c r="G301" s="64" t="str">
        <f t="shared" si="50"/>
        <v>2nd &amp; 5th Floor</v>
      </c>
      <c r="H301" s="65"/>
      <c r="I301" s="34"/>
    </row>
    <row r="302" spans="1:9" s="35" customFormat="1" hidden="1" x14ac:dyDescent="0.3">
      <c r="A302" s="64" t="str">
        <f ca="1">(SUMPRODUCT(MID(0&amp;(LEFT(A301,SUM(LEN(A301)-LEN(SUBSTITUTE(A301,{"0","1","2"},""))))), LARGE(INDEX(ISNUMBER(--MID((LEFT(A301,SUM(LEN(A301)-LEN(SUBSTITUTE(A301,{"0","1","2"},""))))), ROW(INDIRECT("1:"&amp;LEN((LEFT(A301,SUM(LEN(A301)-LEN(SUBSTITUTE(A301,{"0","1","2"},"")))))))), 1)) * ROW(INDIRECT("1:"&amp;LEN((LEFT(A301,SUM(LEN(A301)-LEN(SUBSTITUTE(A301,{"0","1","2"},"")))))))), 0), ROW(INDIRECT("1:"&amp;LEN((LEFT(A301,SUM(LEN(A301)-LEN(SUBSTITUTE(A301,{"0","1","2"},"")))))))))+1, 1) * 10^ROW(INDIRECT("1:"&amp;LEN((LEFT(A301,SUM(LEN(A301)-LEN(SUBSTITUTE(A301,{"0","1","2"},""))))))))/10))*1+1&amp;""&amp;" &amp; "&amp;""&amp;(SUMPRODUCT(MID(0&amp;(--TRIM(RIGHT(SUBSTITUTE(LEFT(A301,_xlfn.AGGREGATE(16,6,FIND({0,1,2,3,4,5,6,7,8,9},A301,ROW(INDIRECT("1:"&amp;LEN(A301)))),1))," ",REPT(" ",LEN(A301))),LEN(A301)))), LARGE(INDEX(ISNUMBER(--MID((--TRIM(RIGHT(SUBSTITUTE(LEFT(A301,_xlfn.AGGREGATE(16,6,FIND({0,1,2,3,4,5,6,7,8,9},A301,ROW(INDIRECT("1:"&amp;LEN(A301)))),1))," ",REPT(" ",LEN(A301))),LEN(A301)))), ROW(INDIRECT("1:"&amp;LEN((--TRIM(RIGHT(SUBSTITUTE(LEFT(A301,_xlfn.AGGREGATE(16,6,FIND({0,1,2,3,4,5,6,7,8,9},A301,ROW(INDIRECT("1:"&amp;LEN(A301)))),1))," ",REPT(" ",LEN(A301))),LEN(A301))))))), 1)) * ROW(INDIRECT("1:"&amp;LEN((--TRIM(RIGHT(SUBSTITUTE(LEFT(A301,_xlfn.AGGREGATE(16,6,FIND({0,1,2,3,4,5,6,7,8,9},A301,ROW(INDIRECT("1:"&amp;LEN(A301)))),1))," ",REPT(" ",LEN(A301))),LEN(A301))))))), 0), ROW(INDIRECT("1:"&amp;LEN((--TRIM(RIGHT(SUBSTITUTE(LEFT(A301,_xlfn.AGGREGATE(16,6,FIND({0,1,2,3,4,5,6,7,8,9},A301,ROW(INDIRECT("1:"&amp;LEN(A301)))),1))," ",REPT(" ",LEN(A301))),LEN(A301))))))))+1, 1) * 10^ROW(INDIRECT("1:"&amp;LEN((--TRIM(RIGHT(SUBSTITUTE(LEFT(A301,_xlfn.AGGREGATE(16,6,FIND({0,1,2,3,4,5,6,7,8,9},A301,ROW(INDIRECT("1:"&amp;LEN(A301)))),1))," ",REPT(" ",LEN(A301))),LEN(A301)))))))/10))*1+1</f>
        <v>204 &amp; 504</v>
      </c>
      <c r="B302" s="65"/>
      <c r="C302" s="43"/>
      <c r="D302" s="52"/>
      <c r="E302" s="52">
        <v>0</v>
      </c>
      <c r="F302" s="52">
        <f>D302*(($F$150)+1)+(IF(E302&lt;101,E302,IF(E302&lt;201,E302/2,IF(E302&lt;=301,E302/3,E302/4))))</f>
        <v>0</v>
      </c>
      <c r="G302" s="64" t="str">
        <f t="shared" si="50"/>
        <v>2nd &amp; 5th Floor</v>
      </c>
      <c r="H302" s="65"/>
      <c r="I302" s="34"/>
    </row>
    <row r="303" spans="1:9" s="35" customFormat="1" hidden="1" x14ac:dyDescent="0.3">
      <c r="A303" s="64" t="str">
        <f ca="1">(SUMPRODUCT(MID(0&amp;(LEFT(A302,SUM(LEN(A302)-LEN(SUBSTITUTE(A302,{"0","1","2"},""))))), LARGE(INDEX(ISNUMBER(--MID((LEFT(A302,SUM(LEN(A302)-LEN(SUBSTITUTE(A302,{"0","1","2"},""))))), ROW(INDIRECT("1:"&amp;LEN((LEFT(A302,SUM(LEN(A302)-LEN(SUBSTITUTE(A302,{"0","1","2"},"")))))))), 1)) * ROW(INDIRECT("1:"&amp;LEN((LEFT(A302,SUM(LEN(A302)-LEN(SUBSTITUTE(A302,{"0","1","2"},"")))))))), 0), ROW(INDIRECT("1:"&amp;LEN((LEFT(A302,SUM(LEN(A302)-LEN(SUBSTITUTE(A302,{"0","1","2"},"")))))))))+1, 1) * 10^ROW(INDIRECT("1:"&amp;LEN((LEFT(A302,SUM(LEN(A302)-LEN(SUBSTITUTE(A302,{"0","1","2"},""))))))))/10))*1+1&amp;""&amp;" &amp; "&amp;""&amp;(SUMPRODUCT(MID(0&amp;(--TRIM(RIGHT(SUBSTITUTE(LEFT(A302,_xlfn.AGGREGATE(16,6,FIND({0,1,2,3,4,5,6,7,8,9},A302,ROW(INDIRECT("1:"&amp;LEN(A302)))),1))," ",REPT(" ",LEN(A302))),LEN(A302)))), LARGE(INDEX(ISNUMBER(--MID((--TRIM(RIGHT(SUBSTITUTE(LEFT(A302,_xlfn.AGGREGATE(16,6,FIND({0,1,2,3,4,5,6,7,8,9},A302,ROW(INDIRECT("1:"&amp;LEN(A302)))),1))," ",REPT(" ",LEN(A302))),LEN(A302)))), ROW(INDIRECT("1:"&amp;LEN((--TRIM(RIGHT(SUBSTITUTE(LEFT(A302,_xlfn.AGGREGATE(16,6,FIND({0,1,2,3,4,5,6,7,8,9},A302,ROW(INDIRECT("1:"&amp;LEN(A302)))),1))," ",REPT(" ",LEN(A302))),LEN(A302))))))), 1)) * ROW(INDIRECT("1:"&amp;LEN((--TRIM(RIGHT(SUBSTITUTE(LEFT(A302,_xlfn.AGGREGATE(16,6,FIND({0,1,2,3,4,5,6,7,8,9},A302,ROW(INDIRECT("1:"&amp;LEN(A302)))),1))," ",REPT(" ",LEN(A302))),LEN(A302))))))), 0), ROW(INDIRECT("1:"&amp;LEN((--TRIM(RIGHT(SUBSTITUTE(LEFT(A302,_xlfn.AGGREGATE(16,6,FIND({0,1,2,3,4,5,6,7,8,9},A302,ROW(INDIRECT("1:"&amp;LEN(A302)))),1))," ",REPT(" ",LEN(A302))),LEN(A302))))))))+1, 1) * 10^ROW(INDIRECT("1:"&amp;LEN((--TRIM(RIGHT(SUBSTITUTE(LEFT(A302,_xlfn.AGGREGATE(16,6,FIND({0,1,2,3,4,5,6,7,8,9},A302,ROW(INDIRECT("1:"&amp;LEN(A302)))),1))," ",REPT(" ",LEN(A302))),LEN(A302)))))))/10))*1+1</f>
        <v>205 &amp; 505</v>
      </c>
      <c r="B303" s="65"/>
      <c r="C303" s="43"/>
      <c r="D303" s="52"/>
      <c r="E303" s="52">
        <v>0</v>
      </c>
      <c r="F303" s="52">
        <f>D303*(($F$150)+1)+(IF(E303&lt;101,E303,IF(E303&lt;201,E303/2,IF(E303&lt;=301,E303/3,E303/4))))</f>
        <v>0</v>
      </c>
      <c r="G303" s="64" t="str">
        <f t="shared" si="50"/>
        <v>2nd &amp; 5th Floor</v>
      </c>
      <c r="H303" s="65"/>
      <c r="I303" s="34"/>
    </row>
    <row r="304" spans="1:9" s="33" customFormat="1" x14ac:dyDescent="0.3">
      <c r="A304" s="154" t="s">
        <v>69</v>
      </c>
      <c r="B304" s="154"/>
      <c r="C304" s="154"/>
      <c r="D304" s="154"/>
      <c r="E304" s="154"/>
      <c r="F304" s="154"/>
      <c r="G304" s="154"/>
      <c r="H304" s="154"/>
    </row>
    <row r="305" spans="1:8" s="33" customFormat="1" ht="16.5" customHeight="1" x14ac:dyDescent="0.3">
      <c r="A305" s="49" t="s">
        <v>160</v>
      </c>
      <c r="B305" s="143" t="s">
        <v>247</v>
      </c>
      <c r="C305" s="144"/>
      <c r="D305" s="144"/>
      <c r="E305" s="144"/>
      <c r="F305" s="144"/>
      <c r="G305" s="144"/>
      <c r="H305" s="145"/>
    </row>
    <row r="306" spans="1:8" s="33" customFormat="1" x14ac:dyDescent="0.3">
      <c r="A306" s="49" t="s">
        <v>160</v>
      </c>
      <c r="B306" s="143" t="str">
        <f>(IF(F149="Saleable area Loading :","We have considered Saleable area of Flats as per our Calculation.","We considered Saleable area of Flat as per Builder area Sheet."))</f>
        <v>We have considered Saleable area of Flats as per our Calculation.</v>
      </c>
      <c r="C306" s="144"/>
      <c r="D306" s="144"/>
      <c r="E306" s="144"/>
      <c r="F306" s="144"/>
      <c r="G306" s="144"/>
      <c r="H306" s="145"/>
    </row>
    <row r="307" spans="1:8" s="33" customFormat="1" x14ac:dyDescent="0.3">
      <c r="A307" s="49" t="s">
        <v>160</v>
      </c>
      <c r="B307" s="143" t="str">
        <f>(IF(F112="Saleable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07" s="144"/>
      <c r="D307" s="144"/>
      <c r="E307" s="144"/>
      <c r="F307" s="144"/>
      <c r="G307" s="144"/>
      <c r="H307" s="145"/>
    </row>
    <row r="308" spans="1:8" s="33" customFormat="1" x14ac:dyDescent="0.3">
      <c r="A308" s="44" t="s">
        <v>160</v>
      </c>
      <c r="B308" s="60" t="s">
        <v>127</v>
      </c>
      <c r="C308" s="61"/>
      <c r="D308" s="61"/>
      <c r="E308" s="61"/>
      <c r="F308" s="61"/>
      <c r="G308" s="61"/>
      <c r="H308" s="62"/>
    </row>
    <row r="309" spans="1:8" s="33" customFormat="1" x14ac:dyDescent="0.3">
      <c r="A309" s="44" t="s">
        <v>160</v>
      </c>
      <c r="B309" s="60" t="s">
        <v>243</v>
      </c>
      <c r="C309" s="61"/>
      <c r="D309" s="61"/>
      <c r="E309" s="61"/>
      <c r="F309" s="61"/>
      <c r="G309" s="61"/>
      <c r="H309" s="62"/>
    </row>
    <row r="310" spans="1:8" s="33" customFormat="1" x14ac:dyDescent="0.3">
      <c r="A310" s="44" t="s">
        <v>160</v>
      </c>
      <c r="B310" s="60" t="s">
        <v>159</v>
      </c>
      <c r="C310" s="61"/>
      <c r="D310" s="61"/>
      <c r="E310" s="61"/>
      <c r="F310" s="61"/>
      <c r="G310" s="61"/>
      <c r="H310" s="62"/>
    </row>
    <row r="311" spans="1:8" s="33" customFormat="1" x14ac:dyDescent="0.3">
      <c r="A311" s="44" t="s">
        <v>160</v>
      </c>
      <c r="B311" s="60" t="s">
        <v>128</v>
      </c>
      <c r="C311" s="61"/>
      <c r="D311" s="61"/>
      <c r="E311" s="61"/>
      <c r="F311" s="61"/>
      <c r="G311" s="61"/>
      <c r="H311" s="62"/>
    </row>
    <row r="312" spans="1:8" s="33" customFormat="1" ht="31.5" customHeight="1" x14ac:dyDescent="0.3">
      <c r="A312" s="44" t="s">
        <v>160</v>
      </c>
      <c r="B312" s="60" t="s">
        <v>161</v>
      </c>
      <c r="C312" s="61"/>
      <c r="D312" s="61"/>
      <c r="E312" s="61"/>
      <c r="F312" s="61"/>
      <c r="G312" s="61"/>
      <c r="H312" s="62"/>
    </row>
    <row r="313" spans="1:8" s="33" customFormat="1" x14ac:dyDescent="0.3">
      <c r="A313" s="44" t="s">
        <v>160</v>
      </c>
      <c r="B313" s="60" t="s">
        <v>129</v>
      </c>
      <c r="C313" s="61"/>
      <c r="D313" s="61"/>
      <c r="E313" s="61"/>
      <c r="F313" s="61"/>
      <c r="G313" s="61"/>
      <c r="H313" s="62"/>
    </row>
    <row r="314" spans="1:8" s="33" customFormat="1" ht="32.25" customHeight="1" x14ac:dyDescent="0.3">
      <c r="A314" s="44" t="s">
        <v>160</v>
      </c>
      <c r="B314" s="60" t="s">
        <v>245</v>
      </c>
      <c r="C314" s="61"/>
      <c r="D314" s="61"/>
      <c r="E314" s="61"/>
      <c r="F314" s="61"/>
      <c r="G314" s="61"/>
      <c r="H314" s="62"/>
    </row>
    <row r="315" spans="1:8" s="33" customFormat="1" ht="32.25" hidden="1" customHeight="1" x14ac:dyDescent="0.3">
      <c r="A315" s="44" t="s">
        <v>160</v>
      </c>
      <c r="B315" s="60" t="s">
        <v>244</v>
      </c>
      <c r="C315" s="61"/>
      <c r="D315" s="61"/>
      <c r="E315" s="61"/>
      <c r="F315" s="61"/>
      <c r="G315" s="61"/>
      <c r="H315" s="62"/>
    </row>
    <row r="316" spans="1:8" s="33" customFormat="1" x14ac:dyDescent="0.3">
      <c r="A316" s="44" t="s">
        <v>160</v>
      </c>
      <c r="B316" s="60" t="s">
        <v>251</v>
      </c>
      <c r="C316" s="61"/>
      <c r="D316" s="61"/>
      <c r="E316" s="61"/>
      <c r="F316" s="61"/>
      <c r="G316" s="61"/>
      <c r="H316" s="62"/>
    </row>
    <row r="317" spans="1:8" s="33" customFormat="1" x14ac:dyDescent="0.3">
      <c r="A317" s="44" t="s">
        <v>160</v>
      </c>
      <c r="B317" s="60" t="s">
        <v>252</v>
      </c>
      <c r="C317" s="61"/>
      <c r="D317" s="61"/>
      <c r="E317" s="61"/>
      <c r="F317" s="61"/>
      <c r="G317" s="61"/>
      <c r="H317" s="62"/>
    </row>
    <row r="318" spans="1:8" s="33" customFormat="1" ht="97.2" customHeight="1" x14ac:dyDescent="0.3">
      <c r="A318" s="44" t="s">
        <v>160</v>
      </c>
      <c r="B318" s="60" t="s">
        <v>256</v>
      </c>
      <c r="C318" s="61"/>
      <c r="D318" s="61"/>
      <c r="E318" s="61"/>
      <c r="F318" s="61"/>
      <c r="G318" s="61"/>
      <c r="H318" s="62"/>
    </row>
    <row r="319" spans="1:8" s="33" customFormat="1" ht="34.799999999999997" customHeight="1" x14ac:dyDescent="0.3">
      <c r="A319" s="44" t="s">
        <v>160</v>
      </c>
      <c r="B319" s="60" t="s">
        <v>257</v>
      </c>
      <c r="C319" s="61"/>
      <c r="D319" s="61"/>
      <c r="E319" s="61"/>
      <c r="F319" s="61"/>
      <c r="G319" s="61"/>
      <c r="H319" s="62"/>
    </row>
    <row r="320" spans="1:8" s="33" customFormat="1" x14ac:dyDescent="0.3">
      <c r="A320" s="44" t="s">
        <v>160</v>
      </c>
      <c r="B320" s="60" t="s">
        <v>253</v>
      </c>
      <c r="C320" s="61"/>
      <c r="D320" s="61"/>
      <c r="E320" s="61"/>
      <c r="F320" s="61"/>
      <c r="G320" s="61"/>
      <c r="H320" s="62"/>
    </row>
    <row r="321" spans="1:8" x14ac:dyDescent="0.3">
      <c r="A321" s="117" t="s">
        <v>62</v>
      </c>
      <c r="B321" s="117"/>
      <c r="C321" s="117"/>
      <c r="D321" s="117"/>
      <c r="E321" s="117"/>
      <c r="F321" s="117"/>
      <c r="G321" s="117"/>
      <c r="H321" s="117"/>
    </row>
    <row r="322" spans="1:8" x14ac:dyDescent="0.3">
      <c r="A322" s="88" t="s">
        <v>63</v>
      </c>
      <c r="B322" s="88"/>
      <c r="C322" s="88"/>
      <c r="D322" s="88"/>
      <c r="E322" s="88"/>
      <c r="F322" s="88"/>
      <c r="G322" s="88"/>
      <c r="H322" s="88"/>
    </row>
    <row r="323" spans="1:8" ht="15.75" customHeight="1" x14ac:dyDescent="0.3">
      <c r="A323" s="89" t="s">
        <v>64</v>
      </c>
      <c r="B323" s="89"/>
      <c r="C323" s="89"/>
      <c r="D323" s="89"/>
      <c r="E323" s="89"/>
      <c r="F323" s="89"/>
      <c r="G323" s="89"/>
      <c r="H323" s="89"/>
    </row>
    <row r="324" spans="1:8" x14ac:dyDescent="0.3">
      <c r="A324" s="88" t="s">
        <v>65</v>
      </c>
      <c r="B324" s="88"/>
      <c r="C324" s="88"/>
      <c r="D324" s="88"/>
      <c r="E324" s="88"/>
      <c r="F324" s="88"/>
      <c r="G324" s="88"/>
      <c r="H324" s="88"/>
    </row>
    <row r="325" spans="1:8" x14ac:dyDescent="0.3">
      <c r="A325" s="88" t="s">
        <v>66</v>
      </c>
      <c r="B325" s="88"/>
      <c r="C325" s="88"/>
      <c r="D325" s="88"/>
      <c r="E325" s="88"/>
      <c r="F325" s="88"/>
      <c r="G325" s="88"/>
      <c r="H325" s="88"/>
    </row>
    <row r="326" spans="1:8" x14ac:dyDescent="0.3">
      <c r="A326" s="88" t="s">
        <v>130</v>
      </c>
      <c r="B326" s="88"/>
      <c r="C326" s="88"/>
      <c r="D326" s="88"/>
      <c r="E326" s="88"/>
      <c r="F326" s="88"/>
      <c r="G326" s="88"/>
      <c r="H326" s="88"/>
    </row>
    <row r="327" spans="1:8" ht="32.4" customHeight="1" x14ac:dyDescent="0.3">
      <c r="A327" s="118" t="s">
        <v>131</v>
      </c>
      <c r="B327" s="118"/>
      <c r="C327" s="118"/>
      <c r="D327" s="118"/>
      <c r="E327" s="118"/>
      <c r="F327" s="118"/>
      <c r="G327" s="118"/>
      <c r="H327" s="118"/>
    </row>
    <row r="328" spans="1:8" x14ac:dyDescent="0.3">
      <c r="A328" s="149" t="s">
        <v>78</v>
      </c>
      <c r="B328" s="149"/>
      <c r="C328" s="149" t="s">
        <v>246</v>
      </c>
      <c r="D328" s="149"/>
      <c r="E328" s="149" t="s">
        <v>107</v>
      </c>
      <c r="F328" s="149"/>
      <c r="G328" s="149" t="s">
        <v>254</v>
      </c>
      <c r="H328" s="149"/>
    </row>
    <row r="329" spans="1:8" x14ac:dyDescent="0.3">
      <c r="A329" s="148" t="s">
        <v>80</v>
      </c>
      <c r="B329" s="148"/>
      <c r="C329" s="148"/>
      <c r="D329" s="148"/>
      <c r="E329" s="148"/>
      <c r="F329" s="148"/>
      <c r="G329" s="148"/>
      <c r="H329" s="148"/>
    </row>
    <row r="330" spans="1:8" x14ac:dyDescent="0.3">
      <c r="A330" s="148"/>
      <c r="B330" s="148"/>
      <c r="C330" s="148"/>
      <c r="D330" s="148"/>
      <c r="E330" s="148"/>
      <c r="F330" s="148"/>
      <c r="G330" s="148"/>
      <c r="H330" s="148"/>
    </row>
    <row r="331" spans="1:8" x14ac:dyDescent="0.3">
      <c r="A331" s="148"/>
      <c r="B331" s="148"/>
      <c r="C331" s="148"/>
      <c r="D331" s="148"/>
      <c r="E331" s="148"/>
      <c r="F331" s="148"/>
      <c r="G331" s="148"/>
      <c r="H331" s="148"/>
    </row>
    <row r="332" spans="1:8" x14ac:dyDescent="0.3">
      <c r="A332" s="148"/>
      <c r="B332" s="148"/>
      <c r="C332" s="148"/>
      <c r="D332" s="148"/>
      <c r="E332" s="148"/>
      <c r="F332" s="148"/>
      <c r="G332" s="148"/>
      <c r="H332" s="148"/>
    </row>
    <row r="333" spans="1:8" x14ac:dyDescent="0.3">
      <c r="A333" s="36" t="s">
        <v>67</v>
      </c>
      <c r="B333" s="37"/>
      <c r="C333" s="37"/>
      <c r="D333" s="36" t="str">
        <f>E8</f>
        <v>Ananda Park</v>
      </c>
      <c r="F333" s="37"/>
      <c r="G333" s="37"/>
      <c r="H333" s="37"/>
    </row>
    <row r="334" spans="1:8" x14ac:dyDescent="0.3">
      <c r="A334" s="37"/>
      <c r="B334" s="37"/>
      <c r="C334" s="37"/>
      <c r="D334" s="37"/>
      <c r="E334" s="37"/>
      <c r="F334" s="37"/>
      <c r="G334" s="37"/>
      <c r="H334" s="37"/>
    </row>
    <row r="335" spans="1:8" x14ac:dyDescent="0.3">
      <c r="A335" s="37"/>
      <c r="B335" s="37"/>
      <c r="C335" s="37"/>
      <c r="D335" s="37"/>
      <c r="E335" s="37"/>
      <c r="F335" s="37"/>
      <c r="G335" s="37"/>
      <c r="H335" s="37"/>
    </row>
    <row r="336" spans="1:8" ht="15" customHeight="1" x14ac:dyDescent="0.3"/>
    <row r="377" spans="1:1" x14ac:dyDescent="0.3">
      <c r="A377" s="39" t="s">
        <v>255</v>
      </c>
    </row>
    <row r="423" spans="1:1" x14ac:dyDescent="0.3">
      <c r="A423" s="39" t="s">
        <v>68</v>
      </c>
    </row>
  </sheetData>
  <mergeCells count="610">
    <mergeCell ref="A273:B273"/>
    <mergeCell ref="C39:H39"/>
    <mergeCell ref="A114:H114"/>
    <mergeCell ref="B316:H316"/>
    <mergeCell ref="A87:E87"/>
    <mergeCell ref="A84:E84"/>
    <mergeCell ref="A18:B18"/>
    <mergeCell ref="C18:H18"/>
    <mergeCell ref="A40:B40"/>
    <mergeCell ref="C40:H40"/>
    <mergeCell ref="B312:H312"/>
    <mergeCell ref="A49:B49"/>
    <mergeCell ref="C49:H49"/>
    <mergeCell ref="B310:H310"/>
    <mergeCell ref="F86:H86"/>
    <mergeCell ref="A86:E86"/>
    <mergeCell ref="G288:H288"/>
    <mergeCell ref="G284:H284"/>
    <mergeCell ref="G281:H281"/>
    <mergeCell ref="D112:D113"/>
    <mergeCell ref="A88:E88"/>
    <mergeCell ref="G289:H289"/>
    <mergeCell ref="A263:B263"/>
    <mergeCell ref="A191:B191"/>
    <mergeCell ref="G211:H212"/>
    <mergeCell ref="G207:H209"/>
    <mergeCell ref="A100:A101"/>
    <mergeCell ref="F87:H87"/>
    <mergeCell ref="A92:E92"/>
    <mergeCell ref="A89:E89"/>
    <mergeCell ref="F88:H88"/>
    <mergeCell ref="G287:H287"/>
    <mergeCell ref="A95:E95"/>
    <mergeCell ref="C101:D101"/>
    <mergeCell ref="E101:F101"/>
    <mergeCell ref="G101:H101"/>
    <mergeCell ref="C106:D106"/>
    <mergeCell ref="E106:F106"/>
    <mergeCell ref="G106:H106"/>
    <mergeCell ref="C104:D104"/>
    <mergeCell ref="G104:H104"/>
    <mergeCell ref="C112:C113"/>
    <mergeCell ref="B149:B150"/>
    <mergeCell ref="A182:B182"/>
    <mergeCell ref="A177:H177"/>
    <mergeCell ref="A178:B178"/>
    <mergeCell ref="A241:B241"/>
    <mergeCell ref="G170:H171"/>
    <mergeCell ref="G173:H176"/>
    <mergeCell ref="G165:H168"/>
    <mergeCell ref="G293:H293"/>
    <mergeCell ref="A291:B291"/>
    <mergeCell ref="A296:B296"/>
    <mergeCell ref="A297:B297"/>
    <mergeCell ref="A90:E90"/>
    <mergeCell ref="F90:H90"/>
    <mergeCell ref="A91:E91"/>
    <mergeCell ref="A93:E93"/>
    <mergeCell ref="A290:B290"/>
    <mergeCell ref="A287:B287"/>
    <mergeCell ref="G279:H279"/>
    <mergeCell ref="A276:B276"/>
    <mergeCell ref="A186:H186"/>
    <mergeCell ref="A286:H286"/>
    <mergeCell ref="B112:B113"/>
    <mergeCell ref="A112:A113"/>
    <mergeCell ref="C149:C150"/>
    <mergeCell ref="C108:D108"/>
    <mergeCell ref="A172:H172"/>
    <mergeCell ref="A173:B173"/>
    <mergeCell ref="A109:B109"/>
    <mergeCell ref="C109:D109"/>
    <mergeCell ref="E109:F109"/>
    <mergeCell ref="G109:H109"/>
    <mergeCell ref="G290:H290"/>
    <mergeCell ref="L279:M279"/>
    <mergeCell ref="G276:H276"/>
    <mergeCell ref="L276:M276"/>
    <mergeCell ref="A277:B277"/>
    <mergeCell ref="G277:H277"/>
    <mergeCell ref="L277:M277"/>
    <mergeCell ref="A278:B278"/>
    <mergeCell ref="G278:H278"/>
    <mergeCell ref="L278:M278"/>
    <mergeCell ref="L120:M120"/>
    <mergeCell ref="L119:M119"/>
    <mergeCell ref="L118:M118"/>
    <mergeCell ref="L117:M117"/>
    <mergeCell ref="A81:B81"/>
    <mergeCell ref="C105:D105"/>
    <mergeCell ref="E105:F105"/>
    <mergeCell ref="G105:H105"/>
    <mergeCell ref="F91:H91"/>
    <mergeCell ref="A85:E85"/>
    <mergeCell ref="A116:H116"/>
    <mergeCell ref="E112:E113"/>
    <mergeCell ref="G112:H113"/>
    <mergeCell ref="F84:H84"/>
    <mergeCell ref="F89:H89"/>
    <mergeCell ref="E99:F99"/>
    <mergeCell ref="A99:B99"/>
    <mergeCell ref="F92:H92"/>
    <mergeCell ref="C99:D99"/>
    <mergeCell ref="F95:H95"/>
    <mergeCell ref="F93:H93"/>
    <mergeCell ref="G99:H99"/>
    <mergeCell ref="A94:E94"/>
    <mergeCell ref="C100:D100"/>
    <mergeCell ref="A83:B83"/>
    <mergeCell ref="D64:H64"/>
    <mergeCell ref="A44:D44"/>
    <mergeCell ref="E44:H44"/>
    <mergeCell ref="E45:H45"/>
    <mergeCell ref="E46:H46"/>
    <mergeCell ref="E47:H47"/>
    <mergeCell ref="A45:D45"/>
    <mergeCell ref="A80:B80"/>
    <mergeCell ref="A73:B73"/>
    <mergeCell ref="A76:B76"/>
    <mergeCell ref="A72:B72"/>
    <mergeCell ref="A70:B70"/>
    <mergeCell ref="C70:H70"/>
    <mergeCell ref="A78:B78"/>
    <mergeCell ref="A65:C65"/>
    <mergeCell ref="D65:H65"/>
    <mergeCell ref="C72:H72"/>
    <mergeCell ref="A75:B75"/>
    <mergeCell ref="A54:B55"/>
    <mergeCell ref="C54:E54"/>
    <mergeCell ref="G54:H54"/>
    <mergeCell ref="C55:H55"/>
    <mergeCell ref="A38:H38"/>
    <mergeCell ref="A37:B37"/>
    <mergeCell ref="C37:E37"/>
    <mergeCell ref="A42:D42"/>
    <mergeCell ref="E42:H42"/>
    <mergeCell ref="F34:H34"/>
    <mergeCell ref="F35:H35"/>
    <mergeCell ref="A41:H41"/>
    <mergeCell ref="A63:C63"/>
    <mergeCell ref="F37:H37"/>
    <mergeCell ref="A39:B39"/>
    <mergeCell ref="A46:D46"/>
    <mergeCell ref="A47:D47"/>
    <mergeCell ref="A48:H48"/>
    <mergeCell ref="D61:H61"/>
    <mergeCell ref="A61:C61"/>
    <mergeCell ref="G51:H51"/>
    <mergeCell ref="A52:B53"/>
    <mergeCell ref="G56:H56"/>
    <mergeCell ref="A56:B57"/>
    <mergeCell ref="C57:H57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23:D24"/>
    <mergeCell ref="E23:H24"/>
    <mergeCell ref="E15:H15"/>
    <mergeCell ref="A16:B16"/>
    <mergeCell ref="C16:H16"/>
    <mergeCell ref="C17:H17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13:D13"/>
    <mergeCell ref="E13:H13"/>
    <mergeCell ref="A5:D5"/>
    <mergeCell ref="E5:H5"/>
    <mergeCell ref="A6:D6"/>
    <mergeCell ref="E6:H6"/>
    <mergeCell ref="A7:D7"/>
    <mergeCell ref="E7:H7"/>
    <mergeCell ref="A17:B17"/>
    <mergeCell ref="A14:D14"/>
    <mergeCell ref="E14:H14"/>
    <mergeCell ref="A15:D15"/>
    <mergeCell ref="A9:D9"/>
    <mergeCell ref="E9:H9"/>
    <mergeCell ref="A12:D12"/>
    <mergeCell ref="E12:H12"/>
    <mergeCell ref="A1:H1"/>
    <mergeCell ref="A2:H2"/>
    <mergeCell ref="A3:D3"/>
    <mergeCell ref="E3:H3"/>
    <mergeCell ref="A4:D4"/>
    <mergeCell ref="A8:D8"/>
    <mergeCell ref="E8:H8"/>
    <mergeCell ref="A11:D11"/>
    <mergeCell ref="E11:H11"/>
    <mergeCell ref="E4:H4"/>
    <mergeCell ref="A10:D10"/>
    <mergeCell ref="E10:H10"/>
    <mergeCell ref="A329:H332"/>
    <mergeCell ref="A328:B328"/>
    <mergeCell ref="E328:F328"/>
    <mergeCell ref="C328:D328"/>
    <mergeCell ref="G328:H328"/>
    <mergeCell ref="A98:H98"/>
    <mergeCell ref="A96:E96"/>
    <mergeCell ref="F96:H96"/>
    <mergeCell ref="A97:E97"/>
    <mergeCell ref="F97:H97"/>
    <mergeCell ref="A280:H280"/>
    <mergeCell ref="A289:B289"/>
    <mergeCell ref="A324:H324"/>
    <mergeCell ref="A103:H103"/>
    <mergeCell ref="A327:H327"/>
    <mergeCell ref="A325:H325"/>
    <mergeCell ref="A102:B102"/>
    <mergeCell ref="A292:H292"/>
    <mergeCell ref="B306:H306"/>
    <mergeCell ref="B308:H308"/>
    <mergeCell ref="B309:H309"/>
    <mergeCell ref="G299:H299"/>
    <mergeCell ref="G297:H297"/>
    <mergeCell ref="A304:H304"/>
    <mergeCell ref="A322:H322"/>
    <mergeCell ref="E104:F104"/>
    <mergeCell ref="B313:H313"/>
    <mergeCell ref="B311:H311"/>
    <mergeCell ref="B307:H307"/>
    <mergeCell ref="A301:B301"/>
    <mergeCell ref="G301:H301"/>
    <mergeCell ref="G300:H300"/>
    <mergeCell ref="A298:H298"/>
    <mergeCell ref="A299:B299"/>
    <mergeCell ref="A300:B300"/>
    <mergeCell ref="A303:B303"/>
    <mergeCell ref="A110:H110"/>
    <mergeCell ref="G283:H283"/>
    <mergeCell ref="G302:H302"/>
    <mergeCell ref="B305:H305"/>
    <mergeCell ref="G294:H294"/>
    <mergeCell ref="A288:B288"/>
    <mergeCell ref="A111:H111"/>
    <mergeCell ref="G295:H295"/>
    <mergeCell ref="A164:H164"/>
    <mergeCell ref="A165:B165"/>
    <mergeCell ref="A163:B163"/>
    <mergeCell ref="A159:H159"/>
    <mergeCell ref="E100:F100"/>
    <mergeCell ref="G282:H282"/>
    <mergeCell ref="C53:H53"/>
    <mergeCell ref="A58:H58"/>
    <mergeCell ref="A59:C59"/>
    <mergeCell ref="A60:C60"/>
    <mergeCell ref="D60:H60"/>
    <mergeCell ref="C107:D107"/>
    <mergeCell ref="E107:F107"/>
    <mergeCell ref="G107:H107"/>
    <mergeCell ref="A108:B108"/>
    <mergeCell ref="G108:H108"/>
    <mergeCell ref="A77:B77"/>
    <mergeCell ref="E73:F73"/>
    <mergeCell ref="A66:C66"/>
    <mergeCell ref="D66:H66"/>
    <mergeCell ref="A69:C69"/>
    <mergeCell ref="D69:H69"/>
    <mergeCell ref="A64:C64"/>
    <mergeCell ref="D63:H63"/>
    <mergeCell ref="E74:F83"/>
    <mergeCell ref="G74:H83"/>
    <mergeCell ref="A82:B82"/>
    <mergeCell ref="A202:H202"/>
    <mergeCell ref="A321:H321"/>
    <mergeCell ref="A67:C67"/>
    <mergeCell ref="D67:H67"/>
    <mergeCell ref="A68:C68"/>
    <mergeCell ref="D68:H68"/>
    <mergeCell ref="A74:B74"/>
    <mergeCell ref="G73:H73"/>
    <mergeCell ref="A275:H275"/>
    <mergeCell ref="E108:F108"/>
    <mergeCell ref="A115:H115"/>
    <mergeCell ref="F94:H94"/>
    <mergeCell ref="A279:B279"/>
    <mergeCell ref="A213:H213"/>
    <mergeCell ref="G303:H303"/>
    <mergeCell ref="A302:B302"/>
    <mergeCell ref="A193:B193"/>
    <mergeCell ref="A208:B208"/>
    <mergeCell ref="C102:D102"/>
    <mergeCell ref="E102:F102"/>
    <mergeCell ref="G102:H102"/>
    <mergeCell ref="B105:B107"/>
    <mergeCell ref="A228:H228"/>
    <mergeCell ref="A179:B179"/>
    <mergeCell ref="A158:B158"/>
    <mergeCell ref="E43:H43"/>
    <mergeCell ref="A43:D43"/>
    <mergeCell ref="A326:H326"/>
    <mergeCell ref="A323:H323"/>
    <mergeCell ref="G296:H296"/>
    <mergeCell ref="A281:B281"/>
    <mergeCell ref="A104:B104"/>
    <mergeCell ref="D149:D150"/>
    <mergeCell ref="E149:E150"/>
    <mergeCell ref="G149:H150"/>
    <mergeCell ref="A79:B79"/>
    <mergeCell ref="F85:H85"/>
    <mergeCell ref="G100:H100"/>
    <mergeCell ref="A50:B50"/>
    <mergeCell ref="C50:E50"/>
    <mergeCell ref="G50:H50"/>
    <mergeCell ref="G52:H52"/>
    <mergeCell ref="D59:H59"/>
    <mergeCell ref="C52:E52"/>
    <mergeCell ref="A62:C62"/>
    <mergeCell ref="D62:H62"/>
    <mergeCell ref="C51:E51"/>
    <mergeCell ref="C56:E56"/>
    <mergeCell ref="A51:B51"/>
    <mergeCell ref="L125:M125"/>
    <mergeCell ref="L126:M126"/>
    <mergeCell ref="L127:M127"/>
    <mergeCell ref="L121:M121"/>
    <mergeCell ref="L122:M122"/>
    <mergeCell ref="L123:M123"/>
    <mergeCell ref="L124:M124"/>
    <mergeCell ref="L131:M131"/>
    <mergeCell ref="L132:M132"/>
    <mergeCell ref="L133:M133"/>
    <mergeCell ref="L128:M128"/>
    <mergeCell ref="L129:M129"/>
    <mergeCell ref="L130:M130"/>
    <mergeCell ref="L137:M137"/>
    <mergeCell ref="L138:M138"/>
    <mergeCell ref="L139:M139"/>
    <mergeCell ref="L134:M134"/>
    <mergeCell ref="L135:M135"/>
    <mergeCell ref="L136:M136"/>
    <mergeCell ref="A160:B160"/>
    <mergeCell ref="G160:H163"/>
    <mergeCell ref="L178:M178"/>
    <mergeCell ref="L163:M163"/>
    <mergeCell ref="L143:M143"/>
    <mergeCell ref="L144:M144"/>
    <mergeCell ref="L145:M145"/>
    <mergeCell ref="L140:M140"/>
    <mergeCell ref="L141:M141"/>
    <mergeCell ref="L142:M142"/>
    <mergeCell ref="L156:M156"/>
    <mergeCell ref="A157:B157"/>
    <mergeCell ref="L157:M157"/>
    <mergeCell ref="A148:H148"/>
    <mergeCell ref="A149:A150"/>
    <mergeCell ref="G117:H147"/>
    <mergeCell ref="L158:M158"/>
    <mergeCell ref="L146:M146"/>
    <mergeCell ref="L147:M147"/>
    <mergeCell ref="A154:H154"/>
    <mergeCell ref="A151:H151"/>
    <mergeCell ref="A155:B155"/>
    <mergeCell ref="L155:M155"/>
    <mergeCell ref="G155:H158"/>
    <mergeCell ref="A152:H152"/>
    <mergeCell ref="A153:H153"/>
    <mergeCell ref="A156:B156"/>
    <mergeCell ref="L160:M160"/>
    <mergeCell ref="A161:B161"/>
    <mergeCell ref="L161:M161"/>
    <mergeCell ref="A162:B162"/>
    <mergeCell ref="L162:M162"/>
    <mergeCell ref="A233:B233"/>
    <mergeCell ref="L233:M233"/>
    <mergeCell ref="A234:B234"/>
    <mergeCell ref="L234:M234"/>
    <mergeCell ref="A227:H227"/>
    <mergeCell ref="A230:H230"/>
    <mergeCell ref="A231:B231"/>
    <mergeCell ref="L231:M231"/>
    <mergeCell ref="A232:B232"/>
    <mergeCell ref="L232:M232"/>
    <mergeCell ref="A205:B205"/>
    <mergeCell ref="L205:M205"/>
    <mergeCell ref="L208:M208"/>
    <mergeCell ref="A209:B209"/>
    <mergeCell ref="L209:M209"/>
    <mergeCell ref="L220:M220"/>
    <mergeCell ref="A221:B221"/>
    <mergeCell ref="L221:M221"/>
    <mergeCell ref="L192:M192"/>
    <mergeCell ref="G203:H205"/>
    <mergeCell ref="A203:B203"/>
    <mergeCell ref="L203:M203"/>
    <mergeCell ref="A204:B204"/>
    <mergeCell ref="L204:M204"/>
    <mergeCell ref="A169:H169"/>
    <mergeCell ref="A170:B170"/>
    <mergeCell ref="L170:M170"/>
    <mergeCell ref="A171:B171"/>
    <mergeCell ref="L171:M171"/>
    <mergeCell ref="L183:M183"/>
    <mergeCell ref="A184:B184"/>
    <mergeCell ref="L184:M184"/>
    <mergeCell ref="A185:B185"/>
    <mergeCell ref="L185:M185"/>
    <mergeCell ref="A195:H195"/>
    <mergeCell ref="A198:H198"/>
    <mergeCell ref="A199:B199"/>
    <mergeCell ref="L199:M199"/>
    <mergeCell ref="A200:B200"/>
    <mergeCell ref="L200:M200"/>
    <mergeCell ref="A201:B201"/>
    <mergeCell ref="A196:H196"/>
    <mergeCell ref="A197:H197"/>
    <mergeCell ref="A229:H229"/>
    <mergeCell ref="L224:M224"/>
    <mergeCell ref="L244:M244"/>
    <mergeCell ref="L240:M240"/>
    <mergeCell ref="L165:M165"/>
    <mergeCell ref="A166:B166"/>
    <mergeCell ref="L166:M166"/>
    <mergeCell ref="A167:B167"/>
    <mergeCell ref="L167:M167"/>
    <mergeCell ref="A168:B168"/>
    <mergeCell ref="L168:M168"/>
    <mergeCell ref="A206:H206"/>
    <mergeCell ref="A207:B207"/>
    <mergeCell ref="L207:M207"/>
    <mergeCell ref="L173:M173"/>
    <mergeCell ref="A174:B174"/>
    <mergeCell ref="L174:M174"/>
    <mergeCell ref="A175:B175"/>
    <mergeCell ref="L175:M175"/>
    <mergeCell ref="A176:B176"/>
    <mergeCell ref="L176:M176"/>
    <mergeCell ref="L193:M193"/>
    <mergeCell ref="A194:B194"/>
    <mergeCell ref="L194:M194"/>
    <mergeCell ref="A254:B254"/>
    <mergeCell ref="L249:M249"/>
    <mergeCell ref="A250:B250"/>
    <mergeCell ref="L250:M250"/>
    <mergeCell ref="A251:B251"/>
    <mergeCell ref="L251:M251"/>
    <mergeCell ref="G249:H251"/>
    <mergeCell ref="A246:B246"/>
    <mergeCell ref="L246:M246"/>
    <mergeCell ref="A247:B247"/>
    <mergeCell ref="L247:M247"/>
    <mergeCell ref="L179:M179"/>
    <mergeCell ref="A180:B180"/>
    <mergeCell ref="L180:M180"/>
    <mergeCell ref="A181:B181"/>
    <mergeCell ref="L181:M181"/>
    <mergeCell ref="G199:H201"/>
    <mergeCell ref="G187:H194"/>
    <mergeCell ref="G178:H185"/>
    <mergeCell ref="L187:M187"/>
    <mergeCell ref="A188:B188"/>
    <mergeCell ref="L188:M188"/>
    <mergeCell ref="A189:B189"/>
    <mergeCell ref="L189:M189"/>
    <mergeCell ref="A190:B190"/>
    <mergeCell ref="L190:M190"/>
    <mergeCell ref="A187:B187"/>
    <mergeCell ref="L191:M191"/>
    <mergeCell ref="A192:B192"/>
    <mergeCell ref="L182:M182"/>
    <mergeCell ref="A183:B183"/>
    <mergeCell ref="C192:F193"/>
    <mergeCell ref="L201:M201"/>
    <mergeCell ref="C223:F224"/>
    <mergeCell ref="A222:H222"/>
    <mergeCell ref="A223:B223"/>
    <mergeCell ref="L223:M223"/>
    <mergeCell ref="G223:H226"/>
    <mergeCell ref="G218:H221"/>
    <mergeCell ref="A224:B224"/>
    <mergeCell ref="A219:B219"/>
    <mergeCell ref="L216:M216"/>
    <mergeCell ref="A217:H217"/>
    <mergeCell ref="A218:B218"/>
    <mergeCell ref="L218:M218"/>
    <mergeCell ref="A225:B225"/>
    <mergeCell ref="L225:M225"/>
    <mergeCell ref="A226:B226"/>
    <mergeCell ref="L226:M226"/>
    <mergeCell ref="L219:M219"/>
    <mergeCell ref="A220:B220"/>
    <mergeCell ref="A215:B215"/>
    <mergeCell ref="L215:M215"/>
    <mergeCell ref="A216:B216"/>
    <mergeCell ref="A210:H210"/>
    <mergeCell ref="A211:B211"/>
    <mergeCell ref="L211:M211"/>
    <mergeCell ref="A212:B212"/>
    <mergeCell ref="L212:M212"/>
    <mergeCell ref="A214:B214"/>
    <mergeCell ref="G214:H216"/>
    <mergeCell ref="L214:M214"/>
    <mergeCell ref="A257:H257"/>
    <mergeCell ref="L260:M260"/>
    <mergeCell ref="L254:M254"/>
    <mergeCell ref="A255:B255"/>
    <mergeCell ref="L255:M255"/>
    <mergeCell ref="G253:H256"/>
    <mergeCell ref="A238:B238"/>
    <mergeCell ref="A242:H242"/>
    <mergeCell ref="A267:B267"/>
    <mergeCell ref="L267:M267"/>
    <mergeCell ref="L263:M263"/>
    <mergeCell ref="A258:B258"/>
    <mergeCell ref="L258:M258"/>
    <mergeCell ref="A259:B259"/>
    <mergeCell ref="L259:M259"/>
    <mergeCell ref="A260:B260"/>
    <mergeCell ref="G237:H241"/>
    <mergeCell ref="L256:M256"/>
    <mergeCell ref="A245:B245"/>
    <mergeCell ref="L245:M245"/>
    <mergeCell ref="A240:B240"/>
    <mergeCell ref="A252:H252"/>
    <mergeCell ref="A253:B253"/>
    <mergeCell ref="L253:M253"/>
    <mergeCell ref="L238:M238"/>
    <mergeCell ref="A239:B239"/>
    <mergeCell ref="L239:M239"/>
    <mergeCell ref="A235:B235"/>
    <mergeCell ref="L235:M235"/>
    <mergeCell ref="L241:M241"/>
    <mergeCell ref="A236:H236"/>
    <mergeCell ref="A237:B237"/>
    <mergeCell ref="L237:M237"/>
    <mergeCell ref="G231:H235"/>
    <mergeCell ref="A261:B261"/>
    <mergeCell ref="G243:H247"/>
    <mergeCell ref="L261:M261"/>
    <mergeCell ref="A262:B262"/>
    <mergeCell ref="L262:M262"/>
    <mergeCell ref="L273:M273"/>
    <mergeCell ref="A274:B274"/>
    <mergeCell ref="L274:M274"/>
    <mergeCell ref="C272:F273"/>
    <mergeCell ref="G267:H274"/>
    <mergeCell ref="A270:B270"/>
    <mergeCell ref="L270:M270"/>
    <mergeCell ref="A271:B271"/>
    <mergeCell ref="L271:M271"/>
    <mergeCell ref="A272:B272"/>
    <mergeCell ref="L272:M272"/>
    <mergeCell ref="A266:H266"/>
    <mergeCell ref="A243:B243"/>
    <mergeCell ref="L243:M243"/>
    <mergeCell ref="A244:B244"/>
    <mergeCell ref="G258:H265"/>
    <mergeCell ref="A256:B256"/>
    <mergeCell ref="A248:H248"/>
    <mergeCell ref="A249:B249"/>
    <mergeCell ref="B318:H318"/>
    <mergeCell ref="B317:H317"/>
    <mergeCell ref="B319:H319"/>
    <mergeCell ref="B320:H320"/>
    <mergeCell ref="B315:H315"/>
    <mergeCell ref="B314:H314"/>
    <mergeCell ref="L269:M269"/>
    <mergeCell ref="A264:B264"/>
    <mergeCell ref="L264:M264"/>
    <mergeCell ref="A265:B265"/>
    <mergeCell ref="L265:M265"/>
    <mergeCell ref="A268:B268"/>
    <mergeCell ref="L268:M268"/>
    <mergeCell ref="A269:B269"/>
    <mergeCell ref="L280:M280"/>
    <mergeCell ref="A285:B285"/>
    <mergeCell ref="A282:B282"/>
    <mergeCell ref="A283:B283"/>
    <mergeCell ref="A293:B293"/>
    <mergeCell ref="A294:B294"/>
    <mergeCell ref="A295:B295"/>
    <mergeCell ref="A284:B284"/>
    <mergeCell ref="G285:H285"/>
    <mergeCell ref="G291:H291"/>
  </mergeCells>
  <hyperlinks>
    <hyperlink ref="C40" r:id="rId1" xr:uid="{00000000-0004-0000-0000-000000000000}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9" max="16383" man="1"/>
    <brk id="163" max="7" man="1"/>
    <brk id="332" max="16383" man="1"/>
    <brk id="376" max="16383" man="1"/>
    <brk id="4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topLeftCell="A49" zoomScale="85" zoomScaleNormal="85" workbookViewId="0">
      <selection activeCell="H67" sqref="H67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9" t="s">
        <v>108</v>
      </c>
      <c r="C3" s="209"/>
      <c r="D3" s="209"/>
      <c r="E3" s="209"/>
      <c r="F3" s="209"/>
      <c r="G3" s="209"/>
      <c r="H3" s="209"/>
    </row>
    <row r="4" spans="1:9" x14ac:dyDescent="0.3">
      <c r="A4" s="2"/>
      <c r="B4" s="3" t="s">
        <v>109</v>
      </c>
      <c r="C4" s="3" t="s">
        <v>110</v>
      </c>
      <c r="D4" s="3" t="s">
        <v>70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2025-08-13T10:10:55Z</cp:lastPrinted>
  <dcterms:created xsi:type="dcterms:W3CDTF">2019-07-16T09:29:46Z</dcterms:created>
  <dcterms:modified xsi:type="dcterms:W3CDTF">2025-08-13T10:12:07Z</dcterms:modified>
</cp:coreProperties>
</file>