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Sept 25\Axis\Rate\"/>
    </mc:Choice>
  </mc:AlternateContent>
  <xr:revisionPtr revIDLastSave="0" documentId="13_ncr:1_{E90AFF56-42B1-4A8B-BDBA-3FC3CC8192F6}" xr6:coauthVersionLast="47" xr6:coauthVersionMax="47" xr10:uidLastSave="{00000000-0000-0000-0000-000000000000}"/>
  <bookViews>
    <workbookView xWindow="-108" yWindow="-108" windowWidth="23256" windowHeight="12456" xr2:uid="{00000000-000D-0000-FFFF-FFFF00000000}"/>
  </bookViews>
  <sheets>
    <sheet name="Report" sheetId="1" r:id="rId1"/>
    <sheet name="Note" sheetId="4" r:id="rId2"/>
    <sheet name="VALUATION" sheetId="5" r:id="rId3"/>
  </sheets>
  <definedNames>
    <definedName name="_xlnm.Print_Area" localSheetId="0">Report!$A$1:$H$460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1" l="1"/>
  <c r="C91" i="1"/>
  <c r="J102" i="1"/>
  <c r="J101" i="1"/>
  <c r="J100" i="1"/>
  <c r="J99" i="1"/>
  <c r="J88" i="1"/>
  <c r="J87" i="1"/>
  <c r="J86" i="1"/>
  <c r="J85" i="1"/>
  <c r="I77" i="1"/>
  <c r="G234" i="1" l="1"/>
  <c r="D149" i="1"/>
  <c r="D148" i="1"/>
  <c r="D147" i="1"/>
  <c r="D139" i="1"/>
  <c r="D138" i="1"/>
  <c r="F138" i="1" s="1"/>
  <c r="D137" i="1"/>
  <c r="G137" i="1"/>
  <c r="D317" i="1"/>
  <c r="D316" i="1"/>
  <c r="D315" i="1"/>
  <c r="D314" i="1"/>
  <c r="D313" i="1"/>
  <c r="D310" i="1"/>
  <c r="D304" i="1"/>
  <c r="D308" i="1"/>
  <c r="D307" i="1"/>
  <c r="D306" i="1"/>
  <c r="D305" i="1"/>
  <c r="D303" i="1"/>
  <c r="D302" i="1"/>
  <c r="D301" i="1"/>
  <c r="D296" i="1"/>
  <c r="D299" i="1"/>
  <c r="D298" i="1"/>
  <c r="D297" i="1"/>
  <c r="D295" i="1"/>
  <c r="D290" i="1"/>
  <c r="D289" i="1"/>
  <c r="D288" i="1"/>
  <c r="D287" i="1"/>
  <c r="D286" i="1"/>
  <c r="D285" i="1"/>
  <c r="D277" i="1"/>
  <c r="D276" i="1"/>
  <c r="D275" i="1"/>
  <c r="D274" i="1"/>
  <c r="D273" i="1"/>
  <c r="D272" i="1"/>
  <c r="D265" i="1"/>
  <c r="D268" i="1"/>
  <c r="D267" i="1"/>
  <c r="D266" i="1"/>
  <c r="D264" i="1"/>
  <c r="D263" i="1"/>
  <c r="D259" i="1"/>
  <c r="D258" i="1"/>
  <c r="D257" i="1"/>
  <c r="D256" i="1"/>
  <c r="D255" i="1"/>
  <c r="D254" i="1"/>
  <c r="D253" i="1"/>
  <c r="D252" i="1"/>
  <c r="D250" i="1"/>
  <c r="D249" i="1"/>
  <c r="D248" i="1"/>
  <c r="D247" i="1"/>
  <c r="D241" i="1"/>
  <c r="D240" i="1"/>
  <c r="C124" i="1" s="1"/>
  <c r="D239" i="1"/>
  <c r="D238" i="1"/>
  <c r="D228" i="1"/>
  <c r="D227" i="1"/>
  <c r="D226" i="1"/>
  <c r="D225" i="1"/>
  <c r="D224" i="1"/>
  <c r="D223" i="1"/>
  <c r="D222" i="1"/>
  <c r="D221" i="1"/>
  <c r="D220" i="1"/>
  <c r="D219" i="1"/>
  <c r="D216" i="1"/>
  <c r="D215" i="1"/>
  <c r="D213" i="1"/>
  <c r="D212" i="1"/>
  <c r="D211" i="1"/>
  <c r="D210" i="1"/>
  <c r="D209" i="1"/>
  <c r="D208" i="1"/>
  <c r="D207" i="1"/>
  <c r="D206" i="1"/>
  <c r="D205" i="1"/>
  <c r="D201" i="1"/>
  <c r="D200" i="1"/>
  <c r="D198" i="1"/>
  <c r="D197" i="1"/>
  <c r="D196" i="1"/>
  <c r="D195" i="1"/>
  <c r="D194" i="1"/>
  <c r="D193" i="1"/>
  <c r="D192" i="1"/>
  <c r="D191" i="1"/>
  <c r="D190" i="1"/>
  <c r="D189" i="1"/>
  <c r="D188" i="1"/>
  <c r="D187" i="1"/>
  <c r="D186" i="1"/>
  <c r="D185" i="1"/>
  <c r="D178" i="1"/>
  <c r="D183" i="1"/>
  <c r="D182" i="1"/>
  <c r="D181" i="1"/>
  <c r="D180" i="1"/>
  <c r="D179" i="1"/>
  <c r="D177" i="1"/>
  <c r="D176" i="1"/>
  <c r="D171" i="1"/>
  <c r="D170" i="1"/>
  <c r="D168" i="1"/>
  <c r="D167" i="1"/>
  <c r="D166" i="1"/>
  <c r="D165" i="1"/>
  <c r="D164" i="1"/>
  <c r="D163" i="1"/>
  <c r="D162" i="1"/>
  <c r="D161" i="1"/>
  <c r="D158" i="1"/>
  <c r="D157" i="1"/>
  <c r="D156" i="1"/>
  <c r="D155" i="1"/>
  <c r="D144" i="1"/>
  <c r="D143" i="1"/>
  <c r="D142" i="1"/>
  <c r="D141" i="1"/>
  <c r="C123" i="1" l="1"/>
  <c r="D124" i="1"/>
  <c r="D122" i="1"/>
  <c r="C125" i="1"/>
  <c r="C122" i="1"/>
  <c r="D123" i="1"/>
  <c r="D125" i="1"/>
  <c r="D54" i="1"/>
  <c r="E39" i="1"/>
  <c r="E40" i="1" s="1"/>
  <c r="C77" i="1" l="1"/>
  <c r="C63" i="1"/>
  <c r="E3" i="1" l="1"/>
  <c r="J74" i="1"/>
  <c r="J73" i="1"/>
  <c r="J72" i="1"/>
  <c r="J71" i="1"/>
  <c r="H64" i="1"/>
  <c r="D71" i="1" l="1"/>
  <c r="D69" i="1"/>
  <c r="J66" i="1"/>
  <c r="D76" i="1"/>
  <c r="D75" i="1"/>
  <c r="D74" i="1"/>
  <c r="D73" i="1"/>
  <c r="D72" i="1"/>
  <c r="D70" i="1"/>
  <c r="J69" i="1"/>
  <c r="J70" i="1" s="1"/>
  <c r="J75" i="1" s="1"/>
  <c r="J76" i="1" s="1"/>
  <c r="C68" i="1" s="1"/>
  <c r="D68" i="1" s="1"/>
  <c r="J68" i="1"/>
  <c r="C67" i="1" s="1"/>
  <c r="J67" i="1"/>
  <c r="I117" i="1"/>
  <c r="M135" i="1"/>
  <c r="M138" i="1"/>
  <c r="M142" i="1"/>
  <c r="M143" i="1"/>
  <c r="M147" i="1"/>
  <c r="M148" i="1"/>
  <c r="M149" i="1"/>
  <c r="M150" i="1"/>
  <c r="M155" i="1"/>
  <c r="M156" i="1"/>
  <c r="M165" i="1"/>
  <c r="M168" i="1"/>
  <c r="M169" i="1"/>
  <c r="M170" i="1"/>
  <c r="M171" i="1"/>
  <c r="M180" i="1"/>
  <c r="M195" i="1"/>
  <c r="M198" i="1"/>
  <c r="M199" i="1"/>
  <c r="M200" i="1"/>
  <c r="M210" i="1"/>
  <c r="M213" i="1"/>
  <c r="M214" i="1"/>
  <c r="M225" i="1"/>
  <c r="M226" i="1"/>
  <c r="M227" i="1"/>
  <c r="M228" i="1"/>
  <c r="M229" i="1"/>
  <c r="M230" i="1"/>
  <c r="M231" i="1"/>
  <c r="M232" i="1"/>
  <c r="M237" i="1"/>
  <c r="M238" i="1"/>
  <c r="M239" i="1"/>
  <c r="M240" i="1"/>
  <c r="M241" i="1"/>
  <c r="M246" i="1"/>
  <c r="M255" i="1"/>
  <c r="M256" i="1"/>
  <c r="M257" i="1"/>
  <c r="M264" i="1"/>
  <c r="M265" i="1"/>
  <c r="M266" i="1"/>
  <c r="M273" i="1"/>
  <c r="M274" i="1"/>
  <c r="M275" i="1"/>
  <c r="M276" i="1"/>
  <c r="M277" i="1"/>
  <c r="M278" i="1"/>
  <c r="M285" i="1"/>
  <c r="M286" i="1"/>
  <c r="M287" i="1"/>
  <c r="M288" i="1"/>
  <c r="M294" i="1"/>
  <c r="M303" i="1"/>
  <c r="M305" i="1"/>
  <c r="M306" i="1"/>
  <c r="M312" i="1"/>
  <c r="M315" i="1"/>
  <c r="H92" i="1"/>
  <c r="J97" i="1" l="1"/>
  <c r="J98" i="1" s="1"/>
  <c r="J103" i="1" s="1"/>
  <c r="J104" i="1" s="1"/>
  <c r="C96" i="1" s="1"/>
  <c r="D101" i="1"/>
  <c r="D97" i="1"/>
  <c r="J96" i="1"/>
  <c r="C95" i="1" s="1"/>
  <c r="J94" i="1"/>
  <c r="D104" i="1"/>
  <c r="D100" i="1"/>
  <c r="D103" i="1"/>
  <c r="D99" i="1"/>
  <c r="J95" i="1"/>
  <c r="D102" i="1"/>
  <c r="D98" i="1"/>
  <c r="E67" i="1"/>
  <c r="I63" i="1" s="1"/>
  <c r="G67" i="1"/>
  <c r="D67" i="1"/>
  <c r="G45" i="1"/>
  <c r="E95" i="1" l="1"/>
  <c r="D96" i="1"/>
  <c r="G95" i="1"/>
  <c r="D95" i="1"/>
  <c r="F141" i="1"/>
  <c r="F142" i="1"/>
  <c r="I91" i="1" l="1"/>
  <c r="C93" i="1" s="1"/>
  <c r="C45" i="1"/>
  <c r="J309" i="1"/>
  <c r="I309" i="1"/>
  <c r="G310" i="1"/>
  <c r="F290" i="1"/>
  <c r="F289" i="1"/>
  <c r="F288" i="1"/>
  <c r="F287" i="1"/>
  <c r="F286" i="1"/>
  <c r="F297" i="1"/>
  <c r="F296" i="1"/>
  <c r="F298" i="1"/>
  <c r="F299" i="1"/>
  <c r="F308" i="1"/>
  <c r="F307" i="1"/>
  <c r="F306" i="1"/>
  <c r="F305" i="1"/>
  <c r="F304" i="1"/>
  <c r="J300" i="1"/>
  <c r="I300" i="1"/>
  <c r="F316" i="1" l="1"/>
  <c r="M310" i="1" s="1"/>
  <c r="M314" i="1"/>
  <c r="M317" i="1"/>
  <c r="F310" i="1"/>
  <c r="M304" i="1" s="1"/>
  <c r="F317" i="1"/>
  <c r="M311" i="1" s="1"/>
  <c r="M316" i="1"/>
  <c r="F314" i="1"/>
  <c r="M308" i="1" s="1"/>
  <c r="M313" i="1"/>
  <c r="F295" i="1"/>
  <c r="M289" i="1" s="1"/>
  <c r="F313" i="1"/>
  <c r="M307" i="1" s="1"/>
  <c r="F315" i="1"/>
  <c r="M309" i="1" s="1"/>
  <c r="F285" i="1"/>
  <c r="H78" i="1"/>
  <c r="J81" i="1" l="1"/>
  <c r="J80" i="1"/>
  <c r="J82" i="1"/>
  <c r="C81" i="1" s="1"/>
  <c r="J83" i="1"/>
  <c r="J84" i="1" s="1"/>
  <c r="J89" i="1" s="1"/>
  <c r="J90" i="1" s="1"/>
  <c r="D83" i="1"/>
  <c r="D90" i="1"/>
  <c r="D89" i="1"/>
  <c r="D88" i="1"/>
  <c r="D87" i="1"/>
  <c r="D86" i="1"/>
  <c r="D85" i="1"/>
  <c r="D84" i="1"/>
  <c r="C82" i="1" l="1"/>
  <c r="D81" i="1"/>
  <c r="D82" i="1" l="1"/>
  <c r="G81" i="1"/>
  <c r="F301" i="1" l="1"/>
  <c r="F303" i="1"/>
  <c r="F302" i="1"/>
  <c r="F252" i="1"/>
  <c r="F247" i="1"/>
  <c r="F272" i="1"/>
  <c r="F264" i="1"/>
  <c r="F266" i="1"/>
  <c r="F257" i="1"/>
  <c r="F254" i="1"/>
  <c r="F250" i="1"/>
  <c r="F263" i="1"/>
  <c r="F238" i="1"/>
  <c r="F170" i="1"/>
  <c r="F125" i="1" l="1"/>
  <c r="F9" i="5"/>
  <c r="G9" i="5" s="1"/>
  <c r="F8" i="5"/>
  <c r="G8" i="5" s="1"/>
  <c r="F6" i="5"/>
  <c r="G6" i="5" s="1"/>
  <c r="F7" i="5"/>
  <c r="G7" i="5" s="1"/>
  <c r="F5" i="5"/>
  <c r="G5" i="5" s="1"/>
  <c r="G10" i="5" l="1"/>
  <c r="L153" i="1"/>
  <c r="L166" i="1"/>
  <c r="L136" i="1"/>
  <c r="M284" i="1"/>
  <c r="M283" i="1"/>
  <c r="M282" i="1"/>
  <c r="M281" i="1"/>
  <c r="M280" i="1"/>
  <c r="M293" i="1"/>
  <c r="M291" i="1"/>
  <c r="M290" i="1"/>
  <c r="M295" i="1"/>
  <c r="M296" i="1"/>
  <c r="M297" i="1"/>
  <c r="M301" i="1"/>
  <c r="M302" i="1"/>
  <c r="M300" i="1"/>
  <c r="M299" i="1"/>
  <c r="M298" i="1"/>
  <c r="G301" i="1"/>
  <c r="M292" i="1"/>
  <c r="G292" i="1"/>
  <c r="G283" i="1"/>
  <c r="M267" i="1"/>
  <c r="G270" i="1"/>
  <c r="F239" i="1"/>
  <c r="M233" i="1"/>
  <c r="M245" i="1"/>
  <c r="M242" i="1"/>
  <c r="M261" i="1"/>
  <c r="M259" i="1"/>
  <c r="M258" i="1"/>
  <c r="G261" i="1"/>
  <c r="M249" i="1"/>
  <c r="M252" i="1"/>
  <c r="M247" i="1"/>
  <c r="G252" i="1"/>
  <c r="G243" i="1"/>
  <c r="G215" i="1"/>
  <c r="G200" i="1"/>
  <c r="G185" i="1"/>
  <c r="M166" i="1"/>
  <c r="F166" i="1"/>
  <c r="F168" i="1"/>
  <c r="F155" i="1"/>
  <c r="G170" i="1"/>
  <c r="G155" i="1"/>
  <c r="G146" i="1"/>
  <c r="F143" i="1"/>
  <c r="G141" i="1"/>
  <c r="M139" i="1"/>
  <c r="F139" i="1"/>
  <c r="F137" i="1"/>
  <c r="F147" i="1" l="1"/>
  <c r="M144" i="1" s="1"/>
  <c r="F157" i="1"/>
  <c r="M153" i="1" s="1"/>
  <c r="F163" i="1"/>
  <c r="M159" i="1" s="1"/>
  <c r="F167" i="1"/>
  <c r="M163" i="1" s="1"/>
  <c r="F179" i="1"/>
  <c r="M175" i="1" s="1"/>
  <c r="F183" i="1"/>
  <c r="M179" i="1" s="1"/>
  <c r="F191" i="1"/>
  <c r="M187" i="1" s="1"/>
  <c r="F195" i="1"/>
  <c r="M191" i="1" s="1"/>
  <c r="F189" i="1"/>
  <c r="M185" i="1" s="1"/>
  <c r="F201" i="1"/>
  <c r="M197" i="1" s="1"/>
  <c r="F208" i="1"/>
  <c r="M204" i="1" s="1"/>
  <c r="F212" i="1"/>
  <c r="M208" i="1" s="1"/>
  <c r="F216" i="1"/>
  <c r="M212" i="1" s="1"/>
  <c r="F223" i="1"/>
  <c r="M219" i="1" s="1"/>
  <c r="F227" i="1"/>
  <c r="M223" i="1" s="1"/>
  <c r="F268" i="1"/>
  <c r="M263" i="1" s="1"/>
  <c r="F164" i="1"/>
  <c r="M160" i="1" s="1"/>
  <c r="F180" i="1"/>
  <c r="M176" i="1" s="1"/>
  <c r="F186" i="1"/>
  <c r="M182" i="1" s="1"/>
  <c r="F196" i="1"/>
  <c r="M192" i="1" s="1"/>
  <c r="F209" i="1"/>
  <c r="M205" i="1" s="1"/>
  <c r="F220" i="1"/>
  <c r="M216" i="1" s="1"/>
  <c r="F258" i="1"/>
  <c r="M253" i="1" s="1"/>
  <c r="F253" i="1"/>
  <c r="M248" i="1" s="1"/>
  <c r="F265" i="1"/>
  <c r="M260" i="1" s="1"/>
  <c r="F275" i="1"/>
  <c r="M270" i="1" s="1"/>
  <c r="F149" i="1"/>
  <c r="M146" i="1" s="1"/>
  <c r="F156" i="1"/>
  <c r="M152" i="1" s="1"/>
  <c r="F161" i="1"/>
  <c r="M157" i="1" s="1"/>
  <c r="F165" i="1"/>
  <c r="M161" i="1" s="1"/>
  <c r="F177" i="1"/>
  <c r="M173" i="1" s="1"/>
  <c r="F181" i="1"/>
  <c r="M177" i="1" s="1"/>
  <c r="F171" i="1"/>
  <c r="M167" i="1" s="1"/>
  <c r="F187" i="1"/>
  <c r="M183" i="1" s="1"/>
  <c r="F193" i="1"/>
  <c r="M189" i="1" s="1"/>
  <c r="F197" i="1"/>
  <c r="M193" i="1" s="1"/>
  <c r="F200" i="1"/>
  <c r="M196" i="1" s="1"/>
  <c r="F206" i="1"/>
  <c r="M202" i="1" s="1"/>
  <c r="F210" i="1"/>
  <c r="M206" i="1" s="1"/>
  <c r="F215" i="1"/>
  <c r="M211" i="1" s="1"/>
  <c r="F221" i="1"/>
  <c r="M217" i="1" s="1"/>
  <c r="F225" i="1"/>
  <c r="M221" i="1" s="1"/>
  <c r="F219" i="1"/>
  <c r="M215" i="1" s="1"/>
  <c r="F248" i="1"/>
  <c r="M243" i="1" s="1"/>
  <c r="F276" i="1"/>
  <c r="M271" i="1" s="1"/>
  <c r="M137" i="1"/>
  <c r="F259" i="1"/>
  <c r="M254" i="1" s="1"/>
  <c r="F241" i="1"/>
  <c r="M236" i="1" s="1"/>
  <c r="F274" i="1"/>
  <c r="M269" i="1" s="1"/>
  <c r="F144" i="1"/>
  <c r="M141" i="1" s="1"/>
  <c r="F148" i="1"/>
  <c r="M145" i="1" s="1"/>
  <c r="F158" i="1"/>
  <c r="M154" i="1" s="1"/>
  <c r="F176" i="1"/>
  <c r="M172" i="1" s="1"/>
  <c r="F192" i="1"/>
  <c r="M188" i="1" s="1"/>
  <c r="F190" i="1"/>
  <c r="M186" i="1" s="1"/>
  <c r="F205" i="1"/>
  <c r="M201" i="1" s="1"/>
  <c r="F213" i="1"/>
  <c r="M209" i="1" s="1"/>
  <c r="F224" i="1"/>
  <c r="M220" i="1" s="1"/>
  <c r="F228" i="1"/>
  <c r="M224" i="1" s="1"/>
  <c r="F162" i="1"/>
  <c r="M158" i="1" s="1"/>
  <c r="F178" i="1"/>
  <c r="M174" i="1" s="1"/>
  <c r="F182" i="1"/>
  <c r="M178" i="1" s="1"/>
  <c r="F185" i="1"/>
  <c r="M181" i="1" s="1"/>
  <c r="F188" i="1"/>
  <c r="M184" i="1" s="1"/>
  <c r="F194" i="1"/>
  <c r="M190" i="1" s="1"/>
  <c r="F198" i="1"/>
  <c r="M194" i="1" s="1"/>
  <c r="F207" i="1"/>
  <c r="M203" i="1" s="1"/>
  <c r="F211" i="1"/>
  <c r="M207" i="1" s="1"/>
  <c r="F222" i="1"/>
  <c r="M218" i="1" s="1"/>
  <c r="F226" i="1"/>
  <c r="M222" i="1" s="1"/>
  <c r="F256" i="1"/>
  <c r="M251" i="1" s="1"/>
  <c r="F255" i="1"/>
  <c r="M250" i="1" s="1"/>
  <c r="F267" i="1"/>
  <c r="M262" i="1" s="1"/>
  <c r="F249" i="1"/>
  <c r="M244" i="1" s="1"/>
  <c r="F240" i="1"/>
  <c r="M235" i="1" s="1"/>
  <c r="F273" i="1"/>
  <c r="M268" i="1" s="1"/>
  <c r="F277" i="1"/>
  <c r="M272" i="1" s="1"/>
  <c r="M162" i="1"/>
  <c r="J164" i="1"/>
  <c r="I142" i="1"/>
  <c r="M140" i="1"/>
  <c r="K136" i="1"/>
  <c r="M134" i="1"/>
  <c r="K166" i="1"/>
  <c r="M164" i="1"/>
  <c r="M151" i="1"/>
  <c r="F124" i="1" l="1"/>
  <c r="F122" i="1"/>
  <c r="F123" i="1"/>
  <c r="C126" i="1"/>
  <c r="M234" i="1"/>
  <c r="M279" i="1"/>
  <c r="D126" i="1"/>
  <c r="M136" i="1"/>
  <c r="K153" i="1"/>
  <c r="F126" i="1" l="1"/>
  <c r="E7" i="1"/>
  <c r="D332" i="1" l="1"/>
  <c r="F119" i="1"/>
  <c r="C79" i="1" l="1"/>
</calcChain>
</file>

<file path=xl/sharedStrings.xml><?xml version="1.0" encoding="utf-8"?>
<sst xmlns="http://schemas.openxmlformats.org/spreadsheetml/2006/main" count="506" uniqueCount="244">
  <si>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</si>
  <si>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</si>
  <si>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</si>
  <si>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</si>
  <si>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</si>
  <si>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</si>
  <si>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</si>
  <si>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</si>
  <si>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</si>
  <si>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</si>
  <si>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</si>
  <si>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</si>
  <si>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</si>
  <si>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</si>
  <si>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</si>
  <si>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</si>
  <si>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</si>
  <si>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</si>
  <si>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</si>
  <si>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</si>
  <si>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</si>
  <si>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</si>
  <si>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</si>
  <si>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</si>
  <si>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</si>
  <si>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</si>
  <si>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</si>
  <si>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</si>
  <si>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</si>
  <si>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</si>
  <si>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</si>
  <si>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</si>
  <si>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</si>
  <si>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</si>
  <si>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</si>
  <si>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</si>
  <si>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</si>
  <si>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</si>
  <si>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</si>
  <si>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</si>
  <si>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</si>
  <si>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</si>
  <si>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</si>
  <si>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</si>
  <si>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</si>
  <si>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</si>
  <si>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</si>
  <si>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</si>
  <si>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</si>
  <si>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</si>
  <si>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</si>
  <si>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</si>
  <si>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</si>
  <si>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</si>
  <si>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</si>
  <si>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</si>
  <si>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</si>
  <si>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</si>
  <si>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</si>
  <si>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Total</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</si>
  <si>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</si>
  <si>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</si>
  <si>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</si>
  <si>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</si>
  <si>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</si>
  <si>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</si>
  <si>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</si>
  <si>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</si>
  <si>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</si>
  <si>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</si>
  <si>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</si>
  <si>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</si>
  <si>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</si>
  <si>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</si>
  <si>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</si>
  <si>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</si>
  <si>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</si>
  <si>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</si>
  <si>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</si>
  <si>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</si>
  <si>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</si>
  <si>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</si>
  <si>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</si>
  <si>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</si>
  <si>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</si>
  <si>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</si>
  <si>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</si>
  <si>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</si>
  <si>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</si>
  <si>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</si>
  <si>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</si>
  <si>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</si>
  <si>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</si>
  <si>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</si>
  <si>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</si>
  <si>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</si>
  <si>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</si>
  <si>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</si>
  <si>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Total Approved Builtup area of the project (Sq.Mt)</t>
  </si>
  <si>
    <t>Restrictive Covenants in regard to Land Use</t>
  </si>
  <si>
    <t>Boundries</t>
  </si>
  <si>
    <t>Floor Rise Rate Per Sq.ft</t>
  </si>
  <si>
    <t>Development Charges</t>
  </si>
  <si>
    <t>Club Charges</t>
  </si>
  <si>
    <t>Legal Services Charges</t>
  </si>
  <si>
    <t>Gas Connection Charges</t>
  </si>
  <si>
    <t>Excavation in process</t>
  </si>
  <si>
    <t>Excavation Completed</t>
  </si>
  <si>
    <t>Footing in Process</t>
  </si>
  <si>
    <t>Footing Completed</t>
  </si>
  <si>
    <t>Plinth in process</t>
  </si>
  <si>
    <t>Plinth completed</t>
  </si>
  <si>
    <t>All work Completed. OC Received.</t>
  </si>
  <si>
    <t>17/08/2020.</t>
  </si>
  <si>
    <t>Axis Goregaon</t>
  </si>
  <si>
    <t>M/s.Reddy Builders &amp; Developers</t>
  </si>
  <si>
    <t>34 Park Estate</t>
  </si>
  <si>
    <t>34 Park Estate, C.T.S. No. 49(pt), 50 – A (pt), 50A/26 to 50, 50A/67 to 145 &amp; 55(pt) of Village Pahadi Goregaon, Tal – Borivali, P/S ward of MCGM at Yashwant Nagar, Goregaon (W), Mumbai – 400062</t>
  </si>
  <si>
    <t>49(pt), 50-A (pt), 50A/26 to 50, 50A/67 to 145 &amp; 55(pt)</t>
  </si>
  <si>
    <t>CTS No</t>
  </si>
  <si>
    <t>Pahadi Goregaon</t>
  </si>
  <si>
    <t>Borivali</t>
  </si>
  <si>
    <t>Mumbai</t>
  </si>
  <si>
    <t>Developed</t>
  </si>
  <si>
    <t>Upper Class</t>
  </si>
  <si>
    <t>Road no.1, Mahatama Phule Road</t>
  </si>
  <si>
    <t>Mahatama Phule Road</t>
  </si>
  <si>
    <t>Police Quarter</t>
  </si>
  <si>
    <t>Building</t>
  </si>
  <si>
    <t>04 Wings</t>
  </si>
  <si>
    <t>Wheather the construction is as per approved Building plan : Under Construction</t>
  </si>
  <si>
    <t>Sale Building No.1</t>
  </si>
  <si>
    <t>3BHK</t>
  </si>
  <si>
    <t>2BHK</t>
  </si>
  <si>
    <t>Refuge Area</t>
  </si>
  <si>
    <t>1BHK</t>
  </si>
  <si>
    <t>Residential</t>
  </si>
  <si>
    <t>Approved Plans, CC, Sale Plans, Cost Sheet</t>
  </si>
  <si>
    <t>Builder Carpet area</t>
  </si>
  <si>
    <t>Society &amp; Other Charges</t>
  </si>
  <si>
    <t>Scanning &amp; Other charges</t>
  </si>
  <si>
    <t>1KM from Goregaon Railway Station</t>
  </si>
  <si>
    <t>Report By :</t>
  </si>
  <si>
    <t>Market Research Data</t>
  </si>
  <si>
    <t>Source</t>
  </si>
  <si>
    <t>Distance from proposed property</t>
  </si>
  <si>
    <t>Flat</t>
  </si>
  <si>
    <t>Net Carpet</t>
  </si>
  <si>
    <t>Saleable Area</t>
  </si>
  <si>
    <t>Rate on Saleable</t>
  </si>
  <si>
    <t>Market Value</t>
  </si>
  <si>
    <t>99 Acres</t>
  </si>
  <si>
    <t>Average</t>
  </si>
  <si>
    <t xml:space="preserve">Valuation Adopted </t>
  </si>
  <si>
    <t>magicbricks.</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</si>
  <si>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</si>
  <si>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</si>
  <si>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</si>
  <si>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</si>
  <si>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</si>
  <si>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</si>
  <si>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</si>
  <si>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</si>
  <si>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</si>
  <si>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</si>
  <si>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</si>
  <si>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</si>
  <si>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</si>
  <si>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</si>
  <si>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</si>
  <si>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</si>
  <si>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</si>
  <si>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</si>
  <si>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Parking Area</t>
  </si>
  <si>
    <t>31st Floor (Part Refuge Area)</t>
  </si>
  <si>
    <t>SRA/ENG/3034/MHL&amp;STGL/PS/AP</t>
  </si>
  <si>
    <t>Advance Maintenance Charges for 12 months</t>
  </si>
  <si>
    <t>15000 to 16500</t>
  </si>
  <si>
    <t>nikhik</t>
  </si>
  <si>
    <t>IGR</t>
  </si>
  <si>
    <t xml:space="preserve">Office No. 1031, Wing J, Akshar Business Park, Plot No. 03 Sector 25, Near APMC Market, Vashi, Navi Mumbai, Maharashtra 400703 TEL: 022-46090378/79/80                                                                                                     Email : vsjcapf@gmail.com. Web site : www.vsjadon.com
</t>
  </si>
  <si>
    <t>Location link</t>
  </si>
  <si>
    <t xml:space="preserve">https://goo.gl/maps/VstKCzLzFkaSHbCH7 </t>
  </si>
  <si>
    <t>Latitude,Longitude</t>
  </si>
  <si>
    <t>19.1672256,72.8414152</t>
  </si>
  <si>
    <t>SRA/ENG/3034/MHL &amp; STGL/PS/AP</t>
  </si>
  <si>
    <t>Bricks, Cement &amp; Steel etc.</t>
  </si>
  <si>
    <t>Mr. Ashish 9152010697</t>
  </si>
  <si>
    <t>Layout :</t>
  </si>
  <si>
    <t>As per Layout</t>
  </si>
  <si>
    <t>Goregaon West</t>
  </si>
  <si>
    <t>Approved Builtup Area of Sale Building No.1 (Wing A to D) (Sq.Mt)</t>
  </si>
  <si>
    <t>Sale Building No.1 (Wing A to D) = LW Gr 1 + LW Gr + Gr + E  Deck + 1st to 36th Floor</t>
  </si>
  <si>
    <t>Sale Building No.1 (Wing A, B &amp; C) = LW Gr 1 + LW Gr + Gr + E  Deck + 1st to 36th Floor</t>
  </si>
  <si>
    <t>Sale Building No.1 (Wing D) = LW Gr 1 + LW Gr + Gr + E  Deck + 1st to 36th Floor</t>
  </si>
  <si>
    <t>Building Details Floor Wise</t>
  </si>
  <si>
    <t>Rehab Building No.1 to 4</t>
  </si>
  <si>
    <t>Other Plot</t>
  </si>
  <si>
    <t>Proposed 12.20 M. Wide D.P Road</t>
  </si>
  <si>
    <t xml:space="preserve">P51800006729 </t>
  </si>
  <si>
    <t xml:space="preserve">Wing A to F
Rehab-4 Yet To Be Approved
</t>
  </si>
  <si>
    <t>RERA Name &amp;  No.</t>
  </si>
  <si>
    <t>LEGEND OUTDOOR AMENITIES :         
1. Featured seating
2. Multipurpose lawn
3. Kids Activity Room
4. Jogging track
5. Swimming pool
6. Kids pool
7. Pool side deck area
8. Basketball court
9. Kids cave zone</t>
  </si>
  <si>
    <t xml:space="preserve">INDOOR AMENITIES :
10. Gymnasium
11. Cafe
12. Spa
13. Dining Room
14. Banquet hall
15. A.V. room
16. Fitness zone
17. Library
18. Music hall
19. Kids play zone
20. Creche
21. Kids A.V.Room </t>
  </si>
  <si>
    <t>Details of Residential in Building</t>
  </si>
  <si>
    <t>Saleable Area 
Loading :</t>
  </si>
  <si>
    <t>Wing A</t>
  </si>
  <si>
    <t>1st Lower Ground Floor For Parking</t>
  </si>
  <si>
    <t>Lower Ground Floor &amp; Ground Floor For Parking</t>
  </si>
  <si>
    <t>E-Deck Floor For Amenities</t>
  </si>
  <si>
    <t>1st Floor For Residential</t>
  </si>
  <si>
    <t>2nd, 4th to 9th, 11th to 16th, 18th to 23rd, 25th to 30th, 32nd to 36th Floor</t>
  </si>
  <si>
    <t>3rd, 10th, 17th, 24th &amp; 31st Floor ( Part Refuge Area)</t>
  </si>
  <si>
    <t xml:space="preserve">Wing B </t>
  </si>
  <si>
    <t>1st, 2nd &amp; 4th to 7th Floor For Residential &amp; Part Parking Area</t>
  </si>
  <si>
    <t>3rd Floor ( Part Refuge Area) &amp; Parking Area</t>
  </si>
  <si>
    <t>3rd Floor (Part Refuge Area) &amp; Parking Area</t>
  </si>
  <si>
    <t>8th, 9th, 11th to 16th, 18th to 23rd, 25th to 30th, 32nd to 36th Floor</t>
  </si>
  <si>
    <t>10th, 17th &amp; 24th Floor ( Part Refuge Area)</t>
  </si>
  <si>
    <t>Wing C</t>
  </si>
  <si>
    <t>31st Floor ( Part Refuge Area)</t>
  </si>
  <si>
    <t>Wing D</t>
  </si>
  <si>
    <t>10th, 17th, 24th &amp; 31st Floor (Part Refuge Area)</t>
  </si>
  <si>
    <t>10th, 17th &amp; 24th Floor (Part Refuge Area)</t>
  </si>
  <si>
    <t>Flats - 1132</t>
  </si>
  <si>
    <t>Sale Building No.1 (A to D Wings)</t>
  </si>
  <si>
    <t>Flat No.</t>
  </si>
  <si>
    <t>As per RERA - 31/07/2028</t>
  </si>
  <si>
    <t>Chamunda Jewel Co-Op Housing Society Ltd.</t>
  </si>
  <si>
    <t>Yashwant Nagar Road No.2</t>
  </si>
  <si>
    <t>Valid Up to: This further CC for Sale Building No.1 for Wing  B, C upto 21st to 34th upper Floor &amp; for D Wing upto 2nd to 9th upper Floor as per approved amended plan dated 09/09/2021</t>
  </si>
  <si>
    <t xml:space="preserve">Valid Up to: This C.C is re-endorsed and further C.C for th sale building No-1 is extended for wing A from 21st to 36th upper floors including L.M.R. &amp; O. H.W.T. &amp; for Wing B and C from 35th &amp; 36th upper floors including L.M.R. &amp; O.H.W.T. as per approved amended plans dated 21/04/2023.
</t>
  </si>
  <si>
    <t>Valid Upto : This C.C is re-endorsed and further C.C for the Sale Building No.1 is granted for wing 'D'  from 10th to 12th upper floors entire framework 13th to 36th upper floor for RCC framework only including LMR &amp; OHWT as per approved amended plans dated 31/05/2024</t>
  </si>
  <si>
    <t>Akash mote</t>
  </si>
  <si>
    <t xml:space="preserve"> Verbal</t>
  </si>
  <si>
    <t>16500 to 19500 &amp; 1000000L car park</t>
  </si>
  <si>
    <t>s</t>
  </si>
  <si>
    <t>Sanket Salvi</t>
  </si>
  <si>
    <t>Kunal Kadam</t>
  </si>
  <si>
    <t xml:space="preserve">SRA/ENG/3034/MHL&amp;STGL/AP
Sale Building No. 1 Wing A, B &amp; C = LG 1 + LG + Gr + E  Deck + 1st to 36th Floor </t>
  </si>
  <si>
    <t>Part O. Certificate No.: 
Valid Upto</t>
  </si>
  <si>
    <t>12,00,000/-</t>
  </si>
  <si>
    <t>19500 to 22000 &amp; 1200000L car Park</t>
  </si>
  <si>
    <t xml:space="preserve">1. Wing A, B &amp; C = All work completed. OC Received. 
    Wing D = Construction work is in process at the time of Visit. (Internal photographs not allowed.)
2. We considered  Saleable area  as per our calculation.
3. We considered Carpet area as per Approved Plan.
4. We considered Gross carpet area = Net carpet Area
5. We have considered rate by verifying it from market inquire.
6. Car parking is subjected to authentic documentation.
7. On RERA, Wing A to F are registered but we received only approved plans of  A to D Wings.
8. We have updated latest approved plans &amp; CC on 29/06/2024
9. Recommended Rates / Other charges of the Property have been revised on 01/07/2024 &amp; 10/09/2025.
10. We have updated OC for Wing A, B &amp; C. (on 13/08/2025).
7. On Site, we meet Mr.Jimit - 7506995378.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</si>
</sst>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b/>
      <sz val="11"/>
      <color theme="1"/>
      <name val="Calibri"/>
      <family val="2"/>
      <scheme val="minor"/>
    </font>
    <font>
      <sz val="11"/>
      <color rgb="FFFF0000"/>
      <name val="Calibri"/>
      <family val="2"/>
    </font>
    <font>
      <sz val="10"/>
      <name val="Arial"/>
      <family val="2"/>
    </font>
    <font>
      <u/>
      <sz val="11"/>
      <color theme="10"/>
      <name val="Calibri"/>
      <family val="2"/>
    </font>
    <font>
      <sz val="11"/>
      <color rgb="FF000000"/>
      <name val="Calibri"/>
      <family val="2"/>
    </font>
    <font>
      <b/>
      <sz val="11"/>
      <name val="Times New Roman"/>
      <family val="1"/>
    </font>
  </fonts>
  <fills count="8">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2">
    <xf numFmtId="0" fontId="0" fillId="0" borderId="0"/>
    <xf numFmtId="0" fontId="3" fillId="0" borderId="0"/>
    <xf numFmtId="0" fontId="5" fillId="0" borderId="0"/>
    <xf numFmtId="0" fontId="2" fillId="0" borderId="0"/>
    <xf numFmtId="0" fontId="1" fillId="0" borderId="0"/>
    <xf numFmtId="0" fontId="1" fillId="0" borderId="0"/>
    <xf numFmtId="0" fontId="5" fillId="0" borderId="0"/>
    <xf numFmtId="0" fontId="1" fillId="0" borderId="0"/>
    <xf numFmtId="164" fontId="5" fillId="0" borderId="0" applyFont="0" applyFill="0" applyBorder="0" applyAlignment="0" applyProtection="0"/>
    <xf numFmtId="0" fontId="20" fillId="0" borderId="0"/>
    <xf numFmtId="0" fontId="21" fillId="0" borderId="0" applyNumberFormat="0" applyFill="0" applyBorder="0" applyAlignment="0" applyProtection="0"/>
    <xf numFmtId="9" fontId="22" fillId="0" borderId="0" applyFont="0" applyFill="0" applyBorder="0" applyAlignment="0" applyProtection="0"/>
  </cellStyleXfs>
  <cellXfs count="190">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7" fillId="0" borderId="0" xfId="1" applyFont="1"/>
    <xf numFmtId="0" fontId="6" fillId="0" borderId="0" xfId="2" applyFont="1"/>
    <xf numFmtId="0" fontId="11" fillId="0" borderId="0" xfId="1" applyFont="1"/>
    <xf numFmtId="0" fontId="14" fillId="0" borderId="0" xfId="1" applyFont="1"/>
    <xf numFmtId="0" fontId="15" fillId="0" borderId="0" xfId="1" applyFont="1"/>
    <xf numFmtId="0" fontId="9"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9" fillId="0" borderId="0" xfId="1" applyFont="1" applyProtection="1">
      <protection locked="0"/>
    </xf>
    <xf numFmtId="0" fontId="7" fillId="0" borderId="0" xfId="1" applyFont="1" applyProtection="1">
      <protection hidden="1"/>
    </xf>
    <xf numFmtId="0" fontId="16" fillId="0" borderId="0" xfId="0" applyFont="1" applyProtection="1">
      <protection hidden="1"/>
    </xf>
    <xf numFmtId="1" fontId="6" fillId="0" borderId="1" xfId="1" applyNumberFormat="1" applyFont="1" applyBorder="1" applyAlignment="1" applyProtection="1">
      <alignment horizontal="center" vertical="center" wrapText="1"/>
      <protection locked="0"/>
    </xf>
    <xf numFmtId="0" fontId="11" fillId="2" borderId="1" xfId="1" applyFont="1" applyFill="1" applyBorder="1" applyAlignment="1" applyProtection="1">
      <alignment horizontal="left" vertical="top"/>
      <protection locked="0"/>
    </xf>
    <xf numFmtId="0" fontId="11" fillId="0" borderId="1" xfId="1" applyFont="1" applyBorder="1" applyAlignment="1" applyProtection="1">
      <alignment horizontal="center" wrapText="1"/>
      <protection locked="0"/>
    </xf>
    <xf numFmtId="1" fontId="11" fillId="0" borderId="1" xfId="1" applyNumberFormat="1" applyFont="1" applyBorder="1" applyAlignment="1" applyProtection="1">
      <alignment horizontal="center" wrapText="1"/>
      <protection locked="0"/>
    </xf>
    <xf numFmtId="1" fontId="9" fillId="0" borderId="1" xfId="0" applyNumberFormat="1" applyFont="1" applyBorder="1" applyAlignment="1" applyProtection="1">
      <alignment horizontal="center" vertical="center"/>
      <protection locked="0"/>
    </xf>
    <xf numFmtId="1" fontId="7" fillId="0" borderId="0" xfId="1" applyNumberFormat="1" applyFont="1" applyAlignment="1">
      <alignment horizontal="center" vertical="center"/>
    </xf>
    <xf numFmtId="0" fontId="5" fillId="0" borderId="0" xfId="6"/>
    <xf numFmtId="0" fontId="1" fillId="0" borderId="0" xfId="7"/>
    <xf numFmtId="0" fontId="18" fillId="0" borderId="1" xfId="7" applyFont="1" applyBorder="1" applyAlignment="1">
      <alignment horizontal="center" vertical="top" wrapText="1"/>
    </xf>
    <xf numFmtId="0" fontId="19" fillId="0" borderId="0" xfId="6" applyFont="1"/>
    <xf numFmtId="0" fontId="1" fillId="0" borderId="1" xfId="7" applyBorder="1" applyAlignment="1">
      <alignment horizontal="center" vertical="center"/>
    </xf>
    <xf numFmtId="0" fontId="1" fillId="0" borderId="1" xfId="7" applyBorder="1" applyAlignment="1">
      <alignment horizontal="left" vertical="center"/>
    </xf>
    <xf numFmtId="1" fontId="1" fillId="0" borderId="1" xfId="7" applyNumberFormat="1" applyBorder="1" applyAlignment="1">
      <alignment horizontal="center" vertical="center"/>
    </xf>
    <xf numFmtId="166" fontId="1" fillId="0" borderId="1" xfId="8" applyNumberFormat="1" applyFont="1" applyBorder="1" applyAlignment="1">
      <alignment horizontal="right" vertical="center"/>
    </xf>
    <xf numFmtId="0" fontId="18" fillId="0" borderId="1" xfId="7" applyFont="1" applyBorder="1" applyAlignment="1">
      <alignment horizontal="center" vertical="center"/>
    </xf>
    <xf numFmtId="1" fontId="17" fillId="0" borderId="1" xfId="7" applyNumberFormat="1" applyFont="1" applyBorder="1" applyAlignment="1">
      <alignment horizontal="center" vertical="center"/>
    </xf>
    <xf numFmtId="0" fontId="5" fillId="0" borderId="1" xfId="6" applyBorder="1" applyAlignment="1">
      <alignment horizontal="center" vertical="center"/>
    </xf>
    <xf numFmtId="0" fontId="11" fillId="0" borderId="1" xfId="1" applyFont="1" applyBorder="1" applyAlignment="1" applyProtection="1">
      <alignment horizontal="center" vertical="top"/>
      <protection locked="0"/>
    </xf>
    <xf numFmtId="0" fontId="7" fillId="0" borderId="19" xfId="1" applyFont="1" applyBorder="1" applyProtection="1">
      <protection hidden="1"/>
    </xf>
    <xf numFmtId="0" fontId="7" fillId="0" borderId="20" xfId="1" applyFont="1" applyBorder="1" applyProtection="1">
      <protection hidden="1"/>
    </xf>
    <xf numFmtId="0" fontId="11" fillId="0" borderId="21" xfId="1" applyFont="1" applyBorder="1" applyAlignment="1" applyProtection="1">
      <alignment horizontal="center" vertical="top"/>
      <protection locked="0"/>
    </xf>
    <xf numFmtId="0" fontId="11" fillId="0" borderId="22" xfId="1" applyFont="1" applyBorder="1" applyAlignment="1" applyProtection="1">
      <alignment horizontal="center" vertical="top"/>
      <protection locked="0"/>
    </xf>
    <xf numFmtId="0" fontId="7" fillId="0" borderId="23" xfId="1" applyFont="1" applyBorder="1" applyProtection="1">
      <protection hidden="1"/>
    </xf>
    <xf numFmtId="0" fontId="7" fillId="0" borderId="23" xfId="1" applyFont="1" applyBorder="1"/>
    <xf numFmtId="0" fontId="16" fillId="0" borderId="23" xfId="0" applyFont="1" applyBorder="1" applyProtection="1">
      <protection hidden="1"/>
    </xf>
    <xf numFmtId="1" fontId="0" fillId="0" borderId="23" xfId="0" applyNumberFormat="1" applyBorder="1"/>
    <xf numFmtId="2" fontId="0" fillId="0" borderId="0" xfId="0" applyNumberFormat="1"/>
    <xf numFmtId="165" fontId="0" fillId="0" borderId="0" xfId="0" applyNumberFormat="1"/>
    <xf numFmtId="2" fontId="16" fillId="0" borderId="0" xfId="0" applyNumberFormat="1" applyFont="1" applyProtection="1">
      <protection hidden="1"/>
    </xf>
    <xf numFmtId="1" fontId="0" fillId="0" borderId="23" xfId="0" applyNumberFormat="1" applyBorder="1" applyAlignment="1">
      <alignment horizontal="right"/>
    </xf>
    <xf numFmtId="0" fontId="16" fillId="0" borderId="27" xfId="0" applyFont="1" applyBorder="1" applyProtection="1">
      <protection hidden="1"/>
    </xf>
    <xf numFmtId="1" fontId="0" fillId="0" borderId="28" xfId="0" applyNumberFormat="1" applyBorder="1"/>
    <xf numFmtId="0" fontId="11" fillId="0" borderId="1" xfId="1" applyFont="1" applyBorder="1" applyAlignment="1" applyProtection="1">
      <alignment horizontal="center" vertical="top" wrapText="1"/>
      <protection locked="0"/>
    </xf>
    <xf numFmtId="9" fontId="11" fillId="2" borderId="1" xfId="1" applyNumberFormat="1" applyFont="1" applyFill="1" applyBorder="1" applyAlignment="1" applyProtection="1">
      <alignment horizontal="center" vertical="center" wrapText="1"/>
      <protection hidden="1"/>
    </xf>
    <xf numFmtId="0" fontId="11" fillId="0" borderId="25" xfId="1" applyFont="1" applyBorder="1" applyAlignment="1" applyProtection="1">
      <alignment horizontal="center" wrapText="1"/>
      <protection locked="0"/>
    </xf>
    <xf numFmtId="9" fontId="11" fillId="2" borderId="25" xfId="1" applyNumberFormat="1" applyFont="1" applyFill="1" applyBorder="1" applyAlignment="1" applyProtection="1">
      <alignment horizontal="center" vertical="center" wrapText="1"/>
      <protection hidden="1"/>
    </xf>
    <xf numFmtId="0" fontId="7" fillId="3" borderId="0" xfId="1" applyFont="1" applyFill="1"/>
    <xf numFmtId="14" fontId="7" fillId="3" borderId="0" xfId="1" applyNumberFormat="1" applyFont="1" applyFill="1"/>
    <xf numFmtId="1" fontId="8" fillId="0" borderId="7" xfId="1" applyNumberFormat="1" applyFont="1" applyBorder="1" applyAlignment="1" applyProtection="1">
      <alignment horizontal="center" vertical="top" wrapText="1"/>
      <protection locked="0"/>
    </xf>
    <xf numFmtId="9" fontId="23" fillId="0" borderId="29" xfId="11" applyFont="1" applyFill="1" applyBorder="1" applyAlignment="1" applyProtection="1">
      <alignment horizontal="center" vertical="top" wrapText="1"/>
      <protection locked="0"/>
    </xf>
    <xf numFmtId="1" fontId="6" fillId="0" borderId="1" xfId="0" applyNumberFormat="1" applyFont="1" applyBorder="1" applyAlignment="1">
      <alignment horizontal="center" vertical="top" wrapText="1"/>
    </xf>
    <xf numFmtId="1" fontId="7" fillId="0" borderId="1" xfId="0" applyNumberFormat="1" applyFont="1" applyBorder="1" applyAlignment="1">
      <alignment horizontal="center"/>
    </xf>
    <xf numFmtId="1" fontId="7" fillId="0" borderId="1" xfId="0" applyNumberFormat="1" applyFont="1" applyBorder="1" applyAlignment="1">
      <alignment horizontal="center" vertical="center"/>
    </xf>
    <xf numFmtId="0" fontId="11" fillId="4" borderId="7" xfId="1" applyFont="1" applyFill="1" applyBorder="1" applyAlignment="1" applyProtection="1">
      <alignment vertical="top"/>
      <protection locked="0"/>
    </xf>
    <xf numFmtId="0" fontId="11" fillId="5" borderId="7" xfId="1" applyFont="1" applyFill="1" applyBorder="1" applyAlignment="1" applyProtection="1">
      <alignment vertical="top"/>
      <protection locked="0"/>
    </xf>
    <xf numFmtId="0" fontId="11" fillId="6" borderId="7" xfId="1" applyFont="1" applyFill="1" applyBorder="1" applyAlignment="1" applyProtection="1">
      <alignment vertical="top"/>
      <protection locked="0"/>
    </xf>
    <xf numFmtId="0" fontId="15" fillId="7" borderId="0" xfId="1" applyFont="1" applyFill="1"/>
    <xf numFmtId="14" fontId="15" fillId="7" borderId="0" xfId="1" applyNumberFormat="1" applyFont="1" applyFill="1"/>
    <xf numFmtId="0" fontId="11" fillId="0" borderId="7" xfId="1" applyFont="1" applyBorder="1" applyAlignment="1" applyProtection="1">
      <alignment horizontal="center" wrapText="1"/>
      <protection locked="0"/>
    </xf>
    <xf numFmtId="9" fontId="11" fillId="2" borderId="7" xfId="1" applyNumberFormat="1" applyFont="1" applyFill="1" applyBorder="1" applyAlignment="1" applyProtection="1">
      <alignment horizontal="center" vertical="center" wrapText="1"/>
      <protection hidden="1"/>
    </xf>
    <xf numFmtId="0" fontId="12" fillId="2" borderId="1" xfId="1" applyFont="1" applyFill="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2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1" fillId="0" borderId="21"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22" xfId="1" applyFont="1" applyBorder="1" applyAlignment="1" applyProtection="1">
      <alignment horizontal="center" vertical="top" wrapText="1"/>
      <protection locked="0"/>
    </xf>
    <xf numFmtId="9" fontId="11" fillId="2" borderId="1" xfId="1" applyNumberFormat="1" applyFont="1" applyFill="1" applyBorder="1" applyAlignment="1" applyProtection="1">
      <alignment horizontal="center" vertical="center" wrapText="1"/>
      <protection hidden="1"/>
    </xf>
    <xf numFmtId="9" fontId="11" fillId="2" borderId="25" xfId="1" applyNumberFormat="1" applyFont="1" applyFill="1" applyBorder="1" applyAlignment="1" applyProtection="1">
      <alignment horizontal="center" vertical="center" wrapText="1"/>
      <protection hidden="1"/>
    </xf>
    <xf numFmtId="9" fontId="11" fillId="2" borderId="22" xfId="1" applyNumberFormat="1" applyFont="1" applyFill="1" applyBorder="1" applyAlignment="1" applyProtection="1">
      <alignment horizontal="center" vertical="center" wrapText="1"/>
      <protection hidden="1"/>
    </xf>
    <xf numFmtId="9" fontId="11" fillId="2" borderId="26" xfId="1" applyNumberFormat="1" applyFont="1" applyFill="1" applyBorder="1" applyAlignment="1" applyProtection="1">
      <alignment horizontal="center" vertical="center" wrapText="1"/>
      <protection hidden="1"/>
    </xf>
    <xf numFmtId="0" fontId="11" fillId="0" borderId="2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0" fontId="11" fillId="0" borderId="24" xfId="1" applyFont="1" applyBorder="1" applyAlignment="1" applyProtection="1">
      <alignment horizontal="center" vertical="top" wrapText="1"/>
      <protection locked="0"/>
    </xf>
    <xf numFmtId="0" fontId="11" fillId="0" borderId="25" xfId="1" applyFont="1" applyBorder="1" applyAlignment="1" applyProtection="1">
      <alignment horizontal="center" vertical="top" wrapText="1"/>
      <protection locked="0"/>
    </xf>
    <xf numFmtId="0" fontId="11" fillId="0" borderId="1" xfId="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6" fillId="0" borderId="13" xfId="1" applyNumberFormat="1" applyFont="1" applyBorder="1" applyAlignment="1" applyProtection="1">
      <alignment horizontal="center" vertical="center" wrapText="1"/>
      <protection locked="0"/>
    </xf>
    <xf numFmtId="1" fontId="6" fillId="0" borderId="4" xfId="1" applyNumberFormat="1" applyFont="1" applyBorder="1" applyAlignment="1" applyProtection="1">
      <alignment horizontal="center" vertical="center" wrapText="1"/>
      <protection locked="0"/>
    </xf>
    <xf numFmtId="1" fontId="6" fillId="0" borderId="5"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8" xfId="0" applyNumberFormat="1" applyFont="1" applyBorder="1" applyAlignment="1" applyProtection="1">
      <alignment horizontal="center" vertical="center" wrapText="1"/>
      <protection locked="0"/>
    </xf>
    <xf numFmtId="1" fontId="6" fillId="0" borderId="10" xfId="0"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horizontal="center" vertical="center"/>
      <protection locked="0"/>
    </xf>
    <xf numFmtId="1" fontId="7" fillId="0" borderId="10" xfId="0" applyNumberFormat="1" applyFont="1" applyBorder="1" applyAlignment="1" applyProtection="1">
      <alignment horizontal="center" vertical="center"/>
      <protection locked="0"/>
    </xf>
    <xf numFmtId="1" fontId="7" fillId="0" borderId="9" xfId="0" applyNumberFormat="1" applyFont="1" applyBorder="1" applyAlignment="1" applyProtection="1">
      <alignment horizontal="center" vertical="center"/>
      <protection locked="0"/>
    </xf>
    <xf numFmtId="0" fontId="12" fillId="2" borderId="1" xfId="1" applyFont="1" applyFill="1" applyBorder="1" applyAlignment="1" applyProtection="1">
      <alignment horizontal="left" vertical="top"/>
      <protection locked="0"/>
    </xf>
    <xf numFmtId="3" fontId="11" fillId="2" borderId="1" xfId="1" applyNumberFormat="1" applyFont="1" applyFill="1" applyBorder="1" applyAlignment="1" applyProtection="1">
      <alignment horizontal="left" vertical="top"/>
      <protection locked="0"/>
    </xf>
    <xf numFmtId="0" fontId="11" fillId="2" borderId="1" xfId="1" applyFont="1" applyFill="1" applyBorder="1" applyAlignment="1" applyProtection="1">
      <alignment horizontal="left" vertical="top"/>
      <protection locked="0"/>
    </xf>
    <xf numFmtId="9" fontId="11" fillId="2" borderId="7" xfId="1" applyNumberFormat="1" applyFont="1" applyFill="1" applyBorder="1" applyAlignment="1" applyProtection="1">
      <alignment horizontal="center" vertical="center" wrapText="1"/>
      <protection hidden="1"/>
    </xf>
    <xf numFmtId="9" fontId="11" fillId="2" borderId="31" xfId="1" applyNumberFormat="1" applyFont="1" applyFill="1" applyBorder="1" applyAlignment="1" applyProtection="1">
      <alignment horizontal="center" vertical="center" wrapText="1"/>
      <protection hidden="1"/>
    </xf>
    <xf numFmtId="0" fontId="11" fillId="0" borderId="30"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3" fontId="11" fillId="2" borderId="1" xfId="1" applyNumberFormat="1" applyFont="1" applyFill="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4" fontId="12" fillId="0" borderId="8" xfId="1" applyNumberFormat="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12" fillId="2" borderId="8" xfId="1" applyFont="1" applyFill="1" applyBorder="1" applyAlignment="1" applyProtection="1">
      <alignment horizontal="left" vertical="top" wrapText="1"/>
      <protection locked="0"/>
    </xf>
    <xf numFmtId="0" fontId="12" fillId="2" borderId="9" xfId="1" applyFont="1" applyFill="1" applyBorder="1" applyAlignment="1" applyProtection="1">
      <alignment horizontal="left" vertical="top" wrapText="1"/>
      <protection locked="0"/>
    </xf>
    <xf numFmtId="0" fontId="12" fillId="2" borderId="10" xfId="1" applyFont="1" applyFill="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14" fontId="11" fillId="0" borderId="1" xfId="1" applyNumberFormat="1" applyFont="1" applyBorder="1" applyAlignment="1" applyProtection="1">
      <alignment horizontal="left" vertical="top" wrapText="1"/>
      <protection locked="0"/>
    </xf>
    <xf numFmtId="0" fontId="11" fillId="2" borderId="1" xfId="1" applyFont="1" applyFill="1" applyBorder="1" applyAlignment="1" applyProtection="1">
      <alignment horizontal="left" vertical="top" wrapText="1"/>
      <protection locked="0"/>
    </xf>
    <xf numFmtId="0" fontId="11" fillId="4" borderId="7" xfId="1" applyFont="1" applyFill="1" applyBorder="1" applyAlignment="1" applyProtection="1">
      <alignment horizontal="left" vertical="top" wrapText="1"/>
      <protection locked="0"/>
    </xf>
    <xf numFmtId="0" fontId="11" fillId="4" borderId="7" xfId="1" applyFont="1" applyFill="1" applyBorder="1" applyAlignment="1" applyProtection="1">
      <alignment horizontal="left" vertical="top"/>
      <protection locked="0"/>
    </xf>
    <xf numFmtId="14" fontId="11" fillId="4" borderId="8" xfId="1" applyNumberFormat="1" applyFont="1" applyFill="1" applyBorder="1" applyAlignment="1" applyProtection="1">
      <alignment horizontal="left" vertical="top"/>
      <protection locked="0"/>
    </xf>
    <xf numFmtId="14" fontId="11" fillId="4" borderId="10" xfId="1"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1" xfId="1" applyNumberFormat="1" applyFont="1" applyBorder="1" applyAlignment="1" applyProtection="1">
      <alignment horizontal="center" vertical="center" wrapText="1"/>
      <protection locked="0"/>
    </xf>
    <xf numFmtId="1" fontId="6" fillId="0" borderId="12"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left" vertical="center" wrapText="1"/>
      <protection locked="0"/>
    </xf>
    <xf numFmtId="2"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0" fillId="0" borderId="1"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9" xfId="1" applyFont="1" applyBorder="1" applyAlignment="1" applyProtection="1">
      <alignment vertical="top"/>
      <protection locked="0"/>
    </xf>
    <xf numFmtId="0" fontId="6" fillId="0" borderId="8"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6" fillId="2" borderId="1" xfId="1" applyFont="1" applyFill="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4" xfId="1" applyNumberFormat="1" applyFont="1" applyBorder="1" applyAlignment="1" applyProtection="1">
      <alignment horizontal="center" vertical="top" wrapText="1"/>
      <protection locked="0"/>
    </xf>
    <xf numFmtId="1" fontId="8" fillId="0" borderId="5" xfId="1" applyNumberFormat="1" applyFont="1" applyBorder="1" applyAlignment="1" applyProtection="1">
      <alignment horizontal="center" vertical="top" wrapText="1"/>
      <protection locked="0"/>
    </xf>
    <xf numFmtId="1" fontId="8" fillId="0" borderId="6" xfId="1" applyNumberFormat="1" applyFont="1" applyBorder="1" applyAlignment="1" applyProtection="1">
      <alignment horizontal="center" vertical="top" wrapText="1"/>
      <protection locked="0"/>
    </xf>
    <xf numFmtId="1" fontId="8" fillId="0" borderId="7" xfId="1" applyNumberFormat="1" applyFont="1" applyBorder="1" applyAlignment="1" applyProtection="1">
      <alignment horizontal="center" vertical="top" wrapText="1"/>
      <protection locked="0"/>
    </xf>
    <xf numFmtId="1" fontId="8" fillId="0" borderId="29" xfId="1" applyNumberFormat="1" applyFont="1" applyBorder="1" applyAlignment="1" applyProtection="1">
      <alignment horizontal="center" vertical="top" wrapText="1"/>
      <protection locked="0"/>
    </xf>
    <xf numFmtId="1" fontId="4" fillId="0" borderId="7" xfId="1" applyNumberFormat="1" applyFont="1" applyBorder="1" applyAlignment="1" applyProtection="1">
      <alignment horizontal="center" vertical="top" wrapText="1"/>
      <protection locked="0"/>
    </xf>
    <xf numFmtId="1" fontId="4" fillId="0" borderId="29"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1" fontId="6" fillId="0" borderId="0" xfId="1" applyNumberFormat="1" applyFont="1" applyAlignment="1" applyProtection="1">
      <alignment horizontal="center" vertical="center" wrapText="1"/>
      <protection locked="0"/>
    </xf>
    <xf numFmtId="0" fontId="7" fillId="0" borderId="1" xfId="1" applyFont="1" applyBorder="1" applyAlignment="1" applyProtection="1">
      <alignment horizontal="left"/>
      <protection locked="0"/>
    </xf>
    <xf numFmtId="0" fontId="21" fillId="0" borderId="1" xfId="10" applyBorder="1" applyAlignment="1" applyProtection="1">
      <alignment horizontal="left"/>
      <protection locked="0"/>
    </xf>
    <xf numFmtId="0" fontId="11" fillId="5" borderId="7" xfId="1" applyFont="1" applyFill="1" applyBorder="1" applyAlignment="1" applyProtection="1">
      <alignment horizontal="left" vertical="top" wrapText="1"/>
      <protection locked="0"/>
    </xf>
    <xf numFmtId="0" fontId="11" fillId="5" borderId="7" xfId="1" applyFont="1" applyFill="1" applyBorder="1" applyAlignment="1" applyProtection="1">
      <alignment horizontal="left" vertical="top"/>
      <protection locked="0"/>
    </xf>
    <xf numFmtId="14" fontId="11" fillId="5" borderId="8" xfId="1" applyNumberFormat="1" applyFont="1" applyFill="1" applyBorder="1" applyAlignment="1" applyProtection="1">
      <alignment horizontal="left" vertical="top"/>
      <protection locked="0"/>
    </xf>
    <xf numFmtId="14" fontId="11" fillId="5" borderId="10" xfId="1" applyNumberFormat="1" applyFont="1" applyFill="1" applyBorder="1" applyAlignment="1" applyProtection="1">
      <alignment horizontal="left" vertical="top"/>
      <protection locked="0"/>
    </xf>
    <xf numFmtId="0" fontId="11" fillId="2" borderId="8" xfId="1" applyFont="1" applyFill="1" applyBorder="1" applyAlignment="1" applyProtection="1">
      <alignment horizontal="left" vertical="top" wrapText="1"/>
      <protection locked="0"/>
    </xf>
    <xf numFmtId="0" fontId="11" fillId="2" borderId="9" xfId="1" applyFont="1" applyFill="1" applyBorder="1" applyAlignment="1" applyProtection="1">
      <alignment horizontal="left" vertical="top" wrapText="1"/>
      <protection locked="0"/>
    </xf>
    <xf numFmtId="0" fontId="11" fillId="2" borderId="10" xfId="1" applyFont="1" applyFill="1" applyBorder="1" applyAlignment="1" applyProtection="1">
      <alignment horizontal="left" vertical="top" wrapText="1"/>
      <protection locked="0"/>
    </xf>
    <xf numFmtId="0" fontId="11" fillId="6" borderId="7" xfId="1" applyFont="1" applyFill="1" applyBorder="1" applyAlignment="1" applyProtection="1">
      <alignment horizontal="left" vertical="top" wrapText="1"/>
      <protection locked="0"/>
    </xf>
    <xf numFmtId="0" fontId="11" fillId="6" borderId="7" xfId="1" applyFont="1" applyFill="1" applyBorder="1" applyAlignment="1" applyProtection="1">
      <alignment horizontal="left" vertical="top"/>
      <protection locked="0"/>
    </xf>
    <xf numFmtId="14" fontId="11" fillId="6" borderId="8" xfId="1" applyNumberFormat="1" applyFont="1" applyFill="1" applyBorder="1" applyAlignment="1" applyProtection="1">
      <alignment horizontal="left" vertical="top"/>
      <protection locked="0"/>
    </xf>
    <xf numFmtId="14" fontId="11" fillId="6" borderId="10" xfId="1" applyNumberFormat="1" applyFont="1" applyFill="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4" xfId="1" applyFont="1" applyBorder="1" applyAlignment="1" applyProtection="1">
      <alignment horizontal="left" vertical="top" wrapText="1"/>
      <protection locked="0"/>
    </xf>
    <xf numFmtId="0" fontId="11" fillId="0" borderId="11"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11" fillId="0" borderId="6" xfId="1" applyFont="1" applyBorder="1" applyAlignment="1" applyProtection="1">
      <alignment horizontal="left" vertical="top" wrapText="1"/>
      <protection locked="0"/>
    </xf>
    <xf numFmtId="0" fontId="18" fillId="0" borderId="1" xfId="7" applyFont="1" applyBorder="1" applyAlignment="1">
      <alignment horizontal="left"/>
    </xf>
    <xf numFmtId="14" fontId="15" fillId="0" borderId="0" xfId="1" applyNumberFormat="1" applyFont="1"/>
  </cellXfs>
  <cellStyles count="12">
    <cellStyle name="Comma 2" xfId="8" xr:uid="{00000000-0005-0000-0000-000000000000}"/>
    <cellStyle name="Excel Built-in Normal" xfId="2" xr:uid="{00000000-0005-0000-0000-000001000000}"/>
    <cellStyle name="Excel Built-in Normal 2" xfId="6" xr:uid="{00000000-0005-0000-0000-000002000000}"/>
    <cellStyle name="Hyperlink" xfId="10" builtinId="8"/>
    <cellStyle name="Normal" xfId="0" builtinId="0"/>
    <cellStyle name="Normal 2" xfId="3" xr:uid="{00000000-0005-0000-0000-000005000000}"/>
    <cellStyle name="Normal 2 2" xfId="5" xr:uid="{00000000-0005-0000-0000-000006000000}"/>
    <cellStyle name="Normal 3" xfId="1" xr:uid="{00000000-0005-0000-0000-000007000000}"/>
    <cellStyle name="Normal 3 2" xfId="4" xr:uid="{00000000-0005-0000-0000-000008000000}"/>
    <cellStyle name="Normal 3 3" xfId="9" xr:uid="{00000000-0005-0000-0000-000009000000}"/>
    <cellStyle name="Normal 4" xfId="7" xr:uid="{00000000-0005-0000-0000-00000A000000}"/>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jpeg"/><Relationship Id="rId1" Type="http://schemas.openxmlformats.org/officeDocument/2006/relationships/image" Target="../media/image2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639311</xdr:colOff>
      <xdr:row>418</xdr:row>
      <xdr:rowOff>89646</xdr:rowOff>
    </xdr:from>
    <xdr:to>
      <xdr:col>7</xdr:col>
      <xdr:colOff>224116</xdr:colOff>
      <xdr:row>435</xdr:row>
      <xdr:rowOff>56029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39311" y="91921852"/>
          <a:ext cx="5154129" cy="3395383"/>
        </a:xfrm>
        <a:prstGeom prst="rect">
          <a:avLst/>
        </a:prstGeom>
        <a:ln>
          <a:solidFill>
            <a:schemeClr val="tx1"/>
          </a:solidFill>
        </a:ln>
      </xdr:spPr>
    </xdr:pic>
    <xdr:clientData/>
  </xdr:twoCellAnchor>
  <xdr:twoCellAnchor>
    <xdr:from>
      <xdr:col>1</xdr:col>
      <xdr:colOff>640249</xdr:colOff>
      <xdr:row>335</xdr:row>
      <xdr:rowOff>44450</xdr:rowOff>
    </xdr:from>
    <xdr:to>
      <xdr:col>2</xdr:col>
      <xdr:colOff>190322</xdr:colOff>
      <xdr:row>337</xdr:row>
      <xdr:rowOff>7307</xdr:rowOff>
    </xdr:to>
    <xdr:sp macro="" textlink="">
      <xdr:nvSpPr>
        <xdr:cNvPr id="39" name="TextBox 7">
          <a:extLst>
            <a:ext uri="{FF2B5EF4-FFF2-40B4-BE49-F238E27FC236}">
              <a16:creationId xmlns:a16="http://schemas.microsoft.com/office/drawing/2014/main" id="{00000000-0008-0000-0000-000027000000}"/>
            </a:ext>
          </a:extLst>
        </xdr:cNvPr>
        <xdr:cNvSpPr txBox="1"/>
      </xdr:nvSpPr>
      <xdr:spPr>
        <a:xfrm>
          <a:off x="1440349" y="70319900"/>
          <a:ext cx="331123" cy="35655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b="1"/>
        </a:p>
      </xdr:txBody>
    </xdr:sp>
    <xdr:clientData/>
  </xdr:twoCellAnchor>
  <xdr:twoCellAnchor>
    <xdr:from>
      <xdr:col>3</xdr:col>
      <xdr:colOff>170349</xdr:colOff>
      <xdr:row>333</xdr:row>
      <xdr:rowOff>12700</xdr:rowOff>
    </xdr:from>
    <xdr:to>
      <xdr:col>3</xdr:col>
      <xdr:colOff>501472</xdr:colOff>
      <xdr:row>334</xdr:row>
      <xdr:rowOff>172407</xdr:rowOff>
    </xdr:to>
    <xdr:sp macro="" textlink="">
      <xdr:nvSpPr>
        <xdr:cNvPr id="40" name="TextBox 7">
          <a:extLst>
            <a:ext uri="{FF2B5EF4-FFF2-40B4-BE49-F238E27FC236}">
              <a16:creationId xmlns:a16="http://schemas.microsoft.com/office/drawing/2014/main" id="{00000000-0008-0000-0000-000028000000}"/>
            </a:ext>
          </a:extLst>
        </xdr:cNvPr>
        <xdr:cNvSpPr txBox="1"/>
      </xdr:nvSpPr>
      <xdr:spPr>
        <a:xfrm>
          <a:off x="2640499" y="69900800"/>
          <a:ext cx="331123" cy="35655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b="1"/>
        </a:p>
      </xdr:txBody>
    </xdr:sp>
    <xdr:clientData/>
  </xdr:twoCellAnchor>
  <xdr:twoCellAnchor>
    <xdr:from>
      <xdr:col>5</xdr:col>
      <xdr:colOff>185628</xdr:colOff>
      <xdr:row>332</xdr:row>
      <xdr:rowOff>190500</xdr:rowOff>
    </xdr:from>
    <xdr:to>
      <xdr:col>5</xdr:col>
      <xdr:colOff>516751</xdr:colOff>
      <xdr:row>334</xdr:row>
      <xdr:rowOff>153357</xdr:rowOff>
    </xdr:to>
    <xdr:sp macro="" textlink="">
      <xdr:nvSpPr>
        <xdr:cNvPr id="41" name="TextBox 7">
          <a:extLst>
            <a:ext uri="{FF2B5EF4-FFF2-40B4-BE49-F238E27FC236}">
              <a16:creationId xmlns:a16="http://schemas.microsoft.com/office/drawing/2014/main" id="{00000000-0008-0000-0000-000029000000}"/>
            </a:ext>
          </a:extLst>
        </xdr:cNvPr>
        <xdr:cNvSpPr txBox="1"/>
      </xdr:nvSpPr>
      <xdr:spPr>
        <a:xfrm>
          <a:off x="4382978" y="69881750"/>
          <a:ext cx="331123" cy="35655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b="1"/>
        </a:p>
      </xdr:txBody>
    </xdr:sp>
    <xdr:clientData/>
  </xdr:twoCellAnchor>
  <xdr:twoCellAnchor>
    <xdr:from>
      <xdr:col>0</xdr:col>
      <xdr:colOff>389405</xdr:colOff>
      <xdr:row>436</xdr:row>
      <xdr:rowOff>23812</xdr:rowOff>
    </xdr:from>
    <xdr:to>
      <xdr:col>7</xdr:col>
      <xdr:colOff>357188</xdr:colOff>
      <xdr:row>457</xdr:row>
      <xdr:rowOff>190498</xdr:rowOff>
    </xdr:to>
    <xdr:grpSp>
      <xdr:nvGrpSpPr>
        <xdr:cNvPr id="62" name="Group 61">
          <a:extLst>
            <a:ext uri="{FF2B5EF4-FFF2-40B4-BE49-F238E27FC236}">
              <a16:creationId xmlns:a16="http://schemas.microsoft.com/office/drawing/2014/main" id="{00000000-0008-0000-0000-00003E000000}"/>
            </a:ext>
          </a:extLst>
        </xdr:cNvPr>
        <xdr:cNvGrpSpPr/>
      </xdr:nvGrpSpPr>
      <xdr:grpSpPr>
        <a:xfrm>
          <a:off x="389405" y="94123192"/>
          <a:ext cx="5675163" cy="4327206"/>
          <a:chOff x="255041" y="109680126"/>
          <a:chExt cx="5269297" cy="4121727"/>
        </a:xfrm>
      </xdr:grpSpPr>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
          <a:stretch>
            <a:fillRect/>
          </a:stretch>
        </xdr:blipFill>
        <xdr:spPr>
          <a:xfrm>
            <a:off x="255041" y="109680126"/>
            <a:ext cx="5269297" cy="4121727"/>
          </a:xfrm>
          <a:prstGeom prst="rect">
            <a:avLst/>
          </a:prstGeom>
          <a:ln>
            <a:solidFill>
              <a:sysClr val="windowText" lastClr="000000"/>
            </a:solidFill>
          </a:ln>
        </xdr:spPr>
      </xdr:pic>
      <xdr:sp macro="" textlink="">
        <xdr:nvSpPr>
          <xdr:cNvPr id="64" name="Freeform 63">
            <a:extLst>
              <a:ext uri="{FF2B5EF4-FFF2-40B4-BE49-F238E27FC236}">
                <a16:creationId xmlns:a16="http://schemas.microsoft.com/office/drawing/2014/main" id="{00000000-0008-0000-0000-000040000000}"/>
              </a:ext>
            </a:extLst>
          </xdr:cNvPr>
          <xdr:cNvSpPr/>
        </xdr:nvSpPr>
        <xdr:spPr>
          <a:xfrm>
            <a:off x="1673087" y="110821304"/>
            <a:ext cx="2352261" cy="1391479"/>
          </a:xfrm>
          <a:custGeom>
            <a:avLst/>
            <a:gdLst>
              <a:gd name="connsiteX0" fmla="*/ 1755913 w 2178326"/>
              <a:gd name="connsiteY0" fmla="*/ 1316935 h 1316935"/>
              <a:gd name="connsiteX1" fmla="*/ 2178326 w 2178326"/>
              <a:gd name="connsiteY1" fmla="*/ 1101587 h 1316935"/>
              <a:gd name="connsiteX2" fmla="*/ 165652 w 2178326"/>
              <a:gd name="connsiteY2" fmla="*/ 0 h 1316935"/>
              <a:gd name="connsiteX3" fmla="*/ 0 w 2178326"/>
              <a:gd name="connsiteY3" fmla="*/ 596348 h 1316935"/>
              <a:gd name="connsiteX4" fmla="*/ 347869 w 2178326"/>
              <a:gd name="connsiteY4" fmla="*/ 612913 h 1316935"/>
              <a:gd name="connsiteX5" fmla="*/ 1755913 w 2178326"/>
              <a:gd name="connsiteY5" fmla="*/ 1316935 h 13169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8326" h="1316935">
                <a:moveTo>
                  <a:pt x="1755913" y="1316935"/>
                </a:moveTo>
                <a:lnTo>
                  <a:pt x="2178326" y="1101587"/>
                </a:lnTo>
                <a:lnTo>
                  <a:pt x="165652" y="0"/>
                </a:lnTo>
                <a:lnTo>
                  <a:pt x="0" y="596348"/>
                </a:lnTo>
                <a:lnTo>
                  <a:pt x="347869" y="612913"/>
                </a:lnTo>
                <a:lnTo>
                  <a:pt x="1755913" y="1316935"/>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5" name="TextBox 12">
            <a:extLst>
              <a:ext uri="{FF2B5EF4-FFF2-40B4-BE49-F238E27FC236}">
                <a16:creationId xmlns:a16="http://schemas.microsoft.com/office/drawing/2014/main" id="{00000000-0008-0000-0000-000041000000}"/>
              </a:ext>
            </a:extLst>
          </xdr:cNvPr>
          <xdr:cNvSpPr txBox="1"/>
        </xdr:nvSpPr>
        <xdr:spPr>
          <a:xfrm rot="1794460">
            <a:off x="1869962" y="111943438"/>
            <a:ext cx="1476670" cy="292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FFFF00"/>
                </a:solidFill>
                <a:latin typeface="Times New Roman" panose="02020603050405020304" pitchFamily="18" charset="0"/>
                <a:cs typeface="Times New Roman" panose="02020603050405020304" pitchFamily="18" charset="0"/>
              </a:rPr>
              <a:t>34 Park Estate (Wing</a:t>
            </a:r>
            <a:r>
              <a:rPr lang="en-IN" sz="1200" b="1" baseline="0">
                <a:solidFill>
                  <a:srgbClr val="FFFF00"/>
                </a:solidFill>
                <a:latin typeface="Times New Roman" panose="02020603050405020304" pitchFamily="18" charset="0"/>
                <a:cs typeface="Times New Roman" panose="02020603050405020304" pitchFamily="18" charset="0"/>
              </a:rPr>
              <a:t> A ot D)</a:t>
            </a:r>
            <a:endParaRPr lang="en-IN" sz="1200" b="1">
              <a:solidFill>
                <a:srgbClr val="FFFF00"/>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1</xdr:col>
      <xdr:colOff>121212</xdr:colOff>
      <xdr:row>375</xdr:row>
      <xdr:rowOff>90768</xdr:rowOff>
    </xdr:from>
    <xdr:to>
      <xdr:col>6</xdr:col>
      <xdr:colOff>659008</xdr:colOff>
      <xdr:row>392</xdr:row>
      <xdr:rowOff>185153</xdr:rowOff>
    </xdr:to>
    <xdr:pic>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83212" y="82777293"/>
          <a:ext cx="4557346" cy="3494810"/>
        </a:xfrm>
        <a:prstGeom prst="rect">
          <a:avLst/>
        </a:prstGeom>
        <a:ln>
          <a:solidFill>
            <a:sysClr val="windowText" lastClr="000000"/>
          </a:solidFill>
        </a:ln>
      </xdr:spPr>
    </xdr:pic>
    <xdr:clientData/>
  </xdr:twoCellAnchor>
  <xdr:twoCellAnchor>
    <xdr:from>
      <xdr:col>0</xdr:col>
      <xdr:colOff>377359</xdr:colOff>
      <xdr:row>394</xdr:row>
      <xdr:rowOff>50741</xdr:rowOff>
    </xdr:from>
    <xdr:to>
      <xdr:col>7</xdr:col>
      <xdr:colOff>377668</xdr:colOff>
      <xdr:row>412</xdr:row>
      <xdr:rowOff>184044</xdr:rowOff>
    </xdr:to>
    <xdr:grpSp>
      <xdr:nvGrpSpPr>
        <xdr:cNvPr id="71" name="Group 70">
          <a:extLst>
            <a:ext uri="{FF2B5EF4-FFF2-40B4-BE49-F238E27FC236}">
              <a16:creationId xmlns:a16="http://schemas.microsoft.com/office/drawing/2014/main" id="{00000000-0008-0000-0000-000047000000}"/>
            </a:ext>
          </a:extLst>
        </xdr:cNvPr>
        <xdr:cNvGrpSpPr/>
      </xdr:nvGrpSpPr>
      <xdr:grpSpPr>
        <a:xfrm>
          <a:off x="377359" y="85829081"/>
          <a:ext cx="5707689" cy="3699463"/>
          <a:chOff x="259337" y="97473050"/>
          <a:chExt cx="5498733" cy="3775215"/>
        </a:xfrm>
      </xdr:grpSpPr>
      <xdr:grpSp>
        <xdr:nvGrpSpPr>
          <xdr:cNvPr id="72" name="Group 71">
            <a:extLst>
              <a:ext uri="{FF2B5EF4-FFF2-40B4-BE49-F238E27FC236}">
                <a16:creationId xmlns:a16="http://schemas.microsoft.com/office/drawing/2014/main" id="{00000000-0008-0000-0000-000048000000}"/>
              </a:ext>
            </a:extLst>
          </xdr:cNvPr>
          <xdr:cNvGrpSpPr/>
        </xdr:nvGrpSpPr>
        <xdr:grpSpPr>
          <a:xfrm>
            <a:off x="259337" y="97473050"/>
            <a:ext cx="5498733" cy="3775215"/>
            <a:chOff x="259337" y="101274768"/>
            <a:chExt cx="5498733" cy="3775215"/>
          </a:xfrm>
        </xdr:grpSpPr>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85750" y="101274768"/>
              <a:ext cx="5472320" cy="3775215"/>
            </a:xfrm>
            <a:prstGeom prst="rect">
              <a:avLst/>
            </a:prstGeom>
            <a:ln>
              <a:solidFill>
                <a:sysClr val="windowText" lastClr="000000"/>
              </a:solidFill>
            </a:ln>
          </xdr:spPr>
        </xdr:pic>
        <xdr:sp macro="" textlink="">
          <xdr:nvSpPr>
            <xdr:cNvPr id="75" name="Rectangle 74">
              <a:extLst>
                <a:ext uri="{FF2B5EF4-FFF2-40B4-BE49-F238E27FC236}">
                  <a16:creationId xmlns:a16="http://schemas.microsoft.com/office/drawing/2014/main" id="{00000000-0008-0000-0000-00004B000000}"/>
                </a:ext>
              </a:extLst>
            </xdr:cNvPr>
            <xdr:cNvSpPr/>
          </xdr:nvSpPr>
          <xdr:spPr>
            <a:xfrm rot="20436711">
              <a:off x="762350" y="103069006"/>
              <a:ext cx="536113" cy="1107777"/>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6" name="Rectangle 75">
              <a:extLst>
                <a:ext uri="{FF2B5EF4-FFF2-40B4-BE49-F238E27FC236}">
                  <a16:creationId xmlns:a16="http://schemas.microsoft.com/office/drawing/2014/main" id="{00000000-0008-0000-0000-00004C000000}"/>
                </a:ext>
              </a:extLst>
            </xdr:cNvPr>
            <xdr:cNvSpPr/>
          </xdr:nvSpPr>
          <xdr:spPr>
            <a:xfrm>
              <a:off x="2816086" y="102936261"/>
              <a:ext cx="1027044" cy="621197"/>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7" name="Rectangle 76">
              <a:extLst>
                <a:ext uri="{FF2B5EF4-FFF2-40B4-BE49-F238E27FC236}">
                  <a16:creationId xmlns:a16="http://schemas.microsoft.com/office/drawing/2014/main" id="{00000000-0008-0000-0000-00004D000000}"/>
                </a:ext>
              </a:extLst>
            </xdr:cNvPr>
            <xdr:cNvSpPr/>
          </xdr:nvSpPr>
          <xdr:spPr>
            <a:xfrm>
              <a:off x="3884542" y="102936261"/>
              <a:ext cx="1118154" cy="621197"/>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8" name="TextBox 12">
              <a:extLst>
                <a:ext uri="{FF2B5EF4-FFF2-40B4-BE49-F238E27FC236}">
                  <a16:creationId xmlns:a16="http://schemas.microsoft.com/office/drawing/2014/main" id="{00000000-0008-0000-0000-00004E000000}"/>
                </a:ext>
              </a:extLst>
            </xdr:cNvPr>
            <xdr:cNvSpPr txBox="1"/>
          </xdr:nvSpPr>
          <xdr:spPr>
            <a:xfrm rot="20558872">
              <a:off x="259337" y="102829167"/>
              <a:ext cx="1037587" cy="266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C00000"/>
                  </a:solidFill>
                  <a:latin typeface="Times New Roman" panose="02020603050405020304" pitchFamily="18" charset="0"/>
                  <a:cs typeface="Times New Roman" panose="02020603050405020304" pitchFamily="18" charset="0"/>
                </a:rPr>
                <a:t>Sale Wing A</a:t>
              </a:r>
            </a:p>
          </xdr:txBody>
        </xdr:sp>
        <xdr:sp macro="" textlink="">
          <xdr:nvSpPr>
            <xdr:cNvPr id="79" name="TextBox 12">
              <a:extLst>
                <a:ext uri="{FF2B5EF4-FFF2-40B4-BE49-F238E27FC236}">
                  <a16:creationId xmlns:a16="http://schemas.microsoft.com/office/drawing/2014/main" id="{00000000-0008-0000-0000-00004F000000}"/>
                </a:ext>
              </a:extLst>
            </xdr:cNvPr>
            <xdr:cNvSpPr txBox="1"/>
          </xdr:nvSpPr>
          <xdr:spPr>
            <a:xfrm>
              <a:off x="1457578" y="102706168"/>
              <a:ext cx="1113399" cy="262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C00000"/>
                  </a:solidFill>
                  <a:latin typeface="Times New Roman" panose="02020603050405020304" pitchFamily="18" charset="0"/>
                  <a:cs typeface="Times New Roman" panose="02020603050405020304" pitchFamily="18" charset="0"/>
                </a:rPr>
                <a:t>Sale Wing B</a:t>
              </a:r>
            </a:p>
          </xdr:txBody>
        </xdr:sp>
        <xdr:sp macro="" textlink="">
          <xdr:nvSpPr>
            <xdr:cNvPr id="80" name="TextBox 12">
              <a:extLst>
                <a:ext uri="{FF2B5EF4-FFF2-40B4-BE49-F238E27FC236}">
                  <a16:creationId xmlns:a16="http://schemas.microsoft.com/office/drawing/2014/main" id="{00000000-0008-0000-0000-000050000000}"/>
                </a:ext>
              </a:extLst>
            </xdr:cNvPr>
            <xdr:cNvSpPr txBox="1"/>
          </xdr:nvSpPr>
          <xdr:spPr>
            <a:xfrm>
              <a:off x="2710584" y="103534429"/>
              <a:ext cx="1113399" cy="262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C00000"/>
                  </a:solidFill>
                  <a:latin typeface="Times New Roman" panose="02020603050405020304" pitchFamily="18" charset="0"/>
                  <a:cs typeface="Times New Roman" panose="02020603050405020304" pitchFamily="18" charset="0"/>
                </a:rPr>
                <a:t>Sale Wing C</a:t>
              </a:r>
            </a:p>
          </xdr:txBody>
        </xdr:sp>
        <xdr:sp macro="" textlink="">
          <xdr:nvSpPr>
            <xdr:cNvPr id="81" name="TextBox 12">
              <a:extLst>
                <a:ext uri="{FF2B5EF4-FFF2-40B4-BE49-F238E27FC236}">
                  <a16:creationId xmlns:a16="http://schemas.microsoft.com/office/drawing/2014/main" id="{00000000-0008-0000-0000-000051000000}"/>
                </a:ext>
              </a:extLst>
            </xdr:cNvPr>
            <xdr:cNvSpPr txBox="1"/>
          </xdr:nvSpPr>
          <xdr:spPr>
            <a:xfrm>
              <a:off x="3820454" y="102706168"/>
              <a:ext cx="1113399" cy="262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C00000"/>
                  </a:solidFill>
                  <a:latin typeface="Times New Roman" panose="02020603050405020304" pitchFamily="18" charset="0"/>
                  <a:cs typeface="Times New Roman" panose="02020603050405020304" pitchFamily="18" charset="0"/>
                </a:rPr>
                <a:t>Sale Wing D</a:t>
              </a:r>
            </a:p>
          </xdr:txBody>
        </xdr:sp>
      </xdr:grpSp>
      <xdr:sp macro="" textlink="">
        <xdr:nvSpPr>
          <xdr:cNvPr id="73" name="Freeform 72">
            <a:extLst>
              <a:ext uri="{FF2B5EF4-FFF2-40B4-BE49-F238E27FC236}">
                <a16:creationId xmlns:a16="http://schemas.microsoft.com/office/drawing/2014/main" id="{00000000-0008-0000-0000-000049000000}"/>
              </a:ext>
            </a:extLst>
          </xdr:cNvPr>
          <xdr:cNvSpPr/>
        </xdr:nvSpPr>
        <xdr:spPr>
          <a:xfrm>
            <a:off x="1167848" y="99134544"/>
            <a:ext cx="1606826" cy="786849"/>
          </a:xfrm>
          <a:custGeom>
            <a:avLst/>
            <a:gdLst>
              <a:gd name="connsiteX0" fmla="*/ 0 w 1499152"/>
              <a:gd name="connsiteY0" fmla="*/ 198782 h 670891"/>
              <a:gd name="connsiteX1" fmla="*/ 347870 w 1499152"/>
              <a:gd name="connsiteY1" fmla="*/ 0 h 670891"/>
              <a:gd name="connsiteX2" fmla="*/ 1499152 w 1499152"/>
              <a:gd name="connsiteY2" fmla="*/ 8282 h 670891"/>
              <a:gd name="connsiteX3" fmla="*/ 1499152 w 1499152"/>
              <a:gd name="connsiteY3" fmla="*/ 488674 h 670891"/>
              <a:gd name="connsiteX4" fmla="*/ 472109 w 1499152"/>
              <a:gd name="connsiteY4" fmla="*/ 513521 h 670891"/>
              <a:gd name="connsiteX5" fmla="*/ 140804 w 1499152"/>
              <a:gd name="connsiteY5" fmla="*/ 670891 h 670891"/>
              <a:gd name="connsiteX6" fmla="*/ 0 w 1499152"/>
              <a:gd name="connsiteY6" fmla="*/ 198782 h 670891"/>
              <a:gd name="connsiteX0" fmla="*/ 0 w 1555270"/>
              <a:gd name="connsiteY0" fmla="*/ 198782 h 670891"/>
              <a:gd name="connsiteX1" fmla="*/ 403988 w 1555270"/>
              <a:gd name="connsiteY1" fmla="*/ 0 h 670891"/>
              <a:gd name="connsiteX2" fmla="*/ 1555270 w 1555270"/>
              <a:gd name="connsiteY2" fmla="*/ 8282 h 670891"/>
              <a:gd name="connsiteX3" fmla="*/ 1555270 w 1555270"/>
              <a:gd name="connsiteY3" fmla="*/ 488674 h 670891"/>
              <a:gd name="connsiteX4" fmla="*/ 528227 w 1555270"/>
              <a:gd name="connsiteY4" fmla="*/ 513521 h 670891"/>
              <a:gd name="connsiteX5" fmla="*/ 196922 w 1555270"/>
              <a:gd name="connsiteY5" fmla="*/ 670891 h 670891"/>
              <a:gd name="connsiteX6" fmla="*/ 0 w 1555270"/>
              <a:gd name="connsiteY6" fmla="*/ 198782 h 670891"/>
              <a:gd name="connsiteX0" fmla="*/ 0 w 1555270"/>
              <a:gd name="connsiteY0" fmla="*/ 198782 h 670891"/>
              <a:gd name="connsiteX1" fmla="*/ 403988 w 1555270"/>
              <a:gd name="connsiteY1" fmla="*/ 0 h 670891"/>
              <a:gd name="connsiteX2" fmla="*/ 1555270 w 1555270"/>
              <a:gd name="connsiteY2" fmla="*/ 8282 h 670891"/>
              <a:gd name="connsiteX3" fmla="*/ 1555270 w 1555270"/>
              <a:gd name="connsiteY3" fmla="*/ 549665 h 670891"/>
              <a:gd name="connsiteX4" fmla="*/ 528227 w 1555270"/>
              <a:gd name="connsiteY4" fmla="*/ 513521 h 670891"/>
              <a:gd name="connsiteX5" fmla="*/ 196922 w 1555270"/>
              <a:gd name="connsiteY5" fmla="*/ 670891 h 670891"/>
              <a:gd name="connsiteX6" fmla="*/ 0 w 1555270"/>
              <a:gd name="connsiteY6" fmla="*/ 198782 h 670891"/>
              <a:gd name="connsiteX0" fmla="*/ 0 w 1555270"/>
              <a:gd name="connsiteY0" fmla="*/ 198782 h 724258"/>
              <a:gd name="connsiteX1" fmla="*/ 403988 w 1555270"/>
              <a:gd name="connsiteY1" fmla="*/ 0 h 724258"/>
              <a:gd name="connsiteX2" fmla="*/ 1555270 w 1555270"/>
              <a:gd name="connsiteY2" fmla="*/ 8282 h 724258"/>
              <a:gd name="connsiteX3" fmla="*/ 1555270 w 1555270"/>
              <a:gd name="connsiteY3" fmla="*/ 549665 h 724258"/>
              <a:gd name="connsiteX4" fmla="*/ 528227 w 1555270"/>
              <a:gd name="connsiteY4" fmla="*/ 513521 h 724258"/>
              <a:gd name="connsiteX5" fmla="*/ 188905 w 1555270"/>
              <a:gd name="connsiteY5" fmla="*/ 724258 h 724258"/>
              <a:gd name="connsiteX6" fmla="*/ 0 w 1555270"/>
              <a:gd name="connsiteY6" fmla="*/ 198782 h 724258"/>
              <a:gd name="connsiteX0" fmla="*/ 0 w 1555270"/>
              <a:gd name="connsiteY0" fmla="*/ 198782 h 724258"/>
              <a:gd name="connsiteX1" fmla="*/ 403988 w 1555270"/>
              <a:gd name="connsiteY1" fmla="*/ 0 h 724258"/>
              <a:gd name="connsiteX2" fmla="*/ 1555270 w 1555270"/>
              <a:gd name="connsiteY2" fmla="*/ 8282 h 724258"/>
              <a:gd name="connsiteX3" fmla="*/ 1555270 w 1555270"/>
              <a:gd name="connsiteY3" fmla="*/ 549665 h 724258"/>
              <a:gd name="connsiteX4" fmla="*/ 528227 w 1555270"/>
              <a:gd name="connsiteY4" fmla="*/ 544017 h 724258"/>
              <a:gd name="connsiteX5" fmla="*/ 188905 w 1555270"/>
              <a:gd name="connsiteY5" fmla="*/ 724258 h 724258"/>
              <a:gd name="connsiteX6" fmla="*/ 0 w 1555270"/>
              <a:gd name="connsiteY6" fmla="*/ 198782 h 7242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55270" h="724258">
                <a:moveTo>
                  <a:pt x="0" y="198782"/>
                </a:moveTo>
                <a:lnTo>
                  <a:pt x="403988" y="0"/>
                </a:lnTo>
                <a:lnTo>
                  <a:pt x="1555270" y="8282"/>
                </a:lnTo>
                <a:lnTo>
                  <a:pt x="1555270" y="549665"/>
                </a:lnTo>
                <a:lnTo>
                  <a:pt x="528227" y="544017"/>
                </a:lnTo>
                <a:lnTo>
                  <a:pt x="188905" y="724258"/>
                </a:lnTo>
                <a:lnTo>
                  <a:pt x="0" y="198782"/>
                </a:lnTo>
                <a:close/>
              </a:path>
            </a:pathLst>
          </a:cu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134471</xdr:colOff>
      <xdr:row>13</xdr:row>
      <xdr:rowOff>78441</xdr:rowOff>
    </xdr:from>
    <xdr:to>
      <xdr:col>16</xdr:col>
      <xdr:colOff>570738</xdr:colOff>
      <xdr:row>20</xdr:row>
      <xdr:rowOff>7013</xdr:rowOff>
    </xdr:to>
    <xdr:pic>
      <xdr:nvPicPr>
        <xdr:cNvPr id="110" name="Pictur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5"/>
        <a:stretch>
          <a:fillRect/>
        </a:stretch>
      </xdr:blipFill>
      <xdr:spPr>
        <a:xfrm>
          <a:off x="6533030" y="3563470"/>
          <a:ext cx="6745179" cy="1743925"/>
        </a:xfrm>
        <a:prstGeom prst="rect">
          <a:avLst/>
        </a:prstGeom>
      </xdr:spPr>
    </xdr:pic>
    <xdr:clientData/>
  </xdr:twoCellAnchor>
  <xdr:twoCellAnchor editAs="oneCell">
    <xdr:from>
      <xdr:col>14</xdr:col>
      <xdr:colOff>19051</xdr:colOff>
      <xdr:row>356</xdr:row>
      <xdr:rowOff>57149</xdr:rowOff>
    </xdr:from>
    <xdr:to>
      <xdr:col>16</xdr:col>
      <xdr:colOff>176013</xdr:colOff>
      <xdr:row>365</xdr:row>
      <xdr:rowOff>83549</xdr:rowOff>
    </xdr:to>
    <xdr:pic>
      <xdr:nvPicPr>
        <xdr:cNvPr id="51" name="Picture 50" descr="https://vsjcllp.vsjadon.com/upload/insp-236346-1525.jpg">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1830051" y="77087729"/>
          <a:ext cx="1406642" cy="18094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697230</xdr:colOff>
      <xdr:row>344</xdr:row>
      <xdr:rowOff>61911</xdr:rowOff>
    </xdr:from>
    <xdr:to>
      <xdr:col>15</xdr:col>
      <xdr:colOff>620060</xdr:colOff>
      <xdr:row>355</xdr:row>
      <xdr:rowOff>188594</xdr:rowOff>
    </xdr:to>
    <xdr:pic>
      <xdr:nvPicPr>
        <xdr:cNvPr id="52" name="Picture 51" descr="https://vsjcllp.vsjadon.com/upload/insp-236346-843.jpg">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9871710" y="74715051"/>
          <a:ext cx="3184190" cy="23060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26670</xdr:colOff>
      <xdr:row>344</xdr:row>
      <xdr:rowOff>57149</xdr:rowOff>
    </xdr:from>
    <xdr:to>
      <xdr:col>10</xdr:col>
      <xdr:colOff>622783</xdr:colOff>
      <xdr:row>355</xdr:row>
      <xdr:rowOff>183832</xdr:rowOff>
    </xdr:to>
    <xdr:pic>
      <xdr:nvPicPr>
        <xdr:cNvPr id="54" name="Picture 53" descr="https://vsjcllp.vsjadon.com/upload/insp-236346-844.jp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989570" y="74710289"/>
          <a:ext cx="1807693" cy="23060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1181100</xdr:colOff>
      <xdr:row>356</xdr:row>
      <xdr:rowOff>71436</xdr:rowOff>
    </xdr:from>
    <xdr:to>
      <xdr:col>11</xdr:col>
      <xdr:colOff>301550</xdr:colOff>
      <xdr:row>365</xdr:row>
      <xdr:rowOff>97836</xdr:rowOff>
    </xdr:to>
    <xdr:pic>
      <xdr:nvPicPr>
        <xdr:cNvPr id="56" name="Picture 55" descr="https://vsjcllp.vsjadon.com/upload/insp-236346-883.jpg">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741920" y="77102016"/>
          <a:ext cx="2496110" cy="18094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382906</xdr:colOff>
      <xdr:row>356</xdr:row>
      <xdr:rowOff>66674</xdr:rowOff>
    </xdr:from>
    <xdr:to>
      <xdr:col>13</xdr:col>
      <xdr:colOff>545583</xdr:colOff>
      <xdr:row>365</xdr:row>
      <xdr:rowOff>93074</xdr:rowOff>
    </xdr:to>
    <xdr:pic>
      <xdr:nvPicPr>
        <xdr:cNvPr id="57" name="Picture 56" descr="https://vsjcllp.vsjadon.com/upload/insp-236346-931.jpg">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0319386" y="77097254"/>
          <a:ext cx="1412357" cy="18094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942975</xdr:colOff>
      <xdr:row>324</xdr:row>
      <xdr:rowOff>1905</xdr:rowOff>
    </xdr:from>
    <xdr:to>
      <xdr:col>11</xdr:col>
      <xdr:colOff>613158</xdr:colOff>
      <xdr:row>343</xdr:row>
      <xdr:rowOff>188595</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503795" y="71706105"/>
          <a:ext cx="3045843" cy="4156710"/>
          <a:chOff x="219075" y="72580500"/>
          <a:chExt cx="2982978" cy="3981450"/>
        </a:xfrm>
      </xdr:grpSpPr>
      <xdr:pic>
        <xdr:nvPicPr>
          <xdr:cNvPr id="53" name="Picture 52" descr="https://vsjcllp.vsjadon.com/upload/insp-236346-845.jp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19075" y="72580500"/>
            <a:ext cx="2982978" cy="3981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58" name="TextBox 17">
            <a:extLst>
              <a:ext uri="{FF2B5EF4-FFF2-40B4-BE49-F238E27FC236}">
                <a16:creationId xmlns:a16="http://schemas.microsoft.com/office/drawing/2014/main" id="{00000000-0008-0000-0000-00003A000000}"/>
              </a:ext>
            </a:extLst>
          </xdr:cNvPr>
          <xdr:cNvSpPr txBox="1"/>
        </xdr:nvSpPr>
        <xdr:spPr>
          <a:xfrm>
            <a:off x="904875" y="72961500"/>
            <a:ext cx="310832" cy="33755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A</a:t>
            </a:r>
            <a:endParaRPr lang="en-IN" b="1"/>
          </a:p>
        </xdr:txBody>
      </xdr:sp>
      <xdr:sp macro="" textlink="">
        <xdr:nvSpPr>
          <xdr:cNvPr id="59" name="TextBox 16">
            <a:extLst>
              <a:ext uri="{FF2B5EF4-FFF2-40B4-BE49-F238E27FC236}">
                <a16:creationId xmlns:a16="http://schemas.microsoft.com/office/drawing/2014/main" id="{00000000-0008-0000-0000-00003B000000}"/>
              </a:ext>
            </a:extLst>
          </xdr:cNvPr>
          <xdr:cNvSpPr txBox="1"/>
        </xdr:nvSpPr>
        <xdr:spPr>
          <a:xfrm>
            <a:off x="1704975" y="72761475"/>
            <a:ext cx="301608" cy="33755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a:t>
            </a:r>
            <a:endParaRPr lang="en-IN" b="1"/>
          </a:p>
        </xdr:txBody>
      </xdr:sp>
    </xdr:grpSp>
    <xdr:clientData/>
  </xdr:twoCellAnchor>
  <xdr:twoCellAnchor>
    <xdr:from>
      <xdr:col>12</xdr:col>
      <xdr:colOff>97155</xdr:colOff>
      <xdr:row>324</xdr:row>
      <xdr:rowOff>1905</xdr:rowOff>
    </xdr:from>
    <xdr:to>
      <xdr:col>17</xdr:col>
      <xdr:colOff>13083</xdr:colOff>
      <xdr:row>343</xdr:row>
      <xdr:rowOff>188595</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0658475" y="71706105"/>
          <a:ext cx="3040128" cy="4156710"/>
          <a:chOff x="3286125" y="72580500"/>
          <a:chExt cx="2982978" cy="3981450"/>
        </a:xfrm>
      </xdr:grpSpPr>
      <xdr:pic>
        <xdr:nvPicPr>
          <xdr:cNvPr id="55" name="Picture 54" descr="https://vsjcllp.vsjadon.com/upload/insp-236346-849.jpg">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286125" y="72580500"/>
            <a:ext cx="2982978" cy="3981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60" name="TextBox 15">
            <a:extLst>
              <a:ext uri="{FF2B5EF4-FFF2-40B4-BE49-F238E27FC236}">
                <a16:creationId xmlns:a16="http://schemas.microsoft.com/office/drawing/2014/main" id="{00000000-0008-0000-0000-00003C000000}"/>
              </a:ext>
            </a:extLst>
          </xdr:cNvPr>
          <xdr:cNvSpPr txBox="1"/>
        </xdr:nvSpPr>
        <xdr:spPr>
          <a:xfrm>
            <a:off x="4048125" y="73342500"/>
            <a:ext cx="293921" cy="33755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C</a:t>
            </a:r>
            <a:endParaRPr lang="en-IN" b="1"/>
          </a:p>
        </xdr:txBody>
      </xdr:sp>
      <xdr:sp macro="" textlink="">
        <xdr:nvSpPr>
          <xdr:cNvPr id="61" name="TextBox 15">
            <a:extLst>
              <a:ext uri="{FF2B5EF4-FFF2-40B4-BE49-F238E27FC236}">
                <a16:creationId xmlns:a16="http://schemas.microsoft.com/office/drawing/2014/main" id="{00000000-0008-0000-0000-00003D000000}"/>
              </a:ext>
            </a:extLst>
          </xdr:cNvPr>
          <xdr:cNvSpPr txBox="1"/>
        </xdr:nvSpPr>
        <xdr:spPr>
          <a:xfrm>
            <a:off x="4857750" y="73304400"/>
            <a:ext cx="293921" cy="33755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D</a:t>
            </a:r>
            <a:endParaRPr lang="en-IN" b="1"/>
          </a:p>
        </xdr:txBody>
      </xdr:sp>
    </xdr:grpSp>
    <xdr:clientData/>
  </xdr:twoCellAnchor>
  <xdr:twoCellAnchor>
    <xdr:from>
      <xdr:col>0</xdr:col>
      <xdr:colOff>350520</xdr:colOff>
      <xdr:row>333</xdr:row>
      <xdr:rowOff>22860</xdr:rowOff>
    </xdr:from>
    <xdr:to>
      <xdr:col>7</xdr:col>
      <xdr:colOff>566981</xdr:colOff>
      <xdr:row>369</xdr:row>
      <xdr:rowOff>95891</xdr:rowOff>
    </xdr:to>
    <xdr:grpSp>
      <xdr:nvGrpSpPr>
        <xdr:cNvPr id="5" name="Group 4">
          <a:extLst>
            <a:ext uri="{FF2B5EF4-FFF2-40B4-BE49-F238E27FC236}">
              <a16:creationId xmlns:a16="http://schemas.microsoft.com/office/drawing/2014/main" id="{77FCCA28-C730-91D4-08F1-7D8318888380}"/>
            </a:ext>
          </a:extLst>
        </xdr:cNvPr>
        <xdr:cNvGrpSpPr/>
      </xdr:nvGrpSpPr>
      <xdr:grpSpPr>
        <a:xfrm>
          <a:off x="350520" y="73715880"/>
          <a:ext cx="5923841" cy="7205351"/>
          <a:chOff x="327401" y="306584"/>
          <a:chExt cx="5923841" cy="7205351"/>
        </a:xfrm>
      </xdr:grpSpPr>
      <xdr:grpSp>
        <xdr:nvGrpSpPr>
          <xdr:cNvPr id="6" name="Group 5">
            <a:extLst>
              <a:ext uri="{FF2B5EF4-FFF2-40B4-BE49-F238E27FC236}">
                <a16:creationId xmlns:a16="http://schemas.microsoft.com/office/drawing/2014/main" id="{B36E04CF-BECE-9764-3C2B-161480C4DD14}"/>
              </a:ext>
            </a:extLst>
          </xdr:cNvPr>
          <xdr:cNvGrpSpPr/>
        </xdr:nvGrpSpPr>
        <xdr:grpSpPr>
          <a:xfrm>
            <a:off x="1141542" y="5706584"/>
            <a:ext cx="4295558" cy="1805351"/>
            <a:chOff x="1416246" y="5706584"/>
            <a:chExt cx="4295558" cy="1805351"/>
          </a:xfrm>
        </xdr:grpSpPr>
        <xdr:pic>
          <xdr:nvPicPr>
            <xdr:cNvPr id="11" name="Picture 10">
              <a:extLst>
                <a:ext uri="{FF2B5EF4-FFF2-40B4-BE49-F238E27FC236}">
                  <a16:creationId xmlns:a16="http://schemas.microsoft.com/office/drawing/2014/main" id="{31875A61-6BCC-59BE-0076-EF36BB0E19E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889728" y="5711935"/>
              <a:ext cx="1348594" cy="1800000"/>
            </a:xfrm>
            <a:prstGeom prst="rect">
              <a:avLst/>
            </a:prstGeom>
            <a:ln>
              <a:solidFill>
                <a:schemeClr val="tx1"/>
              </a:solidFill>
            </a:ln>
          </xdr:spPr>
        </xdr:pic>
        <xdr:pic>
          <xdr:nvPicPr>
            <xdr:cNvPr id="12" name="Picture 11">
              <a:extLst>
                <a:ext uri="{FF2B5EF4-FFF2-40B4-BE49-F238E27FC236}">
                  <a16:creationId xmlns:a16="http://schemas.microsoft.com/office/drawing/2014/main" id="{0604846B-74A5-39D7-E5EC-E6945A6469B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363210" y="5706584"/>
              <a:ext cx="1348594" cy="1800000"/>
            </a:xfrm>
            <a:prstGeom prst="rect">
              <a:avLst/>
            </a:prstGeom>
            <a:ln>
              <a:solidFill>
                <a:schemeClr val="tx1"/>
              </a:solidFill>
            </a:ln>
          </xdr:spPr>
        </xdr:pic>
        <xdr:pic>
          <xdr:nvPicPr>
            <xdr:cNvPr id="13" name="Picture 12">
              <a:extLst>
                <a:ext uri="{FF2B5EF4-FFF2-40B4-BE49-F238E27FC236}">
                  <a16:creationId xmlns:a16="http://schemas.microsoft.com/office/drawing/2014/main" id="{C71EDA4C-8E50-19F2-0BB1-3A1AB326778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16246" y="5706584"/>
              <a:ext cx="1348594" cy="180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E2849E6F-5940-201C-0FBF-ECD5DBC0244A}"/>
              </a:ext>
            </a:extLst>
          </xdr:cNvPr>
          <xdr:cNvGrpSpPr/>
        </xdr:nvGrpSpPr>
        <xdr:grpSpPr>
          <a:xfrm>
            <a:off x="327401" y="306584"/>
            <a:ext cx="5923841" cy="5220000"/>
            <a:chOff x="327401" y="306584"/>
            <a:chExt cx="5923841" cy="5220000"/>
          </a:xfrm>
        </xdr:grpSpPr>
        <xdr:pic>
          <xdr:nvPicPr>
            <xdr:cNvPr id="8" name="Picture 7">
              <a:extLst>
                <a:ext uri="{FF2B5EF4-FFF2-40B4-BE49-F238E27FC236}">
                  <a16:creationId xmlns:a16="http://schemas.microsoft.com/office/drawing/2014/main" id="{0806C918-C427-6284-FE10-A021524911B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27401" y="306584"/>
              <a:ext cx="3910921" cy="5220000"/>
            </a:xfrm>
            <a:prstGeom prst="rect">
              <a:avLst/>
            </a:prstGeom>
            <a:ln>
              <a:solidFill>
                <a:schemeClr val="tx1"/>
              </a:solidFill>
            </a:ln>
          </xdr:spPr>
        </xdr:pic>
        <xdr:pic>
          <xdr:nvPicPr>
            <xdr:cNvPr id="9" name="Picture 8">
              <a:extLst>
                <a:ext uri="{FF2B5EF4-FFF2-40B4-BE49-F238E27FC236}">
                  <a16:creationId xmlns:a16="http://schemas.microsoft.com/office/drawing/2014/main" id="{DB97D029-0915-7C62-B469-ED492A1ECEB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363210" y="3006584"/>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5898D492-E26D-0AF2-6064-2AC9449289E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363211" y="306584"/>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441600</xdr:colOff>
      <xdr:row>12</xdr:row>
      <xdr:rowOff>64500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90500"/>
          <a:ext cx="2880000" cy="2160000"/>
        </a:xfrm>
        <a:prstGeom prst="rect">
          <a:avLst/>
        </a:prstGeom>
      </xdr:spPr>
    </xdr:pic>
    <xdr:clientData/>
  </xdr:twoCellAnchor>
  <xdr:twoCellAnchor editAs="oneCell">
    <xdr:from>
      <xdr:col>7</xdr:col>
      <xdr:colOff>71718</xdr:colOff>
      <xdr:row>1</xdr:row>
      <xdr:rowOff>0</xdr:rowOff>
    </xdr:from>
    <xdr:to>
      <xdr:col>11</xdr:col>
      <xdr:colOff>513318</xdr:colOff>
      <xdr:row>12</xdr:row>
      <xdr:rowOff>64500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38918" y="190500"/>
          <a:ext cx="2880000" cy="2160000"/>
        </a:xfrm>
        <a:prstGeom prst="rect">
          <a:avLst/>
        </a:prstGeom>
      </xdr:spPr>
    </xdr:pic>
    <xdr:clientData/>
  </xdr:twoCellAnchor>
  <xdr:twoCellAnchor editAs="oneCell">
    <xdr:from>
      <xdr:col>3</xdr:col>
      <xdr:colOff>0</xdr:colOff>
      <xdr:row>16</xdr:row>
      <xdr:rowOff>0</xdr:rowOff>
    </xdr:from>
    <xdr:to>
      <xdr:col>24</xdr:col>
      <xdr:colOff>209550</xdr:colOff>
      <xdr:row>54</xdr:row>
      <xdr:rowOff>76200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828800" y="3048000"/>
          <a:ext cx="13011150" cy="7315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12</xdr:row>
      <xdr:rowOff>0</xdr:rowOff>
    </xdr:from>
    <xdr:to>
      <xdr:col>6</xdr:col>
      <xdr:colOff>277946</xdr:colOff>
      <xdr:row>30</xdr:row>
      <xdr:rowOff>171000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09601" y="2476500"/>
          <a:ext cx="6754945" cy="3600000"/>
        </a:xfrm>
        <a:prstGeom prst="rect">
          <a:avLst/>
        </a:prstGeom>
        <a:ln>
          <a:solidFill>
            <a:schemeClr val="tx1"/>
          </a:solidFill>
        </a:ln>
      </xdr:spPr>
    </xdr:pic>
    <xdr:clientData/>
  </xdr:twoCellAnchor>
  <xdr:twoCellAnchor editAs="oneCell">
    <xdr:from>
      <xdr:col>1</xdr:col>
      <xdr:colOff>0</xdr:colOff>
      <xdr:row>31</xdr:row>
      <xdr:rowOff>157396</xdr:rowOff>
    </xdr:from>
    <xdr:to>
      <xdr:col>6</xdr:col>
      <xdr:colOff>277945</xdr:colOff>
      <xdr:row>50</xdr:row>
      <xdr:rowOff>137896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609600" y="6253396"/>
          <a:ext cx="6754945" cy="3600000"/>
        </a:xfrm>
        <a:prstGeom prst="rect">
          <a:avLst/>
        </a:prstGeom>
        <a:ln>
          <a:solidFill>
            <a:schemeClr val="tx1"/>
          </a:solidFill>
        </a:ln>
      </xdr:spPr>
    </xdr:pic>
    <xdr:clientData/>
  </xdr:twoCellAnchor>
  <xdr:twoCellAnchor editAs="oneCell">
    <xdr:from>
      <xdr:col>6</xdr:col>
      <xdr:colOff>402883</xdr:colOff>
      <xdr:row>12</xdr:row>
      <xdr:rowOff>0</xdr:rowOff>
    </xdr:from>
    <xdr:to>
      <xdr:col>16</xdr:col>
      <xdr:colOff>118853</xdr:colOff>
      <xdr:row>30</xdr:row>
      <xdr:rowOff>171000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7489483" y="2476500"/>
          <a:ext cx="6754945" cy="3600000"/>
        </a:xfrm>
        <a:prstGeom prst="rect">
          <a:avLst/>
        </a:prstGeom>
        <a:ln>
          <a:solidFill>
            <a:schemeClr val="tx1"/>
          </a:solidFill>
        </a:ln>
      </xdr:spPr>
    </xdr:pic>
    <xdr:clientData/>
  </xdr:twoCellAnchor>
  <xdr:twoCellAnchor editAs="oneCell">
    <xdr:from>
      <xdr:col>6</xdr:col>
      <xdr:colOff>408812</xdr:colOff>
      <xdr:row>31</xdr:row>
      <xdr:rowOff>157396</xdr:rowOff>
    </xdr:from>
    <xdr:to>
      <xdr:col>16</xdr:col>
      <xdr:colOff>124782</xdr:colOff>
      <xdr:row>50</xdr:row>
      <xdr:rowOff>137896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7495412" y="6253396"/>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VstKCzLzFkaSHbCH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8"/>
  <sheetViews>
    <sheetView tabSelected="1" view="pageBreakPreview" zoomScaleNormal="100" zoomScaleSheetLayoutView="100" zoomScalePageLayoutView="85" workbookViewId="0">
      <selection activeCell="L319" sqref="L319"/>
    </sheetView>
  </sheetViews>
  <sheetFormatPr defaultColWidth="9.109375" defaultRowHeight="15.6" x14ac:dyDescent="0.3"/>
  <cols>
    <col min="1" max="1" width="11.44140625" style="12" customWidth="1"/>
    <col min="2" max="2" width="11.109375" style="12" customWidth="1"/>
    <col min="3" max="3" width="12.6640625" style="12" customWidth="1"/>
    <col min="4" max="4" width="13" style="12" customWidth="1"/>
    <col min="5" max="7" width="11.6640625" style="12" customWidth="1"/>
    <col min="8" max="8" width="12.44140625" style="12" customWidth="1"/>
    <col min="9" max="9" width="20.44140625" style="3" customWidth="1"/>
    <col min="10" max="10" width="17.6640625" style="3" customWidth="1"/>
    <col min="11" max="11" width="11.109375" style="3" customWidth="1"/>
    <col min="12" max="252" width="9.109375" style="3"/>
    <col min="253" max="253" width="8.6640625" style="3" customWidth="1"/>
    <col min="254" max="254" width="9.88671875" style="3" customWidth="1"/>
    <col min="255" max="255" width="14.44140625" style="3" customWidth="1"/>
    <col min="256" max="256" width="7.33203125" style="3" customWidth="1"/>
    <col min="257" max="257" width="5.5546875" style="3" customWidth="1"/>
    <col min="258" max="258" width="9" style="3" customWidth="1"/>
    <col min="259" max="260" width="9.88671875" style="3" customWidth="1"/>
    <col min="261" max="261" width="11.109375" style="3" customWidth="1"/>
    <col min="262" max="262" width="2.88671875" style="3" customWidth="1"/>
    <col min="263" max="263" width="3.5546875" style="3" customWidth="1"/>
    <col min="264" max="508" width="9.109375" style="3"/>
    <col min="509" max="509" width="8.6640625" style="3" customWidth="1"/>
    <col min="510" max="510" width="9.88671875" style="3" customWidth="1"/>
    <col min="511" max="511" width="14.44140625" style="3" customWidth="1"/>
    <col min="512" max="512" width="7.33203125" style="3" customWidth="1"/>
    <col min="513" max="513" width="5.5546875" style="3" customWidth="1"/>
    <col min="514" max="514" width="9" style="3" customWidth="1"/>
    <col min="515" max="516" width="9.88671875" style="3" customWidth="1"/>
    <col min="517" max="517" width="11.109375" style="3" customWidth="1"/>
    <col min="518" max="518" width="2.88671875" style="3" customWidth="1"/>
    <col min="519" max="519" width="3.5546875" style="3" customWidth="1"/>
    <col min="520" max="764" width="9.109375" style="3"/>
    <col min="765" max="765" width="8.6640625" style="3" customWidth="1"/>
    <col min="766" max="766" width="9.88671875" style="3" customWidth="1"/>
    <col min="767" max="767" width="14.44140625" style="3" customWidth="1"/>
    <col min="768" max="768" width="7.33203125" style="3" customWidth="1"/>
    <col min="769" max="769" width="5.5546875" style="3" customWidth="1"/>
    <col min="770" max="770" width="9" style="3" customWidth="1"/>
    <col min="771" max="772" width="9.88671875" style="3" customWidth="1"/>
    <col min="773" max="773" width="11.109375" style="3" customWidth="1"/>
    <col min="774" max="774" width="2.88671875" style="3" customWidth="1"/>
    <col min="775" max="775" width="3.5546875" style="3" customWidth="1"/>
    <col min="776" max="1020" width="9.109375" style="3"/>
    <col min="1021" max="1021" width="8.6640625" style="3" customWidth="1"/>
    <col min="1022" max="1022" width="9.88671875" style="3" customWidth="1"/>
    <col min="1023" max="1023" width="14.44140625" style="3" customWidth="1"/>
    <col min="1024" max="1024" width="7.33203125" style="3" customWidth="1"/>
    <col min="1025" max="1025" width="5.5546875" style="3" customWidth="1"/>
    <col min="1026" max="1026" width="9" style="3" customWidth="1"/>
    <col min="1027" max="1028" width="9.88671875" style="3" customWidth="1"/>
    <col min="1029" max="1029" width="11.109375" style="3" customWidth="1"/>
    <col min="1030" max="1030" width="2.88671875" style="3" customWidth="1"/>
    <col min="1031" max="1031" width="3.5546875" style="3" customWidth="1"/>
    <col min="1032" max="1276" width="9.109375" style="3"/>
    <col min="1277" max="1277" width="8.6640625" style="3" customWidth="1"/>
    <col min="1278" max="1278" width="9.88671875" style="3" customWidth="1"/>
    <col min="1279" max="1279" width="14.44140625" style="3" customWidth="1"/>
    <col min="1280" max="1280" width="7.33203125" style="3" customWidth="1"/>
    <col min="1281" max="1281" width="5.5546875" style="3" customWidth="1"/>
    <col min="1282" max="1282" width="9" style="3" customWidth="1"/>
    <col min="1283" max="1284" width="9.88671875" style="3" customWidth="1"/>
    <col min="1285" max="1285" width="11.109375" style="3" customWidth="1"/>
    <col min="1286" max="1286" width="2.88671875" style="3" customWidth="1"/>
    <col min="1287" max="1287" width="3.5546875" style="3" customWidth="1"/>
    <col min="1288" max="1532" width="9.109375" style="3"/>
    <col min="1533" max="1533" width="8.6640625" style="3" customWidth="1"/>
    <col min="1534" max="1534" width="9.88671875" style="3" customWidth="1"/>
    <col min="1535" max="1535" width="14.44140625" style="3" customWidth="1"/>
    <col min="1536" max="1536" width="7.33203125" style="3" customWidth="1"/>
    <col min="1537" max="1537" width="5.5546875" style="3" customWidth="1"/>
    <col min="1538" max="1538" width="9" style="3" customWidth="1"/>
    <col min="1539" max="1540" width="9.88671875" style="3" customWidth="1"/>
    <col min="1541" max="1541" width="11.109375" style="3" customWidth="1"/>
    <col min="1542" max="1542" width="2.88671875" style="3" customWidth="1"/>
    <col min="1543" max="1543" width="3.5546875" style="3" customWidth="1"/>
    <col min="1544" max="1788" width="9.109375" style="3"/>
    <col min="1789" max="1789" width="8.6640625" style="3" customWidth="1"/>
    <col min="1790" max="1790" width="9.88671875" style="3" customWidth="1"/>
    <col min="1791" max="1791" width="14.44140625" style="3" customWidth="1"/>
    <col min="1792" max="1792" width="7.33203125" style="3" customWidth="1"/>
    <col min="1793" max="1793" width="5.5546875" style="3" customWidth="1"/>
    <col min="1794" max="1794" width="9" style="3" customWidth="1"/>
    <col min="1795" max="1796" width="9.88671875" style="3" customWidth="1"/>
    <col min="1797" max="1797" width="11.109375" style="3" customWidth="1"/>
    <col min="1798" max="1798" width="2.88671875" style="3" customWidth="1"/>
    <col min="1799" max="1799" width="3.5546875" style="3" customWidth="1"/>
    <col min="1800" max="2044" width="9.109375" style="3"/>
    <col min="2045" max="2045" width="8.6640625" style="3" customWidth="1"/>
    <col min="2046" max="2046" width="9.88671875" style="3" customWidth="1"/>
    <col min="2047" max="2047" width="14.44140625" style="3" customWidth="1"/>
    <col min="2048" max="2048" width="7.33203125" style="3" customWidth="1"/>
    <col min="2049" max="2049" width="5.5546875" style="3" customWidth="1"/>
    <col min="2050" max="2050" width="9" style="3" customWidth="1"/>
    <col min="2051" max="2052" width="9.88671875" style="3" customWidth="1"/>
    <col min="2053" max="2053" width="11.109375" style="3" customWidth="1"/>
    <col min="2054" max="2054" width="2.88671875" style="3" customWidth="1"/>
    <col min="2055" max="2055" width="3.5546875" style="3" customWidth="1"/>
    <col min="2056" max="2300" width="9.109375" style="3"/>
    <col min="2301" max="2301" width="8.6640625" style="3" customWidth="1"/>
    <col min="2302" max="2302" width="9.88671875" style="3" customWidth="1"/>
    <col min="2303" max="2303" width="14.44140625" style="3" customWidth="1"/>
    <col min="2304" max="2304" width="7.33203125" style="3" customWidth="1"/>
    <col min="2305" max="2305" width="5.5546875" style="3" customWidth="1"/>
    <col min="2306" max="2306" width="9" style="3" customWidth="1"/>
    <col min="2307" max="2308" width="9.88671875" style="3" customWidth="1"/>
    <col min="2309" max="2309" width="11.109375" style="3" customWidth="1"/>
    <col min="2310" max="2310" width="2.88671875" style="3" customWidth="1"/>
    <col min="2311" max="2311" width="3.5546875" style="3" customWidth="1"/>
    <col min="2312" max="2556" width="9.109375" style="3"/>
    <col min="2557" max="2557" width="8.6640625" style="3" customWidth="1"/>
    <col min="2558" max="2558" width="9.88671875" style="3" customWidth="1"/>
    <col min="2559" max="2559" width="14.44140625" style="3" customWidth="1"/>
    <col min="2560" max="2560" width="7.33203125" style="3" customWidth="1"/>
    <col min="2561" max="2561" width="5.5546875" style="3" customWidth="1"/>
    <col min="2562" max="2562" width="9" style="3" customWidth="1"/>
    <col min="2563" max="2564" width="9.88671875" style="3" customWidth="1"/>
    <col min="2565" max="2565" width="11.109375" style="3" customWidth="1"/>
    <col min="2566" max="2566" width="2.88671875" style="3" customWidth="1"/>
    <col min="2567" max="2567" width="3.5546875" style="3" customWidth="1"/>
    <col min="2568" max="2812" width="9.109375" style="3"/>
    <col min="2813" max="2813" width="8.6640625" style="3" customWidth="1"/>
    <col min="2814" max="2814" width="9.88671875" style="3" customWidth="1"/>
    <col min="2815" max="2815" width="14.44140625" style="3" customWidth="1"/>
    <col min="2816" max="2816" width="7.33203125" style="3" customWidth="1"/>
    <col min="2817" max="2817" width="5.5546875" style="3" customWidth="1"/>
    <col min="2818" max="2818" width="9" style="3" customWidth="1"/>
    <col min="2819" max="2820" width="9.88671875" style="3" customWidth="1"/>
    <col min="2821" max="2821" width="11.109375" style="3" customWidth="1"/>
    <col min="2822" max="2822" width="2.88671875" style="3" customWidth="1"/>
    <col min="2823" max="2823" width="3.5546875" style="3" customWidth="1"/>
    <col min="2824" max="3068" width="9.109375" style="3"/>
    <col min="3069" max="3069" width="8.6640625" style="3" customWidth="1"/>
    <col min="3070" max="3070" width="9.88671875" style="3" customWidth="1"/>
    <col min="3071" max="3071" width="14.44140625" style="3" customWidth="1"/>
    <col min="3072" max="3072" width="7.33203125" style="3" customWidth="1"/>
    <col min="3073" max="3073" width="5.5546875" style="3" customWidth="1"/>
    <col min="3074" max="3074" width="9" style="3" customWidth="1"/>
    <col min="3075" max="3076" width="9.88671875" style="3" customWidth="1"/>
    <col min="3077" max="3077" width="11.109375" style="3" customWidth="1"/>
    <col min="3078" max="3078" width="2.88671875" style="3" customWidth="1"/>
    <col min="3079" max="3079" width="3.5546875" style="3" customWidth="1"/>
    <col min="3080" max="3324" width="9.109375" style="3"/>
    <col min="3325" max="3325" width="8.6640625" style="3" customWidth="1"/>
    <col min="3326" max="3326" width="9.88671875" style="3" customWidth="1"/>
    <col min="3327" max="3327" width="14.44140625" style="3" customWidth="1"/>
    <col min="3328" max="3328" width="7.33203125" style="3" customWidth="1"/>
    <col min="3329" max="3329" width="5.5546875" style="3" customWidth="1"/>
    <col min="3330" max="3330" width="9" style="3" customWidth="1"/>
    <col min="3331" max="3332" width="9.88671875" style="3" customWidth="1"/>
    <col min="3333" max="3333" width="11.109375" style="3" customWidth="1"/>
    <col min="3334" max="3334" width="2.88671875" style="3" customWidth="1"/>
    <col min="3335" max="3335" width="3.5546875" style="3" customWidth="1"/>
    <col min="3336" max="3580" width="9.109375" style="3"/>
    <col min="3581" max="3581" width="8.6640625" style="3" customWidth="1"/>
    <col min="3582" max="3582" width="9.88671875" style="3" customWidth="1"/>
    <col min="3583" max="3583" width="14.44140625" style="3" customWidth="1"/>
    <col min="3584" max="3584" width="7.33203125" style="3" customWidth="1"/>
    <col min="3585" max="3585" width="5.5546875" style="3" customWidth="1"/>
    <col min="3586" max="3586" width="9" style="3" customWidth="1"/>
    <col min="3587" max="3588" width="9.88671875" style="3" customWidth="1"/>
    <col min="3589" max="3589" width="11.109375" style="3" customWidth="1"/>
    <col min="3590" max="3590" width="2.88671875" style="3" customWidth="1"/>
    <col min="3591" max="3591" width="3.5546875" style="3" customWidth="1"/>
    <col min="3592" max="3836" width="9.109375" style="3"/>
    <col min="3837" max="3837" width="8.6640625" style="3" customWidth="1"/>
    <col min="3838" max="3838" width="9.88671875" style="3" customWidth="1"/>
    <col min="3839" max="3839" width="14.44140625" style="3" customWidth="1"/>
    <col min="3840" max="3840" width="7.33203125" style="3" customWidth="1"/>
    <col min="3841" max="3841" width="5.5546875" style="3" customWidth="1"/>
    <col min="3842" max="3842" width="9" style="3" customWidth="1"/>
    <col min="3843" max="3844" width="9.88671875" style="3" customWidth="1"/>
    <col min="3845" max="3845" width="11.109375" style="3" customWidth="1"/>
    <col min="3846" max="3846" width="2.88671875" style="3" customWidth="1"/>
    <col min="3847" max="3847" width="3.5546875" style="3" customWidth="1"/>
    <col min="3848" max="4092" width="9.109375" style="3"/>
    <col min="4093" max="4093" width="8.6640625" style="3" customWidth="1"/>
    <col min="4094" max="4094" width="9.88671875" style="3" customWidth="1"/>
    <col min="4095" max="4095" width="14.44140625" style="3" customWidth="1"/>
    <col min="4096" max="4096" width="7.33203125" style="3" customWidth="1"/>
    <col min="4097" max="4097" width="5.5546875" style="3" customWidth="1"/>
    <col min="4098" max="4098" width="9" style="3" customWidth="1"/>
    <col min="4099" max="4100" width="9.88671875" style="3" customWidth="1"/>
    <col min="4101" max="4101" width="11.109375" style="3" customWidth="1"/>
    <col min="4102" max="4102" width="2.88671875" style="3" customWidth="1"/>
    <col min="4103" max="4103" width="3.5546875" style="3" customWidth="1"/>
    <col min="4104" max="4348" width="9.109375" style="3"/>
    <col min="4349" max="4349" width="8.6640625" style="3" customWidth="1"/>
    <col min="4350" max="4350" width="9.88671875" style="3" customWidth="1"/>
    <col min="4351" max="4351" width="14.44140625" style="3" customWidth="1"/>
    <col min="4352" max="4352" width="7.33203125" style="3" customWidth="1"/>
    <col min="4353" max="4353" width="5.5546875" style="3" customWidth="1"/>
    <col min="4354" max="4354" width="9" style="3" customWidth="1"/>
    <col min="4355" max="4356" width="9.88671875" style="3" customWidth="1"/>
    <col min="4357" max="4357" width="11.109375" style="3" customWidth="1"/>
    <col min="4358" max="4358" width="2.88671875" style="3" customWidth="1"/>
    <col min="4359" max="4359" width="3.5546875" style="3" customWidth="1"/>
    <col min="4360" max="4604" width="9.109375" style="3"/>
    <col min="4605" max="4605" width="8.6640625" style="3" customWidth="1"/>
    <col min="4606" max="4606" width="9.88671875" style="3" customWidth="1"/>
    <col min="4607" max="4607" width="14.44140625" style="3" customWidth="1"/>
    <col min="4608" max="4608" width="7.33203125" style="3" customWidth="1"/>
    <col min="4609" max="4609" width="5.5546875" style="3" customWidth="1"/>
    <col min="4610" max="4610" width="9" style="3" customWidth="1"/>
    <col min="4611" max="4612" width="9.88671875" style="3" customWidth="1"/>
    <col min="4613" max="4613" width="11.109375" style="3" customWidth="1"/>
    <col min="4614" max="4614" width="2.88671875" style="3" customWidth="1"/>
    <col min="4615" max="4615" width="3.5546875" style="3" customWidth="1"/>
    <col min="4616" max="4860" width="9.109375" style="3"/>
    <col min="4861" max="4861" width="8.6640625" style="3" customWidth="1"/>
    <col min="4862" max="4862" width="9.88671875" style="3" customWidth="1"/>
    <col min="4863" max="4863" width="14.44140625" style="3" customWidth="1"/>
    <col min="4864" max="4864" width="7.33203125" style="3" customWidth="1"/>
    <col min="4865" max="4865" width="5.5546875" style="3" customWidth="1"/>
    <col min="4866" max="4866" width="9" style="3" customWidth="1"/>
    <col min="4867" max="4868" width="9.88671875" style="3" customWidth="1"/>
    <col min="4869" max="4869" width="11.109375" style="3" customWidth="1"/>
    <col min="4870" max="4870" width="2.88671875" style="3" customWidth="1"/>
    <col min="4871" max="4871" width="3.5546875" style="3" customWidth="1"/>
    <col min="4872" max="5116" width="9.109375" style="3"/>
    <col min="5117" max="5117" width="8.6640625" style="3" customWidth="1"/>
    <col min="5118" max="5118" width="9.88671875" style="3" customWidth="1"/>
    <col min="5119" max="5119" width="14.44140625" style="3" customWidth="1"/>
    <col min="5120" max="5120" width="7.33203125" style="3" customWidth="1"/>
    <col min="5121" max="5121" width="5.5546875" style="3" customWidth="1"/>
    <col min="5122" max="5122" width="9" style="3" customWidth="1"/>
    <col min="5123" max="5124" width="9.88671875" style="3" customWidth="1"/>
    <col min="5125" max="5125" width="11.109375" style="3" customWidth="1"/>
    <col min="5126" max="5126" width="2.88671875" style="3" customWidth="1"/>
    <col min="5127" max="5127" width="3.5546875" style="3" customWidth="1"/>
    <col min="5128" max="5372" width="9.109375" style="3"/>
    <col min="5373" max="5373" width="8.6640625" style="3" customWidth="1"/>
    <col min="5374" max="5374" width="9.88671875" style="3" customWidth="1"/>
    <col min="5375" max="5375" width="14.44140625" style="3" customWidth="1"/>
    <col min="5376" max="5376" width="7.33203125" style="3" customWidth="1"/>
    <col min="5377" max="5377" width="5.5546875" style="3" customWidth="1"/>
    <col min="5378" max="5378" width="9" style="3" customWidth="1"/>
    <col min="5379" max="5380" width="9.88671875" style="3" customWidth="1"/>
    <col min="5381" max="5381" width="11.109375" style="3" customWidth="1"/>
    <col min="5382" max="5382" width="2.88671875" style="3" customWidth="1"/>
    <col min="5383" max="5383" width="3.5546875" style="3" customWidth="1"/>
    <col min="5384" max="5628" width="9.109375" style="3"/>
    <col min="5629" max="5629" width="8.6640625" style="3" customWidth="1"/>
    <col min="5630" max="5630" width="9.88671875" style="3" customWidth="1"/>
    <col min="5631" max="5631" width="14.44140625" style="3" customWidth="1"/>
    <col min="5632" max="5632" width="7.33203125" style="3" customWidth="1"/>
    <col min="5633" max="5633" width="5.5546875" style="3" customWidth="1"/>
    <col min="5634" max="5634" width="9" style="3" customWidth="1"/>
    <col min="5635" max="5636" width="9.88671875" style="3" customWidth="1"/>
    <col min="5637" max="5637" width="11.109375" style="3" customWidth="1"/>
    <col min="5638" max="5638" width="2.88671875" style="3" customWidth="1"/>
    <col min="5639" max="5639" width="3.5546875" style="3" customWidth="1"/>
    <col min="5640" max="5884" width="9.109375" style="3"/>
    <col min="5885" max="5885" width="8.6640625" style="3" customWidth="1"/>
    <col min="5886" max="5886" width="9.88671875" style="3" customWidth="1"/>
    <col min="5887" max="5887" width="14.44140625" style="3" customWidth="1"/>
    <col min="5888" max="5888" width="7.33203125" style="3" customWidth="1"/>
    <col min="5889" max="5889" width="5.5546875" style="3" customWidth="1"/>
    <col min="5890" max="5890" width="9" style="3" customWidth="1"/>
    <col min="5891" max="5892" width="9.88671875" style="3" customWidth="1"/>
    <col min="5893" max="5893" width="11.109375" style="3" customWidth="1"/>
    <col min="5894" max="5894" width="2.88671875" style="3" customWidth="1"/>
    <col min="5895" max="5895" width="3.5546875" style="3" customWidth="1"/>
    <col min="5896" max="6140" width="9.109375" style="3"/>
    <col min="6141" max="6141" width="8.6640625" style="3" customWidth="1"/>
    <col min="6142" max="6142" width="9.88671875" style="3" customWidth="1"/>
    <col min="6143" max="6143" width="14.44140625" style="3" customWidth="1"/>
    <col min="6144" max="6144" width="7.33203125" style="3" customWidth="1"/>
    <col min="6145" max="6145" width="5.5546875" style="3" customWidth="1"/>
    <col min="6146" max="6146" width="9" style="3" customWidth="1"/>
    <col min="6147" max="6148" width="9.88671875" style="3" customWidth="1"/>
    <col min="6149" max="6149" width="11.109375" style="3" customWidth="1"/>
    <col min="6150" max="6150" width="2.88671875" style="3" customWidth="1"/>
    <col min="6151" max="6151" width="3.5546875" style="3" customWidth="1"/>
    <col min="6152" max="6396" width="9.109375" style="3"/>
    <col min="6397" max="6397" width="8.6640625" style="3" customWidth="1"/>
    <col min="6398" max="6398" width="9.88671875" style="3" customWidth="1"/>
    <col min="6399" max="6399" width="14.44140625" style="3" customWidth="1"/>
    <col min="6400" max="6400" width="7.33203125" style="3" customWidth="1"/>
    <col min="6401" max="6401" width="5.5546875" style="3" customWidth="1"/>
    <col min="6402" max="6402" width="9" style="3" customWidth="1"/>
    <col min="6403" max="6404" width="9.88671875" style="3" customWidth="1"/>
    <col min="6405" max="6405" width="11.109375" style="3" customWidth="1"/>
    <col min="6406" max="6406" width="2.88671875" style="3" customWidth="1"/>
    <col min="6407" max="6407" width="3.5546875" style="3" customWidth="1"/>
    <col min="6408" max="6652" width="9.109375" style="3"/>
    <col min="6653" max="6653" width="8.6640625" style="3" customWidth="1"/>
    <col min="6654" max="6654" width="9.88671875" style="3" customWidth="1"/>
    <col min="6655" max="6655" width="14.44140625" style="3" customWidth="1"/>
    <col min="6656" max="6656" width="7.33203125" style="3" customWidth="1"/>
    <col min="6657" max="6657" width="5.5546875" style="3" customWidth="1"/>
    <col min="6658" max="6658" width="9" style="3" customWidth="1"/>
    <col min="6659" max="6660" width="9.88671875" style="3" customWidth="1"/>
    <col min="6661" max="6661" width="11.109375" style="3" customWidth="1"/>
    <col min="6662" max="6662" width="2.88671875" style="3" customWidth="1"/>
    <col min="6663" max="6663" width="3.5546875" style="3" customWidth="1"/>
    <col min="6664" max="6908" width="9.109375" style="3"/>
    <col min="6909" max="6909" width="8.6640625" style="3" customWidth="1"/>
    <col min="6910" max="6910" width="9.88671875" style="3" customWidth="1"/>
    <col min="6911" max="6911" width="14.44140625" style="3" customWidth="1"/>
    <col min="6912" max="6912" width="7.33203125" style="3" customWidth="1"/>
    <col min="6913" max="6913" width="5.5546875" style="3" customWidth="1"/>
    <col min="6914" max="6914" width="9" style="3" customWidth="1"/>
    <col min="6915" max="6916" width="9.88671875" style="3" customWidth="1"/>
    <col min="6917" max="6917" width="11.109375" style="3" customWidth="1"/>
    <col min="6918" max="6918" width="2.88671875" style="3" customWidth="1"/>
    <col min="6919" max="6919" width="3.5546875" style="3" customWidth="1"/>
    <col min="6920" max="7164" width="9.109375" style="3"/>
    <col min="7165" max="7165" width="8.6640625" style="3" customWidth="1"/>
    <col min="7166" max="7166" width="9.88671875" style="3" customWidth="1"/>
    <col min="7167" max="7167" width="14.44140625" style="3" customWidth="1"/>
    <col min="7168" max="7168" width="7.33203125" style="3" customWidth="1"/>
    <col min="7169" max="7169" width="5.5546875" style="3" customWidth="1"/>
    <col min="7170" max="7170" width="9" style="3" customWidth="1"/>
    <col min="7171" max="7172" width="9.88671875" style="3" customWidth="1"/>
    <col min="7173" max="7173" width="11.109375" style="3" customWidth="1"/>
    <col min="7174" max="7174" width="2.88671875" style="3" customWidth="1"/>
    <col min="7175" max="7175" width="3.5546875" style="3" customWidth="1"/>
    <col min="7176" max="7420" width="9.109375" style="3"/>
    <col min="7421" max="7421" width="8.6640625" style="3" customWidth="1"/>
    <col min="7422" max="7422" width="9.88671875" style="3" customWidth="1"/>
    <col min="7423" max="7423" width="14.44140625" style="3" customWidth="1"/>
    <col min="7424" max="7424" width="7.33203125" style="3" customWidth="1"/>
    <col min="7425" max="7425" width="5.5546875" style="3" customWidth="1"/>
    <col min="7426" max="7426" width="9" style="3" customWidth="1"/>
    <col min="7427" max="7428" width="9.88671875" style="3" customWidth="1"/>
    <col min="7429" max="7429" width="11.109375" style="3" customWidth="1"/>
    <col min="7430" max="7430" width="2.88671875" style="3" customWidth="1"/>
    <col min="7431" max="7431" width="3.5546875" style="3" customWidth="1"/>
    <col min="7432" max="7676" width="9.109375" style="3"/>
    <col min="7677" max="7677" width="8.6640625" style="3" customWidth="1"/>
    <col min="7678" max="7678" width="9.88671875" style="3" customWidth="1"/>
    <col min="7679" max="7679" width="14.44140625" style="3" customWidth="1"/>
    <col min="7680" max="7680" width="7.33203125" style="3" customWidth="1"/>
    <col min="7681" max="7681" width="5.5546875" style="3" customWidth="1"/>
    <col min="7682" max="7682" width="9" style="3" customWidth="1"/>
    <col min="7683" max="7684" width="9.88671875" style="3" customWidth="1"/>
    <col min="7685" max="7685" width="11.109375" style="3" customWidth="1"/>
    <col min="7686" max="7686" width="2.88671875" style="3" customWidth="1"/>
    <col min="7687" max="7687" width="3.5546875" style="3" customWidth="1"/>
    <col min="7688" max="7932" width="9.109375" style="3"/>
    <col min="7933" max="7933" width="8.6640625" style="3" customWidth="1"/>
    <col min="7934" max="7934" width="9.88671875" style="3" customWidth="1"/>
    <col min="7935" max="7935" width="14.44140625" style="3" customWidth="1"/>
    <col min="7936" max="7936" width="7.33203125" style="3" customWidth="1"/>
    <col min="7937" max="7937" width="5.5546875" style="3" customWidth="1"/>
    <col min="7938" max="7938" width="9" style="3" customWidth="1"/>
    <col min="7939" max="7940" width="9.88671875" style="3" customWidth="1"/>
    <col min="7941" max="7941" width="11.109375" style="3" customWidth="1"/>
    <col min="7942" max="7942" width="2.88671875" style="3" customWidth="1"/>
    <col min="7943" max="7943" width="3.5546875" style="3" customWidth="1"/>
    <col min="7944" max="8188" width="9.109375" style="3"/>
    <col min="8189" max="8189" width="8.6640625" style="3" customWidth="1"/>
    <col min="8190" max="8190" width="9.88671875" style="3" customWidth="1"/>
    <col min="8191" max="8191" width="14.44140625" style="3" customWidth="1"/>
    <col min="8192" max="8192" width="7.33203125" style="3" customWidth="1"/>
    <col min="8193" max="8193" width="5.5546875" style="3" customWidth="1"/>
    <col min="8194" max="8194" width="9" style="3" customWidth="1"/>
    <col min="8195" max="8196" width="9.88671875" style="3" customWidth="1"/>
    <col min="8197" max="8197" width="11.109375" style="3" customWidth="1"/>
    <col min="8198" max="8198" width="2.88671875" style="3" customWidth="1"/>
    <col min="8199" max="8199" width="3.5546875" style="3" customWidth="1"/>
    <col min="8200" max="8444" width="9.109375" style="3"/>
    <col min="8445" max="8445" width="8.6640625" style="3" customWidth="1"/>
    <col min="8446" max="8446" width="9.88671875" style="3" customWidth="1"/>
    <col min="8447" max="8447" width="14.44140625" style="3" customWidth="1"/>
    <col min="8448" max="8448" width="7.33203125" style="3" customWidth="1"/>
    <col min="8449" max="8449" width="5.5546875" style="3" customWidth="1"/>
    <col min="8450" max="8450" width="9" style="3" customWidth="1"/>
    <col min="8451" max="8452" width="9.88671875" style="3" customWidth="1"/>
    <col min="8453" max="8453" width="11.109375" style="3" customWidth="1"/>
    <col min="8454" max="8454" width="2.88671875" style="3" customWidth="1"/>
    <col min="8455" max="8455" width="3.5546875" style="3" customWidth="1"/>
    <col min="8456" max="8700" width="9.109375" style="3"/>
    <col min="8701" max="8701" width="8.6640625" style="3" customWidth="1"/>
    <col min="8702" max="8702" width="9.88671875" style="3" customWidth="1"/>
    <col min="8703" max="8703" width="14.44140625" style="3" customWidth="1"/>
    <col min="8704" max="8704" width="7.33203125" style="3" customWidth="1"/>
    <col min="8705" max="8705" width="5.5546875" style="3" customWidth="1"/>
    <col min="8706" max="8706" width="9" style="3" customWidth="1"/>
    <col min="8707" max="8708" width="9.88671875" style="3" customWidth="1"/>
    <col min="8709" max="8709" width="11.109375" style="3" customWidth="1"/>
    <col min="8710" max="8710" width="2.88671875" style="3" customWidth="1"/>
    <col min="8711" max="8711" width="3.5546875" style="3" customWidth="1"/>
    <col min="8712" max="8956" width="9.109375" style="3"/>
    <col min="8957" max="8957" width="8.6640625" style="3" customWidth="1"/>
    <col min="8958" max="8958" width="9.88671875" style="3" customWidth="1"/>
    <col min="8959" max="8959" width="14.44140625" style="3" customWidth="1"/>
    <col min="8960" max="8960" width="7.33203125" style="3" customWidth="1"/>
    <col min="8961" max="8961" width="5.5546875" style="3" customWidth="1"/>
    <col min="8962" max="8962" width="9" style="3" customWidth="1"/>
    <col min="8963" max="8964" width="9.88671875" style="3" customWidth="1"/>
    <col min="8965" max="8965" width="11.109375" style="3" customWidth="1"/>
    <col min="8966" max="8966" width="2.88671875" style="3" customWidth="1"/>
    <col min="8967" max="8967" width="3.5546875" style="3" customWidth="1"/>
    <col min="8968" max="9212" width="9.109375" style="3"/>
    <col min="9213" max="9213" width="8.6640625" style="3" customWidth="1"/>
    <col min="9214" max="9214" width="9.88671875" style="3" customWidth="1"/>
    <col min="9215" max="9215" width="14.44140625" style="3" customWidth="1"/>
    <col min="9216" max="9216" width="7.33203125" style="3" customWidth="1"/>
    <col min="9217" max="9217" width="5.5546875" style="3" customWidth="1"/>
    <col min="9218" max="9218" width="9" style="3" customWidth="1"/>
    <col min="9219" max="9220" width="9.88671875" style="3" customWidth="1"/>
    <col min="9221" max="9221" width="11.109375" style="3" customWidth="1"/>
    <col min="9222" max="9222" width="2.88671875" style="3" customWidth="1"/>
    <col min="9223" max="9223" width="3.5546875" style="3" customWidth="1"/>
    <col min="9224" max="9468" width="9.109375" style="3"/>
    <col min="9469" max="9469" width="8.6640625" style="3" customWidth="1"/>
    <col min="9470" max="9470" width="9.88671875" style="3" customWidth="1"/>
    <col min="9471" max="9471" width="14.44140625" style="3" customWidth="1"/>
    <col min="9472" max="9472" width="7.33203125" style="3" customWidth="1"/>
    <col min="9473" max="9473" width="5.5546875" style="3" customWidth="1"/>
    <col min="9474" max="9474" width="9" style="3" customWidth="1"/>
    <col min="9475" max="9476" width="9.88671875" style="3" customWidth="1"/>
    <col min="9477" max="9477" width="11.109375" style="3" customWidth="1"/>
    <col min="9478" max="9478" width="2.88671875" style="3" customWidth="1"/>
    <col min="9479" max="9479" width="3.5546875" style="3" customWidth="1"/>
    <col min="9480" max="9724" width="9.109375" style="3"/>
    <col min="9725" max="9725" width="8.6640625" style="3" customWidth="1"/>
    <col min="9726" max="9726" width="9.88671875" style="3" customWidth="1"/>
    <col min="9727" max="9727" width="14.44140625" style="3" customWidth="1"/>
    <col min="9728" max="9728" width="7.33203125" style="3" customWidth="1"/>
    <col min="9729" max="9729" width="5.5546875" style="3" customWidth="1"/>
    <col min="9730" max="9730" width="9" style="3" customWidth="1"/>
    <col min="9731" max="9732" width="9.88671875" style="3" customWidth="1"/>
    <col min="9733" max="9733" width="11.109375" style="3" customWidth="1"/>
    <col min="9734" max="9734" width="2.88671875" style="3" customWidth="1"/>
    <col min="9735" max="9735" width="3.5546875" style="3" customWidth="1"/>
    <col min="9736" max="9980" width="9.109375" style="3"/>
    <col min="9981" max="9981" width="8.6640625" style="3" customWidth="1"/>
    <col min="9982" max="9982" width="9.88671875" style="3" customWidth="1"/>
    <col min="9983" max="9983" width="14.44140625" style="3" customWidth="1"/>
    <col min="9984" max="9984" width="7.33203125" style="3" customWidth="1"/>
    <col min="9985" max="9985" width="5.5546875" style="3" customWidth="1"/>
    <col min="9986" max="9986" width="9" style="3" customWidth="1"/>
    <col min="9987" max="9988" width="9.88671875" style="3" customWidth="1"/>
    <col min="9989" max="9989" width="11.109375" style="3" customWidth="1"/>
    <col min="9990" max="9990" width="2.88671875" style="3" customWidth="1"/>
    <col min="9991" max="9991" width="3.5546875" style="3" customWidth="1"/>
    <col min="9992" max="10236" width="9.109375" style="3"/>
    <col min="10237" max="10237" width="8.6640625" style="3" customWidth="1"/>
    <col min="10238" max="10238" width="9.88671875" style="3" customWidth="1"/>
    <col min="10239" max="10239" width="14.44140625" style="3" customWidth="1"/>
    <col min="10240" max="10240" width="7.33203125" style="3" customWidth="1"/>
    <col min="10241" max="10241" width="5.5546875" style="3" customWidth="1"/>
    <col min="10242" max="10242" width="9" style="3" customWidth="1"/>
    <col min="10243" max="10244" width="9.88671875" style="3" customWidth="1"/>
    <col min="10245" max="10245" width="11.109375" style="3" customWidth="1"/>
    <col min="10246" max="10246" width="2.88671875" style="3" customWidth="1"/>
    <col min="10247" max="10247" width="3.5546875" style="3" customWidth="1"/>
    <col min="10248" max="10492" width="9.109375" style="3"/>
    <col min="10493" max="10493" width="8.6640625" style="3" customWidth="1"/>
    <col min="10494" max="10494" width="9.88671875" style="3" customWidth="1"/>
    <col min="10495" max="10495" width="14.44140625" style="3" customWidth="1"/>
    <col min="10496" max="10496" width="7.33203125" style="3" customWidth="1"/>
    <col min="10497" max="10497" width="5.5546875" style="3" customWidth="1"/>
    <col min="10498" max="10498" width="9" style="3" customWidth="1"/>
    <col min="10499" max="10500" width="9.88671875" style="3" customWidth="1"/>
    <col min="10501" max="10501" width="11.109375" style="3" customWidth="1"/>
    <col min="10502" max="10502" width="2.88671875" style="3" customWidth="1"/>
    <col min="10503" max="10503" width="3.5546875" style="3" customWidth="1"/>
    <col min="10504" max="10748" width="9.109375" style="3"/>
    <col min="10749" max="10749" width="8.6640625" style="3" customWidth="1"/>
    <col min="10750" max="10750" width="9.88671875" style="3" customWidth="1"/>
    <col min="10751" max="10751" width="14.44140625" style="3" customWidth="1"/>
    <col min="10752" max="10752" width="7.33203125" style="3" customWidth="1"/>
    <col min="10753" max="10753" width="5.5546875" style="3" customWidth="1"/>
    <col min="10754" max="10754" width="9" style="3" customWidth="1"/>
    <col min="10755" max="10756" width="9.88671875" style="3" customWidth="1"/>
    <col min="10757" max="10757" width="11.109375" style="3" customWidth="1"/>
    <col min="10758" max="10758" width="2.88671875" style="3" customWidth="1"/>
    <col min="10759" max="10759" width="3.5546875" style="3" customWidth="1"/>
    <col min="10760" max="11004" width="9.109375" style="3"/>
    <col min="11005" max="11005" width="8.6640625" style="3" customWidth="1"/>
    <col min="11006" max="11006" width="9.88671875" style="3" customWidth="1"/>
    <col min="11007" max="11007" width="14.44140625" style="3" customWidth="1"/>
    <col min="11008" max="11008" width="7.33203125" style="3" customWidth="1"/>
    <col min="11009" max="11009" width="5.5546875" style="3" customWidth="1"/>
    <col min="11010" max="11010" width="9" style="3" customWidth="1"/>
    <col min="11011" max="11012" width="9.88671875" style="3" customWidth="1"/>
    <col min="11013" max="11013" width="11.109375" style="3" customWidth="1"/>
    <col min="11014" max="11014" width="2.88671875" style="3" customWidth="1"/>
    <col min="11015" max="11015" width="3.5546875" style="3" customWidth="1"/>
    <col min="11016" max="11260" width="9.109375" style="3"/>
    <col min="11261" max="11261" width="8.6640625" style="3" customWidth="1"/>
    <col min="11262" max="11262" width="9.88671875" style="3" customWidth="1"/>
    <col min="11263" max="11263" width="14.44140625" style="3" customWidth="1"/>
    <col min="11264" max="11264" width="7.33203125" style="3" customWidth="1"/>
    <col min="11265" max="11265" width="5.5546875" style="3" customWidth="1"/>
    <col min="11266" max="11266" width="9" style="3" customWidth="1"/>
    <col min="11267" max="11268" width="9.88671875" style="3" customWidth="1"/>
    <col min="11269" max="11269" width="11.109375" style="3" customWidth="1"/>
    <col min="11270" max="11270" width="2.88671875" style="3" customWidth="1"/>
    <col min="11271" max="11271" width="3.5546875" style="3" customWidth="1"/>
    <col min="11272" max="11516" width="9.109375" style="3"/>
    <col min="11517" max="11517" width="8.6640625" style="3" customWidth="1"/>
    <col min="11518" max="11518" width="9.88671875" style="3" customWidth="1"/>
    <col min="11519" max="11519" width="14.44140625" style="3" customWidth="1"/>
    <col min="11520" max="11520" width="7.33203125" style="3" customWidth="1"/>
    <col min="11521" max="11521" width="5.5546875" style="3" customWidth="1"/>
    <col min="11522" max="11522" width="9" style="3" customWidth="1"/>
    <col min="11523" max="11524" width="9.88671875" style="3" customWidth="1"/>
    <col min="11525" max="11525" width="11.109375" style="3" customWidth="1"/>
    <col min="11526" max="11526" width="2.88671875" style="3" customWidth="1"/>
    <col min="11527" max="11527" width="3.5546875" style="3" customWidth="1"/>
    <col min="11528" max="11772" width="9.109375" style="3"/>
    <col min="11773" max="11773" width="8.6640625" style="3" customWidth="1"/>
    <col min="11774" max="11774" width="9.88671875" style="3" customWidth="1"/>
    <col min="11775" max="11775" width="14.44140625" style="3" customWidth="1"/>
    <col min="11776" max="11776" width="7.33203125" style="3" customWidth="1"/>
    <col min="11777" max="11777" width="5.5546875" style="3" customWidth="1"/>
    <col min="11778" max="11778" width="9" style="3" customWidth="1"/>
    <col min="11779" max="11780" width="9.88671875" style="3" customWidth="1"/>
    <col min="11781" max="11781" width="11.109375" style="3" customWidth="1"/>
    <col min="11782" max="11782" width="2.88671875" style="3" customWidth="1"/>
    <col min="11783" max="11783" width="3.5546875" style="3" customWidth="1"/>
    <col min="11784" max="12028" width="9.109375" style="3"/>
    <col min="12029" max="12029" width="8.6640625" style="3" customWidth="1"/>
    <col min="12030" max="12030" width="9.88671875" style="3" customWidth="1"/>
    <col min="12031" max="12031" width="14.44140625" style="3" customWidth="1"/>
    <col min="12032" max="12032" width="7.33203125" style="3" customWidth="1"/>
    <col min="12033" max="12033" width="5.5546875" style="3" customWidth="1"/>
    <col min="12034" max="12034" width="9" style="3" customWidth="1"/>
    <col min="12035" max="12036" width="9.88671875" style="3" customWidth="1"/>
    <col min="12037" max="12037" width="11.109375" style="3" customWidth="1"/>
    <col min="12038" max="12038" width="2.88671875" style="3" customWidth="1"/>
    <col min="12039" max="12039" width="3.5546875" style="3" customWidth="1"/>
    <col min="12040" max="12284" width="9.109375" style="3"/>
    <col min="12285" max="12285" width="8.6640625" style="3" customWidth="1"/>
    <col min="12286" max="12286" width="9.88671875" style="3" customWidth="1"/>
    <col min="12287" max="12287" width="14.44140625" style="3" customWidth="1"/>
    <col min="12288" max="12288" width="7.33203125" style="3" customWidth="1"/>
    <col min="12289" max="12289" width="5.5546875" style="3" customWidth="1"/>
    <col min="12290" max="12290" width="9" style="3" customWidth="1"/>
    <col min="12291" max="12292" width="9.88671875" style="3" customWidth="1"/>
    <col min="12293" max="12293" width="11.109375" style="3" customWidth="1"/>
    <col min="12294" max="12294" width="2.88671875" style="3" customWidth="1"/>
    <col min="12295" max="12295" width="3.5546875" style="3" customWidth="1"/>
    <col min="12296" max="12540" width="9.109375" style="3"/>
    <col min="12541" max="12541" width="8.6640625" style="3" customWidth="1"/>
    <col min="12542" max="12542" width="9.88671875" style="3" customWidth="1"/>
    <col min="12543" max="12543" width="14.44140625" style="3" customWidth="1"/>
    <col min="12544" max="12544" width="7.33203125" style="3" customWidth="1"/>
    <col min="12545" max="12545" width="5.5546875" style="3" customWidth="1"/>
    <col min="12546" max="12546" width="9" style="3" customWidth="1"/>
    <col min="12547" max="12548" width="9.88671875" style="3" customWidth="1"/>
    <col min="12549" max="12549" width="11.109375" style="3" customWidth="1"/>
    <col min="12550" max="12550" width="2.88671875" style="3" customWidth="1"/>
    <col min="12551" max="12551" width="3.5546875" style="3" customWidth="1"/>
    <col min="12552" max="12796" width="9.109375" style="3"/>
    <col min="12797" max="12797" width="8.6640625" style="3" customWidth="1"/>
    <col min="12798" max="12798" width="9.88671875" style="3" customWidth="1"/>
    <col min="12799" max="12799" width="14.44140625" style="3" customWidth="1"/>
    <col min="12800" max="12800" width="7.33203125" style="3" customWidth="1"/>
    <col min="12801" max="12801" width="5.5546875" style="3" customWidth="1"/>
    <col min="12802" max="12802" width="9" style="3" customWidth="1"/>
    <col min="12803" max="12804" width="9.88671875" style="3" customWidth="1"/>
    <col min="12805" max="12805" width="11.109375" style="3" customWidth="1"/>
    <col min="12806" max="12806" width="2.88671875" style="3" customWidth="1"/>
    <col min="12807" max="12807" width="3.5546875" style="3" customWidth="1"/>
    <col min="12808" max="13052" width="9.109375" style="3"/>
    <col min="13053" max="13053" width="8.6640625" style="3" customWidth="1"/>
    <col min="13054" max="13054" width="9.88671875" style="3" customWidth="1"/>
    <col min="13055" max="13055" width="14.44140625" style="3" customWidth="1"/>
    <col min="13056" max="13056" width="7.33203125" style="3" customWidth="1"/>
    <col min="13057" max="13057" width="5.5546875" style="3" customWidth="1"/>
    <col min="13058" max="13058" width="9" style="3" customWidth="1"/>
    <col min="13059" max="13060" width="9.88671875" style="3" customWidth="1"/>
    <col min="13061" max="13061" width="11.109375" style="3" customWidth="1"/>
    <col min="13062" max="13062" width="2.88671875" style="3" customWidth="1"/>
    <col min="13063" max="13063" width="3.5546875" style="3" customWidth="1"/>
    <col min="13064" max="13308" width="9.109375" style="3"/>
    <col min="13309" max="13309" width="8.6640625" style="3" customWidth="1"/>
    <col min="13310" max="13310" width="9.88671875" style="3" customWidth="1"/>
    <col min="13311" max="13311" width="14.44140625" style="3" customWidth="1"/>
    <col min="13312" max="13312" width="7.33203125" style="3" customWidth="1"/>
    <col min="13313" max="13313" width="5.5546875" style="3" customWidth="1"/>
    <col min="13314" max="13314" width="9" style="3" customWidth="1"/>
    <col min="13315" max="13316" width="9.88671875" style="3" customWidth="1"/>
    <col min="13317" max="13317" width="11.109375" style="3" customWidth="1"/>
    <col min="13318" max="13318" width="2.88671875" style="3" customWidth="1"/>
    <col min="13319" max="13319" width="3.5546875" style="3" customWidth="1"/>
    <col min="13320" max="13564" width="9.109375" style="3"/>
    <col min="13565" max="13565" width="8.6640625" style="3" customWidth="1"/>
    <col min="13566" max="13566" width="9.88671875" style="3" customWidth="1"/>
    <col min="13567" max="13567" width="14.44140625" style="3" customWidth="1"/>
    <col min="13568" max="13568" width="7.33203125" style="3" customWidth="1"/>
    <col min="13569" max="13569" width="5.5546875" style="3" customWidth="1"/>
    <col min="13570" max="13570" width="9" style="3" customWidth="1"/>
    <col min="13571" max="13572" width="9.88671875" style="3" customWidth="1"/>
    <col min="13573" max="13573" width="11.109375" style="3" customWidth="1"/>
    <col min="13574" max="13574" width="2.88671875" style="3" customWidth="1"/>
    <col min="13575" max="13575" width="3.5546875" style="3" customWidth="1"/>
    <col min="13576" max="13820" width="9.109375" style="3"/>
    <col min="13821" max="13821" width="8.6640625" style="3" customWidth="1"/>
    <col min="13822" max="13822" width="9.88671875" style="3" customWidth="1"/>
    <col min="13823" max="13823" width="14.44140625" style="3" customWidth="1"/>
    <col min="13824" max="13824" width="7.33203125" style="3" customWidth="1"/>
    <col min="13825" max="13825" width="5.5546875" style="3" customWidth="1"/>
    <col min="13826" max="13826" width="9" style="3" customWidth="1"/>
    <col min="13827" max="13828" width="9.88671875" style="3" customWidth="1"/>
    <col min="13829" max="13829" width="11.109375" style="3" customWidth="1"/>
    <col min="13830" max="13830" width="2.88671875" style="3" customWidth="1"/>
    <col min="13831" max="13831" width="3.5546875" style="3" customWidth="1"/>
    <col min="13832" max="14076" width="9.109375" style="3"/>
    <col min="14077" max="14077" width="8.6640625" style="3" customWidth="1"/>
    <col min="14078" max="14078" width="9.88671875" style="3" customWidth="1"/>
    <col min="14079" max="14079" width="14.44140625" style="3" customWidth="1"/>
    <col min="14080" max="14080" width="7.33203125" style="3" customWidth="1"/>
    <col min="14081" max="14081" width="5.5546875" style="3" customWidth="1"/>
    <col min="14082" max="14082" width="9" style="3" customWidth="1"/>
    <col min="14083" max="14084" width="9.88671875" style="3" customWidth="1"/>
    <col min="14085" max="14085" width="11.109375" style="3" customWidth="1"/>
    <col min="14086" max="14086" width="2.88671875" style="3" customWidth="1"/>
    <col min="14087" max="14087" width="3.5546875" style="3" customWidth="1"/>
    <col min="14088" max="14332" width="9.109375" style="3"/>
    <col min="14333" max="14333" width="8.6640625" style="3" customWidth="1"/>
    <col min="14334" max="14334" width="9.88671875" style="3" customWidth="1"/>
    <col min="14335" max="14335" width="14.44140625" style="3" customWidth="1"/>
    <col min="14336" max="14336" width="7.33203125" style="3" customWidth="1"/>
    <col min="14337" max="14337" width="5.5546875" style="3" customWidth="1"/>
    <col min="14338" max="14338" width="9" style="3" customWidth="1"/>
    <col min="14339" max="14340" width="9.88671875" style="3" customWidth="1"/>
    <col min="14341" max="14341" width="11.109375" style="3" customWidth="1"/>
    <col min="14342" max="14342" width="2.88671875" style="3" customWidth="1"/>
    <col min="14343" max="14343" width="3.5546875" style="3" customWidth="1"/>
    <col min="14344" max="14588" width="9.109375" style="3"/>
    <col min="14589" max="14589" width="8.6640625" style="3" customWidth="1"/>
    <col min="14590" max="14590" width="9.88671875" style="3" customWidth="1"/>
    <col min="14591" max="14591" width="14.44140625" style="3" customWidth="1"/>
    <col min="14592" max="14592" width="7.33203125" style="3" customWidth="1"/>
    <col min="14593" max="14593" width="5.5546875" style="3" customWidth="1"/>
    <col min="14594" max="14594" width="9" style="3" customWidth="1"/>
    <col min="14595" max="14596" width="9.88671875" style="3" customWidth="1"/>
    <col min="14597" max="14597" width="11.109375" style="3" customWidth="1"/>
    <col min="14598" max="14598" width="2.88671875" style="3" customWidth="1"/>
    <col min="14599" max="14599" width="3.5546875" style="3" customWidth="1"/>
    <col min="14600" max="14844" width="9.109375" style="3"/>
    <col min="14845" max="14845" width="8.6640625" style="3" customWidth="1"/>
    <col min="14846" max="14846" width="9.88671875" style="3" customWidth="1"/>
    <col min="14847" max="14847" width="14.44140625" style="3" customWidth="1"/>
    <col min="14848" max="14848" width="7.33203125" style="3" customWidth="1"/>
    <col min="14849" max="14849" width="5.5546875" style="3" customWidth="1"/>
    <col min="14850" max="14850" width="9" style="3" customWidth="1"/>
    <col min="14851" max="14852" width="9.88671875" style="3" customWidth="1"/>
    <col min="14853" max="14853" width="11.109375" style="3" customWidth="1"/>
    <col min="14854" max="14854" width="2.88671875" style="3" customWidth="1"/>
    <col min="14855" max="14855" width="3.5546875" style="3" customWidth="1"/>
    <col min="14856" max="15100" width="9.109375" style="3"/>
    <col min="15101" max="15101" width="8.6640625" style="3" customWidth="1"/>
    <col min="15102" max="15102" width="9.88671875" style="3" customWidth="1"/>
    <col min="15103" max="15103" width="14.44140625" style="3" customWidth="1"/>
    <col min="15104" max="15104" width="7.33203125" style="3" customWidth="1"/>
    <col min="15105" max="15105" width="5.5546875" style="3" customWidth="1"/>
    <col min="15106" max="15106" width="9" style="3" customWidth="1"/>
    <col min="15107" max="15108" width="9.88671875" style="3" customWidth="1"/>
    <col min="15109" max="15109" width="11.109375" style="3" customWidth="1"/>
    <col min="15110" max="15110" width="2.88671875" style="3" customWidth="1"/>
    <col min="15111" max="15111" width="3.5546875" style="3" customWidth="1"/>
    <col min="15112" max="15356" width="9.109375" style="3"/>
    <col min="15357" max="15357" width="8.6640625" style="3" customWidth="1"/>
    <col min="15358" max="15358" width="9.88671875" style="3" customWidth="1"/>
    <col min="15359" max="15359" width="14.44140625" style="3" customWidth="1"/>
    <col min="15360" max="15360" width="7.33203125" style="3" customWidth="1"/>
    <col min="15361" max="15361" width="5.5546875" style="3" customWidth="1"/>
    <col min="15362" max="15362" width="9" style="3" customWidth="1"/>
    <col min="15363" max="15364" width="9.88671875" style="3" customWidth="1"/>
    <col min="15365" max="15365" width="11.109375" style="3" customWidth="1"/>
    <col min="15366" max="15366" width="2.88671875" style="3" customWidth="1"/>
    <col min="15367" max="15367" width="3.5546875" style="3" customWidth="1"/>
    <col min="15368" max="15612" width="9.109375" style="3"/>
    <col min="15613" max="15613" width="8.6640625" style="3" customWidth="1"/>
    <col min="15614" max="15614" width="9.88671875" style="3" customWidth="1"/>
    <col min="15615" max="15615" width="14.44140625" style="3" customWidth="1"/>
    <col min="15616" max="15616" width="7.33203125" style="3" customWidth="1"/>
    <col min="15617" max="15617" width="5.5546875" style="3" customWidth="1"/>
    <col min="15618" max="15618" width="9" style="3" customWidth="1"/>
    <col min="15619" max="15620" width="9.88671875" style="3" customWidth="1"/>
    <col min="15621" max="15621" width="11.109375" style="3" customWidth="1"/>
    <col min="15622" max="15622" width="2.88671875" style="3" customWidth="1"/>
    <col min="15623" max="15623" width="3.5546875" style="3" customWidth="1"/>
    <col min="15624" max="15868" width="9.109375" style="3"/>
    <col min="15869" max="15869" width="8.6640625" style="3" customWidth="1"/>
    <col min="15870" max="15870" width="9.88671875" style="3" customWidth="1"/>
    <col min="15871" max="15871" width="14.44140625" style="3" customWidth="1"/>
    <col min="15872" max="15872" width="7.33203125" style="3" customWidth="1"/>
    <col min="15873" max="15873" width="5.5546875" style="3" customWidth="1"/>
    <col min="15874" max="15874" width="9" style="3" customWidth="1"/>
    <col min="15875" max="15876" width="9.88671875" style="3" customWidth="1"/>
    <col min="15877" max="15877" width="11.109375" style="3" customWidth="1"/>
    <col min="15878" max="15878" width="2.88671875" style="3" customWidth="1"/>
    <col min="15879" max="15879" width="3.5546875" style="3" customWidth="1"/>
    <col min="15880" max="16124" width="9.109375" style="3"/>
    <col min="16125" max="16125" width="8.6640625" style="3" customWidth="1"/>
    <col min="16126" max="16126" width="9.88671875" style="3" customWidth="1"/>
    <col min="16127" max="16127" width="14.44140625" style="3" customWidth="1"/>
    <col min="16128" max="16128" width="7.33203125" style="3" customWidth="1"/>
    <col min="16129" max="16129" width="5.5546875" style="3" customWidth="1"/>
    <col min="16130" max="16130" width="9" style="3" customWidth="1"/>
    <col min="16131" max="16132" width="9.88671875" style="3" customWidth="1"/>
    <col min="16133" max="16133" width="11.109375" style="3" customWidth="1"/>
    <col min="16134" max="16134" width="2.88671875" style="3" customWidth="1"/>
    <col min="16135" max="16135" width="3.5546875" style="3" customWidth="1"/>
    <col min="16136" max="16384" width="9.109375" style="3"/>
  </cols>
  <sheetData>
    <row r="1" spans="1:8" ht="46.5" customHeight="1" x14ac:dyDescent="0.3">
      <c r="A1" s="148" t="s">
        <v>180</v>
      </c>
      <c r="B1" s="148"/>
      <c r="C1" s="148"/>
      <c r="D1" s="148"/>
      <c r="E1" s="148"/>
      <c r="F1" s="148"/>
      <c r="G1" s="148"/>
      <c r="H1" s="148"/>
    </row>
    <row r="2" spans="1:8" ht="16.5" customHeight="1" x14ac:dyDescent="0.3">
      <c r="A2" s="102" t="s">
        <v>0</v>
      </c>
      <c r="B2" s="102"/>
      <c r="C2" s="102"/>
      <c r="D2" s="102"/>
      <c r="E2" s="102"/>
      <c r="F2" s="102"/>
      <c r="G2" s="102"/>
      <c r="H2" s="102"/>
    </row>
    <row r="3" spans="1:8" x14ac:dyDescent="0.3">
      <c r="A3" s="101" t="s">
        <v>1</v>
      </c>
      <c r="B3" s="101"/>
      <c r="C3" s="101"/>
      <c r="D3" s="101"/>
      <c r="E3" s="149" t="str">
        <f ca="1">TEXT(TODAY(),"DD/MM/YYYY")</f>
        <v>10/09/2025</v>
      </c>
      <c r="F3" s="149"/>
      <c r="G3" s="149"/>
      <c r="H3" s="149"/>
    </row>
    <row r="4" spans="1:8" ht="15" customHeight="1" x14ac:dyDescent="0.3">
      <c r="A4" s="101" t="s">
        <v>2</v>
      </c>
      <c r="B4" s="101"/>
      <c r="C4" s="101"/>
      <c r="D4" s="101"/>
      <c r="E4" s="145" t="s">
        <v>114</v>
      </c>
      <c r="F4" s="145"/>
      <c r="G4" s="145"/>
      <c r="H4" s="145"/>
    </row>
    <row r="5" spans="1:8" x14ac:dyDescent="0.3">
      <c r="A5" s="101" t="s">
        <v>3</v>
      </c>
      <c r="B5" s="101"/>
      <c r="C5" s="101"/>
      <c r="D5" s="101"/>
      <c r="E5" s="150">
        <v>45881</v>
      </c>
      <c r="F5" s="150"/>
      <c r="G5" s="150"/>
      <c r="H5" s="150"/>
    </row>
    <row r="6" spans="1:8" ht="16.5" customHeight="1" x14ac:dyDescent="0.3">
      <c r="A6" s="101" t="s">
        <v>4</v>
      </c>
      <c r="B6" s="101"/>
      <c r="C6" s="101"/>
      <c r="D6" s="101"/>
      <c r="E6" s="120" t="s">
        <v>115</v>
      </c>
      <c r="F6" s="120"/>
      <c r="G6" s="120"/>
      <c r="H6" s="120"/>
    </row>
    <row r="7" spans="1:8" ht="15" customHeight="1" x14ac:dyDescent="0.3">
      <c r="A7" s="101" t="s">
        <v>5</v>
      </c>
      <c r="B7" s="101"/>
      <c r="C7" s="101"/>
      <c r="D7" s="101"/>
      <c r="E7" s="120" t="str">
        <f>E6</f>
        <v>M/s.Reddy Builders &amp; Developers</v>
      </c>
      <c r="F7" s="120"/>
      <c r="G7" s="120"/>
      <c r="H7" s="120"/>
    </row>
    <row r="8" spans="1:8" x14ac:dyDescent="0.3">
      <c r="A8" s="101" t="s">
        <v>6</v>
      </c>
      <c r="B8" s="101"/>
      <c r="C8" s="101"/>
      <c r="D8" s="101"/>
      <c r="E8" s="100" t="s">
        <v>116</v>
      </c>
      <c r="F8" s="100"/>
      <c r="G8" s="100"/>
      <c r="H8" s="100"/>
    </row>
    <row r="9" spans="1:8" x14ac:dyDescent="0.3">
      <c r="A9" s="101" t="s">
        <v>7</v>
      </c>
      <c r="B9" s="101"/>
      <c r="C9" s="101"/>
      <c r="D9" s="101"/>
      <c r="E9" s="101" t="s">
        <v>187</v>
      </c>
      <c r="F9" s="101"/>
      <c r="G9" s="101"/>
      <c r="H9" s="101"/>
    </row>
    <row r="10" spans="1:8" x14ac:dyDescent="0.3">
      <c r="A10" s="99" t="s">
        <v>8</v>
      </c>
      <c r="B10" s="99"/>
      <c r="C10" s="99"/>
      <c r="D10" s="99"/>
      <c r="E10" s="99" t="s">
        <v>225</v>
      </c>
      <c r="F10" s="99"/>
      <c r="G10" s="99"/>
      <c r="H10" s="99"/>
    </row>
    <row r="11" spans="1:8" x14ac:dyDescent="0.3">
      <c r="A11" s="101" t="s">
        <v>9</v>
      </c>
      <c r="B11" s="101"/>
      <c r="C11" s="101"/>
      <c r="D11" s="101"/>
      <c r="E11" s="87" t="s">
        <v>137</v>
      </c>
      <c r="F11" s="87"/>
      <c r="G11" s="87"/>
      <c r="H11" s="87"/>
    </row>
    <row r="12" spans="1:8" ht="47.25" customHeight="1" x14ac:dyDescent="0.3">
      <c r="A12" s="101" t="s">
        <v>201</v>
      </c>
      <c r="B12" s="101"/>
      <c r="C12" s="101"/>
      <c r="D12" s="101"/>
      <c r="E12" s="151" t="s">
        <v>200</v>
      </c>
      <c r="F12" s="152"/>
      <c r="G12" s="153" t="s">
        <v>199</v>
      </c>
      <c r="H12" s="154"/>
    </row>
    <row r="13" spans="1:8" ht="52.5" customHeight="1" x14ac:dyDescent="0.3">
      <c r="A13" s="120" t="s">
        <v>10</v>
      </c>
      <c r="B13" s="120"/>
      <c r="C13" s="120" t="s">
        <v>117</v>
      </c>
      <c r="D13" s="120"/>
      <c r="E13" s="120"/>
      <c r="F13" s="120"/>
      <c r="G13" s="120"/>
      <c r="H13" s="120"/>
    </row>
    <row r="14" spans="1:8" ht="15.75" customHeight="1" x14ac:dyDescent="0.3">
      <c r="A14" s="87" t="s">
        <v>119</v>
      </c>
      <c r="B14" s="87"/>
      <c r="C14" s="87" t="s">
        <v>118</v>
      </c>
      <c r="D14" s="87"/>
      <c r="E14" s="87"/>
      <c r="F14" s="87"/>
      <c r="G14" s="87"/>
      <c r="H14" s="87"/>
    </row>
    <row r="15" spans="1:8" ht="32.25" customHeight="1" x14ac:dyDescent="0.3">
      <c r="A15" s="120" t="s">
        <v>11</v>
      </c>
      <c r="B15" s="120"/>
      <c r="C15" s="87" t="s">
        <v>125</v>
      </c>
      <c r="D15" s="87"/>
      <c r="E15" s="120" t="s">
        <v>78</v>
      </c>
      <c r="F15" s="120"/>
      <c r="G15" s="87" t="s">
        <v>120</v>
      </c>
      <c r="H15" s="87"/>
    </row>
    <row r="16" spans="1:8" x14ac:dyDescent="0.3">
      <c r="A16" s="101" t="s">
        <v>13</v>
      </c>
      <c r="B16" s="101"/>
      <c r="C16" s="87" t="s">
        <v>190</v>
      </c>
      <c r="D16" s="87"/>
      <c r="E16" s="120" t="s">
        <v>12</v>
      </c>
      <c r="F16" s="120"/>
      <c r="G16" s="144" t="s">
        <v>122</v>
      </c>
      <c r="H16" s="144"/>
    </row>
    <row r="17" spans="1:8" x14ac:dyDescent="0.3">
      <c r="A17" s="101" t="s">
        <v>79</v>
      </c>
      <c r="B17" s="101"/>
      <c r="C17" s="87" t="s">
        <v>121</v>
      </c>
      <c r="D17" s="87"/>
      <c r="E17" s="120" t="s">
        <v>14</v>
      </c>
      <c r="F17" s="120"/>
      <c r="G17" s="87">
        <v>400062</v>
      </c>
      <c r="H17" s="87"/>
    </row>
    <row r="18" spans="1:8" ht="32.25" customHeight="1" x14ac:dyDescent="0.3">
      <c r="A18" s="101" t="s">
        <v>15</v>
      </c>
      <c r="B18" s="101"/>
      <c r="C18" s="155" t="s">
        <v>228</v>
      </c>
      <c r="D18" s="155"/>
      <c r="E18" s="120" t="s">
        <v>16</v>
      </c>
      <c r="F18" s="120"/>
      <c r="G18" s="156" t="s">
        <v>141</v>
      </c>
      <c r="H18" s="156"/>
    </row>
    <row r="19" spans="1:8" ht="15" customHeight="1" x14ac:dyDescent="0.3">
      <c r="A19" s="120" t="s">
        <v>82</v>
      </c>
      <c r="B19" s="120"/>
      <c r="C19" s="120"/>
      <c r="D19" s="120"/>
      <c r="E19" s="99" t="s">
        <v>17</v>
      </c>
      <c r="F19" s="99"/>
      <c r="G19" s="99"/>
      <c r="H19" s="99"/>
    </row>
    <row r="20" spans="1:8" ht="15" customHeight="1" x14ac:dyDescent="0.3">
      <c r="A20" s="120" t="s">
        <v>18</v>
      </c>
      <c r="B20" s="120"/>
      <c r="C20" s="120"/>
      <c r="D20" s="120"/>
      <c r="E20" s="87" t="s">
        <v>19</v>
      </c>
      <c r="F20" s="87"/>
      <c r="G20" s="87"/>
      <c r="H20" s="87"/>
    </row>
    <row r="21" spans="1:8" ht="15" customHeight="1" x14ac:dyDescent="0.3">
      <c r="A21" s="101" t="s">
        <v>20</v>
      </c>
      <c r="B21" s="101"/>
      <c r="C21" s="101"/>
      <c r="D21" s="101"/>
      <c r="E21" s="87" t="s">
        <v>124</v>
      </c>
      <c r="F21" s="87"/>
      <c r="G21" s="87"/>
      <c r="H21" s="87"/>
    </row>
    <row r="22" spans="1:8" x14ac:dyDescent="0.3">
      <c r="A22" s="101" t="s">
        <v>21</v>
      </c>
      <c r="B22" s="101"/>
      <c r="C22" s="101"/>
      <c r="D22" s="101"/>
      <c r="E22" s="87" t="s">
        <v>22</v>
      </c>
      <c r="F22" s="87"/>
      <c r="G22" s="87"/>
      <c r="H22" s="87"/>
    </row>
    <row r="23" spans="1:8" x14ac:dyDescent="0.3">
      <c r="A23" s="101" t="s">
        <v>23</v>
      </c>
      <c r="B23" s="101"/>
      <c r="C23" s="101"/>
      <c r="D23" s="101"/>
      <c r="E23" s="87" t="s">
        <v>123</v>
      </c>
      <c r="F23" s="87"/>
      <c r="G23" s="87"/>
      <c r="H23" s="87"/>
    </row>
    <row r="24" spans="1:8" x14ac:dyDescent="0.3">
      <c r="A24" s="101" t="s">
        <v>24</v>
      </c>
      <c r="B24" s="101"/>
      <c r="C24" s="101"/>
      <c r="D24" s="101"/>
      <c r="E24" s="87" t="s">
        <v>25</v>
      </c>
      <c r="F24" s="87"/>
      <c r="G24" s="87"/>
      <c r="H24" s="87"/>
    </row>
    <row r="25" spans="1:8" x14ac:dyDescent="0.3">
      <c r="A25" s="101" t="s">
        <v>87</v>
      </c>
      <c r="B25" s="101"/>
      <c r="C25" s="101"/>
      <c r="D25" s="101"/>
      <c r="E25" s="87" t="s">
        <v>88</v>
      </c>
      <c r="F25" s="87"/>
      <c r="G25" s="87"/>
      <c r="H25" s="87"/>
    </row>
    <row r="26" spans="1:8" ht="15" customHeight="1" x14ac:dyDescent="0.3">
      <c r="A26" s="120" t="s">
        <v>33</v>
      </c>
      <c r="B26" s="120"/>
      <c r="C26" s="120"/>
      <c r="D26" s="120"/>
      <c r="E26" s="145" t="s">
        <v>136</v>
      </c>
      <c r="F26" s="145"/>
      <c r="G26" s="145"/>
      <c r="H26" s="145"/>
    </row>
    <row r="27" spans="1:8" x14ac:dyDescent="0.3">
      <c r="A27" s="120" t="s">
        <v>99</v>
      </c>
      <c r="B27" s="120"/>
      <c r="C27" s="120"/>
      <c r="D27" s="120"/>
      <c r="E27" s="120" t="s">
        <v>34</v>
      </c>
      <c r="F27" s="120"/>
      <c r="G27" s="120"/>
      <c r="H27" s="120"/>
    </row>
    <row r="28" spans="1:8" s="6" customFormat="1" x14ac:dyDescent="0.3">
      <c r="A28" s="128" t="s">
        <v>100</v>
      </c>
      <c r="B28" s="128"/>
      <c r="C28" s="147" t="s">
        <v>189</v>
      </c>
      <c r="D28" s="147"/>
      <c r="E28" s="147"/>
      <c r="F28" s="147" t="s">
        <v>31</v>
      </c>
      <c r="G28" s="147"/>
      <c r="H28" s="147"/>
    </row>
    <row r="29" spans="1:8" s="6" customFormat="1" x14ac:dyDescent="0.3">
      <c r="A29" s="127" t="s">
        <v>26</v>
      </c>
      <c r="B29" s="127" t="s">
        <v>30</v>
      </c>
      <c r="C29" s="84" t="s">
        <v>198</v>
      </c>
      <c r="D29" s="84"/>
      <c r="E29" s="84"/>
      <c r="F29" s="84" t="s">
        <v>229</v>
      </c>
      <c r="G29" s="84"/>
      <c r="H29" s="84"/>
    </row>
    <row r="30" spans="1:8" x14ac:dyDescent="0.3">
      <c r="A30" s="127" t="s">
        <v>27</v>
      </c>
      <c r="B30" s="127" t="s">
        <v>30</v>
      </c>
      <c r="C30" s="84" t="s">
        <v>197</v>
      </c>
      <c r="D30" s="84"/>
      <c r="E30" s="84"/>
      <c r="F30" s="84" t="s">
        <v>126</v>
      </c>
      <c r="G30" s="84"/>
      <c r="H30" s="84"/>
    </row>
    <row r="31" spans="1:8" s="6" customFormat="1" x14ac:dyDescent="0.3">
      <c r="A31" s="127" t="s">
        <v>29</v>
      </c>
      <c r="B31" s="127" t="s">
        <v>30</v>
      </c>
      <c r="C31" s="84" t="s">
        <v>196</v>
      </c>
      <c r="D31" s="84"/>
      <c r="E31" s="84"/>
      <c r="F31" s="84" t="s">
        <v>128</v>
      </c>
      <c r="G31" s="84"/>
      <c r="H31" s="84"/>
    </row>
    <row r="32" spans="1:8" x14ac:dyDescent="0.3">
      <c r="A32" s="127" t="s">
        <v>28</v>
      </c>
      <c r="B32" s="127" t="s">
        <v>30</v>
      </c>
      <c r="C32" s="84" t="s">
        <v>197</v>
      </c>
      <c r="D32" s="84"/>
      <c r="E32" s="84"/>
      <c r="F32" s="84" t="s">
        <v>127</v>
      </c>
      <c r="G32" s="84"/>
      <c r="H32" s="84"/>
    </row>
    <row r="33" spans="1:8" x14ac:dyDescent="0.3">
      <c r="A33" s="101" t="s">
        <v>32</v>
      </c>
      <c r="B33" s="101"/>
      <c r="C33" s="101"/>
      <c r="D33" s="101"/>
      <c r="E33" s="101"/>
      <c r="F33" s="101"/>
      <c r="G33" s="101"/>
      <c r="H33" s="101"/>
    </row>
    <row r="34" spans="1:8" ht="15.75" customHeight="1" x14ac:dyDescent="0.3">
      <c r="A34" s="102" t="s">
        <v>183</v>
      </c>
      <c r="B34" s="102"/>
      <c r="C34" s="169" t="s">
        <v>184</v>
      </c>
      <c r="D34" s="169"/>
      <c r="E34" s="169"/>
      <c r="F34" s="169"/>
      <c r="G34" s="169"/>
      <c r="H34" s="169"/>
    </row>
    <row r="35" spans="1:8" ht="15.75" customHeight="1" x14ac:dyDescent="0.3">
      <c r="A35" s="102" t="s">
        <v>181</v>
      </c>
      <c r="B35" s="102"/>
      <c r="C35" s="170" t="s">
        <v>182</v>
      </c>
      <c r="D35" s="169"/>
      <c r="E35" s="169"/>
      <c r="F35" s="169"/>
      <c r="G35" s="169"/>
      <c r="H35" s="169"/>
    </row>
    <row r="36" spans="1:8" x14ac:dyDescent="0.3">
      <c r="A36" s="100" t="s">
        <v>35</v>
      </c>
      <c r="B36" s="100"/>
      <c r="C36" s="100"/>
      <c r="D36" s="100"/>
      <c r="E36" s="100"/>
      <c r="F36" s="100"/>
      <c r="G36" s="100"/>
      <c r="H36" s="100"/>
    </row>
    <row r="37" spans="1:8" x14ac:dyDescent="0.3">
      <c r="A37" s="101" t="s">
        <v>36</v>
      </c>
      <c r="B37" s="101"/>
      <c r="C37" s="101"/>
      <c r="D37" s="101"/>
      <c r="E37" s="146">
        <v>16692.41</v>
      </c>
      <c r="F37" s="146"/>
      <c r="G37" s="146"/>
      <c r="H37" s="146"/>
    </row>
    <row r="38" spans="1:8" x14ac:dyDescent="0.3">
      <c r="A38" s="101" t="s">
        <v>37</v>
      </c>
      <c r="B38" s="101"/>
      <c r="C38" s="101"/>
      <c r="D38" s="101"/>
      <c r="E38" s="118">
        <v>4.1950000000000003</v>
      </c>
      <c r="F38" s="118"/>
      <c r="G38" s="118"/>
      <c r="H38" s="118"/>
    </row>
    <row r="39" spans="1:8" x14ac:dyDescent="0.3">
      <c r="A39" s="101" t="s">
        <v>38</v>
      </c>
      <c r="B39" s="101"/>
      <c r="C39" s="101"/>
      <c r="D39" s="101"/>
      <c r="E39" s="118">
        <f>E41/E37-E38</f>
        <v>0.63792586271245355</v>
      </c>
      <c r="F39" s="118"/>
      <c r="G39" s="118"/>
      <c r="H39" s="118"/>
    </row>
    <row r="40" spans="1:8" x14ac:dyDescent="0.3">
      <c r="A40" s="101" t="s">
        <v>39</v>
      </c>
      <c r="B40" s="101"/>
      <c r="C40" s="101"/>
      <c r="D40" s="101"/>
      <c r="E40" s="118">
        <f>E38+E39</f>
        <v>4.8329258627124538</v>
      </c>
      <c r="F40" s="118"/>
      <c r="G40" s="118"/>
      <c r="H40" s="118"/>
    </row>
    <row r="41" spans="1:8" x14ac:dyDescent="0.3">
      <c r="A41" s="101" t="s">
        <v>98</v>
      </c>
      <c r="B41" s="101"/>
      <c r="C41" s="101"/>
      <c r="D41" s="101"/>
      <c r="E41" s="119">
        <v>80673.179999999993</v>
      </c>
      <c r="F41" s="119"/>
      <c r="G41" s="119"/>
      <c r="H41" s="119"/>
    </row>
    <row r="42" spans="1:8" x14ac:dyDescent="0.3">
      <c r="A42" s="99" t="s">
        <v>40</v>
      </c>
      <c r="B42" s="99"/>
      <c r="C42" s="99"/>
      <c r="D42" s="99"/>
      <c r="E42" s="99" t="s">
        <v>129</v>
      </c>
      <c r="F42" s="99"/>
      <c r="G42" s="99"/>
      <c r="H42" s="99"/>
    </row>
    <row r="43" spans="1:8" x14ac:dyDescent="0.3">
      <c r="A43" s="100" t="s">
        <v>41</v>
      </c>
      <c r="B43" s="100"/>
      <c r="C43" s="100"/>
      <c r="D43" s="100"/>
      <c r="E43" s="100"/>
      <c r="F43" s="100"/>
      <c r="G43" s="100"/>
      <c r="H43" s="100"/>
    </row>
    <row r="44" spans="1:8" x14ac:dyDescent="0.3">
      <c r="A44" s="120" t="s">
        <v>42</v>
      </c>
      <c r="B44" s="120"/>
      <c r="C44" s="130" t="s">
        <v>175</v>
      </c>
      <c r="D44" s="130"/>
      <c r="E44" s="130"/>
      <c r="F44" s="17" t="s">
        <v>43</v>
      </c>
      <c r="G44" s="129">
        <v>45443</v>
      </c>
      <c r="H44" s="129"/>
    </row>
    <row r="45" spans="1:8" x14ac:dyDescent="0.3">
      <c r="A45" s="120" t="s">
        <v>44</v>
      </c>
      <c r="B45" s="120"/>
      <c r="C45" s="130" t="str">
        <f>C44</f>
        <v>SRA/ENG/3034/MHL&amp;STGL/PS/AP</v>
      </c>
      <c r="D45" s="130"/>
      <c r="E45" s="130"/>
      <c r="F45" s="17" t="s">
        <v>43</v>
      </c>
      <c r="G45" s="129">
        <f>G44</f>
        <v>45443</v>
      </c>
      <c r="H45" s="87"/>
    </row>
    <row r="46" spans="1:8" s="5" customFormat="1" ht="15.75" customHeight="1" x14ac:dyDescent="0.3">
      <c r="A46" s="182" t="s">
        <v>45</v>
      </c>
      <c r="B46" s="183"/>
      <c r="C46" s="131" t="s">
        <v>175</v>
      </c>
      <c r="D46" s="132"/>
      <c r="E46" s="132"/>
      <c r="F46" s="59" t="s">
        <v>43</v>
      </c>
      <c r="G46" s="133">
        <v>44862</v>
      </c>
      <c r="H46" s="134"/>
    </row>
    <row r="47" spans="1:8" s="5" customFormat="1" ht="48.75" customHeight="1" x14ac:dyDescent="0.3">
      <c r="A47" s="184"/>
      <c r="B47" s="185"/>
      <c r="C47" s="175" t="s">
        <v>230</v>
      </c>
      <c r="D47" s="176"/>
      <c r="E47" s="176"/>
      <c r="F47" s="176"/>
      <c r="G47" s="176"/>
      <c r="H47" s="177"/>
    </row>
    <row r="48" spans="1:8" s="5" customFormat="1" x14ac:dyDescent="0.3">
      <c r="A48" s="184"/>
      <c r="B48" s="185"/>
      <c r="C48" s="171" t="s">
        <v>185</v>
      </c>
      <c r="D48" s="172"/>
      <c r="E48" s="172"/>
      <c r="F48" s="60" t="s">
        <v>43</v>
      </c>
      <c r="G48" s="173">
        <v>45037</v>
      </c>
      <c r="H48" s="174"/>
    </row>
    <row r="49" spans="1:11" s="5" customFormat="1" ht="66" customHeight="1" x14ac:dyDescent="0.3">
      <c r="A49" s="184"/>
      <c r="B49" s="185"/>
      <c r="C49" s="175" t="s">
        <v>231</v>
      </c>
      <c r="D49" s="176"/>
      <c r="E49" s="176"/>
      <c r="F49" s="176"/>
      <c r="G49" s="176"/>
      <c r="H49" s="177"/>
    </row>
    <row r="50" spans="1:11" s="5" customFormat="1" ht="15.75" customHeight="1" x14ac:dyDescent="0.3">
      <c r="A50" s="184"/>
      <c r="B50" s="185"/>
      <c r="C50" s="178" t="s">
        <v>175</v>
      </c>
      <c r="D50" s="179"/>
      <c r="E50" s="179"/>
      <c r="F50" s="61" t="s">
        <v>43</v>
      </c>
      <c r="G50" s="180">
        <v>45446</v>
      </c>
      <c r="H50" s="181"/>
    </row>
    <row r="51" spans="1:11" s="5" customFormat="1" ht="66.75" customHeight="1" x14ac:dyDescent="0.3">
      <c r="A51" s="186"/>
      <c r="B51" s="187"/>
      <c r="C51" s="175" t="s">
        <v>232</v>
      </c>
      <c r="D51" s="176"/>
      <c r="E51" s="176"/>
      <c r="F51" s="176"/>
      <c r="G51" s="176"/>
      <c r="H51" s="177"/>
    </row>
    <row r="52" spans="1:11" ht="79.2" customHeight="1" x14ac:dyDescent="0.3">
      <c r="A52" s="74" t="s">
        <v>240</v>
      </c>
      <c r="B52" s="74"/>
      <c r="C52" s="124" t="s">
        <v>239</v>
      </c>
      <c r="D52" s="125"/>
      <c r="E52" s="126"/>
      <c r="F52" s="66" t="s">
        <v>43</v>
      </c>
      <c r="G52" s="122">
        <v>45833</v>
      </c>
      <c r="H52" s="123"/>
    </row>
    <row r="53" spans="1:11" x14ac:dyDescent="0.3">
      <c r="A53" s="121" t="s">
        <v>47</v>
      </c>
      <c r="B53" s="121"/>
      <c r="C53" s="121"/>
      <c r="D53" s="121"/>
      <c r="E53" s="121"/>
      <c r="F53" s="121"/>
      <c r="G53" s="121"/>
      <c r="H53" s="121"/>
    </row>
    <row r="54" spans="1:11" ht="34.5" customHeight="1" x14ac:dyDescent="0.3">
      <c r="A54" s="120" t="s">
        <v>191</v>
      </c>
      <c r="B54" s="120"/>
      <c r="C54" s="120"/>
      <c r="D54" s="99">
        <f>10276.65+22489.38+13722.08+16559.61</f>
        <v>63047.72</v>
      </c>
      <c r="E54" s="99"/>
      <c r="F54" s="99"/>
      <c r="G54" s="99"/>
      <c r="H54" s="99"/>
    </row>
    <row r="55" spans="1:11" x14ac:dyDescent="0.3">
      <c r="A55" s="87" t="s">
        <v>48</v>
      </c>
      <c r="B55" s="99"/>
      <c r="C55" s="99"/>
      <c r="D55" s="99" t="s">
        <v>224</v>
      </c>
      <c r="E55" s="99"/>
      <c r="F55" s="99"/>
      <c r="G55" s="99"/>
      <c r="H55" s="99"/>
    </row>
    <row r="56" spans="1:11" ht="33" customHeight="1" x14ac:dyDescent="0.3">
      <c r="A56" s="87" t="s">
        <v>49</v>
      </c>
      <c r="B56" s="99"/>
      <c r="C56" s="99"/>
      <c r="D56" s="87" t="s">
        <v>192</v>
      </c>
      <c r="E56" s="87"/>
      <c r="F56" s="87"/>
      <c r="G56" s="87"/>
      <c r="H56" s="87"/>
    </row>
    <row r="57" spans="1:11" ht="32.25" customHeight="1" x14ac:dyDescent="0.3">
      <c r="A57" s="87" t="s">
        <v>96</v>
      </c>
      <c r="B57" s="87"/>
      <c r="C57" s="87"/>
      <c r="D57" s="87" t="s">
        <v>193</v>
      </c>
      <c r="E57" s="87"/>
      <c r="F57" s="87"/>
      <c r="G57" s="87"/>
      <c r="H57" s="87"/>
    </row>
    <row r="58" spans="1:11" ht="33.75" customHeight="1" x14ac:dyDescent="0.3">
      <c r="A58" s="87"/>
      <c r="B58" s="87"/>
      <c r="C58" s="87"/>
      <c r="D58" s="87" t="s">
        <v>194</v>
      </c>
      <c r="E58" s="87"/>
      <c r="F58" s="87"/>
      <c r="G58" s="87"/>
      <c r="H58" s="87"/>
    </row>
    <row r="59" spans="1:11" ht="15.75" customHeight="1" x14ac:dyDescent="0.3">
      <c r="A59" s="101" t="s">
        <v>46</v>
      </c>
      <c r="B59" s="101"/>
      <c r="C59" s="101"/>
      <c r="D59" s="87" t="s">
        <v>227</v>
      </c>
      <c r="E59" s="87"/>
      <c r="F59" s="87"/>
      <c r="G59" s="87"/>
      <c r="H59" s="87"/>
    </row>
    <row r="60" spans="1:11" ht="15.75" customHeight="1" x14ac:dyDescent="0.3">
      <c r="A60" s="101" t="s">
        <v>93</v>
      </c>
      <c r="B60" s="101"/>
      <c r="C60" s="101"/>
      <c r="D60" s="120" t="s">
        <v>94</v>
      </c>
      <c r="E60" s="120"/>
      <c r="F60" s="120"/>
      <c r="G60" s="120"/>
      <c r="H60" s="120"/>
    </row>
    <row r="61" spans="1:11" ht="15.75" customHeight="1" x14ac:dyDescent="0.3">
      <c r="A61" s="101" t="s">
        <v>95</v>
      </c>
      <c r="B61" s="101"/>
      <c r="C61" s="101"/>
      <c r="D61" s="120" t="s">
        <v>25</v>
      </c>
      <c r="E61" s="120"/>
      <c r="F61" s="120"/>
      <c r="G61" s="120"/>
      <c r="H61" s="120"/>
      <c r="J61" s="14"/>
      <c r="K61" s="14"/>
    </row>
    <row r="62" spans="1:11" ht="15.75" customHeight="1" thickBot="1" x14ac:dyDescent="0.35">
      <c r="A62" s="101" t="s">
        <v>92</v>
      </c>
      <c r="B62" s="101"/>
      <c r="C62" s="101"/>
      <c r="D62" s="87" t="s">
        <v>186</v>
      </c>
      <c r="E62" s="87"/>
      <c r="F62" s="87"/>
      <c r="G62" s="87"/>
      <c r="H62" s="87"/>
      <c r="J62" s="14"/>
      <c r="K62" s="14"/>
    </row>
    <row r="63" spans="1:11" customFormat="1" ht="36" customHeight="1" x14ac:dyDescent="0.3">
      <c r="A63" s="74" t="s">
        <v>155</v>
      </c>
      <c r="B63" s="74"/>
      <c r="C63" s="74" t="str">
        <f>D57</f>
        <v>Sale Building No.1 (Wing A, B &amp; C) = LW Gr 1 + LW Gr + Gr + E  Deck + 1st to 36th Floor</v>
      </c>
      <c r="D63" s="74"/>
      <c r="E63" s="74"/>
      <c r="F63" s="74"/>
      <c r="G63" s="74"/>
      <c r="H63" s="74"/>
      <c r="I63" s="34" t="str">
        <f ca="1">(IF(E67&gt;99%,"All work completed. Please provide OC.",IF(E67&gt;89.8%,"Plinth, RCC, Brick, Plaster, Flooring, Painting work Completed. Finishing work is in process.",IF(E67&lt;94%,(IF(C67=0,"Work not yet Started.",IF(D67=25%,"Piling work in process",IF(D67=50%,"Excavation work in process",IF(D67=100%,"Excavation work Completed. ","0")))&amp;(IF(C68=0%,"",IF(C68=J69,"Footing work is process",IF(C68=J70,"Footing work Completed",IF(C68=J71,"1st Basement Completed",IF(C68=J72,"1st &amp; 2nd Basement Completed",IF(C68=J73,"1st to 3rd Basement Completed",IF(C68=J74,"1st to 4th Basement Completed",IF(C68=J75,"Plinth work is process",IF(C68=J76,"Plinth work completed","0")))))))))))&amp;(IF(C69=(D64+F64+H64),", RCC Slab",IF(C69&gt;0,", RCC upto "&amp;C69&amp;" Slab",""))&amp;(IF(C70=H64,", Brickwork",IF(C70&gt;0,", Brickwork upto "&amp;C70&amp;" Floor",""))&amp;(IF(C71=H64,", Internal Plaster",IF(C71&gt;0,", Internal Plaster upto "&amp;C71&amp;" Floor",""))&amp;(IF(C72=H64,", External Plaster",IF(C72&gt;0,", External Plaster upto "&amp;C72&amp;" Floor",""))&amp;(IF(C73=H64,", Flooring",IF(C73&gt;0,", Flooring upto "&amp;C73&amp;" Floor",""))&amp;(IF(C74=H64,", Painting",IF(C74&gt;0,", Painting upto "&amp;C74&amp;" Floor",""))&amp;(IF(C75&gt;0,", Finishing upto "&amp;C75&amp;" Floor","")&amp;(IF(C69&gt;0.5," Completed",""))))))))))))))</f>
        <v>All work completed. Please provide OC.</v>
      </c>
      <c r="J63" s="35"/>
    </row>
    <row r="64" spans="1:11" customFormat="1" x14ac:dyDescent="0.3">
      <c r="A64" s="36" t="s">
        <v>75</v>
      </c>
      <c r="B64" s="33">
        <v>0</v>
      </c>
      <c r="C64" s="33" t="s">
        <v>77</v>
      </c>
      <c r="D64" s="33">
        <v>3</v>
      </c>
      <c r="E64" s="33" t="s">
        <v>76</v>
      </c>
      <c r="F64" s="33">
        <v>1</v>
      </c>
      <c r="G64" s="33" t="s">
        <v>86</v>
      </c>
      <c r="H64" s="37">
        <f ca="1">--TRIM(RIGHT(SUBSTITUTE(LEFT(C63,_xlfn.AGGREGATE(16,6,FIND({0,1,2,3,4,5,6,7,8,9},C63,ROW(INDIRECT("1:"&amp;LEN(C63)))),1))," ",REPT(" ",LEN(C63))),LEN(C63)))</f>
        <v>36</v>
      </c>
      <c r="I64" s="14"/>
      <c r="J64" s="38"/>
    </row>
    <row r="65" spans="1:14" customFormat="1" x14ac:dyDescent="0.3">
      <c r="A65" s="72" t="s">
        <v>97</v>
      </c>
      <c r="B65" s="73"/>
      <c r="C65" s="74" t="str">
        <f>I65</f>
        <v>All work Completed. OC Received.</v>
      </c>
      <c r="D65" s="74"/>
      <c r="E65" s="74"/>
      <c r="F65" s="74"/>
      <c r="G65" s="74"/>
      <c r="H65" s="75"/>
      <c r="I65" s="14" t="s">
        <v>112</v>
      </c>
      <c r="J65" s="38"/>
    </row>
    <row r="66" spans="1:14" customFormat="1" ht="31.2" x14ac:dyDescent="0.3">
      <c r="A66" s="76" t="s">
        <v>50</v>
      </c>
      <c r="B66" s="77"/>
      <c r="C66" s="48" t="s">
        <v>156</v>
      </c>
      <c r="D66" s="48" t="s">
        <v>89</v>
      </c>
      <c r="E66" s="77" t="s">
        <v>91</v>
      </c>
      <c r="F66" s="77"/>
      <c r="G66" s="77" t="s">
        <v>90</v>
      </c>
      <c r="H66" s="78"/>
      <c r="I66" s="15" t="s">
        <v>157</v>
      </c>
      <c r="J66" s="39">
        <f ca="1">H64*25%</f>
        <v>9</v>
      </c>
    </row>
    <row r="67" spans="1:14" customFormat="1" x14ac:dyDescent="0.3">
      <c r="A67" s="76" t="s">
        <v>158</v>
      </c>
      <c r="B67" s="77"/>
      <c r="C67" s="18">
        <f ca="1">J68</f>
        <v>36</v>
      </c>
      <c r="D67" s="49">
        <f ca="1">((100/H64)*C67)/100</f>
        <v>1</v>
      </c>
      <c r="E67" s="79">
        <f ca="1">(((C68/H64*10)+(40/(D64+F64+H64)*C69)+(7.5/(H64)*C70)+(7.5/(H64)*C71)+(10/H64*C72)+(10/H64*C73)+(5/H64*C74)+(5/H64*C75)+(5/H64*C76))/100)</f>
        <v>1</v>
      </c>
      <c r="F67" s="79"/>
      <c r="G67" s="79">
        <f ca="1">((((C67/H64)*20)+((C68/H64)*25)+(30/(H64+F64+D64)*C69)+(5/H64*C70)+(5/H64*C71)+(5/H64*C72)+(5/H64*C73)+(0/H64*C74)+(0/H64*C75)+(5/H64*C76))/100)</f>
        <v>1</v>
      </c>
      <c r="H67" s="81"/>
      <c r="I67" s="15" t="s">
        <v>106</v>
      </c>
      <c r="J67" s="40">
        <f ca="1">H64*50%</f>
        <v>18</v>
      </c>
    </row>
    <row r="68" spans="1:14" customFormat="1" x14ac:dyDescent="0.3">
      <c r="A68" s="76" t="s">
        <v>51</v>
      </c>
      <c r="B68" s="77"/>
      <c r="C68" s="19">
        <f ca="1">J76</f>
        <v>36</v>
      </c>
      <c r="D68" s="49">
        <f ca="1">((100/H64)*C68)/100</f>
        <v>1</v>
      </c>
      <c r="E68" s="79"/>
      <c r="F68" s="79"/>
      <c r="G68" s="79"/>
      <c r="H68" s="81"/>
      <c r="I68" s="15" t="s">
        <v>107</v>
      </c>
      <c r="J68" s="40">
        <f ca="1">H64</f>
        <v>36</v>
      </c>
    </row>
    <row r="69" spans="1:14" customFormat="1" x14ac:dyDescent="0.3">
      <c r="A69" s="83" t="s">
        <v>159</v>
      </c>
      <c r="B69" s="84"/>
      <c r="C69" s="19">
        <v>40</v>
      </c>
      <c r="D69" s="49">
        <f ca="1">((100/(D64+F64+H64))*C69)/100</f>
        <v>1</v>
      </c>
      <c r="E69" s="79"/>
      <c r="F69" s="79"/>
      <c r="G69" s="79"/>
      <c r="H69" s="81"/>
      <c r="I69" s="15" t="s">
        <v>108</v>
      </c>
      <c r="J69" s="41">
        <f ca="1">(IF(B64&gt;1,(H64/(B64+2)),H64/4))</f>
        <v>9</v>
      </c>
      <c r="L69" s="42"/>
    </row>
    <row r="70" spans="1:14" customFormat="1" ht="15.75" customHeight="1" x14ac:dyDescent="0.3">
      <c r="A70" s="76" t="s">
        <v>160</v>
      </c>
      <c r="B70" s="77" t="s">
        <v>161</v>
      </c>
      <c r="C70" s="19">
        <v>36</v>
      </c>
      <c r="D70" s="49">
        <f ca="1">((100/H64)*C70)/100</f>
        <v>1</v>
      </c>
      <c r="E70" s="79"/>
      <c r="F70" s="79"/>
      <c r="G70" s="79"/>
      <c r="H70" s="81"/>
      <c r="I70" s="15" t="s">
        <v>109</v>
      </c>
      <c r="J70" s="41">
        <f ca="1">(IF(B64&gt;1,(H64/(B64+2)+J69),H64/4+J69))</f>
        <v>18</v>
      </c>
      <c r="L70" s="42"/>
    </row>
    <row r="71" spans="1:14" customFormat="1" ht="15.75" customHeight="1" x14ac:dyDescent="0.3">
      <c r="A71" s="76" t="s">
        <v>162</v>
      </c>
      <c r="B71" s="77" t="s">
        <v>161</v>
      </c>
      <c r="C71" s="19">
        <v>36</v>
      </c>
      <c r="D71" s="49">
        <f ca="1">((100/H64)*C71)/100</f>
        <v>1</v>
      </c>
      <c r="E71" s="79"/>
      <c r="F71" s="79"/>
      <c r="G71" s="79"/>
      <c r="H71" s="81"/>
      <c r="I71" s="15" t="s">
        <v>163</v>
      </c>
      <c r="J71" s="41">
        <f>(IF(B64&gt;1,(H64/(B64+2)+J70),0))</f>
        <v>0</v>
      </c>
      <c r="L71" s="43"/>
      <c r="N71" s="42"/>
    </row>
    <row r="72" spans="1:14" customFormat="1" ht="15.75" customHeight="1" x14ac:dyDescent="0.3">
      <c r="A72" s="83" t="s">
        <v>164</v>
      </c>
      <c r="B72" s="84" t="s">
        <v>165</v>
      </c>
      <c r="C72" s="19">
        <v>36</v>
      </c>
      <c r="D72" s="49">
        <f ca="1">((100/(H64))*C72)/100</f>
        <v>1</v>
      </c>
      <c r="E72" s="79"/>
      <c r="F72" s="79"/>
      <c r="G72" s="79"/>
      <c r="H72" s="81"/>
      <c r="I72" s="15" t="s">
        <v>166</v>
      </c>
      <c r="J72" s="41">
        <f>(IF(B64&gt;2,(H64/(B64+2)+J71),0))</f>
        <v>0</v>
      </c>
      <c r="K72" s="44"/>
      <c r="L72" s="43"/>
    </row>
    <row r="73" spans="1:14" customFormat="1" ht="15.75" customHeight="1" x14ac:dyDescent="0.3">
      <c r="A73" s="76" t="s">
        <v>167</v>
      </c>
      <c r="B73" s="77" t="s">
        <v>167</v>
      </c>
      <c r="C73" s="18">
        <v>36</v>
      </c>
      <c r="D73" s="49">
        <f ca="1">((100/H64)*C73)/100</f>
        <v>1</v>
      </c>
      <c r="E73" s="79"/>
      <c r="F73" s="79"/>
      <c r="G73" s="79"/>
      <c r="H73" s="81"/>
      <c r="I73" s="15" t="s">
        <v>168</v>
      </c>
      <c r="J73" s="45">
        <f>(IF(B64&gt;3,(H64/(B64+2)+J72),0))</f>
        <v>0</v>
      </c>
      <c r="K73" s="44"/>
      <c r="L73" s="43"/>
    </row>
    <row r="74" spans="1:14" customFormat="1" ht="15.75" customHeight="1" x14ac:dyDescent="0.3">
      <c r="A74" s="76" t="s">
        <v>169</v>
      </c>
      <c r="B74" s="77"/>
      <c r="C74" s="18">
        <v>36</v>
      </c>
      <c r="D74" s="49">
        <f ca="1">((100/H64)*C74)/100</f>
        <v>1</v>
      </c>
      <c r="E74" s="79"/>
      <c r="F74" s="79"/>
      <c r="G74" s="79"/>
      <c r="H74" s="81"/>
      <c r="I74" s="15" t="s">
        <v>170</v>
      </c>
      <c r="J74" s="41">
        <f>(IF(B64&gt;4,(H64/(B64+2)+J73),0))</f>
        <v>0</v>
      </c>
      <c r="K74" s="42"/>
      <c r="L74" s="43"/>
    </row>
    <row r="75" spans="1:14" customFormat="1" ht="15.75" customHeight="1" x14ac:dyDescent="0.3">
      <c r="A75" s="76" t="s">
        <v>171</v>
      </c>
      <c r="B75" s="77" t="s">
        <v>171</v>
      </c>
      <c r="C75" s="18">
        <v>36</v>
      </c>
      <c r="D75" s="49">
        <f ca="1">((100/(H64))*C75)/100</f>
        <v>1</v>
      </c>
      <c r="E75" s="79"/>
      <c r="F75" s="79"/>
      <c r="G75" s="79"/>
      <c r="H75" s="81"/>
      <c r="I75" s="15" t="s">
        <v>110</v>
      </c>
      <c r="J75" s="41">
        <f ca="1">(IF(B64=1,(H64/(B64+3)+J70),IF(B64=0,(H64/4+J70),IF(B64&gt;1,0))))</f>
        <v>27</v>
      </c>
      <c r="K75" s="44"/>
      <c r="L75" s="43"/>
    </row>
    <row r="76" spans="1:14" customFormat="1" ht="16.2" thickBot="1" x14ac:dyDescent="0.35">
      <c r="A76" s="85" t="s">
        <v>172</v>
      </c>
      <c r="B76" s="86"/>
      <c r="C76" s="50">
        <v>36</v>
      </c>
      <c r="D76" s="51">
        <f ca="1">((100/(H64))*C76)/100</f>
        <v>1</v>
      </c>
      <c r="E76" s="80"/>
      <c r="F76" s="80"/>
      <c r="G76" s="80"/>
      <c r="H76" s="82"/>
      <c r="I76" s="46" t="s">
        <v>111</v>
      </c>
      <c r="J76" s="47">
        <f ca="1">(IF(B64&gt;1.5,(H64/(B64+2)+J70+MAX(0,J71-J70)+MAX(0,J72-J71)+MAX(0,J73-J72)+MAX(0,J74-J73)+MAX(0,J75-J74)),IF(B64=1,(H64/(B64+3)+J75),IF(B64=0,H64/4+J75))))</f>
        <v>36</v>
      </c>
      <c r="K76" s="44"/>
      <c r="L76" s="43"/>
    </row>
    <row r="77" spans="1:14" customFormat="1" ht="35.25" hidden="1" customHeight="1" x14ac:dyDescent="0.3">
      <c r="A77" s="67" t="s">
        <v>155</v>
      </c>
      <c r="B77" s="68"/>
      <c r="C77" s="69" t="str">
        <f>D58</f>
        <v>Sale Building No.1 (Wing D) = LW Gr 1 + LW Gr + Gr + E  Deck + 1st to 36th Floor</v>
      </c>
      <c r="D77" s="70"/>
      <c r="E77" s="70"/>
      <c r="F77" s="70"/>
      <c r="G77" s="70"/>
      <c r="H77" s="71"/>
      <c r="I77" s="34" t="str">
        <f>(IF(E81&gt;99%,"All work completed. Please provide OC.",IF(E81&gt;89.8%,"Plinth, RCC, Brick, Plaster, Flooring, Painting work Completed. Finishing work is in process.",IF(E81&lt;94%,(IF(C81=0,"Work not yet Started.",IF(D81=25%,"Piling work in process",IF(D81=50%,"Excavation work in process",IF(D81=100%,"Excavation work Completed. ","0")))&amp;(IF(C82=0%,"",IF(C82=J83,"Footing work is process",IF(C82=J84,"Footing work Completed",IF(C82=J85,"1st Basement Completed",IF(C82=J86,"1st &amp; 2nd Basement Completed",IF(C82=J87,"1st to 3rd Basement Completed",IF(C82=J88,"1st to 4th Basement Completed",IF(C82=J89,"Plinth work is process",IF(C82=J90,"Plinth work completed","0")))))))))))&amp;(IF(C83=(D78+F78+H78),", RCC Slab",IF(C83&gt;0,", RCC upto "&amp;C83&amp;" Slab",""))&amp;(IF(C84=H78,", Brickwork",IF(C84&gt;0,", Brickwork upto "&amp;C84&amp;" Floor",""))&amp;(IF(C85=H78,", Internal Plaster",IF(C85&gt;0,", Internal Plaster upto "&amp;C85&amp;" Floor",""))&amp;(IF(C86=H78,", External Plaster",IF(C86&gt;0,", External Plaster upto "&amp;C86&amp;" Floor",""))&amp;(IF(C87=H78,", Flooring",IF(C87&gt;0,", Flooring upto "&amp;C87&amp;" Floor",""))&amp;(IF(C88=H78,", Painting",IF(C88&gt;0,", Painting upto "&amp;C88&amp;" Floor",""))&amp;(IF(C89&gt;0,", Finishing upto "&amp;C89&amp;" Floor","")&amp;(IF(C83&gt;0.5," Completed",""))))))))))))))</f>
        <v>All work completed. Please provide OC.</v>
      </c>
      <c r="J77" s="35"/>
    </row>
    <row r="78" spans="1:14" customFormat="1" hidden="1" x14ac:dyDescent="0.3">
      <c r="A78" s="36" t="s">
        <v>75</v>
      </c>
      <c r="B78" s="33">
        <v>0</v>
      </c>
      <c r="C78" s="33" t="s">
        <v>77</v>
      </c>
      <c r="D78" s="33">
        <v>3</v>
      </c>
      <c r="E78" s="33" t="s">
        <v>76</v>
      </c>
      <c r="F78" s="33">
        <v>1</v>
      </c>
      <c r="G78" s="33" t="s">
        <v>86</v>
      </c>
      <c r="H78" s="37">
        <f ca="1">--TRIM(RIGHT(SUBSTITUTE(LEFT(C77,_xlfn.AGGREGATE(16,6,FIND({0,1,2,3,4,5,6,7,8,9},C77,ROW(INDIRECT("1:"&amp;LEN(C77)))),1))," ",REPT(" ",LEN(C77))),LEN(C77)))</f>
        <v>36</v>
      </c>
      <c r="I78" s="14"/>
      <c r="J78" s="38"/>
    </row>
    <row r="79" spans="1:14" customFormat="1" ht="49.5" hidden="1" customHeight="1" x14ac:dyDescent="0.3">
      <c r="A79" s="72" t="s">
        <v>97</v>
      </c>
      <c r="B79" s="73"/>
      <c r="C79" s="74" t="str">
        <f>I77</f>
        <v>All work completed. Please provide OC.</v>
      </c>
      <c r="D79" s="74"/>
      <c r="E79" s="74"/>
      <c r="F79" s="74"/>
      <c r="G79" s="74"/>
      <c r="H79" s="75"/>
      <c r="I79" s="14" t="s">
        <v>112</v>
      </c>
      <c r="J79" s="38"/>
    </row>
    <row r="80" spans="1:14" customFormat="1" ht="31.2" hidden="1" x14ac:dyDescent="0.3">
      <c r="A80" s="76" t="s">
        <v>50</v>
      </c>
      <c r="B80" s="77"/>
      <c r="C80" s="48" t="s">
        <v>156</v>
      </c>
      <c r="D80" s="48" t="s">
        <v>89</v>
      </c>
      <c r="E80" s="77" t="s">
        <v>91</v>
      </c>
      <c r="F80" s="77"/>
      <c r="G80" s="77" t="s">
        <v>90</v>
      </c>
      <c r="H80" s="78"/>
      <c r="I80" s="15" t="s">
        <v>157</v>
      </c>
      <c r="J80" s="39">
        <f ca="1">H78*25%</f>
        <v>9</v>
      </c>
    </row>
    <row r="81" spans="1:14" customFormat="1" hidden="1" x14ac:dyDescent="0.3">
      <c r="A81" s="76" t="s">
        <v>158</v>
      </c>
      <c r="B81" s="77"/>
      <c r="C81" s="18">
        <f ca="1">J82</f>
        <v>36</v>
      </c>
      <c r="D81" s="49">
        <f ca="1">((100/H78)*C81)/100</f>
        <v>1</v>
      </c>
      <c r="E81" s="79" t="s">
        <v>236</v>
      </c>
      <c r="F81" s="79"/>
      <c r="G81" s="79">
        <f ca="1">((((C81/H78)*20)+((C82/H78)*25)+(30/(H78+F78+D78)*C83)+(5/H78*C84)+(5/H78*C85)+(5/H78*C86)+(5/H78*C87)+(0/H78*C88)+(0/H78*C89)+(5/H78*C90))/100)</f>
        <v>0.93888888888888888</v>
      </c>
      <c r="H81" s="81"/>
      <c r="I81" s="15" t="s">
        <v>106</v>
      </c>
      <c r="J81" s="40">
        <f ca="1">H78*50%</f>
        <v>18</v>
      </c>
    </row>
    <row r="82" spans="1:14" customFormat="1" hidden="1" x14ac:dyDescent="0.3">
      <c r="A82" s="76" t="s">
        <v>51</v>
      </c>
      <c r="B82" s="77"/>
      <c r="C82" s="19">
        <f ca="1">J90</f>
        <v>36</v>
      </c>
      <c r="D82" s="49">
        <f ca="1">((100/H78)*C82)/100</f>
        <v>1</v>
      </c>
      <c r="E82" s="79"/>
      <c r="F82" s="79"/>
      <c r="G82" s="79"/>
      <c r="H82" s="81"/>
      <c r="I82" s="15" t="s">
        <v>107</v>
      </c>
      <c r="J82" s="40">
        <f ca="1">H78</f>
        <v>36</v>
      </c>
    </row>
    <row r="83" spans="1:14" customFormat="1" hidden="1" x14ac:dyDescent="0.3">
      <c r="A83" s="83" t="s">
        <v>159</v>
      </c>
      <c r="B83" s="84"/>
      <c r="C83" s="19">
        <v>40</v>
      </c>
      <c r="D83" s="49">
        <f ca="1">((100/(D78+F78+H78))*C83)/100</f>
        <v>1</v>
      </c>
      <c r="E83" s="79"/>
      <c r="F83" s="79"/>
      <c r="G83" s="79"/>
      <c r="H83" s="81"/>
      <c r="I83" s="15" t="s">
        <v>108</v>
      </c>
      <c r="J83" s="41">
        <f ca="1">(IF(B78&gt;1,(H78/(B78+2)),H78/4))</f>
        <v>9</v>
      </c>
      <c r="L83" s="42"/>
    </row>
    <row r="84" spans="1:14" customFormat="1" ht="15.75" hidden="1" customHeight="1" x14ac:dyDescent="0.3">
      <c r="A84" s="76" t="s">
        <v>160</v>
      </c>
      <c r="B84" s="77" t="s">
        <v>161</v>
      </c>
      <c r="C84" s="19">
        <v>36</v>
      </c>
      <c r="D84" s="49">
        <f ca="1">((100/H78)*C84)/100</f>
        <v>1</v>
      </c>
      <c r="E84" s="79"/>
      <c r="F84" s="79"/>
      <c r="G84" s="79"/>
      <c r="H84" s="81"/>
      <c r="I84" s="15" t="s">
        <v>109</v>
      </c>
      <c r="J84" s="41">
        <f ca="1">(IF(B78&gt;1,(H78/(B78+2)+J83),H78/4+J83))</f>
        <v>18</v>
      </c>
      <c r="L84" s="42"/>
    </row>
    <row r="85" spans="1:14" customFormat="1" ht="15.75" hidden="1" customHeight="1" x14ac:dyDescent="0.3">
      <c r="A85" s="76" t="s">
        <v>162</v>
      </c>
      <c r="B85" s="77" t="s">
        <v>161</v>
      </c>
      <c r="C85" s="19">
        <v>36</v>
      </c>
      <c r="D85" s="49">
        <f ca="1">((100/H78)*C85)/100</f>
        <v>1</v>
      </c>
      <c r="E85" s="79"/>
      <c r="F85" s="79"/>
      <c r="G85" s="79"/>
      <c r="H85" s="81"/>
      <c r="I85" s="15" t="s">
        <v>163</v>
      </c>
      <c r="J85" s="41">
        <f>(IF(B78&gt;1,(H78/(B78+2)+J84),0))</f>
        <v>0</v>
      </c>
      <c r="L85" s="43"/>
      <c r="N85" s="42"/>
    </row>
    <row r="86" spans="1:14" customFormat="1" ht="15.75" hidden="1" customHeight="1" x14ac:dyDescent="0.3">
      <c r="A86" s="83" t="s">
        <v>164</v>
      </c>
      <c r="B86" s="84" t="s">
        <v>165</v>
      </c>
      <c r="C86" s="19">
        <v>36</v>
      </c>
      <c r="D86" s="49">
        <f ca="1">((100/(H78))*C86)/100</f>
        <v>1</v>
      </c>
      <c r="E86" s="79"/>
      <c r="F86" s="79"/>
      <c r="G86" s="79"/>
      <c r="H86" s="81"/>
      <c r="I86" s="15" t="s">
        <v>166</v>
      </c>
      <c r="J86" s="41">
        <f>(IF(B78&gt;2,(H78/(B78+2)+J85),0))</f>
        <v>0</v>
      </c>
      <c r="K86" s="44"/>
      <c r="L86" s="43"/>
    </row>
    <row r="87" spans="1:14" customFormat="1" ht="15.75" hidden="1" customHeight="1" x14ac:dyDescent="0.3">
      <c r="A87" s="76" t="s">
        <v>167</v>
      </c>
      <c r="B87" s="77" t="s">
        <v>167</v>
      </c>
      <c r="C87" s="18">
        <v>28</v>
      </c>
      <c r="D87" s="49">
        <f ca="1">((100/H78)*C87)/100</f>
        <v>0.77777777777777768</v>
      </c>
      <c r="E87" s="79"/>
      <c r="F87" s="79"/>
      <c r="G87" s="79"/>
      <c r="H87" s="81"/>
      <c r="I87" s="15" t="s">
        <v>168</v>
      </c>
      <c r="J87" s="45">
        <f>(IF(B78&gt;3,(H78/(B78+2)+J86),0))</f>
        <v>0</v>
      </c>
      <c r="K87" s="44"/>
      <c r="L87" s="43"/>
    </row>
    <row r="88" spans="1:14" customFormat="1" ht="15.75" hidden="1" customHeight="1" x14ac:dyDescent="0.3">
      <c r="A88" s="76" t="s">
        <v>169</v>
      </c>
      <c r="B88" s="77"/>
      <c r="C88" s="18">
        <v>16</v>
      </c>
      <c r="D88" s="49">
        <f ca="1">((100/H78)*C88)/100</f>
        <v>0.44444444444444442</v>
      </c>
      <c r="E88" s="79"/>
      <c r="F88" s="79"/>
      <c r="G88" s="79"/>
      <c r="H88" s="81"/>
      <c r="I88" s="15" t="s">
        <v>170</v>
      </c>
      <c r="J88" s="41">
        <f>(IF(B78&gt;4,(H78/(B78+2)+J87),0))</f>
        <v>0</v>
      </c>
      <c r="K88" s="42"/>
      <c r="L88" s="43"/>
    </row>
    <row r="89" spans="1:14" customFormat="1" ht="15.75" hidden="1" customHeight="1" x14ac:dyDescent="0.3">
      <c r="A89" s="76" t="s">
        <v>171</v>
      </c>
      <c r="B89" s="77" t="s">
        <v>171</v>
      </c>
      <c r="C89" s="18">
        <v>2</v>
      </c>
      <c r="D89" s="49">
        <f ca="1">((100/(H78))*C89)/100</f>
        <v>5.5555555555555552E-2</v>
      </c>
      <c r="E89" s="79"/>
      <c r="F89" s="79"/>
      <c r="G89" s="79"/>
      <c r="H89" s="81"/>
      <c r="I89" s="15" t="s">
        <v>110</v>
      </c>
      <c r="J89" s="41">
        <f ca="1">(IF(B78=1,(H78/(B78+3)+J84),IF(B78=0,(H78/4+J84),IF(B78&gt;1,0))))</f>
        <v>27</v>
      </c>
      <c r="K89" s="44"/>
      <c r="L89" s="43"/>
    </row>
    <row r="90" spans="1:14" customFormat="1" ht="16.2" hidden="1" thickBot="1" x14ac:dyDescent="0.35">
      <c r="A90" s="115" t="s">
        <v>172</v>
      </c>
      <c r="B90" s="116"/>
      <c r="C90" s="64">
        <v>0</v>
      </c>
      <c r="D90" s="65">
        <f ca="1">((100/(H78))*C90)/100</f>
        <v>0</v>
      </c>
      <c r="E90" s="113"/>
      <c r="F90" s="113"/>
      <c r="G90" s="113"/>
      <c r="H90" s="114"/>
      <c r="I90" s="46" t="s">
        <v>111</v>
      </c>
      <c r="J90" s="47">
        <f ca="1">(IF(B78&gt;1.5,(H78/(B78+2)+J84+MAX(0,J85-J84)+MAX(0,J86-J85)+MAX(0,J87-J86)+MAX(0,J88-J87)+MAX(0,J89-J88)),IF(B78=1,(H78/(B78+3)+J89),IF(B78=0,H78/4+J89))))</f>
        <v>36</v>
      </c>
      <c r="K90" s="44"/>
      <c r="L90" s="43"/>
    </row>
    <row r="91" spans="1:14" customFormat="1" ht="35.25" customHeight="1" x14ac:dyDescent="0.3">
      <c r="A91" s="67" t="s">
        <v>155</v>
      </c>
      <c r="B91" s="68"/>
      <c r="C91" s="69" t="str">
        <f>D58</f>
        <v>Sale Building No.1 (Wing D) = LW Gr 1 + LW Gr + Gr + E  Deck + 1st to 36th Floor</v>
      </c>
      <c r="D91" s="70"/>
      <c r="E91" s="70"/>
      <c r="F91" s="70"/>
      <c r="G91" s="70"/>
      <c r="H91" s="71"/>
      <c r="I91" s="34" t="str">
        <f ca="1">(IF(E95&gt;99%,"All work completed. Please provide OC.",IF(E95&gt;89.8%,"Plinth, RCC, Brick, Plaster, Flooring, Painting work Completed. Finishing work is in process.",IF(E95&lt;94%,(IF(C95=0,"Work not yet Started.",IF(D95=25%,"Piling work in process",IF(D95=50%,"Excavation work in process",IF(D95=100%,"Excavation work Completed. ","0")))&amp;(IF(C96=0%,"",IF(C96=J97,"Footing work is process",IF(C96=J98,"Footing work Completed",IF(C96=J99,"1st Basement Completed",IF(C96=J100,"1st &amp; 2nd Basement Completed",IF(C96=J101,"1st to 3rd Basement Completed",IF(C96=J102,"1st to 4th Basement Completed",IF(C96=J103,"Plinth work is process",IF(C96=J104,"Plinth work completed","0")))))))))))&amp;(IF(C97=(D92+F92+H92),", RCC Slab",IF(C97&gt;0,", RCC upto "&amp;C97&amp;" Slab",""))&amp;(IF(C98=H92,", Brickwork",IF(C98&gt;0,", Brickwork upto "&amp;C98&amp;" Floor",""))&amp;(IF(C99=H92,", Internal Plaster",IF(C99&gt;0,", Internal Plaster upto "&amp;C99&amp;" Floor",""))&amp;(IF(C100=H92,", External Plaster",IF(C100&gt;0,", External Plaster upto "&amp;C100&amp;" Floor",""))&amp;(IF(C101=H92,", Flooring",IF(C101&gt;0,", Flooring upto "&amp;C101&amp;" Floor",""))&amp;(IF(C102=H92,", Painting",IF(C102&gt;0,", Painting upto "&amp;C102&amp;" Floor",""))&amp;(IF(C103&gt;0,", Finishing upto "&amp;C103&amp;" Floor","")&amp;(IF(C97&gt;0.5," Completed",""))))))))))))))</f>
        <v>Plinth, RCC, Brick, Plaster, Flooring, Painting work Completed. Finishing work is in process.</v>
      </c>
      <c r="J91" s="35"/>
    </row>
    <row r="92" spans="1:14" customFormat="1" x14ac:dyDescent="0.3">
      <c r="A92" s="36" t="s">
        <v>75</v>
      </c>
      <c r="B92" s="33">
        <v>0</v>
      </c>
      <c r="C92" s="33" t="s">
        <v>77</v>
      </c>
      <c r="D92" s="33">
        <v>3</v>
      </c>
      <c r="E92" s="33" t="s">
        <v>76</v>
      </c>
      <c r="F92" s="33">
        <v>1</v>
      </c>
      <c r="G92" s="33" t="s">
        <v>86</v>
      </c>
      <c r="H92" s="37">
        <f ca="1">--TRIM(RIGHT(SUBSTITUTE(LEFT(C91,_xlfn.AGGREGATE(16,6,FIND({0,1,2,3,4,5,6,7,8,9},C91,ROW(INDIRECT("1:"&amp;LEN(C91)))),1))," ",REPT(" ",LEN(C91))),LEN(C91)))</f>
        <v>36</v>
      </c>
      <c r="I92" s="14"/>
      <c r="J92" s="38"/>
    </row>
    <row r="93" spans="1:14" customFormat="1" ht="33" customHeight="1" x14ac:dyDescent="0.3">
      <c r="A93" s="72" t="s">
        <v>97</v>
      </c>
      <c r="B93" s="73"/>
      <c r="C93" s="74" t="str">
        <f ca="1">I91</f>
        <v>Plinth, RCC, Brick, Plaster, Flooring, Painting work Completed. Finishing work is in process.</v>
      </c>
      <c r="D93" s="74"/>
      <c r="E93" s="74"/>
      <c r="F93" s="74"/>
      <c r="G93" s="74"/>
      <c r="H93" s="75"/>
      <c r="I93" s="14" t="s">
        <v>112</v>
      </c>
      <c r="J93" s="38"/>
    </row>
    <row r="94" spans="1:14" customFormat="1" ht="31.2" x14ac:dyDescent="0.3">
      <c r="A94" s="76" t="s">
        <v>50</v>
      </c>
      <c r="B94" s="77"/>
      <c r="C94" s="48" t="s">
        <v>156</v>
      </c>
      <c r="D94" s="48" t="s">
        <v>89</v>
      </c>
      <c r="E94" s="77" t="s">
        <v>91</v>
      </c>
      <c r="F94" s="77"/>
      <c r="G94" s="77" t="s">
        <v>90</v>
      </c>
      <c r="H94" s="78"/>
      <c r="I94" s="15" t="s">
        <v>157</v>
      </c>
      <c r="J94" s="39">
        <f ca="1">H92*25%</f>
        <v>9</v>
      </c>
    </row>
    <row r="95" spans="1:14" customFormat="1" x14ac:dyDescent="0.3">
      <c r="A95" s="76" t="s">
        <v>158</v>
      </c>
      <c r="B95" s="77"/>
      <c r="C95" s="18">
        <f ca="1">J96</f>
        <v>36</v>
      </c>
      <c r="D95" s="49">
        <f ca="1">((100/H92)*C95)/100</f>
        <v>1</v>
      </c>
      <c r="E95" s="79">
        <f ca="1">(((C96/H92*10)+(40/(D92+F92+H92)*C97)+(7.5/(H92)*C98)+(7.5/(H92)*C99)+(10/H92*C100)+(10/H92*C101)+(5/H92*C102)+(5/H92*C103)+(5/H92*C104))/100)</f>
        <v>0.91388888888888886</v>
      </c>
      <c r="F95" s="79"/>
      <c r="G95" s="79">
        <f ca="1">((((C95/H92)*20)+((C96/H92)*25)+(30/(H92+F92+D92)*C97)+(5/H92*C98)+(5/H92*C99)+(5/H92*C100)+(5/H92*C101)+(0/H92*C102)+(0/H92*C103)+(5/H92*C104))/100)</f>
        <v>0.9472222222222223</v>
      </c>
      <c r="H95" s="81"/>
      <c r="I95" s="15" t="s">
        <v>106</v>
      </c>
      <c r="J95" s="40">
        <f ca="1">H92*50%</f>
        <v>18</v>
      </c>
    </row>
    <row r="96" spans="1:14" customFormat="1" x14ac:dyDescent="0.3">
      <c r="A96" s="76" t="s">
        <v>51</v>
      </c>
      <c r="B96" s="77"/>
      <c r="C96" s="19">
        <f ca="1">J104</f>
        <v>36</v>
      </c>
      <c r="D96" s="49">
        <f ca="1">((100/H92)*C96)/100</f>
        <v>1</v>
      </c>
      <c r="E96" s="79"/>
      <c r="F96" s="79"/>
      <c r="G96" s="79"/>
      <c r="H96" s="81"/>
      <c r="I96" s="15" t="s">
        <v>107</v>
      </c>
      <c r="J96" s="40">
        <f ca="1">H92</f>
        <v>36</v>
      </c>
    </row>
    <row r="97" spans="1:14" customFormat="1" x14ac:dyDescent="0.3">
      <c r="A97" s="83" t="s">
        <v>159</v>
      </c>
      <c r="B97" s="84"/>
      <c r="C97" s="19">
        <v>40</v>
      </c>
      <c r="D97" s="49">
        <f ca="1">((100/(D92+F92+H92))*C97)/100</f>
        <v>1</v>
      </c>
      <c r="E97" s="79"/>
      <c r="F97" s="79"/>
      <c r="G97" s="79"/>
      <c r="H97" s="81"/>
      <c r="I97" s="15" t="s">
        <v>108</v>
      </c>
      <c r="J97" s="41">
        <f ca="1">(IF(B92&gt;1,(H92/(B92+2)),H92/4))</f>
        <v>9</v>
      </c>
      <c r="L97" s="42"/>
    </row>
    <row r="98" spans="1:14" customFormat="1" ht="15.75" customHeight="1" x14ac:dyDescent="0.3">
      <c r="A98" s="76" t="s">
        <v>160</v>
      </c>
      <c r="B98" s="77" t="s">
        <v>161</v>
      </c>
      <c r="C98" s="19">
        <v>36</v>
      </c>
      <c r="D98" s="49">
        <f ca="1">((100/H92)*C98)/100</f>
        <v>1</v>
      </c>
      <c r="E98" s="79"/>
      <c r="F98" s="79"/>
      <c r="G98" s="79"/>
      <c r="H98" s="81"/>
      <c r="I98" s="15" t="s">
        <v>109</v>
      </c>
      <c r="J98" s="41">
        <f ca="1">(IF(B92&gt;1,(H92/(B92+2)+J97),H92/4+J97))</f>
        <v>18</v>
      </c>
      <c r="L98" s="42"/>
    </row>
    <row r="99" spans="1:14" customFormat="1" ht="15.75" customHeight="1" x14ac:dyDescent="0.3">
      <c r="A99" s="76" t="s">
        <v>162</v>
      </c>
      <c r="B99" s="77" t="s">
        <v>161</v>
      </c>
      <c r="C99" s="19">
        <v>36</v>
      </c>
      <c r="D99" s="49">
        <f ca="1">((100/H92)*C99)/100</f>
        <v>1</v>
      </c>
      <c r="E99" s="79"/>
      <c r="F99" s="79"/>
      <c r="G99" s="79"/>
      <c r="H99" s="81"/>
      <c r="I99" s="15" t="s">
        <v>163</v>
      </c>
      <c r="J99" s="41">
        <f>(IF(B92&gt;1,(H92/(B92+2)+J98),0))</f>
        <v>0</v>
      </c>
      <c r="L99" s="43"/>
      <c r="N99" s="42"/>
    </row>
    <row r="100" spans="1:14" customFormat="1" ht="15.75" customHeight="1" x14ac:dyDescent="0.3">
      <c r="A100" s="83" t="s">
        <v>164</v>
      </c>
      <c r="B100" s="84" t="s">
        <v>165</v>
      </c>
      <c r="C100" s="19">
        <v>36</v>
      </c>
      <c r="D100" s="49">
        <f ca="1">((100/(H92))*C100)/100</f>
        <v>1</v>
      </c>
      <c r="E100" s="79"/>
      <c r="F100" s="79"/>
      <c r="G100" s="79"/>
      <c r="H100" s="81"/>
      <c r="I100" s="15" t="s">
        <v>166</v>
      </c>
      <c r="J100" s="41">
        <f>(IF(B92&gt;2,(H92/(B92+2)+J99),0))</f>
        <v>0</v>
      </c>
      <c r="K100" s="44"/>
      <c r="L100" s="43"/>
    </row>
    <row r="101" spans="1:14" customFormat="1" ht="15.75" customHeight="1" x14ac:dyDescent="0.3">
      <c r="A101" s="76" t="s">
        <v>167</v>
      </c>
      <c r="B101" s="77" t="s">
        <v>167</v>
      </c>
      <c r="C101" s="18">
        <v>34</v>
      </c>
      <c r="D101" s="49">
        <f ca="1">((100/H92)*C101)/100</f>
        <v>0.94444444444444442</v>
      </c>
      <c r="E101" s="79"/>
      <c r="F101" s="79"/>
      <c r="G101" s="79"/>
      <c r="H101" s="81"/>
      <c r="I101" s="15" t="s">
        <v>168</v>
      </c>
      <c r="J101" s="45">
        <f>(IF(B92&gt;3,(H92/(B92+2)+J100),0))</f>
        <v>0</v>
      </c>
      <c r="K101" s="44"/>
      <c r="L101" s="43"/>
    </row>
    <row r="102" spans="1:14" customFormat="1" ht="15.75" customHeight="1" x14ac:dyDescent="0.3">
      <c r="A102" s="76" t="s">
        <v>169</v>
      </c>
      <c r="B102" s="77"/>
      <c r="C102" s="18">
        <v>30</v>
      </c>
      <c r="D102" s="49">
        <f ca="1">((100/H92)*C102)/100</f>
        <v>0.83333333333333326</v>
      </c>
      <c r="E102" s="79"/>
      <c r="F102" s="79"/>
      <c r="G102" s="79"/>
      <c r="H102" s="81"/>
      <c r="I102" s="15" t="s">
        <v>170</v>
      </c>
      <c r="J102" s="41">
        <f>(IF(B92&gt;4,(H92/(B92+2)+J101),0))</f>
        <v>0</v>
      </c>
      <c r="K102" s="42"/>
      <c r="L102" s="43"/>
    </row>
    <row r="103" spans="1:14" customFormat="1" ht="15.75" customHeight="1" x14ac:dyDescent="0.3">
      <c r="A103" s="76" t="s">
        <v>171</v>
      </c>
      <c r="B103" s="77" t="s">
        <v>171</v>
      </c>
      <c r="C103" s="18">
        <v>20</v>
      </c>
      <c r="D103" s="49">
        <f ca="1">((100/(H92))*C103)/100</f>
        <v>0.55555555555555558</v>
      </c>
      <c r="E103" s="79"/>
      <c r="F103" s="79"/>
      <c r="G103" s="79"/>
      <c r="H103" s="81"/>
      <c r="I103" s="15" t="s">
        <v>110</v>
      </c>
      <c r="J103" s="41">
        <f ca="1">(IF(B92=1,(H92/(B92+3)+J98),IF(B92=0,(H92/4+J98),IF(B92&gt;1,0))))</f>
        <v>27</v>
      </c>
      <c r="K103" s="44"/>
      <c r="L103" s="43"/>
    </row>
    <row r="104" spans="1:14" customFormat="1" ht="16.2" thickBot="1" x14ac:dyDescent="0.35">
      <c r="A104" s="85" t="s">
        <v>172</v>
      </c>
      <c r="B104" s="86"/>
      <c r="C104" s="50">
        <v>0</v>
      </c>
      <c r="D104" s="51">
        <f ca="1">((100/(H92))*C104)/100</f>
        <v>0</v>
      </c>
      <c r="E104" s="80"/>
      <c r="F104" s="80"/>
      <c r="G104" s="80"/>
      <c r="H104" s="82"/>
      <c r="I104" s="46" t="s">
        <v>111</v>
      </c>
      <c r="J104" s="47">
        <f ca="1">(IF(B92&gt;1.5,(H92/(B92+2)+J98+MAX(0,J99-J98)+MAX(0,J100-J99)+MAX(0,J101-J100)+MAX(0,J102-J101)+MAX(0,J103-J102)),IF(B92=1,(H92/(B92+3)+J103),IF(B92=0,H92/4+J103))))</f>
        <v>36</v>
      </c>
      <c r="K104" s="44"/>
      <c r="L104" s="43"/>
    </row>
    <row r="105" spans="1:14" x14ac:dyDescent="0.3">
      <c r="A105" s="99" t="s">
        <v>130</v>
      </c>
      <c r="B105" s="99"/>
      <c r="C105" s="99"/>
      <c r="D105" s="99"/>
      <c r="E105" s="99"/>
      <c r="F105" s="99"/>
      <c r="G105" s="99"/>
      <c r="H105" s="99"/>
    </row>
    <row r="106" spans="1:14" x14ac:dyDescent="0.3">
      <c r="A106" s="101" t="s">
        <v>52</v>
      </c>
      <c r="B106" s="101"/>
      <c r="C106" s="101"/>
      <c r="D106" s="101"/>
      <c r="E106" s="101"/>
      <c r="F106" s="101"/>
      <c r="G106" s="101"/>
      <c r="H106" s="101"/>
    </row>
    <row r="107" spans="1:14" ht="207.75" customHeight="1" x14ac:dyDescent="0.3">
      <c r="A107" s="73" t="s">
        <v>80</v>
      </c>
      <c r="B107" s="73"/>
      <c r="C107" s="87" t="s">
        <v>202</v>
      </c>
      <c r="D107" s="87"/>
      <c r="E107" s="87"/>
      <c r="F107" s="87" t="s">
        <v>203</v>
      </c>
      <c r="G107" s="87"/>
      <c r="H107" s="87"/>
    </row>
    <row r="108" spans="1:14" x14ac:dyDescent="0.3">
      <c r="A108" s="100" t="s">
        <v>53</v>
      </c>
      <c r="B108" s="100"/>
      <c r="C108" s="100"/>
      <c r="D108" s="100"/>
      <c r="E108" s="100"/>
      <c r="F108" s="100"/>
      <c r="G108" s="100"/>
      <c r="H108" s="100"/>
    </row>
    <row r="109" spans="1:14" x14ac:dyDescent="0.3">
      <c r="A109" s="101" t="s">
        <v>81</v>
      </c>
      <c r="B109" s="101"/>
      <c r="C109" s="101"/>
      <c r="D109" s="101"/>
      <c r="E109" s="101"/>
      <c r="F109" s="110">
        <v>22000</v>
      </c>
      <c r="G109" s="110"/>
      <c r="H109" s="110"/>
      <c r="J109" s="52" t="s">
        <v>177</v>
      </c>
      <c r="K109" s="53">
        <v>45045</v>
      </c>
      <c r="L109" s="52" t="s">
        <v>178</v>
      </c>
      <c r="M109" s="52" t="s">
        <v>179</v>
      </c>
    </row>
    <row r="110" spans="1:14" s="7" customFormat="1" hidden="1" x14ac:dyDescent="0.25">
      <c r="A110" s="101" t="s">
        <v>101</v>
      </c>
      <c r="B110" s="101"/>
      <c r="C110" s="101"/>
      <c r="D110" s="101"/>
      <c r="E110" s="101"/>
      <c r="F110" s="112" t="s">
        <v>30</v>
      </c>
      <c r="G110" s="112"/>
      <c r="H110" s="112"/>
    </row>
    <row r="111" spans="1:14" s="7" customFormat="1" hidden="1" x14ac:dyDescent="0.25">
      <c r="A111" s="101" t="s">
        <v>102</v>
      </c>
      <c r="B111" s="101"/>
      <c r="C111" s="101"/>
      <c r="D111" s="101"/>
      <c r="E111" s="101"/>
      <c r="F111" s="112" t="s">
        <v>30</v>
      </c>
      <c r="G111" s="112"/>
      <c r="H111" s="112"/>
    </row>
    <row r="112" spans="1:14" s="7" customFormat="1" hidden="1" x14ac:dyDescent="0.25">
      <c r="A112" s="101" t="s">
        <v>103</v>
      </c>
      <c r="B112" s="101"/>
      <c r="C112" s="101"/>
      <c r="D112" s="101"/>
      <c r="E112" s="101"/>
      <c r="F112" s="112" t="s">
        <v>30</v>
      </c>
      <c r="G112" s="112"/>
      <c r="H112" s="112"/>
    </row>
    <row r="113" spans="1:13" s="7" customFormat="1" hidden="1" x14ac:dyDescent="0.25">
      <c r="A113" s="101" t="s">
        <v>104</v>
      </c>
      <c r="B113" s="101"/>
      <c r="C113" s="101"/>
      <c r="D113" s="101"/>
      <c r="E113" s="101"/>
      <c r="F113" s="112" t="s">
        <v>30</v>
      </c>
      <c r="G113" s="112"/>
      <c r="H113" s="112"/>
    </row>
    <row r="114" spans="1:13" s="7" customFormat="1" hidden="1" x14ac:dyDescent="0.25">
      <c r="A114" s="101" t="s">
        <v>105</v>
      </c>
      <c r="B114" s="101"/>
      <c r="C114" s="101"/>
      <c r="D114" s="101"/>
      <c r="E114" s="101"/>
      <c r="F114" s="112" t="s">
        <v>30</v>
      </c>
      <c r="G114" s="112"/>
      <c r="H114" s="112"/>
    </row>
    <row r="115" spans="1:13" s="7" customFormat="1" x14ac:dyDescent="0.25">
      <c r="A115" s="101" t="s">
        <v>140</v>
      </c>
      <c r="B115" s="101"/>
      <c r="C115" s="101"/>
      <c r="D115" s="101"/>
      <c r="E115" s="101"/>
      <c r="F115" s="112">
        <v>10000</v>
      </c>
      <c r="G115" s="112"/>
      <c r="H115" s="112"/>
      <c r="I115" s="62" t="s">
        <v>235</v>
      </c>
      <c r="J115" s="62"/>
      <c r="K115" s="63">
        <v>45474</v>
      </c>
      <c r="L115" s="62" t="s">
        <v>233</v>
      </c>
      <c r="M115" s="62" t="s">
        <v>234</v>
      </c>
    </row>
    <row r="116" spans="1:13" s="7" customFormat="1" x14ac:dyDescent="0.25">
      <c r="A116" s="101" t="s">
        <v>139</v>
      </c>
      <c r="B116" s="101"/>
      <c r="C116" s="101"/>
      <c r="D116" s="101"/>
      <c r="E116" s="101"/>
      <c r="F116" s="117">
        <v>100000</v>
      </c>
      <c r="G116" s="112"/>
      <c r="H116" s="112"/>
      <c r="I116" s="7" t="s">
        <v>242</v>
      </c>
      <c r="K116" s="189">
        <v>45910</v>
      </c>
      <c r="L116" s="62" t="s">
        <v>233</v>
      </c>
      <c r="M116" s="62" t="s">
        <v>234</v>
      </c>
    </row>
    <row r="117" spans="1:13" s="7" customFormat="1" x14ac:dyDescent="0.25">
      <c r="A117" s="101" t="s">
        <v>176</v>
      </c>
      <c r="B117" s="101"/>
      <c r="C117" s="101"/>
      <c r="D117" s="101"/>
      <c r="E117" s="101"/>
      <c r="F117" s="111">
        <v>90000</v>
      </c>
      <c r="G117" s="112"/>
      <c r="H117" s="112"/>
      <c r="I117" s="7">
        <f>6500*12</f>
        <v>78000</v>
      </c>
    </row>
    <row r="118" spans="1:13" x14ac:dyDescent="0.3">
      <c r="A118" s="101" t="s">
        <v>54</v>
      </c>
      <c r="B118" s="101"/>
      <c r="C118" s="101"/>
      <c r="D118" s="101"/>
      <c r="E118" s="101"/>
      <c r="F118" s="130" t="s">
        <v>241</v>
      </c>
      <c r="G118" s="130"/>
      <c r="H118" s="130"/>
    </row>
    <row r="119" spans="1:13" s="4" customFormat="1" x14ac:dyDescent="0.3">
      <c r="A119" s="100" t="s">
        <v>55</v>
      </c>
      <c r="B119" s="100"/>
      <c r="C119" s="100"/>
      <c r="D119" s="100"/>
      <c r="E119" s="100"/>
      <c r="F119" s="112">
        <f>F109*0.8</f>
        <v>17600</v>
      </c>
      <c r="G119" s="112"/>
      <c r="H119" s="112"/>
    </row>
    <row r="120" spans="1:13" s="1" customFormat="1" x14ac:dyDescent="0.3">
      <c r="A120" s="98" t="s">
        <v>74</v>
      </c>
      <c r="B120" s="98"/>
      <c r="C120" s="98"/>
      <c r="D120" s="98"/>
      <c r="E120" s="98"/>
      <c r="F120" s="98"/>
      <c r="G120" s="98"/>
      <c r="H120" s="98"/>
    </row>
    <row r="121" spans="1:13" s="1" customFormat="1" x14ac:dyDescent="0.3">
      <c r="A121" s="104" t="s">
        <v>56</v>
      </c>
      <c r="B121" s="104"/>
      <c r="C121" s="8" t="s">
        <v>84</v>
      </c>
      <c r="D121" s="157" t="s">
        <v>57</v>
      </c>
      <c r="E121" s="157"/>
      <c r="F121" s="104" t="s">
        <v>58</v>
      </c>
      <c r="G121" s="104"/>
      <c r="H121" s="104"/>
    </row>
    <row r="122" spans="1:13" s="1" customFormat="1" x14ac:dyDescent="0.3">
      <c r="A122" s="105" t="s">
        <v>206</v>
      </c>
      <c r="B122" s="106"/>
      <c r="C122" s="9">
        <f>COUNT(D137:D139)+COUNT(D141:D144)*30+COUNT(D147:D149)*5</f>
        <v>138</v>
      </c>
      <c r="D122" s="107">
        <f>SUM(D137:D139)+SUM(D141:D144)*30+SUM(D147:D149)*5</f>
        <v>98761.852799999993</v>
      </c>
      <c r="E122" s="108"/>
      <c r="F122" s="107">
        <f>SUM(F137:F139)+SUM(F141:F144)*30+SUM(F147:F149)*5</f>
        <v>148142.77919999996</v>
      </c>
      <c r="G122" s="109"/>
      <c r="H122" s="108"/>
    </row>
    <row r="123" spans="1:13" s="1" customFormat="1" x14ac:dyDescent="0.3">
      <c r="A123" s="105" t="s">
        <v>213</v>
      </c>
      <c r="B123" s="106"/>
      <c r="C123" s="9">
        <f>COUNT(D155:D158)*6+COUNT(D161:D168)*6+COUNT(D170:D171)+COUNT(D176:D183)+COUNT(D185:D198)*25+COUNT(D200:D201)*3+COUNT(D205:D213)*3+COUNT(D215:D216)+COUNT(D219:D228)</f>
        <v>477</v>
      </c>
      <c r="D123" s="107">
        <f>SUM(D155:D158)*6+SUM(D161:D168)*6+SUM(D170:D171)+SUM(D176:D183)+SUM(D185:D198)*25+SUM(D200:D201)*3+SUM(D205:D213)*3+SUM(D215:D216)+SUM(D219:D228)</f>
        <v>200624.70636000004</v>
      </c>
      <c r="E123" s="108"/>
      <c r="F123" s="107">
        <f>SUM(F155:F158)*6+SUM(F161:F168)*6+SUM(F170:F171)+SUM(F176:F183)+SUM(F185:F198)*25+SUM(F200:F201)*3+SUM(F205:F213)*3+SUM(F215:F216)+SUM(F219:F228)</f>
        <v>300937.05953999999</v>
      </c>
      <c r="G123" s="109"/>
      <c r="H123" s="108"/>
    </row>
    <row r="124" spans="1:13" s="1" customFormat="1" x14ac:dyDescent="0.3">
      <c r="A124" s="105" t="s">
        <v>219</v>
      </c>
      <c r="B124" s="106"/>
      <c r="C124" s="9">
        <f>COUNT(D238:D241)*6+COUNT(D247:D250)+COUNT(D252:D259)*25+COUNT(D263:D268)*3+COUNT(D272:D277)</f>
        <v>252</v>
      </c>
      <c r="D124" s="107">
        <f>SUM(D238:D241)*6+SUM(D247:D250)+SUM(D252:D259)*25+SUM(D263:D268)*3+SUM(D272:D277)</f>
        <v>129941.71631999999</v>
      </c>
      <c r="E124" s="108"/>
      <c r="F124" s="107">
        <f>SUM(F238:F241)*6+SUM(F247:F250)+SUM(F252:F259)*25+SUM(F263:F268)*3+SUM(F272:F277)</f>
        <v>194912.57447999998</v>
      </c>
      <c r="G124" s="109"/>
      <c r="H124" s="108"/>
    </row>
    <row r="125" spans="1:13" s="1" customFormat="1" x14ac:dyDescent="0.3">
      <c r="A125" s="105" t="s">
        <v>221</v>
      </c>
      <c r="B125" s="106"/>
      <c r="C125" s="9">
        <f>COUNT(D285:D290)*6+COUNT(D295:D299)+COUNT(D301:D308)*25+COUNT(D310,D313:D317)*4</f>
        <v>265</v>
      </c>
      <c r="D125" s="107">
        <f>SUM(D285:D290)*6+SUM(D295:D299)+SUM(D301:D308)*25+SUM(D310,D313:D317)*4</f>
        <v>157262.25528000001</v>
      </c>
      <c r="E125" s="108"/>
      <c r="F125" s="107">
        <f>SUM(F285:F290)*6+SUM(F295:F299)+SUM(F301:F308)*25+SUM(F310,F313:F317)*4</f>
        <v>235893.38291999997</v>
      </c>
      <c r="G125" s="109"/>
      <c r="H125" s="108"/>
    </row>
    <row r="126" spans="1:13" s="1" customFormat="1" x14ac:dyDescent="0.3">
      <c r="A126" s="98" t="s">
        <v>59</v>
      </c>
      <c r="B126" s="98"/>
      <c r="C126" s="20">
        <f>SUM(C122:C125)</f>
        <v>1132</v>
      </c>
      <c r="D126" s="103">
        <f>SUM(D122:E125)</f>
        <v>586590.53076000011</v>
      </c>
      <c r="E126" s="103"/>
      <c r="F126" s="104">
        <f>SUM(F122:H125)</f>
        <v>879885.79613999987</v>
      </c>
      <c r="G126" s="104"/>
      <c r="H126" s="104"/>
    </row>
    <row r="127" spans="1:13" s="4" customFormat="1" x14ac:dyDescent="0.3">
      <c r="A127" s="102" t="s">
        <v>195</v>
      </c>
      <c r="B127" s="102"/>
      <c r="C127" s="102"/>
      <c r="D127" s="102"/>
      <c r="E127" s="102"/>
      <c r="F127" s="102"/>
      <c r="G127" s="102"/>
      <c r="H127" s="102"/>
    </row>
    <row r="128" spans="1:13" x14ac:dyDescent="0.3">
      <c r="A128" s="102" t="s">
        <v>204</v>
      </c>
      <c r="B128" s="102"/>
      <c r="C128" s="102"/>
      <c r="D128" s="102"/>
      <c r="E128" s="102"/>
      <c r="F128" s="102"/>
      <c r="G128" s="102"/>
      <c r="H128" s="102"/>
    </row>
    <row r="129" spans="1:13" ht="47.25" customHeight="1" x14ac:dyDescent="0.3">
      <c r="A129" s="158" t="s">
        <v>226</v>
      </c>
      <c r="B129" s="159"/>
      <c r="C129" s="162" t="s">
        <v>60</v>
      </c>
      <c r="D129" s="162" t="s">
        <v>61</v>
      </c>
      <c r="E129" s="164" t="s">
        <v>62</v>
      </c>
      <c r="F129" s="54" t="s">
        <v>205</v>
      </c>
      <c r="G129" s="158" t="s">
        <v>63</v>
      </c>
      <c r="H129" s="159"/>
    </row>
    <row r="130" spans="1:13" x14ac:dyDescent="0.3">
      <c r="A130" s="160"/>
      <c r="B130" s="161"/>
      <c r="C130" s="163"/>
      <c r="D130" s="163"/>
      <c r="E130" s="165"/>
      <c r="F130" s="55">
        <v>0.5</v>
      </c>
      <c r="G130" s="160"/>
      <c r="H130" s="161"/>
    </row>
    <row r="131" spans="1:13" s="2" customFormat="1" x14ac:dyDescent="0.3">
      <c r="A131" s="88" t="s">
        <v>131</v>
      </c>
      <c r="B131" s="88"/>
      <c r="C131" s="88"/>
      <c r="D131" s="88"/>
      <c r="E131" s="88"/>
      <c r="F131" s="88"/>
      <c r="G131" s="88"/>
      <c r="H131" s="88"/>
    </row>
    <row r="132" spans="1:13" s="2" customFormat="1" x14ac:dyDescent="0.3">
      <c r="A132" s="88" t="s">
        <v>206</v>
      </c>
      <c r="B132" s="88"/>
      <c r="C132" s="88"/>
      <c r="D132" s="88"/>
      <c r="E132" s="88"/>
      <c r="F132" s="88"/>
      <c r="G132" s="88"/>
      <c r="H132" s="88"/>
    </row>
    <row r="133" spans="1:13" s="2" customFormat="1" x14ac:dyDescent="0.3">
      <c r="A133" s="88" t="s">
        <v>207</v>
      </c>
      <c r="B133" s="88"/>
      <c r="C133" s="88"/>
      <c r="D133" s="88"/>
      <c r="E133" s="88"/>
      <c r="F133" s="88"/>
      <c r="G133" s="88"/>
      <c r="H133" s="88"/>
    </row>
    <row r="134" spans="1:13" s="2" customFormat="1" x14ac:dyDescent="0.3">
      <c r="A134" s="88" t="s">
        <v>208</v>
      </c>
      <c r="B134" s="88"/>
      <c r="C134" s="88"/>
      <c r="D134" s="88"/>
      <c r="E134" s="88"/>
      <c r="F134" s="88"/>
      <c r="G134" s="88"/>
      <c r="H134" s="88"/>
      <c r="M134" s="2">
        <f>6.5*F137</f>
        <v>8018.1036000000004</v>
      </c>
    </row>
    <row r="135" spans="1:13" s="2" customFormat="1" x14ac:dyDescent="0.3">
      <c r="A135" s="88" t="s">
        <v>209</v>
      </c>
      <c r="B135" s="88"/>
      <c r="C135" s="88"/>
      <c r="D135" s="88"/>
      <c r="E135" s="88"/>
      <c r="F135" s="88"/>
      <c r="G135" s="88"/>
      <c r="H135" s="88"/>
      <c r="J135" s="2" t="s">
        <v>138</v>
      </c>
      <c r="M135" s="2">
        <f t="shared" ref="M135:M149" si="0">6.5*F138</f>
        <v>6024.0725999999995</v>
      </c>
    </row>
    <row r="136" spans="1:13" s="2" customFormat="1" x14ac:dyDescent="0.3">
      <c r="A136" s="88" t="s">
        <v>210</v>
      </c>
      <c r="B136" s="88"/>
      <c r="C136" s="88"/>
      <c r="D136" s="88"/>
      <c r="E136" s="88"/>
      <c r="F136" s="88"/>
      <c r="G136" s="88"/>
      <c r="H136" s="88"/>
      <c r="I136" s="21">
        <v>18000000</v>
      </c>
      <c r="J136" s="2">
        <v>820</v>
      </c>
      <c r="K136" s="21">
        <f>I136/F137</f>
        <v>14591.979080938791</v>
      </c>
      <c r="L136" s="21">
        <f>I136/(J136*1.6)</f>
        <v>13719.512195121952</v>
      </c>
      <c r="M136" s="2">
        <f t="shared" si="0"/>
        <v>6024.0725999999995</v>
      </c>
    </row>
    <row r="137" spans="1:13" s="2" customFormat="1" ht="15.75" customHeight="1" x14ac:dyDescent="0.3">
      <c r="A137" s="137">
        <v>1</v>
      </c>
      <c r="B137" s="137"/>
      <c r="C137" s="56" t="s">
        <v>132</v>
      </c>
      <c r="D137" s="57">
        <f>(76.4)*10.764</f>
        <v>822.36959999999999</v>
      </c>
      <c r="E137" s="16">
        <v>0</v>
      </c>
      <c r="F137" s="16">
        <f>D137*(($F$130)+1)+(IF(E137&lt;101,E137,IF(E137&lt;201,E137/2,IF(E137&lt;=301,E137/3,E137/4))))</f>
        <v>1233.5544</v>
      </c>
      <c r="G137" s="137" t="str">
        <f>A136</f>
        <v>1st Floor For Residential</v>
      </c>
      <c r="H137" s="137"/>
      <c r="M137" s="2" t="e">
        <f>6.5*#REF!</f>
        <v>#REF!</v>
      </c>
    </row>
    <row r="138" spans="1:13" s="2" customFormat="1" x14ac:dyDescent="0.3">
      <c r="A138" s="137">
        <v>2</v>
      </c>
      <c r="B138" s="137"/>
      <c r="C138" s="56" t="s">
        <v>133</v>
      </c>
      <c r="D138" s="57">
        <f>(57.4)*10.764</f>
        <v>617.85359999999991</v>
      </c>
      <c r="E138" s="16">
        <v>0</v>
      </c>
      <c r="F138" s="16">
        <f t="shared" ref="F138:F139" si="1">D138*(($F$130)+1)+(IF(E138&lt;101,E138,IF(E138&lt;201,E138/2,IF(E138&lt;=301,E138/3,E138/4))))</f>
        <v>926.78039999999987</v>
      </c>
      <c r="G138" s="137"/>
      <c r="H138" s="137"/>
      <c r="M138" s="2">
        <f>6.5*F140</f>
        <v>0</v>
      </c>
    </row>
    <row r="139" spans="1:13" s="2" customFormat="1" x14ac:dyDescent="0.3">
      <c r="A139" s="137">
        <v>3</v>
      </c>
      <c r="B139" s="137"/>
      <c r="C139" s="56" t="s">
        <v>133</v>
      </c>
      <c r="D139" s="57">
        <f>(57.4)*10.764</f>
        <v>617.85359999999991</v>
      </c>
      <c r="E139" s="16">
        <v>0</v>
      </c>
      <c r="F139" s="16">
        <f t="shared" si="1"/>
        <v>926.78039999999987</v>
      </c>
      <c r="G139" s="137"/>
      <c r="H139" s="137"/>
      <c r="M139" s="2">
        <f>6.5*F141</f>
        <v>8018.1036000000004</v>
      </c>
    </row>
    <row r="140" spans="1:13" s="2" customFormat="1" ht="15.75" customHeight="1" x14ac:dyDescent="0.3">
      <c r="A140" s="88" t="s">
        <v>211</v>
      </c>
      <c r="B140" s="88"/>
      <c r="C140" s="88"/>
      <c r="D140" s="88"/>
      <c r="E140" s="88"/>
      <c r="F140" s="88"/>
      <c r="G140" s="88"/>
      <c r="H140" s="88"/>
      <c r="M140" s="2">
        <f t="shared" si="0"/>
        <v>6024.0725999999995</v>
      </c>
    </row>
    <row r="141" spans="1:13" s="2" customFormat="1" ht="15.75" customHeight="1" x14ac:dyDescent="0.3">
      <c r="A141" s="137">
        <v>1</v>
      </c>
      <c r="B141" s="137"/>
      <c r="C141" s="56" t="s">
        <v>132</v>
      </c>
      <c r="D141" s="57">
        <f>(76.4)*10.764</f>
        <v>822.36959999999999</v>
      </c>
      <c r="E141" s="16">
        <v>0</v>
      </c>
      <c r="F141" s="16">
        <f>D141*(($F$130)+1)+(IF(E141&lt;101,E141,IF(E141&lt;201,E141/2,IF(E141&lt;=301,E141/3,E141/4))))</f>
        <v>1233.5544</v>
      </c>
      <c r="G141" s="137" t="str">
        <f>A140</f>
        <v>2nd, 4th to 9th, 11th to 16th, 18th to 23rd, 25th to 30th, 32nd to 36th Floor</v>
      </c>
      <c r="H141" s="137"/>
      <c r="M141" s="2">
        <f t="shared" si="0"/>
        <v>6024.0725999999995</v>
      </c>
    </row>
    <row r="142" spans="1:13" s="2" customFormat="1" ht="15.75" customHeight="1" x14ac:dyDescent="0.3">
      <c r="A142" s="137">
        <v>2</v>
      </c>
      <c r="B142" s="137"/>
      <c r="C142" s="56" t="s">
        <v>132</v>
      </c>
      <c r="D142" s="57">
        <f>(76.4)*10.764</f>
        <v>822.36959999999999</v>
      </c>
      <c r="E142" s="16">
        <v>0</v>
      </c>
      <c r="F142" s="16">
        <f t="shared" ref="F142:F144" si="2">D142*(($F$130)+1)+(IF(E142&lt;101,E142,IF(E142&lt;201,E142/2,IF(E142&lt;=301,E142/3,E142/4))))</f>
        <v>1233.5544</v>
      </c>
      <c r="G142" s="137"/>
      <c r="H142" s="137"/>
      <c r="I142" s="2">
        <f>14600000/F143</f>
        <v>15753.462200970156</v>
      </c>
      <c r="M142" s="2">
        <f t="shared" si="0"/>
        <v>0</v>
      </c>
    </row>
    <row r="143" spans="1:13" s="2" customFormat="1" ht="15.75" customHeight="1" x14ac:dyDescent="0.3">
      <c r="A143" s="137">
        <v>3</v>
      </c>
      <c r="B143" s="137"/>
      <c r="C143" s="56" t="s">
        <v>133</v>
      </c>
      <c r="D143" s="57">
        <f>(57.4)*10.764</f>
        <v>617.85359999999991</v>
      </c>
      <c r="E143" s="16">
        <v>0</v>
      </c>
      <c r="F143" s="16">
        <f t="shared" si="2"/>
        <v>926.78039999999987</v>
      </c>
      <c r="G143" s="137"/>
      <c r="H143" s="137"/>
      <c r="M143" s="2">
        <f t="shared" si="0"/>
        <v>0</v>
      </c>
    </row>
    <row r="144" spans="1:13" s="2" customFormat="1" x14ac:dyDescent="0.3">
      <c r="A144" s="137">
        <v>4</v>
      </c>
      <c r="B144" s="137"/>
      <c r="C144" s="56" t="s">
        <v>133</v>
      </c>
      <c r="D144" s="57">
        <f>(57.4)*10.764</f>
        <v>617.85359999999991</v>
      </c>
      <c r="E144" s="16">
        <v>0</v>
      </c>
      <c r="F144" s="16">
        <f t="shared" si="2"/>
        <v>926.78039999999987</v>
      </c>
      <c r="G144" s="137"/>
      <c r="H144" s="137"/>
      <c r="M144" s="2">
        <f t="shared" si="0"/>
        <v>8018.1036000000004</v>
      </c>
    </row>
    <row r="145" spans="1:13" s="2" customFormat="1" x14ac:dyDescent="0.3">
      <c r="A145" s="88" t="s">
        <v>212</v>
      </c>
      <c r="B145" s="88"/>
      <c r="C145" s="88"/>
      <c r="D145" s="88"/>
      <c r="E145" s="88"/>
      <c r="F145" s="88"/>
      <c r="G145" s="88"/>
      <c r="H145" s="88"/>
      <c r="M145" s="2">
        <f t="shared" si="0"/>
        <v>6024.0725999999995</v>
      </c>
    </row>
    <row r="146" spans="1:13" s="2" customFormat="1" x14ac:dyDescent="0.3">
      <c r="A146" s="137">
        <v>1</v>
      </c>
      <c r="B146" s="137"/>
      <c r="C146" s="140" t="s">
        <v>134</v>
      </c>
      <c r="D146" s="141"/>
      <c r="E146" s="141"/>
      <c r="F146" s="142"/>
      <c r="G146" s="92" t="str">
        <f>A145</f>
        <v>3rd, 10th, 17th, 24th &amp; 31st Floor ( Part Refuge Area)</v>
      </c>
      <c r="H146" s="94"/>
      <c r="M146" s="2">
        <f t="shared" si="0"/>
        <v>6024.0725999999995</v>
      </c>
    </row>
    <row r="147" spans="1:13" s="2" customFormat="1" x14ac:dyDescent="0.3">
      <c r="A147" s="137">
        <v>2</v>
      </c>
      <c r="B147" s="137"/>
      <c r="C147" s="56" t="s">
        <v>132</v>
      </c>
      <c r="D147" s="57">
        <f>(76.4)*10.764</f>
        <v>822.36959999999999</v>
      </c>
      <c r="E147" s="16">
        <v>0</v>
      </c>
      <c r="F147" s="16">
        <f t="shared" ref="F147:F149" si="3">D147*(($F$130)+1)+(IF(E147&lt;101,E147,IF(E147&lt;201,E147/2,IF(E147&lt;=301,E147/3,E147/4))))</f>
        <v>1233.5544</v>
      </c>
      <c r="G147" s="138"/>
      <c r="H147" s="139"/>
      <c r="M147" s="2">
        <f t="shared" si="0"/>
        <v>0</v>
      </c>
    </row>
    <row r="148" spans="1:13" s="2" customFormat="1" x14ac:dyDescent="0.3">
      <c r="A148" s="137">
        <v>3</v>
      </c>
      <c r="B148" s="137"/>
      <c r="C148" s="56" t="s">
        <v>133</v>
      </c>
      <c r="D148" s="57">
        <f>(57.4)*10.764</f>
        <v>617.85359999999991</v>
      </c>
      <c r="E148" s="16">
        <v>0</v>
      </c>
      <c r="F148" s="16">
        <f t="shared" si="3"/>
        <v>926.78039999999987</v>
      </c>
      <c r="G148" s="138"/>
      <c r="H148" s="139"/>
      <c r="M148" s="2">
        <f t="shared" si="0"/>
        <v>0</v>
      </c>
    </row>
    <row r="149" spans="1:13" s="2" customFormat="1" x14ac:dyDescent="0.3">
      <c r="A149" s="137">
        <v>4</v>
      </c>
      <c r="B149" s="137"/>
      <c r="C149" s="56" t="s">
        <v>133</v>
      </c>
      <c r="D149" s="57">
        <f>(57.4)*10.764</f>
        <v>617.85359999999991</v>
      </c>
      <c r="E149" s="16">
        <v>0</v>
      </c>
      <c r="F149" s="16">
        <f t="shared" si="3"/>
        <v>926.78039999999987</v>
      </c>
      <c r="G149" s="95"/>
      <c r="H149" s="97"/>
      <c r="M149" s="2">
        <f t="shared" si="0"/>
        <v>0</v>
      </c>
    </row>
    <row r="150" spans="1:13" s="2" customFormat="1" x14ac:dyDescent="0.3">
      <c r="A150" s="88" t="s">
        <v>213</v>
      </c>
      <c r="B150" s="88"/>
      <c r="C150" s="88"/>
      <c r="D150" s="88"/>
      <c r="E150" s="88"/>
      <c r="F150" s="88"/>
      <c r="G150" s="88"/>
      <c r="H150" s="88"/>
      <c r="M150" s="2">
        <f t="shared" ref="M150:M197" si="4">6.5*F154</f>
        <v>0</v>
      </c>
    </row>
    <row r="151" spans="1:13" s="2" customFormat="1" x14ac:dyDescent="0.3">
      <c r="A151" s="88" t="s">
        <v>207</v>
      </c>
      <c r="B151" s="88"/>
      <c r="C151" s="88"/>
      <c r="D151" s="88"/>
      <c r="E151" s="88"/>
      <c r="F151" s="88"/>
      <c r="G151" s="88"/>
      <c r="H151" s="88"/>
      <c r="M151" s="2">
        <f t="shared" si="4"/>
        <v>3819.09411</v>
      </c>
    </row>
    <row r="152" spans="1:13" s="2" customFormat="1" ht="15.75" customHeight="1" x14ac:dyDescent="0.3">
      <c r="A152" s="88" t="s">
        <v>208</v>
      </c>
      <c r="B152" s="88"/>
      <c r="C152" s="88"/>
      <c r="D152" s="88"/>
      <c r="E152" s="88"/>
      <c r="F152" s="88"/>
      <c r="G152" s="88"/>
      <c r="H152" s="88"/>
      <c r="M152" s="2">
        <f t="shared" si="4"/>
        <v>3819.09411</v>
      </c>
    </row>
    <row r="153" spans="1:13" s="2" customFormat="1" ht="15.75" customHeight="1" x14ac:dyDescent="0.3">
      <c r="A153" s="88" t="s">
        <v>209</v>
      </c>
      <c r="B153" s="88"/>
      <c r="C153" s="88"/>
      <c r="D153" s="88"/>
      <c r="E153" s="88"/>
      <c r="F153" s="88"/>
      <c r="G153" s="88"/>
      <c r="H153" s="88"/>
      <c r="I153" s="2">
        <v>9000000</v>
      </c>
      <c r="J153" s="2">
        <v>391</v>
      </c>
      <c r="K153" s="21">
        <f>I153/F155</f>
        <v>15317.768642260558</v>
      </c>
      <c r="L153" s="21">
        <f>I153/(J153*1.6)</f>
        <v>14386.189258312021</v>
      </c>
      <c r="M153" s="2">
        <f t="shared" si="4"/>
        <v>4814.0106299999998</v>
      </c>
    </row>
    <row r="154" spans="1:13" s="2" customFormat="1" x14ac:dyDescent="0.3">
      <c r="A154" s="89" t="s">
        <v>214</v>
      </c>
      <c r="B154" s="90"/>
      <c r="C154" s="90"/>
      <c r="D154" s="90"/>
      <c r="E154" s="90"/>
      <c r="F154" s="90"/>
      <c r="G154" s="90"/>
      <c r="H154" s="91"/>
      <c r="M154" s="2">
        <f t="shared" si="4"/>
        <v>4814.0106299999998</v>
      </c>
    </row>
    <row r="155" spans="1:13" s="2" customFormat="1" x14ac:dyDescent="0.3">
      <c r="A155" s="140">
        <v>1</v>
      </c>
      <c r="B155" s="142"/>
      <c r="C155" s="56" t="s">
        <v>135</v>
      </c>
      <c r="D155" s="57">
        <f>(36.39)*10.764</f>
        <v>391.70195999999999</v>
      </c>
      <c r="E155" s="16">
        <v>0</v>
      </c>
      <c r="F155" s="16">
        <f t="shared" ref="F155:F158" si="5">D155*(($F$130)+1)+(IF(E155&lt;101,E155,IF(E155&lt;201,E155/2,IF(E155&lt;=301,E155/3,E155/4))))</f>
        <v>587.55294000000004</v>
      </c>
      <c r="G155" s="92" t="str">
        <f>A154</f>
        <v>1st, 2nd &amp; 4th to 7th Floor For Residential &amp; Part Parking Area</v>
      </c>
      <c r="H155" s="94"/>
      <c r="M155" s="2">
        <f t="shared" si="4"/>
        <v>0</v>
      </c>
    </row>
    <row r="156" spans="1:13" s="2" customFormat="1" x14ac:dyDescent="0.3">
      <c r="A156" s="140">
        <v>2</v>
      </c>
      <c r="B156" s="142"/>
      <c r="C156" s="56" t="s">
        <v>135</v>
      </c>
      <c r="D156" s="57">
        <f>(36.39)*10.764</f>
        <v>391.70195999999999</v>
      </c>
      <c r="E156" s="16">
        <v>0</v>
      </c>
      <c r="F156" s="16">
        <f t="shared" si="5"/>
        <v>587.55294000000004</v>
      </c>
      <c r="G156" s="138"/>
      <c r="H156" s="139"/>
      <c r="M156" s="2">
        <f t="shared" si="4"/>
        <v>0</v>
      </c>
    </row>
    <row r="157" spans="1:13" s="2" customFormat="1" x14ac:dyDescent="0.3">
      <c r="A157" s="140">
        <v>3</v>
      </c>
      <c r="B157" s="142"/>
      <c r="C157" s="56" t="s">
        <v>133</v>
      </c>
      <c r="D157" s="57">
        <f>(45.87)*10.764</f>
        <v>493.74467999999996</v>
      </c>
      <c r="E157" s="16">
        <v>0</v>
      </c>
      <c r="F157" s="16">
        <f t="shared" si="5"/>
        <v>740.61701999999991</v>
      </c>
      <c r="G157" s="138"/>
      <c r="H157" s="139"/>
      <c r="M157" s="2">
        <f t="shared" si="4"/>
        <v>3819.09411</v>
      </c>
    </row>
    <row r="158" spans="1:13" s="2" customFormat="1" x14ac:dyDescent="0.3">
      <c r="A158" s="140">
        <v>4</v>
      </c>
      <c r="B158" s="142"/>
      <c r="C158" s="56" t="s">
        <v>133</v>
      </c>
      <c r="D158" s="57">
        <f>(45.87)*10.764</f>
        <v>493.74467999999996</v>
      </c>
      <c r="E158" s="16">
        <v>0</v>
      </c>
      <c r="F158" s="16">
        <f t="shared" si="5"/>
        <v>740.61701999999991</v>
      </c>
      <c r="G158" s="138"/>
      <c r="H158" s="139"/>
      <c r="M158" s="2">
        <f t="shared" si="4"/>
        <v>3819.09411</v>
      </c>
    </row>
    <row r="159" spans="1:13" s="2" customFormat="1" x14ac:dyDescent="0.3">
      <c r="A159" s="140">
        <v>5</v>
      </c>
      <c r="B159" s="142"/>
      <c r="C159" s="92" t="s">
        <v>173</v>
      </c>
      <c r="D159" s="93"/>
      <c r="E159" s="93"/>
      <c r="F159" s="94"/>
      <c r="G159" s="138"/>
      <c r="H159" s="139"/>
      <c r="M159" s="2">
        <f t="shared" si="4"/>
        <v>3819.09411</v>
      </c>
    </row>
    <row r="160" spans="1:13" s="2" customFormat="1" x14ac:dyDescent="0.3">
      <c r="A160" s="140">
        <v>6</v>
      </c>
      <c r="B160" s="142"/>
      <c r="C160" s="95"/>
      <c r="D160" s="96"/>
      <c r="E160" s="96"/>
      <c r="F160" s="97"/>
      <c r="G160" s="138"/>
      <c r="H160" s="139"/>
      <c r="M160" s="2">
        <f t="shared" si="4"/>
        <v>3819.09411</v>
      </c>
    </row>
    <row r="161" spans="1:13" s="2" customFormat="1" x14ac:dyDescent="0.3">
      <c r="A161" s="140">
        <v>7</v>
      </c>
      <c r="B161" s="142"/>
      <c r="C161" s="56" t="s">
        <v>135</v>
      </c>
      <c r="D161" s="57">
        <f t="shared" ref="D161:D167" si="6">(36.39)*10.764</f>
        <v>391.70195999999999</v>
      </c>
      <c r="E161" s="16">
        <v>0</v>
      </c>
      <c r="F161" s="16">
        <f t="shared" ref="F161:F171" si="7">D161*(($F$130)+1)+(IF(E161&lt;101,E161,IF(E161&lt;201,E161/2,IF(E161&lt;=301,E161/3,E161/4))))</f>
        <v>587.55294000000004</v>
      </c>
      <c r="G161" s="138"/>
      <c r="H161" s="139"/>
      <c r="M161" s="2">
        <f t="shared" si="4"/>
        <v>3819.09411</v>
      </c>
    </row>
    <row r="162" spans="1:13" s="2" customFormat="1" x14ac:dyDescent="0.3">
      <c r="A162" s="140">
        <v>8</v>
      </c>
      <c r="B162" s="142"/>
      <c r="C162" s="56" t="s">
        <v>135</v>
      </c>
      <c r="D162" s="57">
        <f t="shared" si="6"/>
        <v>391.70195999999999</v>
      </c>
      <c r="E162" s="16">
        <v>0</v>
      </c>
      <c r="F162" s="16">
        <f t="shared" si="7"/>
        <v>587.55294000000004</v>
      </c>
      <c r="G162" s="138"/>
      <c r="H162" s="139"/>
      <c r="M162" s="2">
        <f t="shared" si="4"/>
        <v>3819.09411</v>
      </c>
    </row>
    <row r="163" spans="1:13" s="2" customFormat="1" x14ac:dyDescent="0.3">
      <c r="A163" s="140">
        <v>9</v>
      </c>
      <c r="B163" s="142"/>
      <c r="C163" s="56" t="s">
        <v>135</v>
      </c>
      <c r="D163" s="57">
        <f t="shared" si="6"/>
        <v>391.70195999999999</v>
      </c>
      <c r="E163" s="16">
        <v>0</v>
      </c>
      <c r="F163" s="16">
        <f t="shared" si="7"/>
        <v>587.55294000000004</v>
      </c>
      <c r="G163" s="138"/>
      <c r="H163" s="139"/>
      <c r="M163" s="2">
        <f t="shared" si="4"/>
        <v>3819.09411</v>
      </c>
    </row>
    <row r="164" spans="1:13" s="2" customFormat="1" x14ac:dyDescent="0.3">
      <c r="A164" s="140">
        <v>10</v>
      </c>
      <c r="B164" s="142"/>
      <c r="C164" s="56" t="s">
        <v>135</v>
      </c>
      <c r="D164" s="57">
        <f t="shared" si="6"/>
        <v>391.70195999999999</v>
      </c>
      <c r="E164" s="16">
        <v>0</v>
      </c>
      <c r="F164" s="16">
        <f t="shared" si="7"/>
        <v>587.55294000000004</v>
      </c>
      <c r="G164" s="138"/>
      <c r="H164" s="139"/>
      <c r="J164" s="2">
        <f>9914000/F166</f>
        <v>16873.373146596798</v>
      </c>
      <c r="M164" s="2">
        <f t="shared" si="4"/>
        <v>5846.7087899999988</v>
      </c>
    </row>
    <row r="165" spans="1:13" s="2" customFormat="1" x14ac:dyDescent="0.3">
      <c r="A165" s="140">
        <v>11</v>
      </c>
      <c r="B165" s="142"/>
      <c r="C165" s="56" t="s">
        <v>135</v>
      </c>
      <c r="D165" s="57">
        <f t="shared" si="6"/>
        <v>391.70195999999999</v>
      </c>
      <c r="E165" s="16">
        <v>0</v>
      </c>
      <c r="F165" s="16">
        <f t="shared" si="7"/>
        <v>587.55294000000004</v>
      </c>
      <c r="G165" s="138"/>
      <c r="H165" s="139"/>
      <c r="M165" s="2">
        <f t="shared" si="4"/>
        <v>0</v>
      </c>
    </row>
    <row r="166" spans="1:13" s="2" customFormat="1" x14ac:dyDescent="0.3">
      <c r="A166" s="140">
        <v>12</v>
      </c>
      <c r="B166" s="142"/>
      <c r="C166" s="56" t="s">
        <v>135</v>
      </c>
      <c r="D166" s="57">
        <f t="shared" si="6"/>
        <v>391.70195999999999</v>
      </c>
      <c r="E166" s="16">
        <v>0</v>
      </c>
      <c r="F166" s="16">
        <f t="shared" si="7"/>
        <v>587.55294000000004</v>
      </c>
      <c r="G166" s="138"/>
      <c r="H166" s="139"/>
      <c r="I166" s="2">
        <v>14000000</v>
      </c>
      <c r="J166" s="2">
        <v>600</v>
      </c>
      <c r="K166" s="21">
        <f>I166/F168</f>
        <v>15564.31203750786</v>
      </c>
      <c r="L166" s="21">
        <f>I166/(J166*1.6)</f>
        <v>14583.333333333334</v>
      </c>
      <c r="M166" s="2">
        <f t="shared" si="4"/>
        <v>3671.1160199999995</v>
      </c>
    </row>
    <row r="167" spans="1:13" s="2" customFormat="1" x14ac:dyDescent="0.3">
      <c r="A167" s="140">
        <v>13</v>
      </c>
      <c r="B167" s="142"/>
      <c r="C167" s="56" t="s">
        <v>135</v>
      </c>
      <c r="D167" s="57">
        <f t="shared" si="6"/>
        <v>391.70195999999999</v>
      </c>
      <c r="E167" s="16">
        <v>0</v>
      </c>
      <c r="F167" s="16">
        <f t="shared" si="7"/>
        <v>587.55294000000004</v>
      </c>
      <c r="G167" s="138"/>
      <c r="H167" s="139"/>
      <c r="M167" s="2">
        <f t="shared" si="4"/>
        <v>3671.1160199999995</v>
      </c>
    </row>
    <row r="168" spans="1:13" s="2" customFormat="1" x14ac:dyDescent="0.3">
      <c r="A168" s="140">
        <v>14</v>
      </c>
      <c r="B168" s="142"/>
      <c r="C168" s="56" t="s">
        <v>133</v>
      </c>
      <c r="D168" s="57">
        <f>(55.71)*10.764</f>
        <v>599.66243999999995</v>
      </c>
      <c r="E168" s="16">
        <v>0</v>
      </c>
      <c r="F168" s="16">
        <f t="shared" si="7"/>
        <v>899.49365999999986</v>
      </c>
      <c r="G168" s="95"/>
      <c r="H168" s="97"/>
      <c r="M168" s="2">
        <f t="shared" si="4"/>
        <v>0</v>
      </c>
    </row>
    <row r="169" spans="1:13" s="2" customFormat="1" x14ac:dyDescent="0.3">
      <c r="A169" s="88" t="s">
        <v>216</v>
      </c>
      <c r="B169" s="88"/>
      <c r="C169" s="88"/>
      <c r="D169" s="88"/>
      <c r="E169" s="88"/>
      <c r="F169" s="88"/>
      <c r="G169" s="88"/>
      <c r="H169" s="88"/>
      <c r="M169" s="2">
        <f t="shared" si="4"/>
        <v>0</v>
      </c>
    </row>
    <row r="170" spans="1:13" s="2" customFormat="1" x14ac:dyDescent="0.3">
      <c r="A170" s="137">
        <v>1</v>
      </c>
      <c r="B170" s="137"/>
      <c r="C170" s="56" t="s">
        <v>135</v>
      </c>
      <c r="D170" s="57">
        <f>(34.98)*10.764</f>
        <v>376.52471999999995</v>
      </c>
      <c r="E170" s="16">
        <v>0</v>
      </c>
      <c r="F170" s="16">
        <f t="shared" si="7"/>
        <v>564.78707999999995</v>
      </c>
      <c r="G170" s="137" t="str">
        <f>A169</f>
        <v>3rd Floor (Part Refuge Area) &amp; Parking Area</v>
      </c>
      <c r="H170" s="137"/>
      <c r="M170" s="2">
        <f t="shared" si="4"/>
        <v>0</v>
      </c>
    </row>
    <row r="171" spans="1:13" s="2" customFormat="1" x14ac:dyDescent="0.3">
      <c r="A171" s="137">
        <v>2</v>
      </c>
      <c r="B171" s="137"/>
      <c r="C171" s="56" t="s">
        <v>135</v>
      </c>
      <c r="D171" s="57">
        <f>(34.98)*10.764</f>
        <v>376.52471999999995</v>
      </c>
      <c r="E171" s="16">
        <v>0</v>
      </c>
      <c r="F171" s="16">
        <f t="shared" si="7"/>
        <v>564.78707999999995</v>
      </c>
      <c r="G171" s="137"/>
      <c r="H171" s="137"/>
      <c r="M171" s="2">
        <f t="shared" si="4"/>
        <v>0</v>
      </c>
    </row>
    <row r="172" spans="1:13" s="2" customFormat="1" x14ac:dyDescent="0.3">
      <c r="A172" s="137">
        <v>3</v>
      </c>
      <c r="B172" s="137"/>
      <c r="C172" s="137" t="s">
        <v>134</v>
      </c>
      <c r="D172" s="137"/>
      <c r="E172" s="137"/>
      <c r="F172" s="137"/>
      <c r="G172" s="137"/>
      <c r="H172" s="137"/>
      <c r="M172" s="2">
        <f t="shared" si="4"/>
        <v>3819.09411</v>
      </c>
    </row>
    <row r="173" spans="1:13" s="2" customFormat="1" x14ac:dyDescent="0.3">
      <c r="A173" s="137">
        <v>4</v>
      </c>
      <c r="B173" s="137"/>
      <c r="C173" s="137"/>
      <c r="D173" s="137"/>
      <c r="E173" s="137"/>
      <c r="F173" s="137"/>
      <c r="G173" s="137"/>
      <c r="H173" s="137"/>
      <c r="M173" s="2">
        <f t="shared" si="4"/>
        <v>3819.09411</v>
      </c>
    </row>
    <row r="174" spans="1:13" s="2" customFormat="1" x14ac:dyDescent="0.3">
      <c r="A174" s="137">
        <v>5</v>
      </c>
      <c r="B174" s="137"/>
      <c r="C174" s="137"/>
      <c r="D174" s="137"/>
      <c r="E174" s="137"/>
      <c r="F174" s="137"/>
      <c r="G174" s="137"/>
      <c r="H174" s="137"/>
      <c r="M174" s="2">
        <f t="shared" si="4"/>
        <v>3819.09411</v>
      </c>
    </row>
    <row r="175" spans="1:13" s="2" customFormat="1" x14ac:dyDescent="0.3">
      <c r="A175" s="137">
        <v>6</v>
      </c>
      <c r="B175" s="137"/>
      <c r="C175" s="137" t="s">
        <v>173</v>
      </c>
      <c r="D175" s="137"/>
      <c r="E175" s="137"/>
      <c r="F175" s="137"/>
      <c r="G175" s="137"/>
      <c r="H175" s="137"/>
      <c r="M175" s="2">
        <f t="shared" si="4"/>
        <v>3819.09411</v>
      </c>
    </row>
    <row r="176" spans="1:13" s="2" customFormat="1" x14ac:dyDescent="0.3">
      <c r="A176" s="137">
        <v>7</v>
      </c>
      <c r="B176" s="137"/>
      <c r="C176" s="56" t="s">
        <v>135</v>
      </c>
      <c r="D176" s="57">
        <f t="shared" ref="D176:D182" si="8">(36.39)*10.764</f>
        <v>391.70195999999999</v>
      </c>
      <c r="E176" s="16">
        <v>0</v>
      </c>
      <c r="F176" s="16">
        <f t="shared" ref="F176:F201" si="9">D176*(($F$130)+1)+(IF(E176&lt;101,E176,IF(E176&lt;201,E176/2,IF(E176&lt;=301,E176/3,E176/4))))</f>
        <v>587.55294000000004</v>
      </c>
      <c r="G176" s="137"/>
      <c r="H176" s="137"/>
      <c r="M176" s="2">
        <f t="shared" si="4"/>
        <v>3819.09411</v>
      </c>
    </row>
    <row r="177" spans="1:13" s="2" customFormat="1" x14ac:dyDescent="0.3">
      <c r="A177" s="137">
        <v>8</v>
      </c>
      <c r="B177" s="137"/>
      <c r="C177" s="56" t="s">
        <v>135</v>
      </c>
      <c r="D177" s="57">
        <f t="shared" si="8"/>
        <v>391.70195999999999</v>
      </c>
      <c r="E177" s="16">
        <v>0</v>
      </c>
      <c r="F177" s="16">
        <f t="shared" si="9"/>
        <v>587.55294000000004</v>
      </c>
      <c r="G177" s="137"/>
      <c r="H177" s="137"/>
      <c r="M177" s="2">
        <f t="shared" si="4"/>
        <v>3819.09411</v>
      </c>
    </row>
    <row r="178" spans="1:13" s="2" customFormat="1" x14ac:dyDescent="0.3">
      <c r="A178" s="137">
        <v>9</v>
      </c>
      <c r="B178" s="137"/>
      <c r="C178" s="56" t="s">
        <v>135</v>
      </c>
      <c r="D178" s="57">
        <f>(36.39)*10.764</f>
        <v>391.70195999999999</v>
      </c>
      <c r="E178" s="16">
        <v>0</v>
      </c>
      <c r="F178" s="16">
        <f t="shared" si="9"/>
        <v>587.55294000000004</v>
      </c>
      <c r="G178" s="137"/>
      <c r="H178" s="137"/>
      <c r="M178" s="2">
        <f t="shared" si="4"/>
        <v>3819.09411</v>
      </c>
    </row>
    <row r="179" spans="1:13" s="2" customFormat="1" x14ac:dyDescent="0.3">
      <c r="A179" s="137">
        <v>10</v>
      </c>
      <c r="B179" s="137"/>
      <c r="C179" s="56" t="s">
        <v>135</v>
      </c>
      <c r="D179" s="57">
        <f t="shared" si="8"/>
        <v>391.70195999999999</v>
      </c>
      <c r="E179" s="16">
        <v>0</v>
      </c>
      <c r="F179" s="16">
        <f t="shared" si="9"/>
        <v>587.55294000000004</v>
      </c>
      <c r="G179" s="137"/>
      <c r="H179" s="137"/>
      <c r="M179" s="2">
        <f t="shared" si="4"/>
        <v>5846.7087899999988</v>
      </c>
    </row>
    <row r="180" spans="1:13" s="2" customFormat="1" x14ac:dyDescent="0.3">
      <c r="A180" s="137">
        <v>11</v>
      </c>
      <c r="B180" s="137"/>
      <c r="C180" s="56" t="s">
        <v>135</v>
      </c>
      <c r="D180" s="57">
        <f t="shared" si="8"/>
        <v>391.70195999999999</v>
      </c>
      <c r="E180" s="16">
        <v>0</v>
      </c>
      <c r="F180" s="16">
        <f t="shared" si="9"/>
        <v>587.55294000000004</v>
      </c>
      <c r="G180" s="137"/>
      <c r="H180" s="137"/>
      <c r="M180" s="2">
        <f t="shared" si="4"/>
        <v>0</v>
      </c>
    </row>
    <row r="181" spans="1:13" s="2" customFormat="1" x14ac:dyDescent="0.3">
      <c r="A181" s="137">
        <v>12</v>
      </c>
      <c r="B181" s="137"/>
      <c r="C181" s="56" t="s">
        <v>135</v>
      </c>
      <c r="D181" s="57">
        <f t="shared" si="8"/>
        <v>391.70195999999999</v>
      </c>
      <c r="E181" s="16">
        <v>0</v>
      </c>
      <c r="F181" s="16">
        <f t="shared" si="9"/>
        <v>587.55294000000004</v>
      </c>
      <c r="G181" s="137"/>
      <c r="H181" s="137"/>
      <c r="M181" s="2">
        <f t="shared" si="4"/>
        <v>3819.09411</v>
      </c>
    </row>
    <row r="182" spans="1:13" s="2" customFormat="1" x14ac:dyDescent="0.3">
      <c r="A182" s="137">
        <v>13</v>
      </c>
      <c r="B182" s="137"/>
      <c r="C182" s="56" t="s">
        <v>135</v>
      </c>
      <c r="D182" s="57">
        <f t="shared" si="8"/>
        <v>391.70195999999999</v>
      </c>
      <c r="E182" s="16">
        <v>0</v>
      </c>
      <c r="F182" s="16">
        <f t="shared" si="9"/>
        <v>587.55294000000004</v>
      </c>
      <c r="G182" s="137"/>
      <c r="H182" s="137"/>
      <c r="M182" s="2">
        <f t="shared" si="4"/>
        <v>3819.09411</v>
      </c>
    </row>
    <row r="183" spans="1:13" s="2" customFormat="1" x14ac:dyDescent="0.3">
      <c r="A183" s="137">
        <v>14</v>
      </c>
      <c r="B183" s="137"/>
      <c r="C183" s="56" t="s">
        <v>133</v>
      </c>
      <c r="D183" s="57">
        <f>(55.71)*10.764</f>
        <v>599.66243999999995</v>
      </c>
      <c r="E183" s="16">
        <v>0</v>
      </c>
      <c r="F183" s="16">
        <f t="shared" si="9"/>
        <v>899.49365999999986</v>
      </c>
      <c r="G183" s="137"/>
      <c r="H183" s="137"/>
      <c r="M183" s="2">
        <f t="shared" si="4"/>
        <v>4814.0106299999998</v>
      </c>
    </row>
    <row r="184" spans="1:13" s="2" customFormat="1" x14ac:dyDescent="0.3">
      <c r="A184" s="88" t="s">
        <v>217</v>
      </c>
      <c r="B184" s="88"/>
      <c r="C184" s="88"/>
      <c r="D184" s="88"/>
      <c r="E184" s="88"/>
      <c r="F184" s="88"/>
      <c r="G184" s="88"/>
      <c r="H184" s="88"/>
      <c r="M184" s="2">
        <f t="shared" si="4"/>
        <v>4814.0106299999998</v>
      </c>
    </row>
    <row r="185" spans="1:13" s="2" customFormat="1" x14ac:dyDescent="0.3">
      <c r="A185" s="137">
        <v>1</v>
      </c>
      <c r="B185" s="137"/>
      <c r="C185" s="56" t="s">
        <v>135</v>
      </c>
      <c r="D185" s="57">
        <f>(36.39)*10.764</f>
        <v>391.70195999999999</v>
      </c>
      <c r="E185" s="16">
        <v>0</v>
      </c>
      <c r="F185" s="16">
        <f t="shared" si="9"/>
        <v>587.55294000000004</v>
      </c>
      <c r="G185" s="137" t="str">
        <f>A184</f>
        <v>8th, 9th, 11th to 16th, 18th to 23rd, 25th to 30th, 32nd to 36th Floor</v>
      </c>
      <c r="H185" s="137"/>
      <c r="M185" s="2">
        <f t="shared" si="4"/>
        <v>3819.09411</v>
      </c>
    </row>
    <row r="186" spans="1:13" s="2" customFormat="1" x14ac:dyDescent="0.3">
      <c r="A186" s="137">
        <v>2</v>
      </c>
      <c r="B186" s="137"/>
      <c r="C186" s="56" t="s">
        <v>135</v>
      </c>
      <c r="D186" s="57">
        <f>(36.39)*10.764</f>
        <v>391.70195999999999</v>
      </c>
      <c r="E186" s="16">
        <v>0</v>
      </c>
      <c r="F186" s="16">
        <f t="shared" si="9"/>
        <v>587.55294000000004</v>
      </c>
      <c r="G186" s="137"/>
      <c r="H186" s="137"/>
      <c r="M186" s="2">
        <f t="shared" si="4"/>
        <v>3819.09411</v>
      </c>
    </row>
    <row r="187" spans="1:13" s="2" customFormat="1" x14ac:dyDescent="0.3">
      <c r="A187" s="137">
        <v>3</v>
      </c>
      <c r="B187" s="137"/>
      <c r="C187" s="56" t="s">
        <v>133</v>
      </c>
      <c r="D187" s="57">
        <f>(45.87)*10.764</f>
        <v>493.74467999999996</v>
      </c>
      <c r="E187" s="16">
        <v>0</v>
      </c>
      <c r="F187" s="16">
        <f t="shared" si="9"/>
        <v>740.61701999999991</v>
      </c>
      <c r="G187" s="137"/>
      <c r="H187" s="137"/>
      <c r="M187" s="2">
        <f t="shared" si="4"/>
        <v>3819.09411</v>
      </c>
    </row>
    <row r="188" spans="1:13" s="2" customFormat="1" x14ac:dyDescent="0.3">
      <c r="A188" s="137">
        <v>4</v>
      </c>
      <c r="B188" s="137"/>
      <c r="C188" s="56" t="s">
        <v>133</v>
      </c>
      <c r="D188" s="57">
        <f>(45.87)*10.764</f>
        <v>493.74467999999996</v>
      </c>
      <c r="E188" s="16">
        <v>0</v>
      </c>
      <c r="F188" s="16">
        <f t="shared" si="9"/>
        <v>740.61701999999991</v>
      </c>
      <c r="G188" s="137"/>
      <c r="H188" s="137"/>
      <c r="M188" s="2">
        <f t="shared" si="4"/>
        <v>3819.09411</v>
      </c>
    </row>
    <row r="189" spans="1:13" s="2" customFormat="1" x14ac:dyDescent="0.3">
      <c r="A189" s="137">
        <v>5</v>
      </c>
      <c r="B189" s="137"/>
      <c r="C189" s="56" t="s">
        <v>135</v>
      </c>
      <c r="D189" s="57">
        <f t="shared" ref="D189:D197" si="10">(36.39)*10.764</f>
        <v>391.70195999999999</v>
      </c>
      <c r="E189" s="16">
        <v>0</v>
      </c>
      <c r="F189" s="16">
        <f t="shared" si="9"/>
        <v>587.55294000000004</v>
      </c>
      <c r="G189" s="137"/>
      <c r="H189" s="137"/>
      <c r="M189" s="2">
        <f t="shared" si="4"/>
        <v>3819.09411</v>
      </c>
    </row>
    <row r="190" spans="1:13" s="2" customFormat="1" x14ac:dyDescent="0.3">
      <c r="A190" s="137">
        <v>6</v>
      </c>
      <c r="B190" s="137"/>
      <c r="C190" s="56" t="s">
        <v>135</v>
      </c>
      <c r="D190" s="57">
        <f t="shared" si="10"/>
        <v>391.70195999999999</v>
      </c>
      <c r="E190" s="16">
        <v>0</v>
      </c>
      <c r="F190" s="16">
        <f t="shared" si="9"/>
        <v>587.55294000000004</v>
      </c>
      <c r="G190" s="137"/>
      <c r="H190" s="137"/>
      <c r="M190" s="2">
        <f t="shared" si="4"/>
        <v>3819.09411</v>
      </c>
    </row>
    <row r="191" spans="1:13" s="2" customFormat="1" x14ac:dyDescent="0.3">
      <c r="A191" s="137">
        <v>7</v>
      </c>
      <c r="B191" s="137"/>
      <c r="C191" s="56" t="s">
        <v>135</v>
      </c>
      <c r="D191" s="57">
        <f t="shared" si="10"/>
        <v>391.70195999999999</v>
      </c>
      <c r="E191" s="16">
        <v>0</v>
      </c>
      <c r="F191" s="16">
        <f t="shared" si="9"/>
        <v>587.55294000000004</v>
      </c>
      <c r="G191" s="137"/>
      <c r="H191" s="137"/>
      <c r="M191" s="2">
        <f t="shared" si="4"/>
        <v>3819.09411</v>
      </c>
    </row>
    <row r="192" spans="1:13" s="2" customFormat="1" x14ac:dyDescent="0.3">
      <c r="A192" s="137">
        <v>8</v>
      </c>
      <c r="B192" s="137"/>
      <c r="C192" s="56" t="s">
        <v>135</v>
      </c>
      <c r="D192" s="57">
        <f t="shared" si="10"/>
        <v>391.70195999999999</v>
      </c>
      <c r="E192" s="16">
        <v>0</v>
      </c>
      <c r="F192" s="16">
        <f t="shared" si="9"/>
        <v>587.55294000000004</v>
      </c>
      <c r="G192" s="137"/>
      <c r="H192" s="137"/>
      <c r="M192" s="2">
        <f t="shared" si="4"/>
        <v>3819.09411</v>
      </c>
    </row>
    <row r="193" spans="1:13" s="2" customFormat="1" x14ac:dyDescent="0.3">
      <c r="A193" s="137">
        <v>9</v>
      </c>
      <c r="B193" s="137"/>
      <c r="C193" s="56" t="s">
        <v>135</v>
      </c>
      <c r="D193" s="57">
        <f t="shared" si="10"/>
        <v>391.70195999999999</v>
      </c>
      <c r="E193" s="16">
        <v>0</v>
      </c>
      <c r="F193" s="16">
        <f t="shared" si="9"/>
        <v>587.55294000000004</v>
      </c>
      <c r="G193" s="137"/>
      <c r="H193" s="137"/>
      <c r="M193" s="2">
        <f t="shared" si="4"/>
        <v>3819.09411</v>
      </c>
    </row>
    <row r="194" spans="1:13" s="2" customFormat="1" x14ac:dyDescent="0.3">
      <c r="A194" s="137">
        <v>10</v>
      </c>
      <c r="B194" s="137"/>
      <c r="C194" s="56" t="s">
        <v>135</v>
      </c>
      <c r="D194" s="57">
        <f t="shared" si="10"/>
        <v>391.70195999999999</v>
      </c>
      <c r="E194" s="16">
        <v>0</v>
      </c>
      <c r="F194" s="16">
        <f t="shared" si="9"/>
        <v>587.55294000000004</v>
      </c>
      <c r="G194" s="137"/>
      <c r="H194" s="137"/>
      <c r="M194" s="2">
        <f t="shared" si="4"/>
        <v>5846.7087899999988</v>
      </c>
    </row>
    <row r="195" spans="1:13" s="2" customFormat="1" x14ac:dyDescent="0.3">
      <c r="A195" s="137">
        <v>11</v>
      </c>
      <c r="B195" s="137"/>
      <c r="C195" s="56" t="s">
        <v>135</v>
      </c>
      <c r="D195" s="57">
        <f t="shared" si="10"/>
        <v>391.70195999999999</v>
      </c>
      <c r="E195" s="16">
        <v>0</v>
      </c>
      <c r="F195" s="16">
        <f t="shared" si="9"/>
        <v>587.55294000000004</v>
      </c>
      <c r="G195" s="137"/>
      <c r="H195" s="137"/>
      <c r="M195" s="2">
        <f t="shared" si="4"/>
        <v>0</v>
      </c>
    </row>
    <row r="196" spans="1:13" s="2" customFormat="1" x14ac:dyDescent="0.3">
      <c r="A196" s="137">
        <v>12</v>
      </c>
      <c r="B196" s="137"/>
      <c r="C196" s="56" t="s">
        <v>135</v>
      </c>
      <c r="D196" s="57">
        <f t="shared" si="10"/>
        <v>391.70195999999999</v>
      </c>
      <c r="E196" s="16">
        <v>0</v>
      </c>
      <c r="F196" s="16">
        <f t="shared" si="9"/>
        <v>587.55294000000004</v>
      </c>
      <c r="G196" s="137"/>
      <c r="H196" s="137"/>
      <c r="M196" s="2">
        <f t="shared" si="4"/>
        <v>3819.09411</v>
      </c>
    </row>
    <row r="197" spans="1:13" s="2" customFormat="1" x14ac:dyDescent="0.3">
      <c r="A197" s="137">
        <v>13</v>
      </c>
      <c r="B197" s="137"/>
      <c r="C197" s="56" t="s">
        <v>135</v>
      </c>
      <c r="D197" s="57">
        <f t="shared" si="10"/>
        <v>391.70195999999999</v>
      </c>
      <c r="E197" s="16">
        <v>0</v>
      </c>
      <c r="F197" s="16">
        <f t="shared" si="9"/>
        <v>587.55294000000004</v>
      </c>
      <c r="G197" s="137"/>
      <c r="H197" s="137"/>
      <c r="M197" s="2">
        <f t="shared" si="4"/>
        <v>3819.09411</v>
      </c>
    </row>
    <row r="198" spans="1:13" s="2" customFormat="1" x14ac:dyDescent="0.3">
      <c r="A198" s="137">
        <v>14</v>
      </c>
      <c r="B198" s="137"/>
      <c r="C198" s="56" t="s">
        <v>133</v>
      </c>
      <c r="D198" s="57">
        <f>(55.71)*10.764</f>
        <v>599.66243999999995</v>
      </c>
      <c r="E198" s="16">
        <v>0</v>
      </c>
      <c r="F198" s="16">
        <f t="shared" si="9"/>
        <v>899.49365999999986</v>
      </c>
      <c r="G198" s="137"/>
      <c r="H198" s="137"/>
      <c r="M198" s="2">
        <f t="shared" ref="M198:M228" si="11">6.5*F202</f>
        <v>0</v>
      </c>
    </row>
    <row r="199" spans="1:13" s="2" customFormat="1" x14ac:dyDescent="0.3">
      <c r="A199" s="89" t="s">
        <v>223</v>
      </c>
      <c r="B199" s="90"/>
      <c r="C199" s="90"/>
      <c r="D199" s="90"/>
      <c r="E199" s="90"/>
      <c r="F199" s="90"/>
      <c r="G199" s="90"/>
      <c r="H199" s="91"/>
      <c r="M199" s="2">
        <f t="shared" si="11"/>
        <v>0</v>
      </c>
    </row>
    <row r="200" spans="1:13" s="2" customFormat="1" x14ac:dyDescent="0.3">
      <c r="A200" s="140">
        <v>1</v>
      </c>
      <c r="B200" s="142"/>
      <c r="C200" s="56" t="s">
        <v>135</v>
      </c>
      <c r="D200" s="57">
        <f>(36.39)*10.764</f>
        <v>391.70195999999999</v>
      </c>
      <c r="E200" s="16">
        <v>0</v>
      </c>
      <c r="F200" s="16">
        <f t="shared" si="9"/>
        <v>587.55294000000004</v>
      </c>
      <c r="G200" s="92" t="str">
        <f>A199</f>
        <v>10th, 17th &amp; 24th Floor (Part Refuge Area)</v>
      </c>
      <c r="H200" s="94"/>
      <c r="M200" s="2">
        <f t="shared" si="11"/>
        <v>0</v>
      </c>
    </row>
    <row r="201" spans="1:13" s="2" customFormat="1" x14ac:dyDescent="0.3">
      <c r="A201" s="140">
        <v>2</v>
      </c>
      <c r="B201" s="142"/>
      <c r="C201" s="56" t="s">
        <v>135</v>
      </c>
      <c r="D201" s="57">
        <f>(36.39)*10.764</f>
        <v>391.70195999999999</v>
      </c>
      <c r="E201" s="16">
        <v>0</v>
      </c>
      <c r="F201" s="16">
        <f t="shared" si="9"/>
        <v>587.55294000000004</v>
      </c>
      <c r="G201" s="138"/>
      <c r="H201" s="139"/>
      <c r="M201" s="2">
        <f t="shared" si="11"/>
        <v>3819.09411</v>
      </c>
    </row>
    <row r="202" spans="1:13" s="2" customFormat="1" x14ac:dyDescent="0.3">
      <c r="A202" s="140">
        <v>3</v>
      </c>
      <c r="B202" s="142"/>
      <c r="C202" s="137" t="s">
        <v>134</v>
      </c>
      <c r="D202" s="137"/>
      <c r="E202" s="137"/>
      <c r="F202" s="137"/>
      <c r="G202" s="138"/>
      <c r="H202" s="139"/>
      <c r="M202" s="2">
        <f t="shared" si="11"/>
        <v>3819.09411</v>
      </c>
    </row>
    <row r="203" spans="1:13" s="2" customFormat="1" x14ac:dyDescent="0.3">
      <c r="A203" s="140">
        <v>4</v>
      </c>
      <c r="B203" s="142"/>
      <c r="C203" s="137"/>
      <c r="D203" s="137"/>
      <c r="E203" s="137"/>
      <c r="F203" s="137"/>
      <c r="G203" s="138"/>
      <c r="H203" s="139"/>
      <c r="M203" s="2">
        <f t="shared" si="11"/>
        <v>3819.09411</v>
      </c>
    </row>
    <row r="204" spans="1:13" s="2" customFormat="1" x14ac:dyDescent="0.3">
      <c r="A204" s="140">
        <v>5</v>
      </c>
      <c r="B204" s="142"/>
      <c r="C204" s="137"/>
      <c r="D204" s="137"/>
      <c r="E204" s="137"/>
      <c r="F204" s="137"/>
      <c r="G204" s="138"/>
      <c r="H204" s="139"/>
      <c r="M204" s="2">
        <f t="shared" si="11"/>
        <v>3819.09411</v>
      </c>
    </row>
    <row r="205" spans="1:13" s="2" customFormat="1" x14ac:dyDescent="0.3">
      <c r="A205" s="140">
        <v>6</v>
      </c>
      <c r="B205" s="142"/>
      <c r="C205" s="56" t="s">
        <v>135</v>
      </c>
      <c r="D205" s="57">
        <f t="shared" ref="D205:D212" si="12">(36.39)*10.764</f>
        <v>391.70195999999999</v>
      </c>
      <c r="E205" s="16">
        <v>0</v>
      </c>
      <c r="F205" s="16">
        <f t="shared" ref="F205:F216" si="13">D205*(($F$130)+1)+(IF(E205&lt;101,E205,IF(E205&lt;201,E205/2,IF(E205&lt;=301,E205/3,E205/4))))</f>
        <v>587.55294000000004</v>
      </c>
      <c r="G205" s="138"/>
      <c r="H205" s="139"/>
      <c r="M205" s="2">
        <f t="shared" si="11"/>
        <v>3819.09411</v>
      </c>
    </row>
    <row r="206" spans="1:13" s="2" customFormat="1" x14ac:dyDescent="0.3">
      <c r="A206" s="140">
        <v>7</v>
      </c>
      <c r="B206" s="142"/>
      <c r="C206" s="56" t="s">
        <v>135</v>
      </c>
      <c r="D206" s="57">
        <f t="shared" si="12"/>
        <v>391.70195999999999</v>
      </c>
      <c r="E206" s="16">
        <v>0</v>
      </c>
      <c r="F206" s="16">
        <f t="shared" si="13"/>
        <v>587.55294000000004</v>
      </c>
      <c r="G206" s="138"/>
      <c r="H206" s="139"/>
      <c r="M206" s="2">
        <f t="shared" si="11"/>
        <v>3819.09411</v>
      </c>
    </row>
    <row r="207" spans="1:13" s="2" customFormat="1" x14ac:dyDescent="0.3">
      <c r="A207" s="140">
        <v>8</v>
      </c>
      <c r="B207" s="142"/>
      <c r="C207" s="56" t="s">
        <v>135</v>
      </c>
      <c r="D207" s="57">
        <f t="shared" si="12"/>
        <v>391.70195999999999</v>
      </c>
      <c r="E207" s="16">
        <v>0</v>
      </c>
      <c r="F207" s="16">
        <f t="shared" si="13"/>
        <v>587.55294000000004</v>
      </c>
      <c r="G207" s="138"/>
      <c r="H207" s="139"/>
      <c r="M207" s="2">
        <f t="shared" si="11"/>
        <v>3819.09411</v>
      </c>
    </row>
    <row r="208" spans="1:13" s="2" customFormat="1" x14ac:dyDescent="0.3">
      <c r="A208" s="140">
        <v>9</v>
      </c>
      <c r="B208" s="142"/>
      <c r="C208" s="56" t="s">
        <v>135</v>
      </c>
      <c r="D208" s="57">
        <f t="shared" si="12"/>
        <v>391.70195999999999</v>
      </c>
      <c r="E208" s="16">
        <v>0</v>
      </c>
      <c r="F208" s="16">
        <f t="shared" si="13"/>
        <v>587.55294000000004</v>
      </c>
      <c r="G208" s="138"/>
      <c r="H208" s="139"/>
      <c r="M208" s="2">
        <f t="shared" si="11"/>
        <v>3819.09411</v>
      </c>
    </row>
    <row r="209" spans="1:13" s="2" customFormat="1" x14ac:dyDescent="0.3">
      <c r="A209" s="140">
        <v>10</v>
      </c>
      <c r="B209" s="142"/>
      <c r="C209" s="56" t="s">
        <v>135</v>
      </c>
      <c r="D209" s="57">
        <f t="shared" si="12"/>
        <v>391.70195999999999</v>
      </c>
      <c r="E209" s="16">
        <v>0</v>
      </c>
      <c r="F209" s="16">
        <f t="shared" si="13"/>
        <v>587.55294000000004</v>
      </c>
      <c r="G209" s="138"/>
      <c r="H209" s="139"/>
      <c r="M209" s="2">
        <f t="shared" si="11"/>
        <v>5846.7087899999988</v>
      </c>
    </row>
    <row r="210" spans="1:13" s="2" customFormat="1" x14ac:dyDescent="0.3">
      <c r="A210" s="140">
        <v>11</v>
      </c>
      <c r="B210" s="142"/>
      <c r="C210" s="56" t="s">
        <v>135</v>
      </c>
      <c r="D210" s="57">
        <f t="shared" si="12"/>
        <v>391.70195999999999</v>
      </c>
      <c r="E210" s="16">
        <v>0</v>
      </c>
      <c r="F210" s="16">
        <f t="shared" si="13"/>
        <v>587.55294000000004</v>
      </c>
      <c r="G210" s="138"/>
      <c r="H210" s="139"/>
      <c r="M210" s="2">
        <f t="shared" si="11"/>
        <v>0</v>
      </c>
    </row>
    <row r="211" spans="1:13" s="2" customFormat="1" x14ac:dyDescent="0.3">
      <c r="A211" s="140">
        <v>12</v>
      </c>
      <c r="B211" s="142"/>
      <c r="C211" s="56" t="s">
        <v>135</v>
      </c>
      <c r="D211" s="57">
        <f t="shared" si="12"/>
        <v>391.70195999999999</v>
      </c>
      <c r="E211" s="16">
        <v>0</v>
      </c>
      <c r="F211" s="16">
        <f t="shared" si="13"/>
        <v>587.55294000000004</v>
      </c>
      <c r="G211" s="138"/>
      <c r="H211" s="139"/>
      <c r="M211" s="2">
        <f t="shared" si="11"/>
        <v>3819.09411</v>
      </c>
    </row>
    <row r="212" spans="1:13" s="2" customFormat="1" x14ac:dyDescent="0.3">
      <c r="A212" s="140">
        <v>13</v>
      </c>
      <c r="B212" s="142"/>
      <c r="C212" s="56" t="s">
        <v>135</v>
      </c>
      <c r="D212" s="57">
        <f t="shared" si="12"/>
        <v>391.70195999999999</v>
      </c>
      <c r="E212" s="16">
        <v>0</v>
      </c>
      <c r="F212" s="16">
        <f t="shared" si="13"/>
        <v>587.55294000000004</v>
      </c>
      <c r="G212" s="138"/>
      <c r="H212" s="139"/>
      <c r="M212" s="2">
        <f t="shared" si="11"/>
        <v>3819.09411</v>
      </c>
    </row>
    <row r="213" spans="1:13" s="2" customFormat="1" x14ac:dyDescent="0.3">
      <c r="A213" s="140">
        <v>14</v>
      </c>
      <c r="B213" s="142"/>
      <c r="C213" s="56" t="s">
        <v>133</v>
      </c>
      <c r="D213" s="57">
        <f>(55.71)*10.764</f>
        <v>599.66243999999995</v>
      </c>
      <c r="E213" s="16">
        <v>0</v>
      </c>
      <c r="F213" s="16">
        <f t="shared" si="13"/>
        <v>899.49365999999986</v>
      </c>
      <c r="G213" s="95"/>
      <c r="H213" s="97"/>
      <c r="M213" s="2">
        <f t="shared" si="11"/>
        <v>0</v>
      </c>
    </row>
    <row r="214" spans="1:13" s="2" customFormat="1" x14ac:dyDescent="0.3">
      <c r="A214" s="89" t="s">
        <v>174</v>
      </c>
      <c r="B214" s="90"/>
      <c r="C214" s="90"/>
      <c r="D214" s="90"/>
      <c r="E214" s="90"/>
      <c r="F214" s="90"/>
      <c r="G214" s="90"/>
      <c r="H214" s="91"/>
      <c r="M214" s="2">
        <f t="shared" si="11"/>
        <v>0</v>
      </c>
    </row>
    <row r="215" spans="1:13" s="2" customFormat="1" x14ac:dyDescent="0.3">
      <c r="A215" s="137">
        <v>1</v>
      </c>
      <c r="B215" s="137"/>
      <c r="C215" s="56" t="s">
        <v>135</v>
      </c>
      <c r="D215" s="57">
        <f>(36.39)*10.764</f>
        <v>391.70195999999999</v>
      </c>
      <c r="E215" s="16">
        <v>0</v>
      </c>
      <c r="F215" s="16">
        <f t="shared" si="13"/>
        <v>587.55294000000004</v>
      </c>
      <c r="G215" s="137" t="str">
        <f>A214</f>
        <v>31st Floor (Part Refuge Area)</v>
      </c>
      <c r="H215" s="137"/>
      <c r="M215" s="2">
        <f t="shared" si="11"/>
        <v>3819.09411</v>
      </c>
    </row>
    <row r="216" spans="1:13" s="2" customFormat="1" x14ac:dyDescent="0.3">
      <c r="A216" s="137">
        <v>2</v>
      </c>
      <c r="B216" s="137"/>
      <c r="C216" s="56" t="s">
        <v>135</v>
      </c>
      <c r="D216" s="57">
        <f>(36.39)*10.764</f>
        <v>391.70195999999999</v>
      </c>
      <c r="E216" s="16">
        <v>0</v>
      </c>
      <c r="F216" s="16">
        <f t="shared" si="13"/>
        <v>587.55294000000004</v>
      </c>
      <c r="G216" s="137"/>
      <c r="H216" s="137"/>
      <c r="M216" s="2">
        <f t="shared" si="11"/>
        <v>3819.09411</v>
      </c>
    </row>
    <row r="217" spans="1:13" s="2" customFormat="1" x14ac:dyDescent="0.3">
      <c r="A217" s="137">
        <v>3</v>
      </c>
      <c r="B217" s="137"/>
      <c r="C217" s="137" t="s">
        <v>134</v>
      </c>
      <c r="D217" s="137"/>
      <c r="E217" s="137"/>
      <c r="F217" s="137"/>
      <c r="G217" s="137"/>
      <c r="H217" s="137"/>
      <c r="M217" s="2">
        <f t="shared" si="11"/>
        <v>3819.09411</v>
      </c>
    </row>
    <row r="218" spans="1:13" s="2" customFormat="1" x14ac:dyDescent="0.3">
      <c r="A218" s="137">
        <v>4</v>
      </c>
      <c r="B218" s="137"/>
      <c r="C218" s="137"/>
      <c r="D218" s="137"/>
      <c r="E218" s="137"/>
      <c r="F218" s="137"/>
      <c r="G218" s="137"/>
      <c r="H218" s="137"/>
      <c r="M218" s="2">
        <f t="shared" si="11"/>
        <v>3819.09411</v>
      </c>
    </row>
    <row r="219" spans="1:13" s="2" customFormat="1" x14ac:dyDescent="0.3">
      <c r="A219" s="137">
        <v>5</v>
      </c>
      <c r="B219" s="137"/>
      <c r="C219" s="56" t="s">
        <v>135</v>
      </c>
      <c r="D219" s="57">
        <f t="shared" ref="D219:D227" si="14">(36.39)*10.764</f>
        <v>391.70195999999999</v>
      </c>
      <c r="E219" s="16">
        <v>0</v>
      </c>
      <c r="F219" s="16">
        <f t="shared" ref="F219:F228" si="15">D219*(($F$130)+1)+(IF(E219&lt;101,E219,IF(E219&lt;201,E219/2,IF(E219&lt;=301,E219/3,E219/4))))</f>
        <v>587.55294000000004</v>
      </c>
      <c r="G219" s="137"/>
      <c r="H219" s="137"/>
      <c r="M219" s="2">
        <f t="shared" si="11"/>
        <v>3819.09411</v>
      </c>
    </row>
    <row r="220" spans="1:13" s="2" customFormat="1" x14ac:dyDescent="0.3">
      <c r="A220" s="137">
        <v>6</v>
      </c>
      <c r="B220" s="137"/>
      <c r="C220" s="56" t="s">
        <v>135</v>
      </c>
      <c r="D220" s="57">
        <f t="shared" si="14"/>
        <v>391.70195999999999</v>
      </c>
      <c r="E220" s="16">
        <v>0</v>
      </c>
      <c r="F220" s="16">
        <f t="shared" si="15"/>
        <v>587.55294000000004</v>
      </c>
      <c r="G220" s="137"/>
      <c r="H220" s="137"/>
      <c r="M220" s="2">
        <f t="shared" si="11"/>
        <v>3819.09411</v>
      </c>
    </row>
    <row r="221" spans="1:13" s="2" customFormat="1" x14ac:dyDescent="0.3">
      <c r="A221" s="137">
        <v>7</v>
      </c>
      <c r="B221" s="137"/>
      <c r="C221" s="56" t="s">
        <v>135</v>
      </c>
      <c r="D221" s="57">
        <f t="shared" si="14"/>
        <v>391.70195999999999</v>
      </c>
      <c r="E221" s="16">
        <v>0</v>
      </c>
      <c r="F221" s="16">
        <f t="shared" si="15"/>
        <v>587.55294000000004</v>
      </c>
      <c r="G221" s="137"/>
      <c r="H221" s="137"/>
      <c r="M221" s="2">
        <f t="shared" si="11"/>
        <v>3819.09411</v>
      </c>
    </row>
    <row r="222" spans="1:13" s="2" customFormat="1" x14ac:dyDescent="0.3">
      <c r="A222" s="137">
        <v>8</v>
      </c>
      <c r="B222" s="137"/>
      <c r="C222" s="56" t="s">
        <v>135</v>
      </c>
      <c r="D222" s="57">
        <f t="shared" si="14"/>
        <v>391.70195999999999</v>
      </c>
      <c r="E222" s="16">
        <v>0</v>
      </c>
      <c r="F222" s="16">
        <f t="shared" si="15"/>
        <v>587.55294000000004</v>
      </c>
      <c r="G222" s="137"/>
      <c r="H222" s="137"/>
      <c r="M222" s="2">
        <f t="shared" si="11"/>
        <v>3819.09411</v>
      </c>
    </row>
    <row r="223" spans="1:13" s="2" customFormat="1" x14ac:dyDescent="0.3">
      <c r="A223" s="137">
        <v>9</v>
      </c>
      <c r="B223" s="137"/>
      <c r="C223" s="56" t="s">
        <v>135</v>
      </c>
      <c r="D223" s="57">
        <f t="shared" si="14"/>
        <v>391.70195999999999</v>
      </c>
      <c r="E223" s="16">
        <v>0</v>
      </c>
      <c r="F223" s="16">
        <f t="shared" si="15"/>
        <v>587.55294000000004</v>
      </c>
      <c r="G223" s="137"/>
      <c r="H223" s="137"/>
      <c r="M223" s="2">
        <f t="shared" si="11"/>
        <v>3819.09411</v>
      </c>
    </row>
    <row r="224" spans="1:13" s="2" customFormat="1" x14ac:dyDescent="0.3">
      <c r="A224" s="137">
        <v>10</v>
      </c>
      <c r="B224" s="137"/>
      <c r="C224" s="56" t="s">
        <v>135</v>
      </c>
      <c r="D224" s="57">
        <f t="shared" si="14"/>
        <v>391.70195999999999</v>
      </c>
      <c r="E224" s="16">
        <v>0</v>
      </c>
      <c r="F224" s="16">
        <f t="shared" si="15"/>
        <v>587.55294000000004</v>
      </c>
      <c r="G224" s="137"/>
      <c r="H224" s="137"/>
      <c r="M224" s="2">
        <f t="shared" si="11"/>
        <v>5846.7087899999988</v>
      </c>
    </row>
    <row r="225" spans="1:13" s="2" customFormat="1" x14ac:dyDescent="0.3">
      <c r="A225" s="137">
        <v>11</v>
      </c>
      <c r="B225" s="137"/>
      <c r="C225" s="56" t="s">
        <v>135</v>
      </c>
      <c r="D225" s="57">
        <f t="shared" si="14"/>
        <v>391.70195999999999</v>
      </c>
      <c r="E225" s="16">
        <v>0</v>
      </c>
      <c r="F225" s="16">
        <f t="shared" si="15"/>
        <v>587.55294000000004</v>
      </c>
      <c r="G225" s="137"/>
      <c r="H225" s="137"/>
      <c r="M225" s="2">
        <f t="shared" si="11"/>
        <v>0</v>
      </c>
    </row>
    <row r="226" spans="1:13" s="2" customFormat="1" x14ac:dyDescent="0.3">
      <c r="A226" s="137">
        <v>12</v>
      </c>
      <c r="B226" s="137"/>
      <c r="C226" s="56" t="s">
        <v>135</v>
      </c>
      <c r="D226" s="57">
        <f t="shared" si="14"/>
        <v>391.70195999999999</v>
      </c>
      <c r="E226" s="16">
        <v>0</v>
      </c>
      <c r="F226" s="16">
        <f t="shared" si="15"/>
        <v>587.55294000000004</v>
      </c>
      <c r="G226" s="137"/>
      <c r="H226" s="137"/>
      <c r="M226" s="2">
        <f t="shared" si="11"/>
        <v>0</v>
      </c>
    </row>
    <row r="227" spans="1:13" s="2" customFormat="1" x14ac:dyDescent="0.3">
      <c r="A227" s="137">
        <v>13</v>
      </c>
      <c r="B227" s="137"/>
      <c r="C227" s="56" t="s">
        <v>135</v>
      </c>
      <c r="D227" s="57">
        <f t="shared" si="14"/>
        <v>391.70195999999999</v>
      </c>
      <c r="E227" s="16">
        <v>0</v>
      </c>
      <c r="F227" s="16">
        <f t="shared" si="15"/>
        <v>587.55294000000004</v>
      </c>
      <c r="G227" s="137"/>
      <c r="H227" s="137"/>
      <c r="M227" s="2">
        <f t="shared" si="11"/>
        <v>0</v>
      </c>
    </row>
    <row r="228" spans="1:13" s="2" customFormat="1" x14ac:dyDescent="0.3">
      <c r="A228" s="137">
        <v>14</v>
      </c>
      <c r="B228" s="137"/>
      <c r="C228" s="56" t="s">
        <v>133</v>
      </c>
      <c r="D228" s="57">
        <f>(55.71)*10.764</f>
        <v>599.66243999999995</v>
      </c>
      <c r="E228" s="16">
        <v>0</v>
      </c>
      <c r="F228" s="16">
        <f t="shared" si="15"/>
        <v>899.49365999999986</v>
      </c>
      <c r="G228" s="137"/>
      <c r="H228" s="137"/>
      <c r="M228" s="2">
        <f t="shared" si="11"/>
        <v>0</v>
      </c>
    </row>
    <row r="229" spans="1:13" s="2" customFormat="1" x14ac:dyDescent="0.3">
      <c r="A229" s="88" t="s">
        <v>219</v>
      </c>
      <c r="B229" s="88"/>
      <c r="C229" s="88"/>
      <c r="D229" s="88"/>
      <c r="E229" s="88"/>
      <c r="F229" s="88"/>
      <c r="G229" s="88"/>
      <c r="H229" s="88"/>
      <c r="M229" s="2">
        <f t="shared" ref="M229:M261" si="16">6.5*F234</f>
        <v>0</v>
      </c>
    </row>
    <row r="230" spans="1:13" s="2" customFormat="1" ht="15.75" customHeight="1" x14ac:dyDescent="0.3">
      <c r="A230" s="88" t="s">
        <v>207</v>
      </c>
      <c r="B230" s="88"/>
      <c r="C230" s="88"/>
      <c r="D230" s="88"/>
      <c r="E230" s="88"/>
      <c r="F230" s="88"/>
      <c r="G230" s="88"/>
      <c r="H230" s="88"/>
      <c r="M230" s="2">
        <f t="shared" si="16"/>
        <v>0</v>
      </c>
    </row>
    <row r="231" spans="1:13" s="2" customFormat="1" ht="15.75" customHeight="1" x14ac:dyDescent="0.3">
      <c r="A231" s="88" t="s">
        <v>208</v>
      </c>
      <c r="B231" s="88"/>
      <c r="C231" s="88"/>
      <c r="D231" s="88"/>
      <c r="E231" s="88"/>
      <c r="F231" s="88"/>
      <c r="G231" s="88"/>
      <c r="H231" s="88"/>
      <c r="M231" s="2">
        <f t="shared" si="16"/>
        <v>0</v>
      </c>
    </row>
    <row r="232" spans="1:13" s="2" customFormat="1" x14ac:dyDescent="0.3">
      <c r="A232" s="89" t="s">
        <v>209</v>
      </c>
      <c r="B232" s="90"/>
      <c r="C232" s="90"/>
      <c r="D232" s="90"/>
      <c r="E232" s="90"/>
      <c r="F232" s="90"/>
      <c r="G232" s="90"/>
      <c r="H232" s="91"/>
      <c r="M232" s="2">
        <f t="shared" si="16"/>
        <v>0</v>
      </c>
    </row>
    <row r="233" spans="1:13" s="2" customFormat="1" x14ac:dyDescent="0.3">
      <c r="A233" s="89" t="s">
        <v>214</v>
      </c>
      <c r="B233" s="90"/>
      <c r="C233" s="90"/>
      <c r="D233" s="90"/>
      <c r="E233" s="90"/>
      <c r="F233" s="90"/>
      <c r="G233" s="90"/>
      <c r="H233" s="91"/>
      <c r="M233" s="2">
        <f t="shared" si="16"/>
        <v>5933.81646</v>
      </c>
    </row>
    <row r="234" spans="1:13" s="2" customFormat="1" x14ac:dyDescent="0.3">
      <c r="A234" s="140">
        <v>1</v>
      </c>
      <c r="B234" s="142"/>
      <c r="C234" s="92" t="s">
        <v>173</v>
      </c>
      <c r="D234" s="93"/>
      <c r="E234" s="93"/>
      <c r="F234" s="94"/>
      <c r="G234" s="92" t="str">
        <f>A233</f>
        <v>1st, 2nd &amp; 4th to 7th Floor For Residential &amp; Part Parking Area</v>
      </c>
      <c r="H234" s="94"/>
      <c r="M234" s="2">
        <f t="shared" si="16"/>
        <v>5933.81646</v>
      </c>
    </row>
    <row r="235" spans="1:13" s="2" customFormat="1" x14ac:dyDescent="0.3">
      <c r="A235" s="140">
        <v>2</v>
      </c>
      <c r="B235" s="142"/>
      <c r="C235" s="138"/>
      <c r="D235" s="168"/>
      <c r="E235" s="168"/>
      <c r="F235" s="139"/>
      <c r="G235" s="138"/>
      <c r="H235" s="139"/>
      <c r="M235" s="2">
        <f t="shared" si="16"/>
        <v>5933.81646</v>
      </c>
    </row>
    <row r="236" spans="1:13" s="2" customFormat="1" x14ac:dyDescent="0.3">
      <c r="A236" s="140">
        <v>3</v>
      </c>
      <c r="B236" s="142"/>
      <c r="C236" s="138"/>
      <c r="D236" s="168"/>
      <c r="E236" s="168"/>
      <c r="F236" s="139"/>
      <c r="G236" s="138"/>
      <c r="H236" s="139"/>
      <c r="M236" s="2">
        <f t="shared" si="16"/>
        <v>5933.81646</v>
      </c>
    </row>
    <row r="237" spans="1:13" s="2" customFormat="1" x14ac:dyDescent="0.3">
      <c r="A237" s="140">
        <v>4</v>
      </c>
      <c r="B237" s="142"/>
      <c r="C237" s="95"/>
      <c r="D237" s="96"/>
      <c r="E237" s="96"/>
      <c r="F237" s="97"/>
      <c r="G237" s="138"/>
      <c r="H237" s="139"/>
      <c r="M237" s="2">
        <f t="shared" si="16"/>
        <v>0</v>
      </c>
    </row>
    <row r="238" spans="1:13" s="2" customFormat="1" x14ac:dyDescent="0.3">
      <c r="A238" s="140">
        <v>5</v>
      </c>
      <c r="B238" s="142"/>
      <c r="C238" s="56" t="s">
        <v>133</v>
      </c>
      <c r="D238" s="57">
        <f>(56.54)*10.764</f>
        <v>608.59655999999995</v>
      </c>
      <c r="E238" s="16">
        <v>0</v>
      </c>
      <c r="F238" s="16">
        <f t="shared" ref="F238:F241" si="17">D238*(($F$130)+1)+(IF(E238&lt;101,E238,IF(E238&lt;201,E238/2,IF(E238&lt;=301,E238/3,E238/4))))</f>
        <v>912.89483999999993</v>
      </c>
      <c r="G238" s="138"/>
      <c r="H238" s="139"/>
      <c r="M238" s="2">
        <f t="shared" si="16"/>
        <v>0</v>
      </c>
    </row>
    <row r="239" spans="1:13" s="2" customFormat="1" ht="15.75" customHeight="1" x14ac:dyDescent="0.3">
      <c r="A239" s="140">
        <v>6</v>
      </c>
      <c r="B239" s="142"/>
      <c r="C239" s="56" t="s">
        <v>133</v>
      </c>
      <c r="D239" s="57">
        <f>(56.54)*10.764</f>
        <v>608.59655999999995</v>
      </c>
      <c r="E239" s="16">
        <v>0</v>
      </c>
      <c r="F239" s="16">
        <f t="shared" si="17"/>
        <v>912.89483999999993</v>
      </c>
      <c r="G239" s="138"/>
      <c r="H239" s="139"/>
      <c r="M239" s="2">
        <f t="shared" si="16"/>
        <v>0</v>
      </c>
    </row>
    <row r="240" spans="1:13" s="2" customFormat="1" ht="15.75" customHeight="1" x14ac:dyDescent="0.3">
      <c r="A240" s="140">
        <v>7</v>
      </c>
      <c r="B240" s="142"/>
      <c r="C240" s="56" t="s">
        <v>133</v>
      </c>
      <c r="D240" s="57">
        <f>(56.54)*10.764</f>
        <v>608.59655999999995</v>
      </c>
      <c r="E240" s="16">
        <v>0</v>
      </c>
      <c r="F240" s="16">
        <f t="shared" si="17"/>
        <v>912.89483999999993</v>
      </c>
      <c r="G240" s="138"/>
      <c r="H240" s="139"/>
      <c r="M240" s="2">
        <f t="shared" si="16"/>
        <v>0</v>
      </c>
    </row>
    <row r="241" spans="1:13" s="2" customFormat="1" x14ac:dyDescent="0.3">
      <c r="A241" s="140">
        <v>8</v>
      </c>
      <c r="B241" s="142"/>
      <c r="C241" s="56" t="s">
        <v>133</v>
      </c>
      <c r="D241" s="57">
        <f>(56.54)*10.764</f>
        <v>608.59655999999995</v>
      </c>
      <c r="E241" s="16">
        <v>0</v>
      </c>
      <c r="F241" s="16">
        <f t="shared" si="17"/>
        <v>912.89483999999993</v>
      </c>
      <c r="G241" s="95"/>
      <c r="H241" s="97"/>
      <c r="M241" s="2">
        <f t="shared" si="16"/>
        <v>0</v>
      </c>
    </row>
    <row r="242" spans="1:13" s="2" customFormat="1" x14ac:dyDescent="0.3">
      <c r="A242" s="89" t="s">
        <v>216</v>
      </c>
      <c r="B242" s="90"/>
      <c r="C242" s="90"/>
      <c r="D242" s="90"/>
      <c r="E242" s="90"/>
      <c r="F242" s="90"/>
      <c r="G242" s="90"/>
      <c r="H242" s="91"/>
      <c r="M242" s="2">
        <f t="shared" si="16"/>
        <v>5933.81646</v>
      </c>
    </row>
    <row r="243" spans="1:13" s="2" customFormat="1" x14ac:dyDescent="0.3">
      <c r="A243" s="140">
        <v>1</v>
      </c>
      <c r="B243" s="142"/>
      <c r="C243" s="137" t="s">
        <v>173</v>
      </c>
      <c r="D243" s="137"/>
      <c r="E243" s="137"/>
      <c r="F243" s="137"/>
      <c r="G243" s="92" t="str">
        <f>A242</f>
        <v>3rd Floor (Part Refuge Area) &amp; Parking Area</v>
      </c>
      <c r="H243" s="94"/>
      <c r="M243" s="2">
        <f t="shared" si="16"/>
        <v>5933.81646</v>
      </c>
    </row>
    <row r="244" spans="1:13" s="2" customFormat="1" x14ac:dyDescent="0.3">
      <c r="A244" s="140">
        <v>2</v>
      </c>
      <c r="B244" s="142"/>
      <c r="C244" s="137" t="s">
        <v>134</v>
      </c>
      <c r="D244" s="137"/>
      <c r="E244" s="137"/>
      <c r="F244" s="137"/>
      <c r="G244" s="138"/>
      <c r="H244" s="139"/>
      <c r="M244" s="2">
        <f t="shared" si="16"/>
        <v>5933.81646</v>
      </c>
    </row>
    <row r="245" spans="1:13" s="2" customFormat="1" x14ac:dyDescent="0.3">
      <c r="A245" s="140">
        <v>3</v>
      </c>
      <c r="B245" s="142"/>
      <c r="C245" s="137"/>
      <c r="D245" s="137"/>
      <c r="E245" s="137"/>
      <c r="F245" s="137"/>
      <c r="G245" s="138"/>
      <c r="H245" s="139"/>
      <c r="M245" s="2">
        <f t="shared" si="16"/>
        <v>5933.81646</v>
      </c>
    </row>
    <row r="246" spans="1:13" s="2" customFormat="1" x14ac:dyDescent="0.3">
      <c r="A246" s="140">
        <v>4</v>
      </c>
      <c r="B246" s="142"/>
      <c r="C246" s="137" t="s">
        <v>173</v>
      </c>
      <c r="D246" s="137"/>
      <c r="E246" s="137"/>
      <c r="F246" s="137"/>
      <c r="G246" s="138"/>
      <c r="H246" s="139"/>
      <c r="M246" s="2">
        <f t="shared" si="16"/>
        <v>0</v>
      </c>
    </row>
    <row r="247" spans="1:13" s="2" customFormat="1" x14ac:dyDescent="0.3">
      <c r="A247" s="140">
        <v>5</v>
      </c>
      <c r="B247" s="142"/>
      <c r="C247" s="56" t="s">
        <v>133</v>
      </c>
      <c r="D247" s="57">
        <f>(56.54)*10.764</f>
        <v>608.59655999999995</v>
      </c>
      <c r="E247" s="16">
        <v>0</v>
      </c>
      <c r="F247" s="16">
        <f t="shared" ref="F247:F250" si="18">D247*(($F$130)+1)+(IF(E247&lt;101,E247,IF(E247&lt;201,E247/2,IF(E247&lt;=301,E247/3,E247/4))))</f>
        <v>912.89483999999993</v>
      </c>
      <c r="G247" s="138"/>
      <c r="H247" s="139"/>
      <c r="M247" s="2">
        <f t="shared" si="16"/>
        <v>3819.09411</v>
      </c>
    </row>
    <row r="248" spans="1:13" s="2" customFormat="1" ht="15.75" customHeight="1" x14ac:dyDescent="0.3">
      <c r="A248" s="140">
        <v>6</v>
      </c>
      <c r="B248" s="142"/>
      <c r="C248" s="56" t="s">
        <v>133</v>
      </c>
      <c r="D248" s="57">
        <f>(56.54)*10.764</f>
        <v>608.59655999999995</v>
      </c>
      <c r="E248" s="16">
        <v>0</v>
      </c>
      <c r="F248" s="16">
        <f t="shared" si="18"/>
        <v>912.89483999999993</v>
      </c>
      <c r="G248" s="138"/>
      <c r="H248" s="139"/>
      <c r="M248" s="2">
        <f t="shared" si="16"/>
        <v>3819.09411</v>
      </c>
    </row>
    <row r="249" spans="1:13" s="2" customFormat="1" ht="15.75" customHeight="1" x14ac:dyDescent="0.3">
      <c r="A249" s="140">
        <v>7</v>
      </c>
      <c r="B249" s="142"/>
      <c r="C249" s="56" t="s">
        <v>133</v>
      </c>
      <c r="D249" s="57">
        <f>(56.54)*10.764</f>
        <v>608.59655999999995</v>
      </c>
      <c r="E249" s="16">
        <v>0</v>
      </c>
      <c r="F249" s="16">
        <f t="shared" si="18"/>
        <v>912.89483999999993</v>
      </c>
      <c r="G249" s="138"/>
      <c r="H249" s="139"/>
      <c r="M249" s="2">
        <f t="shared" si="16"/>
        <v>3819.09411</v>
      </c>
    </row>
    <row r="250" spans="1:13" s="2" customFormat="1" x14ac:dyDescent="0.3">
      <c r="A250" s="140">
        <v>8</v>
      </c>
      <c r="B250" s="142"/>
      <c r="C250" s="56" t="s">
        <v>133</v>
      </c>
      <c r="D250" s="57">
        <f>(56.54)*10.764</f>
        <v>608.59655999999995</v>
      </c>
      <c r="E250" s="16">
        <v>0</v>
      </c>
      <c r="F250" s="16">
        <f t="shared" si="18"/>
        <v>912.89483999999993</v>
      </c>
      <c r="G250" s="95"/>
      <c r="H250" s="97"/>
      <c r="M250" s="2">
        <f t="shared" si="16"/>
        <v>3819.09411</v>
      </c>
    </row>
    <row r="251" spans="1:13" s="2" customFormat="1" x14ac:dyDescent="0.3">
      <c r="A251" s="89" t="s">
        <v>217</v>
      </c>
      <c r="B251" s="90"/>
      <c r="C251" s="90"/>
      <c r="D251" s="90"/>
      <c r="E251" s="90"/>
      <c r="F251" s="90"/>
      <c r="G251" s="90"/>
      <c r="H251" s="91"/>
      <c r="M251" s="2">
        <f t="shared" si="16"/>
        <v>5933.81646</v>
      </c>
    </row>
    <row r="252" spans="1:13" s="2" customFormat="1" x14ac:dyDescent="0.3">
      <c r="A252" s="140">
        <v>1</v>
      </c>
      <c r="B252" s="142"/>
      <c r="C252" s="56" t="s">
        <v>135</v>
      </c>
      <c r="D252" s="57">
        <f>(36.39)*10.764</f>
        <v>391.70195999999999</v>
      </c>
      <c r="E252" s="16">
        <v>0</v>
      </c>
      <c r="F252" s="16">
        <f t="shared" ref="F252:F259" si="19">D252*(($F$130)+1)+(IF(E252&lt;101,E252,IF(E252&lt;201,E252/2,IF(E252&lt;=301,E252/3,E252/4))))</f>
        <v>587.55294000000004</v>
      </c>
      <c r="G252" s="92" t="str">
        <f>A251</f>
        <v>8th, 9th, 11th to 16th, 18th to 23rd, 25th to 30th, 32nd to 36th Floor</v>
      </c>
      <c r="H252" s="94"/>
      <c r="M252" s="2">
        <f t="shared" si="16"/>
        <v>5933.81646</v>
      </c>
    </row>
    <row r="253" spans="1:13" s="2" customFormat="1" x14ac:dyDescent="0.3">
      <c r="A253" s="140">
        <v>2</v>
      </c>
      <c r="B253" s="142"/>
      <c r="C253" s="56" t="s">
        <v>135</v>
      </c>
      <c r="D253" s="57">
        <f>(36.39)*10.764</f>
        <v>391.70195999999999</v>
      </c>
      <c r="E253" s="16">
        <v>0</v>
      </c>
      <c r="F253" s="16">
        <f t="shared" si="19"/>
        <v>587.55294000000004</v>
      </c>
      <c r="G253" s="138"/>
      <c r="H253" s="139"/>
      <c r="M253" s="2">
        <f t="shared" si="16"/>
        <v>5933.81646</v>
      </c>
    </row>
    <row r="254" spans="1:13" s="2" customFormat="1" x14ac:dyDescent="0.3">
      <c r="A254" s="140">
        <v>3</v>
      </c>
      <c r="B254" s="142"/>
      <c r="C254" s="56" t="s">
        <v>135</v>
      </c>
      <c r="D254" s="57">
        <f>(36.39)*10.764</f>
        <v>391.70195999999999</v>
      </c>
      <c r="E254" s="16">
        <v>0</v>
      </c>
      <c r="F254" s="16">
        <f t="shared" si="19"/>
        <v>587.55294000000004</v>
      </c>
      <c r="G254" s="138"/>
      <c r="H254" s="139"/>
      <c r="M254" s="2">
        <f t="shared" si="16"/>
        <v>5933.81646</v>
      </c>
    </row>
    <row r="255" spans="1:13" s="2" customFormat="1" x14ac:dyDescent="0.3">
      <c r="A255" s="140">
        <v>4</v>
      </c>
      <c r="B255" s="142"/>
      <c r="C255" s="56" t="s">
        <v>135</v>
      </c>
      <c r="D255" s="57">
        <f>(36.39)*10.764</f>
        <v>391.70195999999999</v>
      </c>
      <c r="E255" s="16">
        <v>0</v>
      </c>
      <c r="F255" s="16">
        <f t="shared" si="19"/>
        <v>587.55294000000004</v>
      </c>
      <c r="G255" s="138"/>
      <c r="H255" s="139"/>
      <c r="M255" s="2">
        <f t="shared" si="16"/>
        <v>0</v>
      </c>
    </row>
    <row r="256" spans="1:13" s="2" customFormat="1" x14ac:dyDescent="0.3">
      <c r="A256" s="140">
        <v>5</v>
      </c>
      <c r="B256" s="142"/>
      <c r="C256" s="56" t="s">
        <v>133</v>
      </c>
      <c r="D256" s="57">
        <f>(56.54)*10.764</f>
        <v>608.59655999999995</v>
      </c>
      <c r="E256" s="16">
        <v>0</v>
      </c>
      <c r="F256" s="16">
        <f t="shared" si="19"/>
        <v>912.89483999999993</v>
      </c>
      <c r="G256" s="138"/>
      <c r="H256" s="139"/>
      <c r="M256" s="2">
        <f t="shared" si="16"/>
        <v>0</v>
      </c>
    </row>
    <row r="257" spans="1:13" s="2" customFormat="1" ht="15.75" customHeight="1" x14ac:dyDescent="0.3">
      <c r="A257" s="140">
        <v>6</v>
      </c>
      <c r="B257" s="142"/>
      <c r="C257" s="56" t="s">
        <v>133</v>
      </c>
      <c r="D257" s="57">
        <f>(56.54)*10.764</f>
        <v>608.59655999999995</v>
      </c>
      <c r="E257" s="16">
        <v>0</v>
      </c>
      <c r="F257" s="16">
        <f t="shared" si="19"/>
        <v>912.89483999999993</v>
      </c>
      <c r="G257" s="138"/>
      <c r="H257" s="139"/>
      <c r="M257" s="2">
        <f t="shared" si="16"/>
        <v>0</v>
      </c>
    </row>
    <row r="258" spans="1:13" s="2" customFormat="1" ht="15.75" customHeight="1" x14ac:dyDescent="0.3">
      <c r="A258" s="140">
        <v>7</v>
      </c>
      <c r="B258" s="142"/>
      <c r="C258" s="56" t="s">
        <v>133</v>
      </c>
      <c r="D258" s="57">
        <f>(56.54)*10.764</f>
        <v>608.59655999999995</v>
      </c>
      <c r="E258" s="16">
        <v>0</v>
      </c>
      <c r="F258" s="16">
        <f t="shared" si="19"/>
        <v>912.89483999999993</v>
      </c>
      <c r="G258" s="138"/>
      <c r="H258" s="139"/>
      <c r="M258" s="2">
        <f t="shared" si="16"/>
        <v>3819.09411</v>
      </c>
    </row>
    <row r="259" spans="1:13" s="2" customFormat="1" x14ac:dyDescent="0.3">
      <c r="A259" s="140">
        <v>8</v>
      </c>
      <c r="B259" s="142"/>
      <c r="C259" s="56" t="s">
        <v>133</v>
      </c>
      <c r="D259" s="57">
        <f>(56.54)*10.764</f>
        <v>608.59655999999995</v>
      </c>
      <c r="E259" s="16">
        <v>0</v>
      </c>
      <c r="F259" s="16">
        <f t="shared" si="19"/>
        <v>912.89483999999993</v>
      </c>
      <c r="G259" s="95"/>
      <c r="H259" s="97"/>
      <c r="M259" s="2">
        <f t="shared" si="16"/>
        <v>3819.09411</v>
      </c>
    </row>
    <row r="260" spans="1:13" s="2" customFormat="1" x14ac:dyDescent="0.3">
      <c r="A260" s="89" t="s">
        <v>218</v>
      </c>
      <c r="B260" s="90"/>
      <c r="C260" s="90"/>
      <c r="D260" s="90"/>
      <c r="E260" s="90"/>
      <c r="F260" s="90"/>
      <c r="G260" s="90"/>
      <c r="H260" s="91"/>
      <c r="M260" s="2">
        <f t="shared" si="16"/>
        <v>5933.81646</v>
      </c>
    </row>
    <row r="261" spans="1:13" s="2" customFormat="1" x14ac:dyDescent="0.3">
      <c r="A261" s="140">
        <v>1</v>
      </c>
      <c r="B261" s="142"/>
      <c r="C261" s="92" t="s">
        <v>134</v>
      </c>
      <c r="D261" s="93"/>
      <c r="E261" s="93"/>
      <c r="F261" s="94"/>
      <c r="G261" s="92" t="str">
        <f>A260</f>
        <v>10th, 17th &amp; 24th Floor ( Part Refuge Area)</v>
      </c>
      <c r="H261" s="94"/>
      <c r="M261" s="2">
        <f t="shared" si="16"/>
        <v>5933.81646</v>
      </c>
    </row>
    <row r="262" spans="1:13" s="2" customFormat="1" x14ac:dyDescent="0.3">
      <c r="A262" s="140">
        <v>2</v>
      </c>
      <c r="B262" s="142"/>
      <c r="C262" s="95"/>
      <c r="D262" s="96"/>
      <c r="E262" s="96"/>
      <c r="F262" s="97"/>
      <c r="G262" s="138"/>
      <c r="H262" s="139"/>
      <c r="M262" s="2">
        <f t="shared" ref="M262:M274" si="20">6.5*F267</f>
        <v>5933.81646</v>
      </c>
    </row>
    <row r="263" spans="1:13" s="2" customFormat="1" x14ac:dyDescent="0.3">
      <c r="A263" s="140">
        <v>3</v>
      </c>
      <c r="B263" s="142"/>
      <c r="C263" s="56" t="s">
        <v>135</v>
      </c>
      <c r="D263" s="57">
        <f>(36.39)*10.764</f>
        <v>391.70195999999999</v>
      </c>
      <c r="E263" s="16">
        <v>0</v>
      </c>
      <c r="F263" s="16">
        <f t="shared" ref="F263:F268" si="21">D263*(($F$130)+1)+(IF(E263&lt;101,E263,IF(E263&lt;201,E263/2,IF(E263&lt;=301,E263/3,E263/4))))</f>
        <v>587.55294000000004</v>
      </c>
      <c r="G263" s="138"/>
      <c r="H263" s="139"/>
      <c r="M263" s="2">
        <f t="shared" si="20"/>
        <v>5933.81646</v>
      </c>
    </row>
    <row r="264" spans="1:13" s="2" customFormat="1" x14ac:dyDescent="0.3">
      <c r="A264" s="140">
        <v>4</v>
      </c>
      <c r="B264" s="142"/>
      <c r="C264" s="56" t="s">
        <v>135</v>
      </c>
      <c r="D264" s="57">
        <f>(36.39)*10.764</f>
        <v>391.70195999999999</v>
      </c>
      <c r="E264" s="16">
        <v>0</v>
      </c>
      <c r="F264" s="16">
        <f t="shared" si="21"/>
        <v>587.55294000000004</v>
      </c>
      <c r="G264" s="138"/>
      <c r="H264" s="139"/>
      <c r="M264" s="2">
        <f t="shared" si="20"/>
        <v>0</v>
      </c>
    </row>
    <row r="265" spans="1:13" s="2" customFormat="1" x14ac:dyDescent="0.3">
      <c r="A265" s="140">
        <v>5</v>
      </c>
      <c r="B265" s="142"/>
      <c r="C265" s="56" t="s">
        <v>133</v>
      </c>
      <c r="D265" s="57">
        <f>(56.54)*10.764</f>
        <v>608.59655999999995</v>
      </c>
      <c r="E265" s="16">
        <v>0</v>
      </c>
      <c r="F265" s="16">
        <f t="shared" si="21"/>
        <v>912.89483999999993</v>
      </c>
      <c r="G265" s="138"/>
      <c r="H265" s="139"/>
      <c r="M265" s="2">
        <f t="shared" si="20"/>
        <v>0</v>
      </c>
    </row>
    <row r="266" spans="1:13" s="2" customFormat="1" ht="15.75" customHeight="1" x14ac:dyDescent="0.3">
      <c r="A266" s="140">
        <v>6</v>
      </c>
      <c r="B266" s="142"/>
      <c r="C266" s="56" t="s">
        <v>133</v>
      </c>
      <c r="D266" s="57">
        <f>(56.54)*10.764</f>
        <v>608.59655999999995</v>
      </c>
      <c r="E266" s="16">
        <v>0</v>
      </c>
      <c r="F266" s="16">
        <f t="shared" si="21"/>
        <v>912.89483999999993</v>
      </c>
      <c r="G266" s="138"/>
      <c r="H266" s="139"/>
      <c r="M266" s="2">
        <f t="shared" si="20"/>
        <v>0</v>
      </c>
    </row>
    <row r="267" spans="1:13" s="2" customFormat="1" ht="15.75" customHeight="1" x14ac:dyDescent="0.3">
      <c r="A267" s="140">
        <v>7</v>
      </c>
      <c r="B267" s="142"/>
      <c r="C267" s="56" t="s">
        <v>133</v>
      </c>
      <c r="D267" s="57">
        <f>(56.54)*10.764</f>
        <v>608.59655999999995</v>
      </c>
      <c r="E267" s="16">
        <v>0</v>
      </c>
      <c r="F267" s="16">
        <f t="shared" si="21"/>
        <v>912.89483999999993</v>
      </c>
      <c r="G267" s="138"/>
      <c r="H267" s="139"/>
      <c r="M267" s="2">
        <f t="shared" si="20"/>
        <v>3819.09411</v>
      </c>
    </row>
    <row r="268" spans="1:13" s="2" customFormat="1" x14ac:dyDescent="0.3">
      <c r="A268" s="140">
        <v>8</v>
      </c>
      <c r="B268" s="142"/>
      <c r="C268" s="56" t="s">
        <v>133</v>
      </c>
      <c r="D268" s="57">
        <f>(56.54)*10.764</f>
        <v>608.59655999999995</v>
      </c>
      <c r="E268" s="16">
        <v>0</v>
      </c>
      <c r="F268" s="16">
        <f t="shared" si="21"/>
        <v>912.89483999999993</v>
      </c>
      <c r="G268" s="95"/>
      <c r="H268" s="97"/>
      <c r="M268" s="2">
        <f t="shared" si="20"/>
        <v>3819.09411</v>
      </c>
    </row>
    <row r="269" spans="1:13" s="2" customFormat="1" x14ac:dyDescent="0.3">
      <c r="A269" s="88" t="s">
        <v>220</v>
      </c>
      <c r="B269" s="88"/>
      <c r="C269" s="88"/>
      <c r="D269" s="88"/>
      <c r="E269" s="88"/>
      <c r="F269" s="88"/>
      <c r="G269" s="88"/>
      <c r="H269" s="88"/>
      <c r="M269" s="2">
        <f t="shared" si="20"/>
        <v>5933.81646</v>
      </c>
    </row>
    <row r="270" spans="1:13" s="2" customFormat="1" x14ac:dyDescent="0.3">
      <c r="A270" s="137">
        <v>1</v>
      </c>
      <c r="B270" s="137"/>
      <c r="C270" s="137" t="s">
        <v>134</v>
      </c>
      <c r="D270" s="137"/>
      <c r="E270" s="137"/>
      <c r="F270" s="137"/>
      <c r="G270" s="137" t="str">
        <f>A269</f>
        <v>31st Floor ( Part Refuge Area)</v>
      </c>
      <c r="H270" s="137"/>
      <c r="M270" s="2">
        <f t="shared" si="20"/>
        <v>5933.81646</v>
      </c>
    </row>
    <row r="271" spans="1:13" s="2" customFormat="1" x14ac:dyDescent="0.3">
      <c r="A271" s="137">
        <v>2</v>
      </c>
      <c r="B271" s="137"/>
      <c r="C271" s="137"/>
      <c r="D271" s="137"/>
      <c r="E271" s="137"/>
      <c r="F271" s="137"/>
      <c r="G271" s="137"/>
      <c r="H271" s="137"/>
      <c r="M271" s="2">
        <f t="shared" si="20"/>
        <v>5933.81646</v>
      </c>
    </row>
    <row r="272" spans="1:13" s="2" customFormat="1" x14ac:dyDescent="0.3">
      <c r="A272" s="137">
        <v>3</v>
      </c>
      <c r="B272" s="137"/>
      <c r="C272" s="56" t="s">
        <v>135</v>
      </c>
      <c r="D272" s="57">
        <f>(36.39)*10.764</f>
        <v>391.70195999999999</v>
      </c>
      <c r="E272" s="16">
        <v>0</v>
      </c>
      <c r="F272" s="16">
        <f t="shared" ref="F272:F277" si="22">D272*(($F$130)+1)+(IF(E272&lt;101,E272,IF(E272&lt;201,E272/2,IF(E272&lt;=301,E272/3,E272/4))))</f>
        <v>587.55294000000004</v>
      </c>
      <c r="G272" s="137"/>
      <c r="H272" s="137"/>
      <c r="M272" s="2">
        <f t="shared" si="20"/>
        <v>5933.81646</v>
      </c>
    </row>
    <row r="273" spans="1:13" s="2" customFormat="1" x14ac:dyDescent="0.3">
      <c r="A273" s="137">
        <v>4</v>
      </c>
      <c r="B273" s="137"/>
      <c r="C273" s="56" t="s">
        <v>135</v>
      </c>
      <c r="D273" s="57">
        <f>(36.39)*10.764</f>
        <v>391.70195999999999</v>
      </c>
      <c r="E273" s="16">
        <v>0</v>
      </c>
      <c r="F273" s="16">
        <f t="shared" si="22"/>
        <v>587.55294000000004</v>
      </c>
      <c r="G273" s="137"/>
      <c r="H273" s="137"/>
      <c r="M273" s="2">
        <f t="shared" si="20"/>
        <v>0</v>
      </c>
    </row>
    <row r="274" spans="1:13" s="2" customFormat="1" x14ac:dyDescent="0.3">
      <c r="A274" s="137">
        <v>5</v>
      </c>
      <c r="B274" s="137"/>
      <c r="C274" s="56" t="s">
        <v>133</v>
      </c>
      <c r="D274" s="57">
        <f>(56.54)*10.764</f>
        <v>608.59655999999995</v>
      </c>
      <c r="E274" s="16">
        <v>0</v>
      </c>
      <c r="F274" s="16">
        <f t="shared" si="22"/>
        <v>912.89483999999993</v>
      </c>
      <c r="G274" s="137"/>
      <c r="H274" s="137"/>
      <c r="M274" s="2">
        <f t="shared" si="20"/>
        <v>0</v>
      </c>
    </row>
    <row r="275" spans="1:13" s="2" customFormat="1" x14ac:dyDescent="0.3">
      <c r="A275" s="137">
        <v>6</v>
      </c>
      <c r="B275" s="137"/>
      <c r="C275" s="56" t="s">
        <v>133</v>
      </c>
      <c r="D275" s="57">
        <f>(56.54)*10.764</f>
        <v>608.59655999999995</v>
      </c>
      <c r="E275" s="16">
        <v>0</v>
      </c>
      <c r="F275" s="16">
        <f t="shared" si="22"/>
        <v>912.89483999999993</v>
      </c>
      <c r="G275" s="137"/>
      <c r="H275" s="137"/>
      <c r="M275" s="2">
        <f t="shared" ref="M275:M311" si="23">6.5*F281</f>
        <v>0</v>
      </c>
    </row>
    <row r="276" spans="1:13" s="2" customFormat="1" x14ac:dyDescent="0.3">
      <c r="A276" s="137">
        <v>7</v>
      </c>
      <c r="B276" s="137"/>
      <c r="C276" s="56" t="s">
        <v>133</v>
      </c>
      <c r="D276" s="57">
        <f>(56.54)*10.764</f>
        <v>608.59655999999995</v>
      </c>
      <c r="E276" s="16">
        <v>0</v>
      </c>
      <c r="F276" s="16">
        <f t="shared" si="22"/>
        <v>912.89483999999993</v>
      </c>
      <c r="G276" s="137"/>
      <c r="H276" s="137"/>
      <c r="M276" s="2">
        <f t="shared" si="23"/>
        <v>0</v>
      </c>
    </row>
    <row r="277" spans="1:13" s="2" customFormat="1" x14ac:dyDescent="0.3">
      <c r="A277" s="137">
        <v>8</v>
      </c>
      <c r="B277" s="137"/>
      <c r="C277" s="56" t="s">
        <v>133</v>
      </c>
      <c r="D277" s="57">
        <f>(56.54)*10.764</f>
        <v>608.59655999999995</v>
      </c>
      <c r="E277" s="16">
        <v>0</v>
      </c>
      <c r="F277" s="16">
        <f t="shared" si="22"/>
        <v>912.89483999999993</v>
      </c>
      <c r="G277" s="137"/>
      <c r="H277" s="137"/>
      <c r="M277" s="2">
        <f t="shared" si="23"/>
        <v>0</v>
      </c>
    </row>
    <row r="278" spans="1:13" s="2" customFormat="1" ht="15.75" customHeight="1" x14ac:dyDescent="0.3">
      <c r="A278" s="88" t="s">
        <v>221</v>
      </c>
      <c r="B278" s="88"/>
      <c r="C278" s="88"/>
      <c r="D278" s="88"/>
      <c r="E278" s="88"/>
      <c r="F278" s="88"/>
      <c r="G278" s="88"/>
      <c r="H278" s="88"/>
      <c r="M278" s="2">
        <f t="shared" si="23"/>
        <v>0</v>
      </c>
    </row>
    <row r="279" spans="1:13" s="2" customFormat="1" ht="15.75" customHeight="1" x14ac:dyDescent="0.3">
      <c r="A279" s="88" t="s">
        <v>207</v>
      </c>
      <c r="B279" s="88"/>
      <c r="C279" s="88"/>
      <c r="D279" s="88"/>
      <c r="E279" s="88"/>
      <c r="F279" s="88"/>
      <c r="G279" s="88"/>
      <c r="H279" s="88"/>
      <c r="M279" s="2">
        <f t="shared" si="23"/>
        <v>4878.0295199999991</v>
      </c>
    </row>
    <row r="280" spans="1:13" s="2" customFormat="1" x14ac:dyDescent="0.3">
      <c r="A280" s="88" t="s">
        <v>208</v>
      </c>
      <c r="B280" s="88"/>
      <c r="C280" s="88"/>
      <c r="D280" s="88"/>
      <c r="E280" s="88"/>
      <c r="F280" s="88"/>
      <c r="G280" s="88"/>
      <c r="H280" s="88"/>
      <c r="M280" s="2">
        <f t="shared" si="23"/>
        <v>8245.8429299999989</v>
      </c>
    </row>
    <row r="281" spans="1:13" s="2" customFormat="1" x14ac:dyDescent="0.3">
      <c r="A281" s="88" t="s">
        <v>209</v>
      </c>
      <c r="B281" s="88"/>
      <c r="C281" s="88"/>
      <c r="D281" s="88"/>
      <c r="E281" s="88"/>
      <c r="F281" s="88"/>
      <c r="G281" s="88"/>
      <c r="H281" s="88"/>
      <c r="M281" s="2">
        <f t="shared" si="23"/>
        <v>5968.4496299999992</v>
      </c>
    </row>
    <row r="282" spans="1:13" s="2" customFormat="1" x14ac:dyDescent="0.3">
      <c r="A282" s="89" t="s">
        <v>214</v>
      </c>
      <c r="B282" s="90"/>
      <c r="C282" s="90"/>
      <c r="D282" s="90"/>
      <c r="E282" s="90"/>
      <c r="F282" s="90"/>
      <c r="G282" s="90"/>
      <c r="H282" s="91"/>
      <c r="M282" s="2">
        <f t="shared" si="23"/>
        <v>5967.4001399999988</v>
      </c>
    </row>
    <row r="283" spans="1:13" s="2" customFormat="1" x14ac:dyDescent="0.3">
      <c r="A283" s="140">
        <v>1</v>
      </c>
      <c r="B283" s="142"/>
      <c r="C283" s="92" t="s">
        <v>173</v>
      </c>
      <c r="D283" s="93"/>
      <c r="E283" s="93"/>
      <c r="F283" s="94"/>
      <c r="G283" s="92" t="str">
        <f>A282</f>
        <v>1st, 2nd &amp; 4th to 7th Floor For Residential &amp; Part Parking Area</v>
      </c>
      <c r="H283" s="94"/>
      <c r="M283" s="2">
        <f t="shared" si="23"/>
        <v>5897.0843099999993</v>
      </c>
    </row>
    <row r="284" spans="1:13" s="2" customFormat="1" x14ac:dyDescent="0.3">
      <c r="A284" s="140">
        <v>2</v>
      </c>
      <c r="B284" s="142"/>
      <c r="C284" s="95"/>
      <c r="D284" s="96"/>
      <c r="E284" s="96"/>
      <c r="F284" s="97"/>
      <c r="G284" s="138"/>
      <c r="H284" s="139"/>
      <c r="M284" s="2">
        <f t="shared" si="23"/>
        <v>5890.7873699999991</v>
      </c>
    </row>
    <row r="285" spans="1:13" s="2" customFormat="1" x14ac:dyDescent="0.3">
      <c r="A285" s="140">
        <v>3</v>
      </c>
      <c r="B285" s="142"/>
      <c r="C285" s="56" t="s">
        <v>133</v>
      </c>
      <c r="D285" s="58">
        <f>(46.48)*10.764</f>
        <v>500.31071999999995</v>
      </c>
      <c r="E285" s="16">
        <v>0</v>
      </c>
      <c r="F285" s="16">
        <f t="shared" ref="F285:F290" si="24">D285*(($F$130)+1)+(IF(E285&lt;101,E285,IF(E285&lt;201,E285/2,IF(E285&lt;=301,E285/3,E285/4))))</f>
        <v>750.46607999999992</v>
      </c>
      <c r="G285" s="138"/>
      <c r="H285" s="139"/>
      <c r="M285" s="2">
        <f t="shared" si="23"/>
        <v>0</v>
      </c>
    </row>
    <row r="286" spans="1:13" s="2" customFormat="1" x14ac:dyDescent="0.3">
      <c r="A286" s="140">
        <v>4</v>
      </c>
      <c r="B286" s="142"/>
      <c r="C286" s="56" t="s">
        <v>132</v>
      </c>
      <c r="D286" s="58">
        <f>(78.57)*10.764</f>
        <v>845.7274799999999</v>
      </c>
      <c r="E286" s="16">
        <v>0</v>
      </c>
      <c r="F286" s="16">
        <f t="shared" si="24"/>
        <v>1268.5912199999998</v>
      </c>
      <c r="G286" s="138"/>
      <c r="H286" s="139"/>
      <c r="M286" s="2">
        <f t="shared" si="23"/>
        <v>0</v>
      </c>
    </row>
    <row r="287" spans="1:13" s="2" customFormat="1" ht="15.75" customHeight="1" x14ac:dyDescent="0.3">
      <c r="A287" s="140">
        <v>5</v>
      </c>
      <c r="B287" s="142"/>
      <c r="C287" s="56" t="s">
        <v>133</v>
      </c>
      <c r="D287" s="58">
        <f>(56.87)*10.764</f>
        <v>612.1486799999999</v>
      </c>
      <c r="E287" s="16">
        <v>0</v>
      </c>
      <c r="F287" s="16">
        <f t="shared" si="24"/>
        <v>918.22301999999991</v>
      </c>
      <c r="G287" s="138"/>
      <c r="H287" s="139"/>
      <c r="M287" s="2">
        <f t="shared" si="23"/>
        <v>0</v>
      </c>
    </row>
    <row r="288" spans="1:13" s="2" customFormat="1" ht="15.75" customHeight="1" x14ac:dyDescent="0.3">
      <c r="A288" s="140">
        <v>6</v>
      </c>
      <c r="B288" s="142"/>
      <c r="C288" s="56" t="s">
        <v>133</v>
      </c>
      <c r="D288" s="58">
        <f>(56.86)*10.764</f>
        <v>612.04103999999995</v>
      </c>
      <c r="E288" s="16">
        <v>0</v>
      </c>
      <c r="F288" s="16">
        <f t="shared" si="24"/>
        <v>918.06155999999987</v>
      </c>
      <c r="G288" s="138"/>
      <c r="H288" s="139"/>
      <c r="M288" s="2">
        <f t="shared" si="23"/>
        <v>0</v>
      </c>
    </row>
    <row r="289" spans="1:13" s="2" customFormat="1" x14ac:dyDescent="0.3">
      <c r="A289" s="140">
        <v>7</v>
      </c>
      <c r="B289" s="142"/>
      <c r="C289" s="56" t="s">
        <v>133</v>
      </c>
      <c r="D289" s="58">
        <f>(56.19)*10.764</f>
        <v>604.82915999999989</v>
      </c>
      <c r="E289" s="16">
        <v>0</v>
      </c>
      <c r="F289" s="16">
        <f t="shared" si="24"/>
        <v>907.24373999999989</v>
      </c>
      <c r="G289" s="138"/>
      <c r="H289" s="139"/>
      <c r="M289" s="2">
        <f t="shared" si="23"/>
        <v>8245.8429299999989</v>
      </c>
    </row>
    <row r="290" spans="1:13" s="2" customFormat="1" x14ac:dyDescent="0.3">
      <c r="A290" s="140">
        <v>8</v>
      </c>
      <c r="B290" s="142"/>
      <c r="C290" s="56" t="s">
        <v>133</v>
      </c>
      <c r="D290" s="58">
        <f>(56.13)*10.764</f>
        <v>604.18331999999998</v>
      </c>
      <c r="E290" s="16">
        <v>0</v>
      </c>
      <c r="F290" s="16">
        <f t="shared" si="24"/>
        <v>906.27497999999991</v>
      </c>
      <c r="G290" s="95"/>
      <c r="H290" s="97"/>
      <c r="M290" s="2">
        <f t="shared" si="23"/>
        <v>5968.4496299999992</v>
      </c>
    </row>
    <row r="291" spans="1:13" s="2" customFormat="1" x14ac:dyDescent="0.3">
      <c r="A291" s="89" t="s">
        <v>215</v>
      </c>
      <c r="B291" s="90"/>
      <c r="C291" s="90"/>
      <c r="D291" s="90"/>
      <c r="E291" s="90"/>
      <c r="F291" s="90"/>
      <c r="G291" s="90"/>
      <c r="H291" s="91"/>
      <c r="M291" s="2">
        <f t="shared" si="23"/>
        <v>5967.4001399999988</v>
      </c>
    </row>
    <row r="292" spans="1:13" s="2" customFormat="1" x14ac:dyDescent="0.3">
      <c r="A292" s="140">
        <v>1</v>
      </c>
      <c r="B292" s="142"/>
      <c r="C292" s="92" t="s">
        <v>173</v>
      </c>
      <c r="D292" s="93"/>
      <c r="E292" s="93"/>
      <c r="F292" s="94"/>
      <c r="G292" s="92" t="str">
        <f>A291</f>
        <v>3rd Floor ( Part Refuge Area) &amp; Parking Area</v>
      </c>
      <c r="H292" s="94"/>
      <c r="M292" s="2">
        <f t="shared" si="23"/>
        <v>5897.0843099999993</v>
      </c>
    </row>
    <row r="293" spans="1:13" s="2" customFormat="1" x14ac:dyDescent="0.3">
      <c r="A293" s="140">
        <v>2</v>
      </c>
      <c r="B293" s="142"/>
      <c r="C293" s="92" t="s">
        <v>134</v>
      </c>
      <c r="D293" s="93"/>
      <c r="E293" s="93"/>
      <c r="F293" s="94"/>
      <c r="G293" s="138"/>
      <c r="H293" s="139"/>
      <c r="M293" s="2">
        <f t="shared" si="23"/>
        <v>5890.7873699999991</v>
      </c>
    </row>
    <row r="294" spans="1:13" s="2" customFormat="1" x14ac:dyDescent="0.3">
      <c r="A294" s="140">
        <v>3</v>
      </c>
      <c r="B294" s="142"/>
      <c r="C294" s="95"/>
      <c r="D294" s="96"/>
      <c r="E294" s="96"/>
      <c r="F294" s="97"/>
      <c r="G294" s="138"/>
      <c r="H294" s="139"/>
      <c r="M294" s="2">
        <f t="shared" si="23"/>
        <v>0</v>
      </c>
    </row>
    <row r="295" spans="1:13" s="2" customFormat="1" x14ac:dyDescent="0.3">
      <c r="A295" s="140">
        <v>4</v>
      </c>
      <c r="B295" s="142"/>
      <c r="C295" s="56" t="s">
        <v>132</v>
      </c>
      <c r="D295" s="58">
        <f>(78.57)*10.764</f>
        <v>845.7274799999999</v>
      </c>
      <c r="E295" s="16">
        <v>0</v>
      </c>
      <c r="F295" s="16">
        <f t="shared" ref="F295:F299" si="25">D295*(($F$130)+1)+(IF(E295&lt;101,E295,IF(E295&lt;201,E295/2,IF(E295&lt;=301,E295/3,E295/4))))</f>
        <v>1268.5912199999998</v>
      </c>
      <c r="G295" s="138"/>
      <c r="H295" s="139"/>
      <c r="M295" s="2">
        <f t="shared" si="23"/>
        <v>3812.7971699999998</v>
      </c>
    </row>
    <row r="296" spans="1:13" s="2" customFormat="1" ht="15.75" customHeight="1" x14ac:dyDescent="0.3">
      <c r="A296" s="140">
        <v>5</v>
      </c>
      <c r="B296" s="142"/>
      <c r="C296" s="56" t="s">
        <v>133</v>
      </c>
      <c r="D296" s="58">
        <f>(56.87)*10.764</f>
        <v>612.1486799999999</v>
      </c>
      <c r="E296" s="16">
        <v>0</v>
      </c>
      <c r="F296" s="16">
        <f t="shared" si="25"/>
        <v>918.22301999999991</v>
      </c>
      <c r="G296" s="138"/>
      <c r="H296" s="139"/>
      <c r="M296" s="2">
        <f t="shared" si="23"/>
        <v>4824.5055299999995</v>
      </c>
    </row>
    <row r="297" spans="1:13" s="2" customFormat="1" ht="15.75" customHeight="1" x14ac:dyDescent="0.3">
      <c r="A297" s="140">
        <v>6</v>
      </c>
      <c r="B297" s="142"/>
      <c r="C297" s="56" t="s">
        <v>133</v>
      </c>
      <c r="D297" s="58">
        <f>(56.86)*10.764</f>
        <v>612.04103999999995</v>
      </c>
      <c r="E297" s="16">
        <v>0</v>
      </c>
      <c r="F297" s="16">
        <f t="shared" si="25"/>
        <v>918.06155999999987</v>
      </c>
      <c r="G297" s="138"/>
      <c r="H297" s="139"/>
      <c r="M297" s="2">
        <f t="shared" si="23"/>
        <v>4878.0295199999991</v>
      </c>
    </row>
    <row r="298" spans="1:13" s="2" customFormat="1" x14ac:dyDescent="0.3">
      <c r="A298" s="140">
        <v>7</v>
      </c>
      <c r="B298" s="142"/>
      <c r="C298" s="56" t="s">
        <v>133</v>
      </c>
      <c r="D298" s="58">
        <f>(56.19)*10.764</f>
        <v>604.82915999999989</v>
      </c>
      <c r="E298" s="16">
        <v>0</v>
      </c>
      <c r="F298" s="16">
        <f t="shared" si="25"/>
        <v>907.24373999999989</v>
      </c>
      <c r="G298" s="138"/>
      <c r="H298" s="139"/>
      <c r="M298" s="2">
        <f t="shared" si="23"/>
        <v>8245.8429299999989</v>
      </c>
    </row>
    <row r="299" spans="1:13" s="2" customFormat="1" x14ac:dyDescent="0.3">
      <c r="A299" s="140">
        <v>8</v>
      </c>
      <c r="B299" s="142"/>
      <c r="C299" s="56" t="s">
        <v>133</v>
      </c>
      <c r="D299" s="58">
        <f>(56.13)*10.764</f>
        <v>604.18331999999998</v>
      </c>
      <c r="E299" s="16">
        <v>0</v>
      </c>
      <c r="F299" s="16">
        <f t="shared" si="25"/>
        <v>906.27497999999991</v>
      </c>
      <c r="G299" s="95"/>
      <c r="H299" s="97"/>
      <c r="M299" s="2">
        <f t="shared" si="23"/>
        <v>5968.4496299999992</v>
      </c>
    </row>
    <row r="300" spans="1:13" s="2" customFormat="1" x14ac:dyDescent="0.3">
      <c r="A300" s="89" t="s">
        <v>217</v>
      </c>
      <c r="B300" s="90"/>
      <c r="C300" s="90"/>
      <c r="D300" s="90"/>
      <c r="E300" s="90"/>
      <c r="F300" s="90"/>
      <c r="G300" s="90"/>
      <c r="H300" s="91"/>
      <c r="I300" s="2">
        <f>78.57*10.764</f>
        <v>845.7274799999999</v>
      </c>
      <c r="J300" s="2">
        <f>74.34*10.764</f>
        <v>800.19575999999995</v>
      </c>
      <c r="M300" s="2">
        <f t="shared" si="23"/>
        <v>5967.4001399999988</v>
      </c>
    </row>
    <row r="301" spans="1:13" s="2" customFormat="1" x14ac:dyDescent="0.3">
      <c r="A301" s="137">
        <v>1</v>
      </c>
      <c r="B301" s="137"/>
      <c r="C301" s="56" t="s">
        <v>135</v>
      </c>
      <c r="D301" s="58">
        <f>(36.33)*10.764</f>
        <v>391.05611999999996</v>
      </c>
      <c r="E301" s="16">
        <v>0</v>
      </c>
      <c r="F301" s="16">
        <f t="shared" ref="F301:F310" si="26">D301*(($F$130)+1)+(IF(E301&lt;101,E301,IF(E301&lt;201,E301/2,IF(E301&lt;=301,E301/3,E301/4))))</f>
        <v>586.58417999999995</v>
      </c>
      <c r="G301" s="137" t="str">
        <f>A300</f>
        <v>8th, 9th, 11th to 16th, 18th to 23rd, 25th to 30th, 32nd to 36th Floor</v>
      </c>
      <c r="H301" s="137"/>
      <c r="M301" s="2">
        <f t="shared" si="23"/>
        <v>5897.0843099999993</v>
      </c>
    </row>
    <row r="302" spans="1:13" s="2" customFormat="1" x14ac:dyDescent="0.3">
      <c r="A302" s="137">
        <v>2</v>
      </c>
      <c r="B302" s="137"/>
      <c r="C302" s="56" t="s">
        <v>133</v>
      </c>
      <c r="D302" s="58">
        <f>(45.97)*10.764</f>
        <v>494.82107999999994</v>
      </c>
      <c r="E302" s="16">
        <v>0</v>
      </c>
      <c r="F302" s="16">
        <f t="shared" si="26"/>
        <v>742.23161999999991</v>
      </c>
      <c r="G302" s="137"/>
      <c r="H302" s="137"/>
      <c r="M302" s="2">
        <f t="shared" si="23"/>
        <v>5890.7873699999991</v>
      </c>
    </row>
    <row r="303" spans="1:13" s="2" customFormat="1" x14ac:dyDescent="0.3">
      <c r="A303" s="137">
        <v>3</v>
      </c>
      <c r="B303" s="137"/>
      <c r="C303" s="56" t="s">
        <v>133</v>
      </c>
      <c r="D303" s="58">
        <f>(46.48)*10.764</f>
        <v>500.31071999999995</v>
      </c>
      <c r="E303" s="16">
        <v>0</v>
      </c>
      <c r="F303" s="16">
        <f t="shared" si="26"/>
        <v>750.46607999999992</v>
      </c>
      <c r="G303" s="137"/>
      <c r="H303" s="137"/>
      <c r="M303" s="2">
        <f t="shared" si="23"/>
        <v>0</v>
      </c>
    </row>
    <row r="304" spans="1:13" s="2" customFormat="1" x14ac:dyDescent="0.3">
      <c r="A304" s="137">
        <v>4</v>
      </c>
      <c r="B304" s="137"/>
      <c r="C304" s="56" t="s">
        <v>132</v>
      </c>
      <c r="D304" s="58">
        <f>(78.57)*10.764</f>
        <v>845.7274799999999</v>
      </c>
      <c r="E304" s="16">
        <v>0</v>
      </c>
      <c r="F304" s="16">
        <f t="shared" si="26"/>
        <v>1268.5912199999998</v>
      </c>
      <c r="G304" s="137"/>
      <c r="H304" s="137"/>
      <c r="M304" s="2">
        <f t="shared" si="23"/>
        <v>3812.7971699999998</v>
      </c>
    </row>
    <row r="305" spans="1:13" s="2" customFormat="1" ht="15.75" customHeight="1" x14ac:dyDescent="0.3">
      <c r="A305" s="137">
        <v>5</v>
      </c>
      <c r="B305" s="137"/>
      <c r="C305" s="56" t="s">
        <v>133</v>
      </c>
      <c r="D305" s="58">
        <f>(56.87)*10.764</f>
        <v>612.1486799999999</v>
      </c>
      <c r="E305" s="16">
        <v>0</v>
      </c>
      <c r="F305" s="16">
        <f t="shared" si="26"/>
        <v>918.22301999999991</v>
      </c>
      <c r="G305" s="137"/>
      <c r="H305" s="137"/>
      <c r="M305" s="2">
        <f t="shared" si="23"/>
        <v>0</v>
      </c>
    </row>
    <row r="306" spans="1:13" s="2" customFormat="1" ht="15.75" customHeight="1" x14ac:dyDescent="0.3">
      <c r="A306" s="137">
        <v>6</v>
      </c>
      <c r="B306" s="137"/>
      <c r="C306" s="56" t="s">
        <v>133</v>
      </c>
      <c r="D306" s="58">
        <f>(56.86)*10.764</f>
        <v>612.04103999999995</v>
      </c>
      <c r="E306" s="16">
        <v>0</v>
      </c>
      <c r="F306" s="16">
        <f t="shared" si="26"/>
        <v>918.06155999999987</v>
      </c>
      <c r="G306" s="137"/>
      <c r="H306" s="137"/>
      <c r="M306" s="2">
        <f t="shared" si="23"/>
        <v>0</v>
      </c>
    </row>
    <row r="307" spans="1:13" s="2" customFormat="1" x14ac:dyDescent="0.3">
      <c r="A307" s="137">
        <v>7</v>
      </c>
      <c r="B307" s="137"/>
      <c r="C307" s="56" t="s">
        <v>133</v>
      </c>
      <c r="D307" s="58">
        <f>(56.19)*10.764</f>
        <v>604.82915999999989</v>
      </c>
      <c r="E307" s="16">
        <v>0</v>
      </c>
      <c r="F307" s="16">
        <f t="shared" si="26"/>
        <v>907.24373999999989</v>
      </c>
      <c r="G307" s="137"/>
      <c r="H307" s="137"/>
      <c r="M307" s="2">
        <f t="shared" si="23"/>
        <v>8245.8429299999989</v>
      </c>
    </row>
    <row r="308" spans="1:13" s="2" customFormat="1" x14ac:dyDescent="0.3">
      <c r="A308" s="137">
        <v>8</v>
      </c>
      <c r="B308" s="137"/>
      <c r="C308" s="56" t="s">
        <v>133</v>
      </c>
      <c r="D308" s="58">
        <f>(56.13)*10.764</f>
        <v>604.18331999999998</v>
      </c>
      <c r="E308" s="16">
        <v>0</v>
      </c>
      <c r="F308" s="16">
        <f t="shared" si="26"/>
        <v>906.27497999999991</v>
      </c>
      <c r="G308" s="137"/>
      <c r="H308" s="137"/>
      <c r="M308" s="2">
        <f t="shared" si="23"/>
        <v>5968.4496299999992</v>
      </c>
    </row>
    <row r="309" spans="1:13" s="2" customFormat="1" x14ac:dyDescent="0.3">
      <c r="A309" s="88" t="s">
        <v>222</v>
      </c>
      <c r="B309" s="88"/>
      <c r="C309" s="88"/>
      <c r="D309" s="88"/>
      <c r="E309" s="88"/>
      <c r="F309" s="88"/>
      <c r="G309" s="88"/>
      <c r="H309" s="88"/>
      <c r="I309" s="2">
        <f>78.57*10.764</f>
        <v>845.7274799999999</v>
      </c>
      <c r="J309" s="2">
        <f>74.34*10.764</f>
        <v>800.19575999999995</v>
      </c>
      <c r="M309" s="2">
        <f t="shared" si="23"/>
        <v>5967.4001399999988</v>
      </c>
    </row>
    <row r="310" spans="1:13" s="2" customFormat="1" x14ac:dyDescent="0.3">
      <c r="A310" s="137">
        <v>1</v>
      </c>
      <c r="B310" s="137"/>
      <c r="C310" s="56" t="s">
        <v>135</v>
      </c>
      <c r="D310" s="58">
        <f>(36.33)*10.764</f>
        <v>391.05611999999996</v>
      </c>
      <c r="E310" s="16">
        <v>0</v>
      </c>
      <c r="F310" s="16">
        <f t="shared" si="26"/>
        <v>586.58417999999995</v>
      </c>
      <c r="G310" s="137" t="str">
        <f>A309</f>
        <v>10th, 17th, 24th &amp; 31st Floor (Part Refuge Area)</v>
      </c>
      <c r="H310" s="137"/>
      <c r="M310" s="2">
        <f t="shared" si="23"/>
        <v>5897.0843099999993</v>
      </c>
    </row>
    <row r="311" spans="1:13" s="2" customFormat="1" x14ac:dyDescent="0.3">
      <c r="A311" s="137">
        <v>2</v>
      </c>
      <c r="B311" s="137"/>
      <c r="C311" s="137" t="s">
        <v>134</v>
      </c>
      <c r="D311" s="137"/>
      <c r="E311" s="137"/>
      <c r="F311" s="137"/>
      <c r="G311" s="137"/>
      <c r="H311" s="137"/>
      <c r="M311" s="2">
        <f t="shared" si="23"/>
        <v>5890.7873699999991</v>
      </c>
    </row>
    <row r="312" spans="1:13" s="2" customFormat="1" x14ac:dyDescent="0.3">
      <c r="A312" s="137">
        <v>3</v>
      </c>
      <c r="B312" s="137"/>
      <c r="C312" s="137"/>
      <c r="D312" s="137"/>
      <c r="E312" s="137"/>
      <c r="F312" s="137"/>
      <c r="G312" s="137"/>
      <c r="H312" s="137"/>
      <c r="M312" s="2" t="e">
        <f>6.5*#REF!</f>
        <v>#REF!</v>
      </c>
    </row>
    <row r="313" spans="1:13" s="2" customFormat="1" x14ac:dyDescent="0.3">
      <c r="A313" s="137">
        <v>4</v>
      </c>
      <c r="B313" s="137"/>
      <c r="C313" s="56" t="s">
        <v>132</v>
      </c>
      <c r="D313" s="58">
        <f>(78.57)*10.764</f>
        <v>845.7274799999999</v>
      </c>
      <c r="E313" s="16">
        <v>0</v>
      </c>
      <c r="F313" s="16">
        <f t="shared" ref="F313:F317" si="27">D313*(($F$130)+1)+(IF(E313&lt;101,E313,IF(E313&lt;201,E313/2,IF(E313&lt;=301,E313/3,E313/4))))</f>
        <v>1268.5912199999998</v>
      </c>
      <c r="G313" s="137"/>
      <c r="H313" s="137"/>
      <c r="M313" s="2" t="e">
        <f>6.5*#REF!</f>
        <v>#REF!</v>
      </c>
    </row>
    <row r="314" spans="1:13" s="2" customFormat="1" ht="15.75" customHeight="1" x14ac:dyDescent="0.3">
      <c r="A314" s="137">
        <v>5</v>
      </c>
      <c r="B314" s="137"/>
      <c r="C314" s="56" t="s">
        <v>133</v>
      </c>
      <c r="D314" s="58">
        <f>(56.87)*10.764</f>
        <v>612.1486799999999</v>
      </c>
      <c r="E314" s="16">
        <v>0</v>
      </c>
      <c r="F314" s="16">
        <f t="shared" si="27"/>
        <v>918.22301999999991</v>
      </c>
      <c r="G314" s="137"/>
      <c r="H314" s="137"/>
      <c r="M314" s="2" t="e">
        <f>6.5*#REF!</f>
        <v>#REF!</v>
      </c>
    </row>
    <row r="315" spans="1:13" s="2" customFormat="1" ht="15.75" customHeight="1" x14ac:dyDescent="0.3">
      <c r="A315" s="137">
        <v>6</v>
      </c>
      <c r="B315" s="137"/>
      <c r="C315" s="56" t="s">
        <v>133</v>
      </c>
      <c r="D315" s="58">
        <f>(56.86)*10.764</f>
        <v>612.04103999999995</v>
      </c>
      <c r="E315" s="16">
        <v>0</v>
      </c>
      <c r="F315" s="16">
        <f t="shared" si="27"/>
        <v>918.06155999999987</v>
      </c>
      <c r="G315" s="137"/>
      <c r="H315" s="137"/>
      <c r="M315" s="2" t="e">
        <f>6.5*#REF!</f>
        <v>#REF!</v>
      </c>
    </row>
    <row r="316" spans="1:13" s="2" customFormat="1" x14ac:dyDescent="0.3">
      <c r="A316" s="137">
        <v>7</v>
      </c>
      <c r="B316" s="137"/>
      <c r="C316" s="56" t="s">
        <v>133</v>
      </c>
      <c r="D316" s="58">
        <f>(56.19)*10.764</f>
        <v>604.82915999999989</v>
      </c>
      <c r="E316" s="16">
        <v>0</v>
      </c>
      <c r="F316" s="16">
        <f t="shared" si="27"/>
        <v>907.24373999999989</v>
      </c>
      <c r="G316" s="137"/>
      <c r="H316" s="137"/>
      <c r="M316" s="2" t="e">
        <f>6.5*#REF!</f>
        <v>#REF!</v>
      </c>
    </row>
    <row r="317" spans="1:13" s="2" customFormat="1" x14ac:dyDescent="0.3">
      <c r="A317" s="137">
        <v>8</v>
      </c>
      <c r="B317" s="137"/>
      <c r="C317" s="56" t="s">
        <v>133</v>
      </c>
      <c r="D317" s="58">
        <f>(56.13)*10.764</f>
        <v>604.18331999999998</v>
      </c>
      <c r="E317" s="16">
        <v>0</v>
      </c>
      <c r="F317" s="16">
        <f t="shared" si="27"/>
        <v>906.27497999999991</v>
      </c>
      <c r="G317" s="137"/>
      <c r="H317" s="137"/>
      <c r="M317" s="2" t="e">
        <f>6.5*#REF!</f>
        <v>#REF!</v>
      </c>
    </row>
    <row r="318" spans="1:13" ht="15.75" customHeight="1" x14ac:dyDescent="0.3">
      <c r="A318" s="166" t="s">
        <v>73</v>
      </c>
      <c r="B318" s="166"/>
      <c r="C318" s="166"/>
      <c r="D318" s="166"/>
      <c r="E318" s="166"/>
      <c r="F318" s="166"/>
      <c r="G318" s="166"/>
      <c r="H318" s="166"/>
    </row>
    <row r="319" spans="1:13" ht="194.4" customHeight="1" x14ac:dyDescent="0.3">
      <c r="A319" s="167" t="s">
        <v>243</v>
      </c>
      <c r="B319" s="167"/>
      <c r="C319" s="167"/>
      <c r="D319" s="167"/>
      <c r="E319" s="167"/>
      <c r="F319" s="167"/>
      <c r="G319" s="167"/>
      <c r="H319" s="167"/>
    </row>
    <row r="320" spans="1:13" x14ac:dyDescent="0.3">
      <c r="A320" s="143" t="s">
        <v>64</v>
      </c>
      <c r="B320" s="143"/>
      <c r="C320" s="143"/>
      <c r="D320" s="143"/>
      <c r="E320" s="143"/>
      <c r="F320" s="143"/>
      <c r="G320" s="143"/>
      <c r="H320" s="143"/>
    </row>
    <row r="321" spans="1:8" x14ac:dyDescent="0.3">
      <c r="A321" s="101" t="s">
        <v>65</v>
      </c>
      <c r="B321" s="101"/>
      <c r="C321" s="101"/>
      <c r="D321" s="101"/>
      <c r="E321" s="101"/>
      <c r="F321" s="101"/>
      <c r="G321" s="101"/>
      <c r="H321" s="101"/>
    </row>
    <row r="322" spans="1:8" x14ac:dyDescent="0.3">
      <c r="A322" s="143" t="s">
        <v>66</v>
      </c>
      <c r="B322" s="143"/>
      <c r="C322" s="143"/>
      <c r="D322" s="143"/>
      <c r="E322" s="143"/>
      <c r="F322" s="143"/>
      <c r="G322" s="143"/>
      <c r="H322" s="143"/>
    </row>
    <row r="323" spans="1:8" x14ac:dyDescent="0.3">
      <c r="A323" s="101" t="s">
        <v>67</v>
      </c>
      <c r="B323" s="101"/>
      <c r="C323" s="101"/>
      <c r="D323" s="101"/>
      <c r="E323" s="101"/>
      <c r="F323" s="101"/>
      <c r="G323" s="101"/>
      <c r="H323" s="101"/>
    </row>
    <row r="324" spans="1:8" x14ac:dyDescent="0.3">
      <c r="A324" s="101" t="s">
        <v>68</v>
      </c>
      <c r="B324" s="101"/>
      <c r="C324" s="101"/>
      <c r="D324" s="101"/>
      <c r="E324" s="101"/>
      <c r="F324" s="101"/>
      <c r="G324" s="101"/>
      <c r="H324" s="101"/>
    </row>
    <row r="325" spans="1:8" x14ac:dyDescent="0.3">
      <c r="A325" s="101" t="s">
        <v>69</v>
      </c>
      <c r="B325" s="101"/>
      <c r="C325" s="101"/>
      <c r="D325" s="101"/>
      <c r="E325" s="101"/>
      <c r="F325" s="101"/>
      <c r="G325" s="101"/>
      <c r="H325" s="101"/>
    </row>
    <row r="326" spans="1:8" ht="32.4" customHeight="1" x14ac:dyDescent="0.3">
      <c r="A326" s="120" t="s">
        <v>70</v>
      </c>
      <c r="B326" s="120"/>
      <c r="C326" s="120"/>
      <c r="D326" s="120"/>
      <c r="E326" s="120"/>
      <c r="F326" s="120"/>
      <c r="G326" s="120"/>
      <c r="H326" s="120"/>
    </row>
    <row r="327" spans="1:8" x14ac:dyDescent="0.3">
      <c r="A327" s="136" t="s">
        <v>83</v>
      </c>
      <c r="B327" s="136"/>
      <c r="C327" s="136" t="s">
        <v>237</v>
      </c>
      <c r="D327" s="136"/>
      <c r="E327" s="136" t="s">
        <v>142</v>
      </c>
      <c r="F327" s="136"/>
      <c r="G327" s="136" t="s">
        <v>238</v>
      </c>
      <c r="H327" s="136"/>
    </row>
    <row r="328" spans="1:8" x14ac:dyDescent="0.3">
      <c r="A328" s="135" t="s">
        <v>85</v>
      </c>
      <c r="B328" s="135"/>
      <c r="C328" s="135"/>
      <c r="D328" s="135"/>
      <c r="E328" s="135"/>
      <c r="F328" s="135"/>
      <c r="G328" s="135"/>
      <c r="H328" s="135"/>
    </row>
    <row r="329" spans="1:8" x14ac:dyDescent="0.3">
      <c r="A329" s="135"/>
      <c r="B329" s="135"/>
      <c r="C329" s="135"/>
      <c r="D329" s="135"/>
      <c r="E329" s="135"/>
      <c r="F329" s="135"/>
      <c r="G329" s="135"/>
      <c r="H329" s="135"/>
    </row>
    <row r="330" spans="1:8" x14ac:dyDescent="0.3">
      <c r="A330" s="135"/>
      <c r="B330" s="135"/>
      <c r="C330" s="135"/>
      <c r="D330" s="135"/>
      <c r="E330" s="135"/>
      <c r="F330" s="135"/>
      <c r="G330" s="135"/>
      <c r="H330" s="135"/>
    </row>
    <row r="331" spans="1:8" ht="15" customHeight="1" x14ac:dyDescent="0.3">
      <c r="A331" s="135"/>
      <c r="B331" s="135"/>
      <c r="C331" s="135"/>
      <c r="D331" s="135"/>
      <c r="E331" s="135"/>
      <c r="F331" s="135"/>
      <c r="G331" s="135"/>
      <c r="H331" s="135"/>
    </row>
    <row r="332" spans="1:8" x14ac:dyDescent="0.3">
      <c r="A332" s="10" t="s">
        <v>71</v>
      </c>
      <c r="B332" s="11"/>
      <c r="C332" s="11"/>
      <c r="D332" s="10" t="str">
        <f>E8</f>
        <v>34 Park Estate</v>
      </c>
      <c r="F332" s="11"/>
      <c r="G332" s="11"/>
      <c r="H332" s="11"/>
    </row>
    <row r="333" spans="1:8" x14ac:dyDescent="0.3">
      <c r="A333" s="11"/>
      <c r="B333" s="11"/>
      <c r="C333" s="11"/>
      <c r="D333" s="11"/>
      <c r="E333" s="11"/>
      <c r="F333" s="11"/>
      <c r="G333" s="11"/>
      <c r="H333" s="11"/>
    </row>
    <row r="334" spans="1:8" x14ac:dyDescent="0.3">
      <c r="A334" s="11"/>
      <c r="B334" s="11"/>
      <c r="C334" s="11"/>
      <c r="D334" s="11"/>
      <c r="E334" s="11"/>
      <c r="F334" s="11"/>
      <c r="G334" s="11"/>
      <c r="H334" s="11"/>
    </row>
    <row r="375" spans="1:1" x14ac:dyDescent="0.3">
      <c r="A375" s="13" t="s">
        <v>188</v>
      </c>
    </row>
    <row r="418" spans="1:1" x14ac:dyDescent="0.3">
      <c r="A418" s="13" t="s">
        <v>72</v>
      </c>
    </row>
  </sheetData>
  <mergeCells count="477">
    <mergeCell ref="C34:H34"/>
    <mergeCell ref="D58:H58"/>
    <mergeCell ref="A57:C58"/>
    <mergeCell ref="A35:B35"/>
    <mergeCell ref="C35:H35"/>
    <mergeCell ref="C48:E48"/>
    <mergeCell ref="G48:H48"/>
    <mergeCell ref="C49:H49"/>
    <mergeCell ref="C47:H47"/>
    <mergeCell ref="C50:E50"/>
    <mergeCell ref="G50:H50"/>
    <mergeCell ref="A46:B51"/>
    <mergeCell ref="C51:H51"/>
    <mergeCell ref="A281:H281"/>
    <mergeCell ref="A282:H282"/>
    <mergeCell ref="A283:B283"/>
    <mergeCell ref="G283:H290"/>
    <mergeCell ref="A284:B284"/>
    <mergeCell ref="A285:B285"/>
    <mergeCell ref="A286:B286"/>
    <mergeCell ref="A287:B287"/>
    <mergeCell ref="A288:B288"/>
    <mergeCell ref="A289:B289"/>
    <mergeCell ref="A275:B275"/>
    <mergeCell ref="A276:B276"/>
    <mergeCell ref="A277:B277"/>
    <mergeCell ref="A269:H269"/>
    <mergeCell ref="A251:H251"/>
    <mergeCell ref="A252:B252"/>
    <mergeCell ref="G252:H259"/>
    <mergeCell ref="A278:H278"/>
    <mergeCell ref="A279:H279"/>
    <mergeCell ref="A253:B253"/>
    <mergeCell ref="A254:B254"/>
    <mergeCell ref="A255:B255"/>
    <mergeCell ref="A256:B256"/>
    <mergeCell ref="A257:B257"/>
    <mergeCell ref="A258:B258"/>
    <mergeCell ref="A259:B259"/>
    <mergeCell ref="A260:H260"/>
    <mergeCell ref="A261:B261"/>
    <mergeCell ref="G261:H268"/>
    <mergeCell ref="A262:B262"/>
    <mergeCell ref="A263:B263"/>
    <mergeCell ref="A264:B264"/>
    <mergeCell ref="A265:B265"/>
    <mergeCell ref="A266:B266"/>
    <mergeCell ref="A309:H309"/>
    <mergeCell ref="A310:B310"/>
    <mergeCell ref="G310:H317"/>
    <mergeCell ref="A311:B311"/>
    <mergeCell ref="A312:B312"/>
    <mergeCell ref="A313:B313"/>
    <mergeCell ref="A314:B314"/>
    <mergeCell ref="A315:B315"/>
    <mergeCell ref="A316:B316"/>
    <mergeCell ref="A317:B317"/>
    <mergeCell ref="C311:F312"/>
    <mergeCell ref="A79:B79"/>
    <mergeCell ref="C79:H79"/>
    <mergeCell ref="A300:H300"/>
    <mergeCell ref="A291:H291"/>
    <mergeCell ref="A292:B292"/>
    <mergeCell ref="G292:H299"/>
    <mergeCell ref="A293:B293"/>
    <mergeCell ref="A294:B294"/>
    <mergeCell ref="A295:B295"/>
    <mergeCell ref="A296:B296"/>
    <mergeCell ref="A297:B297"/>
    <mergeCell ref="A298:B298"/>
    <mergeCell ref="A299:B299"/>
    <mergeCell ref="A290:B290"/>
    <mergeCell ref="C283:F284"/>
    <mergeCell ref="A270:B270"/>
    <mergeCell ref="C270:F271"/>
    <mergeCell ref="G270:H277"/>
    <mergeCell ref="A271:B271"/>
    <mergeCell ref="A272:B272"/>
    <mergeCell ref="A273:B273"/>
    <mergeCell ref="A124:B124"/>
    <mergeCell ref="D124:E124"/>
    <mergeCell ref="A274:B274"/>
    <mergeCell ref="A301:B301"/>
    <mergeCell ref="G301:H308"/>
    <mergeCell ref="A302:B302"/>
    <mergeCell ref="A303:B303"/>
    <mergeCell ref="A304:B304"/>
    <mergeCell ref="A305:B305"/>
    <mergeCell ref="A306:B306"/>
    <mergeCell ref="A307:B307"/>
    <mergeCell ref="A308:B308"/>
    <mergeCell ref="A267:B267"/>
    <mergeCell ref="A268:B268"/>
    <mergeCell ref="C261:F262"/>
    <mergeCell ref="A242:H242"/>
    <mergeCell ref="A243:B243"/>
    <mergeCell ref="G243:H250"/>
    <mergeCell ref="A244:B244"/>
    <mergeCell ref="A245:B245"/>
    <mergeCell ref="A246:B246"/>
    <mergeCell ref="A247:B247"/>
    <mergeCell ref="A248:B248"/>
    <mergeCell ref="A249:B249"/>
    <mergeCell ref="A250:B250"/>
    <mergeCell ref="C243:F243"/>
    <mergeCell ref="C244:F245"/>
    <mergeCell ref="C246:F246"/>
    <mergeCell ref="A234:B234"/>
    <mergeCell ref="A235:B235"/>
    <mergeCell ref="A236:B236"/>
    <mergeCell ref="A237:B237"/>
    <mergeCell ref="A238:B238"/>
    <mergeCell ref="A240:B240"/>
    <mergeCell ref="A241:B241"/>
    <mergeCell ref="G234:H241"/>
    <mergeCell ref="C234:F237"/>
    <mergeCell ref="A239:B239"/>
    <mergeCell ref="A210:B210"/>
    <mergeCell ref="A211:B211"/>
    <mergeCell ref="A229:H229"/>
    <mergeCell ref="A230:H230"/>
    <mergeCell ref="A191:B191"/>
    <mergeCell ref="A192:B192"/>
    <mergeCell ref="A185:B185"/>
    <mergeCell ref="G185:H198"/>
    <mergeCell ref="A190:B190"/>
    <mergeCell ref="A194:B194"/>
    <mergeCell ref="A227:B227"/>
    <mergeCell ref="A228:B228"/>
    <mergeCell ref="A232:H232"/>
    <mergeCell ref="A161:B161"/>
    <mergeCell ref="A162:B162"/>
    <mergeCell ref="A163:B163"/>
    <mergeCell ref="A164:B164"/>
    <mergeCell ref="A159:B159"/>
    <mergeCell ref="A167:B167"/>
    <mergeCell ref="A169:H169"/>
    <mergeCell ref="G170:H183"/>
    <mergeCell ref="A173:B173"/>
    <mergeCell ref="A174:B174"/>
    <mergeCell ref="A183:B183"/>
    <mergeCell ref="A172:B172"/>
    <mergeCell ref="G155:H168"/>
    <mergeCell ref="A179:B179"/>
    <mergeCell ref="A182:B182"/>
    <mergeCell ref="A165:B165"/>
    <mergeCell ref="A166:B166"/>
    <mergeCell ref="A168:B168"/>
    <mergeCell ref="A160:B160"/>
    <mergeCell ref="A186:B186"/>
    <mergeCell ref="A175:B175"/>
    <mergeCell ref="C175:F175"/>
    <mergeCell ref="C172:F174"/>
    <mergeCell ref="A323:H323"/>
    <mergeCell ref="A324:H324"/>
    <mergeCell ref="A212:B212"/>
    <mergeCell ref="A213:B213"/>
    <mergeCell ref="C202:F204"/>
    <mergeCell ref="A199:H199"/>
    <mergeCell ref="A198:B198"/>
    <mergeCell ref="A214:H214"/>
    <mergeCell ref="A215:B215"/>
    <mergeCell ref="G215:H228"/>
    <mergeCell ref="A216:B216"/>
    <mergeCell ref="A217:B217"/>
    <mergeCell ref="A218:B218"/>
    <mergeCell ref="A219:B219"/>
    <mergeCell ref="A220:B220"/>
    <mergeCell ref="A221:B221"/>
    <mergeCell ref="A222:B222"/>
    <mergeCell ref="C217:F218"/>
    <mergeCell ref="A207:B207"/>
    <mergeCell ref="A208:B208"/>
    <mergeCell ref="A209:B209"/>
    <mergeCell ref="A231:H231"/>
    <mergeCell ref="A318:H318"/>
    <mergeCell ref="A319:H319"/>
    <mergeCell ref="E129:E130"/>
    <mergeCell ref="G129:H130"/>
    <mergeCell ref="A325:H325"/>
    <mergeCell ref="A326:H326"/>
    <mergeCell ref="A196:B196"/>
    <mergeCell ref="A193:B193"/>
    <mergeCell ref="A176:B176"/>
    <mergeCell ref="A177:B177"/>
    <mergeCell ref="A178:B178"/>
    <mergeCell ref="A180:B180"/>
    <mergeCell ref="A181:B181"/>
    <mergeCell ref="A200:B200"/>
    <mergeCell ref="G200:H213"/>
    <mergeCell ref="A201:B201"/>
    <mergeCell ref="A202:B202"/>
    <mergeCell ref="A203:B203"/>
    <mergeCell ref="A204:B204"/>
    <mergeCell ref="A205:B205"/>
    <mergeCell ref="A206:B206"/>
    <mergeCell ref="A187:B187"/>
    <mergeCell ref="A223:B223"/>
    <mergeCell ref="A224:B224"/>
    <mergeCell ref="A225:B225"/>
    <mergeCell ref="A226:B226"/>
    <mergeCell ref="A320:H320"/>
    <mergeCell ref="A321:H321"/>
    <mergeCell ref="A170:B170"/>
    <mergeCell ref="A171:B171"/>
    <mergeCell ref="A188:B188"/>
    <mergeCell ref="A189:B189"/>
    <mergeCell ref="A121:B121"/>
    <mergeCell ref="D121:E121"/>
    <mergeCell ref="A150:H150"/>
    <mergeCell ref="A151:H151"/>
    <mergeCell ref="G137:H139"/>
    <mergeCell ref="A132:H132"/>
    <mergeCell ref="A133:H133"/>
    <mergeCell ref="A134:H134"/>
    <mergeCell ref="A135:H135"/>
    <mergeCell ref="F124:H124"/>
    <mergeCell ref="A125:B125"/>
    <mergeCell ref="D125:E125"/>
    <mergeCell ref="F125:H125"/>
    <mergeCell ref="A129:B130"/>
    <mergeCell ref="C129:C130"/>
    <mergeCell ref="D129:D130"/>
    <mergeCell ref="A152:H152"/>
    <mergeCell ref="A154:H154"/>
    <mergeCell ref="C159:F160"/>
    <mergeCell ref="A197:B197"/>
    <mergeCell ref="A137:B137"/>
    <mergeCell ref="A138:B138"/>
    <mergeCell ref="A139:B139"/>
    <mergeCell ref="A141:B141"/>
    <mergeCell ref="A148:B148"/>
    <mergeCell ref="A149:B149"/>
    <mergeCell ref="A155:B155"/>
    <mergeCell ref="A156:B156"/>
    <mergeCell ref="A157:B157"/>
    <mergeCell ref="A158:B158"/>
    <mergeCell ref="A195:B195"/>
    <mergeCell ref="A184:H184"/>
    <mergeCell ref="A15:B15"/>
    <mergeCell ref="C15:D15"/>
    <mergeCell ref="E15:F15"/>
    <mergeCell ref="G15:H15"/>
    <mergeCell ref="A22:D22"/>
    <mergeCell ref="A23:D23"/>
    <mergeCell ref="E23:H23"/>
    <mergeCell ref="E22:H22"/>
    <mergeCell ref="A24:D24"/>
    <mergeCell ref="E24:H24"/>
    <mergeCell ref="A21:D21"/>
    <mergeCell ref="E21:H21"/>
    <mergeCell ref="A17:B17"/>
    <mergeCell ref="C17:D17"/>
    <mergeCell ref="E17:F17"/>
    <mergeCell ref="G17:H17"/>
    <mergeCell ref="A18:B18"/>
    <mergeCell ref="C18:D18"/>
    <mergeCell ref="E18:F18"/>
    <mergeCell ref="G18:H18"/>
    <mergeCell ref="A19:D19"/>
    <mergeCell ref="E19:H19"/>
    <mergeCell ref="A20:D20"/>
    <mergeCell ref="E20:H20"/>
    <mergeCell ref="A10:D10"/>
    <mergeCell ref="E10:H10"/>
    <mergeCell ref="A5:D5"/>
    <mergeCell ref="E5:H5"/>
    <mergeCell ref="A6:D6"/>
    <mergeCell ref="E6:H6"/>
    <mergeCell ref="A7:D7"/>
    <mergeCell ref="E7:H7"/>
    <mergeCell ref="A14:B14"/>
    <mergeCell ref="A11:D11"/>
    <mergeCell ref="E11:H11"/>
    <mergeCell ref="A12:D12"/>
    <mergeCell ref="A13:B13"/>
    <mergeCell ref="C13:H13"/>
    <mergeCell ref="C14:H14"/>
    <mergeCell ref="E12:F12"/>
    <mergeCell ref="G12:H12"/>
    <mergeCell ref="A1:H1"/>
    <mergeCell ref="A2:H2"/>
    <mergeCell ref="A3:D3"/>
    <mergeCell ref="E3:H3"/>
    <mergeCell ref="A4:D4"/>
    <mergeCell ref="A8:D8"/>
    <mergeCell ref="E8:H8"/>
    <mergeCell ref="A9:D9"/>
    <mergeCell ref="E9:H9"/>
    <mergeCell ref="E4:H4"/>
    <mergeCell ref="A16:B16"/>
    <mergeCell ref="C16:D16"/>
    <mergeCell ref="E16:F16"/>
    <mergeCell ref="G16:H16"/>
    <mergeCell ref="A25:D25"/>
    <mergeCell ref="E25:H25"/>
    <mergeCell ref="A38:D38"/>
    <mergeCell ref="E38:H38"/>
    <mergeCell ref="A26:D26"/>
    <mergeCell ref="E26:H26"/>
    <mergeCell ref="A33:H33"/>
    <mergeCell ref="A32:B32"/>
    <mergeCell ref="A27:D27"/>
    <mergeCell ref="E27:H27"/>
    <mergeCell ref="A36:H36"/>
    <mergeCell ref="A37:D37"/>
    <mergeCell ref="E37:H37"/>
    <mergeCell ref="F29:H29"/>
    <mergeCell ref="F30:H30"/>
    <mergeCell ref="C28:E28"/>
    <mergeCell ref="F31:H31"/>
    <mergeCell ref="F32:H32"/>
    <mergeCell ref="F28:H28"/>
    <mergeCell ref="A29:B29"/>
    <mergeCell ref="A328:H331"/>
    <mergeCell ref="A327:B327"/>
    <mergeCell ref="E327:F327"/>
    <mergeCell ref="C327:D327"/>
    <mergeCell ref="G327:H327"/>
    <mergeCell ref="A118:E118"/>
    <mergeCell ref="F118:H118"/>
    <mergeCell ref="A119:E119"/>
    <mergeCell ref="F119:H119"/>
    <mergeCell ref="D122:E122"/>
    <mergeCell ref="F122:H122"/>
    <mergeCell ref="A131:H131"/>
    <mergeCell ref="A122:B122"/>
    <mergeCell ref="A142:B142"/>
    <mergeCell ref="A143:B143"/>
    <mergeCell ref="A140:H140"/>
    <mergeCell ref="A147:B147"/>
    <mergeCell ref="A144:B144"/>
    <mergeCell ref="A146:B146"/>
    <mergeCell ref="G141:H144"/>
    <mergeCell ref="A145:H145"/>
    <mergeCell ref="G146:H149"/>
    <mergeCell ref="C146:F146"/>
    <mergeCell ref="A322:H322"/>
    <mergeCell ref="C29:E29"/>
    <mergeCell ref="A30:B30"/>
    <mergeCell ref="C30:E30"/>
    <mergeCell ref="A31:B31"/>
    <mergeCell ref="C31:E31"/>
    <mergeCell ref="C32:E32"/>
    <mergeCell ref="A28:B28"/>
    <mergeCell ref="A62:C62"/>
    <mergeCell ref="D62:H62"/>
    <mergeCell ref="A34:B34"/>
    <mergeCell ref="D56:H56"/>
    <mergeCell ref="A56:C56"/>
    <mergeCell ref="D57:H57"/>
    <mergeCell ref="A55:C55"/>
    <mergeCell ref="D55:H55"/>
    <mergeCell ref="D54:H54"/>
    <mergeCell ref="G44:H44"/>
    <mergeCell ref="G45:H45"/>
    <mergeCell ref="C45:E45"/>
    <mergeCell ref="C46:E46"/>
    <mergeCell ref="A44:B44"/>
    <mergeCell ref="C44:E44"/>
    <mergeCell ref="A39:D39"/>
    <mergeCell ref="G46:H46"/>
    <mergeCell ref="A111:E111"/>
    <mergeCell ref="F111:H111"/>
    <mergeCell ref="E39:H39"/>
    <mergeCell ref="E40:H40"/>
    <mergeCell ref="E41:H41"/>
    <mergeCell ref="E42:H42"/>
    <mergeCell ref="A40:D40"/>
    <mergeCell ref="A41:D41"/>
    <mergeCell ref="A42:D42"/>
    <mergeCell ref="A43:H43"/>
    <mergeCell ref="A45:B45"/>
    <mergeCell ref="A53:H53"/>
    <mergeCell ref="A54:C54"/>
    <mergeCell ref="A60:C60"/>
    <mergeCell ref="D59:H59"/>
    <mergeCell ref="D60:H60"/>
    <mergeCell ref="A61:C61"/>
    <mergeCell ref="D61:H61"/>
    <mergeCell ref="G52:H52"/>
    <mergeCell ref="A52:B52"/>
    <mergeCell ref="C52:E52"/>
    <mergeCell ref="A81:B81"/>
    <mergeCell ref="A77:B77"/>
    <mergeCell ref="C77:H77"/>
    <mergeCell ref="A127:H127"/>
    <mergeCell ref="E81:F90"/>
    <mergeCell ref="G81:H90"/>
    <mergeCell ref="A82:B82"/>
    <mergeCell ref="A83:B83"/>
    <mergeCell ref="A84:B84"/>
    <mergeCell ref="A85:B85"/>
    <mergeCell ref="A86:B86"/>
    <mergeCell ref="A87:B87"/>
    <mergeCell ref="A88:B88"/>
    <mergeCell ref="A89:B89"/>
    <mergeCell ref="A90:B90"/>
    <mergeCell ref="A115:E115"/>
    <mergeCell ref="F115:H115"/>
    <mergeCell ref="A116:E116"/>
    <mergeCell ref="F116:H116"/>
    <mergeCell ref="A112:E112"/>
    <mergeCell ref="F112:H112"/>
    <mergeCell ref="A113:E113"/>
    <mergeCell ref="F113:H113"/>
    <mergeCell ref="A114:E114"/>
    <mergeCell ref="F114:H114"/>
    <mergeCell ref="A110:E110"/>
    <mergeCell ref="F110:H110"/>
    <mergeCell ref="A74:B74"/>
    <mergeCell ref="A75:B75"/>
    <mergeCell ref="A76:B76"/>
    <mergeCell ref="A120:H120"/>
    <mergeCell ref="A105:H105"/>
    <mergeCell ref="A108:H108"/>
    <mergeCell ref="A59:C59"/>
    <mergeCell ref="A128:H128"/>
    <mergeCell ref="A80:B80"/>
    <mergeCell ref="E80:F80"/>
    <mergeCell ref="G80:H80"/>
    <mergeCell ref="A126:B126"/>
    <mergeCell ref="D126:E126"/>
    <mergeCell ref="F126:H126"/>
    <mergeCell ref="A123:B123"/>
    <mergeCell ref="D123:E123"/>
    <mergeCell ref="F123:H123"/>
    <mergeCell ref="A109:E109"/>
    <mergeCell ref="F109:H109"/>
    <mergeCell ref="A106:H106"/>
    <mergeCell ref="A107:B107"/>
    <mergeCell ref="A117:E117"/>
    <mergeCell ref="F117:H117"/>
    <mergeCell ref="F121:H121"/>
    <mergeCell ref="C107:E107"/>
    <mergeCell ref="F107:H107"/>
    <mergeCell ref="A136:H136"/>
    <mergeCell ref="A153:H153"/>
    <mergeCell ref="A233:H233"/>
    <mergeCell ref="A280:H280"/>
    <mergeCell ref="C292:F292"/>
    <mergeCell ref="C293:F294"/>
    <mergeCell ref="A63:B63"/>
    <mergeCell ref="C63:H63"/>
    <mergeCell ref="A65:B65"/>
    <mergeCell ref="C65:H65"/>
    <mergeCell ref="A66:B66"/>
    <mergeCell ref="E66:F66"/>
    <mergeCell ref="G66:H66"/>
    <mergeCell ref="A67:B67"/>
    <mergeCell ref="E67:F76"/>
    <mergeCell ref="G67:H76"/>
    <mergeCell ref="A68:B68"/>
    <mergeCell ref="A69:B69"/>
    <mergeCell ref="A70:B70"/>
    <mergeCell ref="A71:B71"/>
    <mergeCell ref="A72:B72"/>
    <mergeCell ref="A73:B73"/>
    <mergeCell ref="A91:B91"/>
    <mergeCell ref="C91:H91"/>
    <mergeCell ref="A93:B93"/>
    <mergeCell ref="C93:H93"/>
    <mergeCell ref="A94:B94"/>
    <mergeCell ref="E94:F94"/>
    <mergeCell ref="G94:H94"/>
    <mergeCell ref="A95:B95"/>
    <mergeCell ref="E95:F104"/>
    <mergeCell ref="G95:H104"/>
    <mergeCell ref="A96:B96"/>
    <mergeCell ref="A97:B97"/>
    <mergeCell ref="A98:B98"/>
    <mergeCell ref="A99:B99"/>
    <mergeCell ref="A100:B100"/>
    <mergeCell ref="A101:B101"/>
    <mergeCell ref="A102:B102"/>
    <mergeCell ref="A103:B103"/>
    <mergeCell ref="A104:B104"/>
  </mergeCells>
  <dataValidations disablePrompts="1" count="1">
    <dataValidation type="list" allowBlank="1" showInputMessage="1" showErrorMessage="1" sqref="F130" xr:uid="{00000000-0002-0000-0000-000000000000}">
      <formula1>".45,.50,.55,.60"</formula1>
    </dataValidation>
  </dataValidations>
  <hyperlinks>
    <hyperlink ref="C35" r:id="rId1" xr:uid="{00000000-0004-0000-0000-000000000000}"/>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3" manualBreakCount="3">
    <brk id="331" max="7" man="1"/>
    <brk id="374" max="7" man="1"/>
    <brk id="417" max="7" man="1"/>
  </rowBreaks>
  <ignoredErrors>
    <ignoredError sqref="B231:H231 B124 B128:H128 B125 B132:H132 B131:H131 A141:B144 B140:H140 B152:H152 B145:H145 A158:B158 B154:H154 A173:H174 A170:B170 E170 A239:B241 A238:B238 E238 A253:B253 A250:B250 E250 A262:H262 B260:H260 A261:B261 D261:H261 A265:B265 A263:B263 E263 A268:B268 A266:B266 E266 A245:H245 B242:H242 A248:B249 A246:B246 D246:H246 A256:B256 A254:B254 E254 A258:B259 A257:B257 E257 A264:B264 E264 B281:H281 A272:B272 E272 B251:H251 A247:B247 E247 A252:B252 E252 B300:H300 A294:B294 G294:H294 A295:B295 G295:H295 A288:B288 A286:B286 E286 A285:B285 E285 A287:B287 E287 A293:B293 A289:B289 E289 A302:B302 E302 A303:B303 E303 E288 A290:B290 E290 B291:H291 A297:B299 E296:E299 A304:B307 E308 A301:B301 E301 A296:B296 A139:B139 A137:B137 A235:H235 A234:B234 D234:F234 A160:H160 A159:B159 D159:H159 A126:B126 E126 B308 B169:H169 A202:H204 B199:H199 A217:H218 B214:H214 A270:H271 B269:H269 A284:H284 B282:H282 B232:H232 B135:H135 B133:H133 A146:B146 D146:H146 B184:H184 A175:B175 D175:H175 A243:B243 D243:H243 A292:B292 G292:H292 A283:B283 D283:H283 G126:H126 B127:H127 C129:E129 A138:B138 G141:H144 A148:B148 G147:H149 A155:B157 G155:H157 G158:H158 A165:B168 A162:B164 G161:H164 G165:H168 A171:B171 G171:H171 G170:H170 A176:B177 G176:H177 A178:B183 G178:H183 A188:B188 A186:B187 G185:H187 G188:H198 A200:B200 G200:H200 A201:B201 G201:H201 A207:B213 A205:B206 G205:H206 G207:H213 A216:B216 G215:H216 B230:H230 A219:B220 G219:H220 A221:B228 G221:H228 G238:H238 G239:H241 G250:H250 G248:H249 G247:H247 G253:H253 A255:B255 G255:H255 G254:H254 G252:H252 G256:H256 G258:H259 G257:H257 G265:H265 G263:H263 G266:H266 G264:H264 A267:B267 G267:H267 G268:H268 G272:H272 A273:B277 G273:H277 G286:H286 G285:H285 G287:H287 G289:H289 G288:H288 G290:H290 G296:H299 G302:H302 G303:H303 E304:E305 G304:H305 G301:H301 E306 G306:H306 E307 G307:H307 G308:H308 B134:H134 E137 E141:E144 A149:B149 E149 A147:B147 E147 E148 B150:H150 B151:H151 E158 E155:E157 A161:B161 E161 E165:E168 E162:E164 A172:B172 D172:H172 E171 E176:E177 E178:E183 A190:B198 A189:B189 A185:B185 E185 E188 E186:E187 E190:E198 E200 E201 E207 E205:E206 E209:E213 A215:B215 E215 E216 E219:E220 E221:E228 B229:H229 A237:H237 B236:H236 E239:E241 A244:B244 D244:H244 E248:E249 E256 E253 E258:E259 E255 E268 E273:E277 B278:H278 B279:H279 G293:H293 B122 B123 H234" unlockedFormula="1"/>
  </ignoredError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
  <sheetViews>
    <sheetView workbookViewId="0">
      <selection activeCell="D17" sqref="D17"/>
    </sheetView>
  </sheetViews>
  <sheetFormatPr defaultRowHeight="14.4" x14ac:dyDescent="0.3"/>
  <sheetData>
    <row r="2" spans="1:1" x14ac:dyDescent="0.3">
      <c r="A2" t="s">
        <v>113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
  <sheetViews>
    <sheetView workbookViewId="0">
      <selection activeCell="G4" sqref="G4"/>
    </sheetView>
  </sheetViews>
  <sheetFormatPr defaultRowHeight="14.4" x14ac:dyDescent="0.3"/>
  <cols>
    <col min="2" max="2" width="20.5546875" customWidth="1"/>
    <col min="3" max="3" width="49.109375" customWidth="1"/>
    <col min="8" max="8" width="23.33203125" customWidth="1"/>
  </cols>
  <sheetData>
    <row r="1" spans="1:9" x14ac:dyDescent="0.3">
      <c r="A1" s="22"/>
      <c r="B1" s="22"/>
      <c r="C1" s="22"/>
      <c r="D1" s="22"/>
      <c r="E1" s="22"/>
      <c r="F1" s="22"/>
      <c r="G1" s="22"/>
      <c r="H1" s="22"/>
    </row>
    <row r="2" spans="1:9" x14ac:dyDescent="0.3">
      <c r="A2" s="23"/>
      <c r="B2" s="23"/>
      <c r="C2" s="23"/>
      <c r="D2" s="23"/>
      <c r="E2" s="23"/>
      <c r="F2" s="23"/>
      <c r="G2" s="23"/>
      <c r="H2" s="23"/>
    </row>
    <row r="3" spans="1:9" x14ac:dyDescent="0.3">
      <c r="A3" s="23"/>
      <c r="B3" s="188" t="s">
        <v>143</v>
      </c>
      <c r="C3" s="188"/>
      <c r="D3" s="188"/>
      <c r="E3" s="188"/>
      <c r="F3" s="188"/>
      <c r="G3" s="188"/>
      <c r="H3" s="188"/>
    </row>
    <row r="4" spans="1:9" ht="28.8" x14ac:dyDescent="0.3">
      <c r="A4" s="23"/>
      <c r="B4" s="24" t="s">
        <v>144</v>
      </c>
      <c r="C4" s="24" t="s">
        <v>145</v>
      </c>
      <c r="D4" s="24" t="s">
        <v>146</v>
      </c>
      <c r="E4" s="24" t="s">
        <v>147</v>
      </c>
      <c r="F4" s="24" t="s">
        <v>148</v>
      </c>
      <c r="G4" s="24" t="s">
        <v>149</v>
      </c>
      <c r="H4" s="24" t="s">
        <v>150</v>
      </c>
    </row>
    <row r="5" spans="1:9" x14ac:dyDescent="0.3">
      <c r="A5" s="23"/>
      <c r="B5" s="26" t="s">
        <v>151</v>
      </c>
      <c r="C5" s="27" t="s">
        <v>116</v>
      </c>
      <c r="D5" s="26" t="s">
        <v>135</v>
      </c>
      <c r="E5" s="26">
        <v>391</v>
      </c>
      <c r="F5" s="28">
        <f>E5*1.5</f>
        <v>586.5</v>
      </c>
      <c r="G5" s="28">
        <f>H5/F5</f>
        <v>15174.765558397272</v>
      </c>
      <c r="H5" s="29">
        <v>8900000</v>
      </c>
    </row>
    <row r="6" spans="1:9" x14ac:dyDescent="0.3">
      <c r="A6" s="23"/>
      <c r="B6" s="26" t="s">
        <v>151</v>
      </c>
      <c r="C6" s="27" t="s">
        <v>116</v>
      </c>
      <c r="D6" s="26" t="s">
        <v>133</v>
      </c>
      <c r="E6" s="26">
        <v>600</v>
      </c>
      <c r="F6" s="28">
        <f t="shared" ref="F6:F9" si="0">E6*1.5</f>
        <v>900</v>
      </c>
      <c r="G6" s="28">
        <f t="shared" ref="G6:G9" si="1">H6/F6</f>
        <v>14777.777777777777</v>
      </c>
      <c r="H6" s="29">
        <v>13300000</v>
      </c>
    </row>
    <row r="7" spans="1:9" x14ac:dyDescent="0.3">
      <c r="A7" s="23"/>
      <c r="B7" s="26" t="s">
        <v>151</v>
      </c>
      <c r="C7" s="27" t="s">
        <v>116</v>
      </c>
      <c r="D7" s="26" t="s">
        <v>132</v>
      </c>
      <c r="E7" s="26">
        <v>819.89</v>
      </c>
      <c r="F7" s="28">
        <f t="shared" si="0"/>
        <v>1229.835</v>
      </c>
      <c r="G7" s="28">
        <f t="shared" si="1"/>
        <v>14636.109722035882</v>
      </c>
      <c r="H7" s="29">
        <v>18000000</v>
      </c>
    </row>
    <row r="8" spans="1:9" x14ac:dyDescent="0.3">
      <c r="A8" s="23"/>
      <c r="B8" s="26" t="s">
        <v>154</v>
      </c>
      <c r="C8" s="27" t="s">
        <v>116</v>
      </c>
      <c r="D8" s="26" t="s">
        <v>133</v>
      </c>
      <c r="E8" s="26">
        <v>600</v>
      </c>
      <c r="F8" s="28">
        <f>E8*1.5</f>
        <v>900</v>
      </c>
      <c r="G8" s="28">
        <f t="shared" si="1"/>
        <v>15444.444444444445</v>
      </c>
      <c r="H8" s="29">
        <v>13900000</v>
      </c>
    </row>
    <row r="9" spans="1:9" x14ac:dyDescent="0.3">
      <c r="A9" s="23"/>
      <c r="B9" s="26" t="s">
        <v>154</v>
      </c>
      <c r="C9" s="27" t="s">
        <v>116</v>
      </c>
      <c r="D9" s="26" t="s">
        <v>135</v>
      </c>
      <c r="E9" s="26">
        <v>391</v>
      </c>
      <c r="F9" s="28">
        <f t="shared" si="0"/>
        <v>586.5</v>
      </c>
      <c r="G9" s="28">
        <f t="shared" si="1"/>
        <v>14748.508098891731</v>
      </c>
      <c r="H9" s="29">
        <v>8650000</v>
      </c>
    </row>
    <row r="10" spans="1:9" x14ac:dyDescent="0.3">
      <c r="A10" s="23"/>
      <c r="B10" s="30" t="s">
        <v>152</v>
      </c>
      <c r="C10" s="26"/>
      <c r="D10" s="26"/>
      <c r="E10" s="26"/>
      <c r="F10" s="26"/>
      <c r="G10" s="31">
        <f>AVERAGE(G5:G9)</f>
        <v>14956.32112030942</v>
      </c>
      <c r="H10" s="26"/>
    </row>
    <row r="11" spans="1:9" x14ac:dyDescent="0.3">
      <c r="A11" s="22"/>
      <c r="B11" s="30" t="s">
        <v>153</v>
      </c>
      <c r="C11" s="26"/>
      <c r="D11" s="26"/>
      <c r="E11" s="26"/>
      <c r="F11" s="32"/>
      <c r="G11" s="30">
        <v>15000</v>
      </c>
      <c r="H11" s="30"/>
      <c r="I11" s="25"/>
    </row>
    <row r="12" spans="1:9" x14ac:dyDescent="0.3">
      <c r="B12" s="22"/>
      <c r="C12" s="22"/>
      <c r="D12" s="22"/>
      <c r="E12" s="22"/>
    </row>
    <row r="13" spans="1:9" x14ac:dyDescent="0.3">
      <c r="B13" s="22"/>
      <c r="C13" s="22"/>
      <c r="D13" s="22"/>
      <c r="E13" s="22"/>
    </row>
    <row r="14" spans="1:9" x14ac:dyDescent="0.3">
      <c r="B14" s="22"/>
      <c r="C14" s="22"/>
      <c r="D14" s="22"/>
      <c r="E14" s="22"/>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Note</vt:lpstr>
      <vt:lpstr>VALUATION</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2025-08-13T08:01:19Z</cp:lastPrinted>
  <dcterms:created xsi:type="dcterms:W3CDTF">2019-07-16T09:29:46Z</dcterms:created>
  <dcterms:modified xsi:type="dcterms:W3CDTF">2025-09-10T09:33:36Z</dcterms:modified>
</cp:coreProperties>
</file>