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SJ Work\Aug 25\YesB\17551 - Vidhata Empire\"/>
    </mc:Choice>
  </mc:AlternateContent>
  <xr:revisionPtr revIDLastSave="0" documentId="13_ncr:1_{2D3845F4-E763-476D-A668-9266E0F9DF03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Report" sheetId="15" r:id="rId1"/>
    <sheet name="Sheet1" sheetId="24" r:id="rId2"/>
    <sheet name="Valuation" sheetId="23" r:id="rId3"/>
  </sheets>
  <definedNames>
    <definedName name="_xlnm.Print_Area" localSheetId="0">Report!$A$1:$H$399</definedName>
  </definedNames>
  <calcPr calcId="191029"/>
</workbook>
</file>

<file path=xl/calcChain.xml><?xml version="1.0" encoding="utf-8"?>
<calcChain xmlns="http://schemas.openxmlformats.org/spreadsheetml/2006/main">
  <c r="G114" i="15" l="1"/>
  <c r="E114" i="15"/>
  <c r="C114" i="15"/>
  <c r="G113" i="15"/>
  <c r="E113" i="15"/>
  <c r="C113" i="15"/>
  <c r="E41" i="15"/>
  <c r="I41" i="15"/>
  <c r="M136" i="15"/>
  <c r="M135" i="15"/>
  <c r="L135" i="15"/>
  <c r="G106" i="15"/>
  <c r="E106" i="15"/>
  <c r="C106" i="15"/>
  <c r="C112" i="15"/>
  <c r="C111" i="15"/>
  <c r="C110" i="15"/>
  <c r="C109" i="15"/>
  <c r="C105" i="15"/>
  <c r="G112" i="15"/>
  <c r="G111" i="15"/>
  <c r="G110" i="15"/>
  <c r="G109" i="15"/>
  <c r="E112" i="15"/>
  <c r="E111" i="15"/>
  <c r="E110" i="15"/>
  <c r="E109" i="15"/>
  <c r="G105" i="15"/>
  <c r="E105" i="15"/>
  <c r="C224" i="15"/>
  <c r="C223" i="15"/>
  <c r="F223" i="15" s="1"/>
  <c r="H223" i="15" s="1"/>
  <c r="C222" i="15"/>
  <c r="F222" i="15" s="1"/>
  <c r="H222" i="15" s="1"/>
  <c r="C221" i="15"/>
  <c r="F221" i="15" s="1"/>
  <c r="H221" i="15" s="1"/>
  <c r="D220" i="15"/>
  <c r="C220" i="15"/>
  <c r="F220" i="15" s="1"/>
  <c r="H220" i="15" s="1"/>
  <c r="C219" i="15"/>
  <c r="F219" i="15" s="1"/>
  <c r="H219" i="15" s="1"/>
  <c r="C218" i="15"/>
  <c r="F218" i="15" s="1"/>
  <c r="H218" i="15" s="1"/>
  <c r="C217" i="15"/>
  <c r="C215" i="15"/>
  <c r="C214" i="15"/>
  <c r="F214" i="15" s="1"/>
  <c r="H214" i="15" s="1"/>
  <c r="C213" i="15"/>
  <c r="F213" i="15" s="1"/>
  <c r="H213" i="15" s="1"/>
  <c r="C212" i="15"/>
  <c r="F212" i="15" s="1"/>
  <c r="H212" i="15" s="1"/>
  <c r="D211" i="15"/>
  <c r="C211" i="15"/>
  <c r="F211" i="15" s="1"/>
  <c r="H211" i="15" s="1"/>
  <c r="C210" i="15"/>
  <c r="F210" i="15" s="1"/>
  <c r="H210" i="15" s="1"/>
  <c r="C209" i="15"/>
  <c r="C208" i="15"/>
  <c r="C205" i="15"/>
  <c r="C204" i="15"/>
  <c r="F204" i="15" s="1"/>
  <c r="H204" i="15" s="1"/>
  <c r="C203" i="15"/>
  <c r="F203" i="15" s="1"/>
  <c r="H203" i="15" s="1"/>
  <c r="C202" i="15"/>
  <c r="F202" i="15" s="1"/>
  <c r="H202" i="15" s="1"/>
  <c r="C201" i="15"/>
  <c r="F201" i="15" s="1"/>
  <c r="H201" i="15" s="1"/>
  <c r="C199" i="15"/>
  <c r="F199" i="15" s="1"/>
  <c r="H199" i="15" s="1"/>
  <c r="F209" i="15"/>
  <c r="H209" i="15" s="1"/>
  <c r="F215" i="15"/>
  <c r="H215" i="15" s="1"/>
  <c r="I212" i="15"/>
  <c r="I211" i="15"/>
  <c r="A209" i="15"/>
  <c r="A210" i="15" s="1"/>
  <c r="A211" i="15" s="1"/>
  <c r="A212" i="15" s="1"/>
  <c r="A213" i="15" s="1"/>
  <c r="A214" i="15" s="1"/>
  <c r="A215" i="15" s="1"/>
  <c r="F208" i="15"/>
  <c r="H208" i="15" s="1"/>
  <c r="F224" i="15"/>
  <c r="H224" i="15" s="1"/>
  <c r="I221" i="15"/>
  <c r="I220" i="15"/>
  <c r="A218" i="15"/>
  <c r="A219" i="15" s="1"/>
  <c r="A220" i="15" s="1"/>
  <c r="A221" i="15" s="1"/>
  <c r="A222" i="15" s="1"/>
  <c r="A223" i="15" s="1"/>
  <c r="A224" i="15" s="1"/>
  <c r="F217" i="15"/>
  <c r="H217" i="15" s="1"/>
  <c r="F205" i="15"/>
  <c r="H205" i="15" s="1"/>
  <c r="A202" i="15"/>
  <c r="A203" i="15" s="1"/>
  <c r="A204" i="15" s="1"/>
  <c r="A205" i="15" s="1"/>
  <c r="D156" i="15"/>
  <c r="D157" i="15"/>
  <c r="I192" i="15"/>
  <c r="I193" i="15"/>
  <c r="C196" i="15"/>
  <c r="F196" i="15" s="1"/>
  <c r="H196" i="15" s="1"/>
  <c r="C195" i="15"/>
  <c r="F195" i="15" s="1"/>
  <c r="H195" i="15" s="1"/>
  <c r="C194" i="15"/>
  <c r="F194" i="15" s="1"/>
  <c r="H194" i="15" s="1"/>
  <c r="C193" i="15"/>
  <c r="F193" i="15" s="1"/>
  <c r="H193" i="15" s="1"/>
  <c r="C192" i="15"/>
  <c r="F192" i="15" s="1"/>
  <c r="H192" i="15" s="1"/>
  <c r="C191" i="15"/>
  <c r="F191" i="15" s="1"/>
  <c r="H191" i="15" s="1"/>
  <c r="C186" i="15"/>
  <c r="F186" i="15" s="1"/>
  <c r="H186" i="15" s="1"/>
  <c r="C185" i="15"/>
  <c r="F185" i="15" s="1"/>
  <c r="H185" i="15" s="1"/>
  <c r="C184" i="15"/>
  <c r="F184" i="15" s="1"/>
  <c r="H184" i="15" s="1"/>
  <c r="C183" i="15"/>
  <c r="F183" i="15" s="1"/>
  <c r="H183" i="15" s="1"/>
  <c r="C182" i="15"/>
  <c r="F182" i="15" s="1"/>
  <c r="H182" i="15" s="1"/>
  <c r="C190" i="15"/>
  <c r="F190" i="15" s="1"/>
  <c r="H190" i="15" s="1"/>
  <c r="A190" i="15"/>
  <c r="A191" i="15" s="1"/>
  <c r="A192" i="15" s="1"/>
  <c r="A193" i="15" s="1"/>
  <c r="A194" i="15" s="1"/>
  <c r="A195" i="15" s="1"/>
  <c r="A196" i="15" s="1"/>
  <c r="C189" i="15"/>
  <c r="F189" i="15" s="1"/>
  <c r="H189" i="15" s="1"/>
  <c r="C181" i="15"/>
  <c r="F181" i="15" s="1"/>
  <c r="H181" i="15" s="1"/>
  <c r="A181" i="15"/>
  <c r="A182" i="15" s="1"/>
  <c r="A183" i="15" s="1"/>
  <c r="A184" i="15" s="1"/>
  <c r="A185" i="15" s="1"/>
  <c r="A186" i="15" s="1"/>
  <c r="A187" i="15" s="1"/>
  <c r="C180" i="15"/>
  <c r="F180" i="15" s="1"/>
  <c r="H180" i="15" s="1"/>
  <c r="C177" i="15"/>
  <c r="F177" i="15" s="1"/>
  <c r="H177" i="15" s="1"/>
  <c r="C176" i="15"/>
  <c r="F176" i="15" s="1"/>
  <c r="H176" i="15" s="1"/>
  <c r="C175" i="15"/>
  <c r="F175" i="15" s="1"/>
  <c r="H175" i="15" s="1"/>
  <c r="C174" i="15"/>
  <c r="C173" i="15"/>
  <c r="C172" i="15"/>
  <c r="F172" i="15" s="1"/>
  <c r="H172" i="15" s="1"/>
  <c r="C171" i="15"/>
  <c r="F171" i="15" s="1"/>
  <c r="H171" i="15" s="1"/>
  <c r="C170" i="15"/>
  <c r="F170" i="15" s="1"/>
  <c r="H170" i="15" s="1"/>
  <c r="C167" i="15"/>
  <c r="C166" i="15"/>
  <c r="C165" i="15"/>
  <c r="C164" i="15"/>
  <c r="C163" i="15"/>
  <c r="C162" i="15"/>
  <c r="C161" i="15"/>
  <c r="A171" i="15"/>
  <c r="A172" i="15" s="1"/>
  <c r="A173" i="15" s="1"/>
  <c r="A174" i="15" s="1"/>
  <c r="A175" i="15" s="1"/>
  <c r="A176" i="15" s="1"/>
  <c r="A177" i="15" s="1"/>
  <c r="C157" i="15"/>
  <c r="C156" i="15"/>
  <c r="C158" i="15"/>
  <c r="F158" i="15" s="1"/>
  <c r="H158" i="15" s="1"/>
  <c r="D155" i="15"/>
  <c r="C155" i="15"/>
  <c r="D154" i="15"/>
  <c r="C154" i="15"/>
  <c r="C153" i="15"/>
  <c r="F153" i="15" s="1"/>
  <c r="H153" i="15" s="1"/>
  <c r="C152" i="15"/>
  <c r="F152" i="15" s="1"/>
  <c r="H152" i="15" s="1"/>
  <c r="A152" i="15"/>
  <c r="A153" i="15" s="1"/>
  <c r="A154" i="15" s="1"/>
  <c r="A155" i="15" s="1"/>
  <c r="A156" i="15" s="1"/>
  <c r="A157" i="15" s="1"/>
  <c r="A158" i="15" s="1"/>
  <c r="C151" i="15"/>
  <c r="F151" i="15" s="1"/>
  <c r="H151" i="15" s="1"/>
  <c r="G148" i="15"/>
  <c r="G147" i="15"/>
  <c r="C149" i="15"/>
  <c r="C148" i="15"/>
  <c r="C147" i="15"/>
  <c r="D146" i="15"/>
  <c r="C146" i="15"/>
  <c r="D145" i="15"/>
  <c r="C145" i="15"/>
  <c r="C144" i="15"/>
  <c r="C143" i="15"/>
  <c r="C142" i="15"/>
  <c r="C140" i="15"/>
  <c r="C139" i="15"/>
  <c r="C136" i="15"/>
  <c r="C135" i="15"/>
  <c r="C134" i="15"/>
  <c r="C133" i="15"/>
  <c r="J135" i="15"/>
  <c r="C126" i="15"/>
  <c r="F126" i="15" s="1"/>
  <c r="H126" i="15" s="1"/>
  <c r="C125" i="15"/>
  <c r="C124" i="15"/>
  <c r="C123" i="15"/>
  <c r="C122" i="15"/>
  <c r="C121" i="15"/>
  <c r="J121" i="15"/>
  <c r="P119" i="15"/>
  <c r="O119" i="15"/>
  <c r="E42" i="15"/>
  <c r="E29" i="15"/>
  <c r="C65" i="15"/>
  <c r="B66" i="15" s="1"/>
  <c r="C51" i="15"/>
  <c r="N119" i="15" l="1"/>
  <c r="F155" i="15"/>
  <c r="H155" i="15" s="1"/>
  <c r="F174" i="15"/>
  <c r="H174" i="15" s="1"/>
  <c r="F173" i="15"/>
  <c r="H173" i="15" s="1"/>
  <c r="F154" i="15"/>
  <c r="H154" i="15" s="1"/>
  <c r="F156" i="15"/>
  <c r="H156" i="15" s="1"/>
  <c r="F157" i="15"/>
  <c r="H157" i="15" s="1"/>
  <c r="J73" i="15"/>
  <c r="J75" i="15"/>
  <c r="J74" i="15"/>
  <c r="J76" i="15"/>
  <c r="H66" i="15"/>
  <c r="D74" i="15" l="1"/>
  <c r="D73" i="15"/>
  <c r="J71" i="15"/>
  <c r="J72" i="15" s="1"/>
  <c r="J77" i="15" s="1"/>
  <c r="J78" i="15" s="1"/>
  <c r="C70" i="15" s="1"/>
  <c r="E69" i="15" s="1"/>
  <c r="J68" i="15"/>
  <c r="D77" i="15"/>
  <c r="J69" i="15"/>
  <c r="D78" i="15"/>
  <c r="D75" i="15"/>
  <c r="D76" i="15"/>
  <c r="J70" i="15"/>
  <c r="C69" i="15" s="1"/>
  <c r="D72" i="15"/>
  <c r="D71" i="15"/>
  <c r="D69" i="15" l="1"/>
  <c r="I65" i="15" s="1"/>
  <c r="C67" i="15" s="1"/>
  <c r="G69" i="15"/>
  <c r="D70" i="15"/>
  <c r="F164" i="15" l="1"/>
  <c r="H164" i="15" s="1"/>
  <c r="F167" i="15"/>
  <c r="H167" i="15" s="1"/>
  <c r="F166" i="15"/>
  <c r="H166" i="15" s="1"/>
  <c r="F165" i="15"/>
  <c r="H165" i="15" s="1"/>
  <c r="F163" i="15"/>
  <c r="H163" i="15" s="1"/>
  <c r="F162" i="15"/>
  <c r="H162" i="15" s="1"/>
  <c r="F161" i="15"/>
  <c r="H161" i="15" s="1"/>
  <c r="F149" i="15"/>
  <c r="H149" i="15" s="1"/>
  <c r="F148" i="15"/>
  <c r="H148" i="15" s="1"/>
  <c r="F147" i="15"/>
  <c r="H147" i="15" s="1"/>
  <c r="F146" i="15"/>
  <c r="H146" i="15" s="1"/>
  <c r="F145" i="15"/>
  <c r="H145" i="15" s="1"/>
  <c r="F144" i="15"/>
  <c r="H144" i="15" s="1"/>
  <c r="F143" i="15"/>
  <c r="H143" i="15" s="1"/>
  <c r="F142" i="15"/>
  <c r="H142" i="15" s="1"/>
  <c r="F134" i="15"/>
  <c r="H134" i="15" s="1"/>
  <c r="F135" i="15"/>
  <c r="H135" i="15" s="1"/>
  <c r="F136" i="15"/>
  <c r="H136" i="15" s="1"/>
  <c r="F139" i="15"/>
  <c r="H139" i="15" s="1"/>
  <c r="F140" i="15"/>
  <c r="H140" i="15" s="1"/>
  <c r="F133" i="15"/>
  <c r="H133" i="15" s="1"/>
  <c r="F121" i="15"/>
  <c r="H121" i="15" s="1"/>
  <c r="F122" i="15"/>
  <c r="H122" i="15" s="1"/>
  <c r="F123" i="15"/>
  <c r="H123" i="15" s="1"/>
  <c r="F124" i="15"/>
  <c r="H124" i="15" s="1"/>
  <c r="F125" i="15"/>
  <c r="H125" i="15" s="1"/>
  <c r="E13" i="15"/>
  <c r="E33" i="15"/>
  <c r="E35" i="15"/>
  <c r="E47" i="15"/>
  <c r="H233" i="15" l="1"/>
  <c r="A260" i="15" l="1"/>
  <c r="A261" i="15" s="1"/>
  <c r="A262" i="15" s="1"/>
  <c r="A263" i="15" s="1"/>
  <c r="A264" i="15" s="1"/>
  <c r="A265" i="15" s="1"/>
  <c r="A162" i="15" l="1"/>
  <c r="A163" i="15" s="1"/>
  <c r="A164" i="15" s="1"/>
  <c r="A165" i="15" s="1"/>
  <c r="A166" i="15" s="1"/>
  <c r="A167" i="15" s="1"/>
  <c r="A168" i="15" s="1"/>
  <c r="A143" i="15"/>
  <c r="A144" i="15" s="1"/>
  <c r="A145" i="15" s="1"/>
  <c r="A146" i="15" s="1"/>
  <c r="A147" i="15" s="1"/>
  <c r="A148" i="15" s="1"/>
  <c r="A149" i="15" s="1"/>
  <c r="A134" i="15"/>
  <c r="A135" i="15" s="1"/>
  <c r="A136" i="15" s="1"/>
  <c r="A139" i="15" s="1"/>
  <c r="A122" i="15"/>
  <c r="A123" i="15" s="1"/>
  <c r="A124" i="15" s="1"/>
  <c r="A125" i="15" s="1"/>
  <c r="A126" i="15" s="1"/>
  <c r="P150" i="15"/>
  <c r="O150" i="15"/>
  <c r="P151" i="15" l="1"/>
  <c r="P152" i="15" s="1"/>
  <c r="P153" i="15" s="1"/>
  <c r="P154" i="15" s="1"/>
  <c r="P155" i="15" s="1"/>
  <c r="P156" i="15" s="1"/>
  <c r="P157" i="15" s="1"/>
  <c r="P158" i="15" s="1"/>
  <c r="N150" i="15"/>
  <c r="O151" i="15"/>
  <c r="A44" i="15"/>
  <c r="A45" i="15" s="1"/>
  <c r="A46" i="15" s="1"/>
  <c r="A47" i="15" s="1"/>
  <c r="O152" i="15" l="1"/>
  <c r="N151" i="15"/>
  <c r="D266" i="15"/>
  <c r="H52" i="15"/>
  <c r="O132" i="15"/>
  <c r="P132" i="15"/>
  <c r="N152" i="15" l="1"/>
  <c r="O153" i="15"/>
  <c r="D57" i="15"/>
  <c r="D64" i="15"/>
  <c r="D60" i="15"/>
  <c r="J56" i="15"/>
  <c r="J54" i="15"/>
  <c r="D63" i="15"/>
  <c r="D59" i="15"/>
  <c r="J55" i="15"/>
  <c r="D62" i="15"/>
  <c r="D58" i="15"/>
  <c r="J57" i="15"/>
  <c r="J58" i="15" s="1"/>
  <c r="J63" i="15" s="1"/>
  <c r="D61" i="15"/>
  <c r="N132" i="15"/>
  <c r="P133" i="15"/>
  <c r="P134" i="15" s="1"/>
  <c r="P135" i="15" s="1"/>
  <c r="P136" i="15" s="1"/>
  <c r="P139" i="15" s="1"/>
  <c r="P140" i="15" s="1"/>
  <c r="P137" i="15" s="1"/>
  <c r="P138" i="15" s="1"/>
  <c r="O133" i="15"/>
  <c r="P118" i="15"/>
  <c r="O141" i="15"/>
  <c r="P141" i="15"/>
  <c r="O118" i="15"/>
  <c r="O154" i="15" l="1"/>
  <c r="N153" i="15"/>
  <c r="D55" i="15"/>
  <c r="J59" i="15"/>
  <c r="J60" i="15" s="1"/>
  <c r="J61" i="15" s="1"/>
  <c r="J62" i="15" s="1"/>
  <c r="N133" i="15"/>
  <c r="O134" i="15"/>
  <c r="N134" i="15" s="1"/>
  <c r="N141" i="15"/>
  <c r="O142" i="15"/>
  <c r="P142" i="15"/>
  <c r="P143" i="15" s="1"/>
  <c r="P144" i="15" s="1"/>
  <c r="P145" i="15" s="1"/>
  <c r="P146" i="15" s="1"/>
  <c r="P147" i="15" s="1"/>
  <c r="P148" i="15" s="1"/>
  <c r="P149" i="15" s="1"/>
  <c r="P120" i="15"/>
  <c r="P121" i="15" s="1"/>
  <c r="P122" i="15" s="1"/>
  <c r="P123" i="15" s="1"/>
  <c r="P124" i="15" s="1"/>
  <c r="P125" i="15" s="1"/>
  <c r="O120" i="15"/>
  <c r="N118" i="15"/>
  <c r="A140" i="15"/>
  <c r="O155" i="15" l="1"/>
  <c r="N154" i="15"/>
  <c r="P127" i="15"/>
  <c r="P128" i="15" s="1"/>
  <c r="P129" i="15" s="1"/>
  <c r="P131" i="15" s="1"/>
  <c r="P126" i="15"/>
  <c r="J64" i="15"/>
  <c r="O135" i="15"/>
  <c r="N135" i="15" s="1"/>
  <c r="N142" i="15"/>
  <c r="O143" i="15"/>
  <c r="N143" i="15" s="1"/>
  <c r="O121" i="15"/>
  <c r="N120" i="15"/>
  <c r="O156" i="15" l="1"/>
  <c r="N155" i="15"/>
  <c r="O136" i="15"/>
  <c r="N136" i="15" s="1"/>
  <c r="O144" i="15"/>
  <c r="N144" i="15" s="1"/>
  <c r="O122" i="15"/>
  <c r="N121" i="15"/>
  <c r="O157" i="15" l="1"/>
  <c r="N156" i="15"/>
  <c r="E55" i="15"/>
  <c r="I51" i="15" s="1"/>
  <c r="C53" i="15" s="1"/>
  <c r="G55" i="15"/>
  <c r="D56" i="15"/>
  <c r="O139" i="15"/>
  <c r="N139" i="15" s="1"/>
  <c r="O145" i="15"/>
  <c r="N145" i="15" s="1"/>
  <c r="O123" i="15"/>
  <c r="N122" i="15"/>
  <c r="O158" i="15" l="1"/>
  <c r="N158" i="15" s="1"/>
  <c r="N157" i="15"/>
  <c r="O140" i="15"/>
  <c r="O146" i="15"/>
  <c r="N146" i="15" s="1"/>
  <c r="O124" i="15"/>
  <c r="N123" i="15"/>
  <c r="N140" i="15" l="1"/>
  <c r="O137" i="15"/>
  <c r="O147" i="15"/>
  <c r="N147" i="15" s="1"/>
  <c r="O125" i="15"/>
  <c r="O126" i="15" s="1"/>
  <c r="N126" i="15" s="1"/>
  <c r="N124" i="15"/>
  <c r="O138" i="15" l="1"/>
  <c r="N138" i="15" s="1"/>
  <c r="N137" i="15"/>
  <c r="O148" i="15"/>
  <c r="N148" i="15" s="1"/>
  <c r="O127" i="15"/>
  <c r="N125" i="15"/>
  <c r="O149" i="15" l="1"/>
  <c r="N149" i="15" s="1"/>
  <c r="O128" i="15"/>
  <c r="N127" i="15"/>
  <c r="O129" i="15" l="1"/>
  <c r="O131" i="15" s="1"/>
  <c r="N131" i="15" s="1"/>
  <c r="N128" i="15"/>
  <c r="N129" i="15" l="1"/>
  <c r="H250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8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2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<sst xmlns="http://schemas.openxmlformats.org/spreadsheetml/2006/main" count="416" uniqueCount="247">
  <si>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</si>
  <si>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</si>
  <si>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</si>
  <si>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</si>
  <si>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</si>
  <si>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</si>
  <si>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</si>
  <si>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</si>
  <si>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</si>
  <si>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</si>
  <si>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</si>
  <si>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</si>
  <si>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</si>
  <si>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</si>
  <si>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</si>
  <si>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</si>
  <si>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</si>
  <si>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</si>
  <si>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</si>
  <si>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</si>
  <si>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</si>
  <si>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</si>
  <si>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</si>
  <si>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</si>
  <si>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</si>
  <si>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</si>
  <si>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</si>
  <si>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</si>
  <si>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</si>
  <si>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</si>
  <si>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</si>
  <si>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</si>
  <si>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</si>
  <si>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</si>
  <si>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</si>
  <si>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</si>
  <si>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</si>
  <si>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</si>
  <si>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</si>
  <si>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</si>
  <si>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</si>
  <si>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</si>
  <si>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</si>
  <si>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</si>
  <si>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</si>
  <si>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</si>
  <si>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</si>
  <si>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</si>
  <si>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</si>
  <si>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</si>
  <si>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</si>
  <si>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</si>
  <si>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</si>
  <si>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</si>
  <si>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</si>
  <si>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</si>
  <si>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</si>
  <si>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</si>
  <si>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</si>
  <si>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</si>
  <si>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</si>
  <si>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</si>
  <si>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</si>
  <si>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</si>
  <si>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</si>
  <si>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</si>
  <si>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</si>
  <si>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</si>
  <si>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</si>
  <si>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</si>
  <si>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</si>
  <si>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</si>
  <si>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</si>
  <si>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</si>
  <si>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</si>
  <si>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</si>
  <si>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</si>
  <si>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</si>
  <si>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</si>
  <si>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</si>
  <si>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</si>
  <si>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</si>
  <si>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Residential Area Details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</si>
  <si>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</si>
  <si>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</si>
  <si>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</si>
  <si>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</si>
  <si>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</si>
  <si>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</si>
  <si>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</si>
  <si>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</si>
  <si>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</si>
  <si>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</si>
  <si>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</si>
  <si>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</si>
  <si>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Shop</t>
  </si>
  <si>
    <t>Commercial Area Details :</t>
  </si>
  <si>
    <t>A.P Area</t>
  </si>
  <si>
    <t>At Booking</t>
  </si>
  <si>
    <t>Commecement</t>
  </si>
  <si>
    <t>1st Slab</t>
  </si>
  <si>
    <t>2nd Slab</t>
  </si>
  <si>
    <t>3rd Slab</t>
  </si>
  <si>
    <t>4th Slab</t>
  </si>
  <si>
    <t>5th Slab</t>
  </si>
  <si>
    <t>Completion of Brick work</t>
  </si>
  <si>
    <t>Completion of Plaster work</t>
  </si>
  <si>
    <t>Completion of Water Proofing</t>
  </si>
  <si>
    <t>Completion of Flooring, Doors &amp; Windows</t>
  </si>
  <si>
    <t>Painting, Electrical &amp; Sanitary Fittings</t>
  </si>
  <si>
    <t>On Possession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</si>
  <si>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</si>
  <si>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</si>
  <si>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</si>
  <si>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</si>
  <si>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</si>
  <si>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</si>
  <si>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</si>
  <si>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</si>
  <si>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</si>
  <si>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</si>
  <si>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</si>
  <si>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</si>
  <si>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</si>
  <si>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</si>
  <si>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</si>
  <si>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</si>
  <si>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</si>
  <si>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</si>
  <si>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</si>
  <si>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</si>
  <si>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</si>
  <si>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</si>
  <si>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</si>
  <si>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</si>
  <si>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</si>
  <si>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</si>
  <si>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</si>
  <si>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</si>
  <si>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</si>
  <si>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</si>
  <si>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</si>
  <si>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</si>
  <si>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</si>
  <si>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</si>
  <si>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</si>
  <si>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</si>
  <si>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</si>
  <si>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</si>
  <si>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</si>
  <si>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</si>
  <si>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</si>
  <si>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</si>
  <si>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</si>
  <si>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</si>
  <si>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</si>
  <si>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</si>
  <si>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Grand Total</t>
  </si>
  <si>
    <t>1st Floor For Residential</t>
  </si>
  <si>
    <t>Otla
Area</t>
  </si>
  <si>
    <t>Balcony Area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</si>
  <si>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</si>
  <si>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</si>
  <si>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</si>
  <si>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</si>
  <si>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</si>
  <si>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Loft Area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</si>
  <si>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</si>
  <si>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</si>
  <si>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</si>
  <si>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</si>
  <si>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</si>
  <si>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</si>
  <si>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</si>
  <si>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</si>
  <si>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r>
      <rPr>
        <sz val="11"/>
        <rFont val="Times New Roman"/>
        <family val="1"/>
      </rPr>
      <t xml:space="preserve">Proposed Amenities    </t>
    </r>
    <r>
      <rPr>
        <sz val="11"/>
        <color rgb="FFFF0000"/>
        <rFont val="Times New Roman"/>
        <family val="1"/>
      </rPr>
      <t xml:space="preserve">   </t>
    </r>
  </si>
  <si>
    <t>Carpet Area</t>
  </si>
  <si>
    <t>Net Plot Area (Sq.M)</t>
  </si>
  <si>
    <t>Plot Area (Sq.M)</t>
  </si>
  <si>
    <t xml:space="preserve">Details of Residential in Building     </t>
  </si>
  <si>
    <t xml:space="preserve">Details of Commercial in Building     </t>
  </si>
  <si>
    <t xml:space="preserve">Expected Completion Date </t>
  </si>
  <si>
    <t>Authorized Signatory
Name &amp; Seal of the Agency</t>
  </si>
  <si>
    <t>Date of documents delivery / Receipt</t>
  </si>
  <si>
    <t>Builtup Area (Sq.M)</t>
  </si>
  <si>
    <t xml:space="preserve">Layout Plan No. </t>
  </si>
  <si>
    <t>Approved Floor Plan No</t>
  </si>
  <si>
    <t>Electric &amp; Plumbing</t>
  </si>
  <si>
    <t>External Plaster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</si>
  <si>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</si>
  <si>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</si>
  <si>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</si>
  <si>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Vidhata Empire</t>
  </si>
  <si>
    <t>P99000079969</t>
  </si>
  <si>
    <t>Nine star Landmark</t>
  </si>
  <si>
    <t>Vidhata Empire Manke Rambag Road Saphale road 401102</t>
  </si>
  <si>
    <t>G.No. 225(PT), Village - Makane, Taluka and District  Palghar.</t>
  </si>
  <si>
    <t>Approved Plan
C.C
RERA Certificate</t>
  </si>
  <si>
    <t>Mr. Sunil Sewhani 9158695695</t>
  </si>
  <si>
    <t>12/08/2025, Tuesday @ 12:20PM</t>
  </si>
  <si>
    <t>Mr. Yadnesh Patil 9307330250</t>
  </si>
  <si>
    <t>Ms. Prachi 7559225695</t>
  </si>
  <si>
    <t xml:space="preserve">K.M.WORLD </t>
  </si>
  <si>
    <t>Ground Floor Shop NO 3, Cathrina Apartment, 78 Chapal Road, Opp Mount Carmal Church, Bandra West, Mumbai 400050</t>
  </si>
  <si>
    <t>Architect/Engineer details ( Name, office address, mobile number, registration number )</t>
  </si>
  <si>
    <t>Kiran Kashinath Shivde
10 Mudra complex, Kacheri Road, Palghar West Dist- Palghar</t>
  </si>
  <si>
    <t>Collector Office Palghar</t>
  </si>
  <si>
    <t>Builtup Area of Building 1 to 4 (Sq.M)</t>
  </si>
  <si>
    <t>Building No. 1 to 4 = Gr + 1st to 7th Floor</t>
  </si>
  <si>
    <t>Building No. 1 to 3 = Gr + 1st to 7th Floor</t>
  </si>
  <si>
    <t>Building No. 4 = Gr + 1st to 7th Floor</t>
  </si>
  <si>
    <t>Vitrified tiles flooring, Granite Kitchen Platform, Decorative Entrance, Landscaping &amp; Garden, etc.</t>
  </si>
  <si>
    <t>RPPLG/B/2024/APL/00286</t>
  </si>
  <si>
    <t>Building No. 01</t>
  </si>
  <si>
    <t>Ground Floor For Commercial, Residential &amp; Entrance Lobby</t>
  </si>
  <si>
    <t>Ground Floor For Residential, Commercial &amp; Entrance Lobby</t>
  </si>
  <si>
    <t>1RK</t>
  </si>
  <si>
    <t>1BHK</t>
  </si>
  <si>
    <t>2BHK</t>
  </si>
  <si>
    <t>-</t>
  </si>
  <si>
    <t>Commercial Shop</t>
  </si>
  <si>
    <t>2nd to 7th Floor</t>
  </si>
  <si>
    <t>Building No. 02</t>
  </si>
  <si>
    <t xml:space="preserve">Ground Floor For Residential &amp; Entrance Lobby </t>
  </si>
  <si>
    <t>1st to 7th Floor For Residential</t>
  </si>
  <si>
    <t xml:space="preserve">Entrance Lobby </t>
  </si>
  <si>
    <t>Building No. 03</t>
  </si>
  <si>
    <t>Building No. 04</t>
  </si>
  <si>
    <t>2nd to 7th Floor For Residential</t>
  </si>
  <si>
    <t>Society Office &amp; Drivers Room</t>
  </si>
  <si>
    <t xml:space="preserve">Ground Floor For Residential, Society Office &amp; Drivers Room &amp; Entrance Lobby </t>
  </si>
  <si>
    <t>Building No. 1 Shop</t>
  </si>
  <si>
    <t>Building No. 1</t>
  </si>
  <si>
    <t>Building No. 2</t>
  </si>
  <si>
    <t>Building No. 3</t>
  </si>
  <si>
    <t>Building No. 4</t>
  </si>
  <si>
    <t>Flats = 250
Shop = 06</t>
  </si>
  <si>
    <t xml:space="preserve">SCHOOL :
Zenith International School  - 0.4Km
Trimurti Vidyalaya Makane - 1.2Km
SHOPPING :
Krushna plaza - 1.10Km
Local Market - 4.20Km
HOSPITALS :
Swaasthyam Multispeciality Hospital  -1.70Km
Shravani Maternity &amp; Children Hospital - 1.90Km
PETROL PUMP :
Bharat Petroleum - 4.10Km
Nayara Energy Limited - 4.80Km
</t>
  </si>
  <si>
    <t xml:space="preserve">Construction work is in process at the time of Visit (labour found).
</t>
  </si>
  <si>
    <t>1 BHK = 18.5L
2BHK = 23.9 L</t>
  </si>
  <si>
    <t>19.574384,72.801456</t>
  </si>
  <si>
    <t>https://maps.app.goo.gl/pSPa2DGZM3kCLc3w5</t>
  </si>
  <si>
    <t xml:space="preserve">We considered Gross carpet area = Net carpet + Balcony.
</t>
  </si>
  <si>
    <t>Mr. Yadnesh Patil</t>
  </si>
  <si>
    <t>Dec-29</t>
  </si>
  <si>
    <t>Jan-24</t>
  </si>
  <si>
    <t>Vidhata Empire, G.No. 225(PT), Near Nine Star Landmark, Rambag Road, Village - Makane, Saphale Palghar, Palghar 401102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</si>
</sst>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7">
    <xf numFmtId="0" fontId="0" fillId="0" borderId="0" xfId="0"/>
    <xf numFmtId="1" fontId="2" fillId="0" borderId="2" xfId="2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hidden="1"/>
    </xf>
    <xf numFmtId="0" fontId="8" fillId="0" borderId="16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4" fillId="0" borderId="22" xfId="2" applyFont="1" applyBorder="1" applyAlignment="1" applyProtection="1">
      <alignment horizontal="center" vertical="top"/>
      <protection locked="0"/>
    </xf>
    <xf numFmtId="0" fontId="4" fillId="0" borderId="1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21" xfId="2" applyFont="1" applyBorder="1" applyProtection="1">
      <protection hidden="1"/>
    </xf>
    <xf numFmtId="0" fontId="9" fillId="0" borderId="23" xfId="2" applyFont="1" applyBorder="1" applyProtection="1">
      <protection hidden="1"/>
    </xf>
    <xf numFmtId="0" fontId="9" fillId="0" borderId="23" xfId="2" applyFont="1" applyBorder="1"/>
    <xf numFmtId="0" fontId="8" fillId="0" borderId="23" xfId="0" applyFont="1" applyBorder="1" applyProtection="1">
      <protection hidden="1"/>
    </xf>
    <xf numFmtId="1" fontId="6" fillId="0" borderId="23" xfId="0" applyNumberFormat="1" applyFont="1" applyBorder="1"/>
    <xf numFmtId="1" fontId="6" fillId="0" borderId="23" xfId="0" applyNumberFormat="1" applyFont="1" applyBorder="1" applyAlignment="1">
      <alignment horizontal="right"/>
    </xf>
    <xf numFmtId="1" fontId="6" fillId="0" borderId="19" xfId="0" applyNumberFormat="1" applyFont="1" applyBorder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vertical="top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vertical="top"/>
    </xf>
    <xf numFmtId="9" fontId="1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5" xfId="2" applyFont="1" applyBorder="1" applyAlignment="1" applyProtection="1">
      <alignment horizontal="center" vertical="top"/>
      <protection locked="0"/>
    </xf>
    <xf numFmtId="14" fontId="4" fillId="0" borderId="5" xfId="0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9" fontId="4" fillId="0" borderId="3" xfId="2" applyNumberFormat="1" applyFont="1" applyBorder="1" applyAlignment="1" applyProtection="1">
      <alignment horizontal="center" vertical="center" wrapText="1"/>
      <protection hidden="1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0" fontId="4" fillId="0" borderId="18" xfId="2" applyFont="1" applyBorder="1" applyAlignment="1" applyProtection="1">
      <alignment horizontal="center" wrapText="1"/>
      <protection locked="0"/>
    </xf>
    <xf numFmtId="9" fontId="4" fillId="0" borderId="17" xfId="2" applyNumberFormat="1" applyFont="1" applyBorder="1" applyAlignment="1" applyProtection="1">
      <alignment horizontal="center" vertical="center" wrapText="1"/>
      <protection hidden="1"/>
    </xf>
    <xf numFmtId="9" fontId="5" fillId="0" borderId="5" xfId="6" applyFont="1" applyFill="1" applyBorder="1" applyAlignment="1" applyProtection="1">
      <alignment horizontal="center" vertical="top" wrapText="1"/>
      <protection locked="0"/>
    </xf>
    <xf numFmtId="9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9" fillId="0" borderId="0" xfId="0" applyNumberFormat="1" applyFont="1"/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" fontId="2" fillId="0" borderId="2" xfId="2" applyNumberFormat="1" applyFont="1" applyBorder="1" applyAlignment="1">
      <alignment horizontal="center" vertical="top" wrapText="1"/>
    </xf>
    <xf numFmtId="1" fontId="2" fillId="0" borderId="5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 applyProtection="1">
      <alignment horizontal="center" vertical="center" wrapText="1"/>
      <protection locked="0"/>
    </xf>
    <xf numFmtId="1" fontId="2" fillId="0" borderId="5" xfId="2" applyNumberFormat="1" applyFont="1" applyBorder="1" applyAlignment="1" applyProtection="1">
      <alignment horizontal="center" vertical="center" wrapText="1"/>
      <protection locked="0"/>
    </xf>
    <xf numFmtId="1" fontId="5" fillId="0" borderId="38" xfId="0" applyNumberFormat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5" fillId="0" borderId="22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top"/>
      <protection locked="0"/>
    </xf>
    <xf numFmtId="0" fontId="5" fillId="0" borderId="3" xfId="2" applyFont="1" applyBorder="1" applyAlignment="1" applyProtection="1">
      <alignment horizontal="left" vertical="top" wrapText="1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0" fontId="9" fillId="0" borderId="24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4" fillId="0" borderId="3" xfId="2" applyFont="1" applyBorder="1" applyAlignment="1" applyProtection="1">
      <alignment horizontal="center" vertical="top" wrapText="1"/>
      <protection locked="0"/>
    </xf>
    <xf numFmtId="0" fontId="4" fillId="0" borderId="6" xfId="2" applyFont="1" applyBorder="1" applyAlignment="1" applyProtection="1">
      <alignment horizontal="center" vertical="top" wrapText="1"/>
      <protection locked="0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25" xfId="2" applyFont="1" applyBorder="1" applyAlignment="1" applyProtection="1">
      <alignment horizontal="center" vertical="top" wrapText="1"/>
      <protection locked="0"/>
    </xf>
    <xf numFmtId="0" fontId="9" fillId="0" borderId="26" xfId="2" applyFont="1" applyBorder="1" applyAlignment="1" applyProtection="1">
      <alignment horizontal="center" vertical="top" wrapText="1"/>
      <protection locked="0"/>
    </xf>
    <xf numFmtId="0" fontId="9" fillId="0" borderId="18" xfId="2" applyFont="1" applyBorder="1" applyAlignment="1" applyProtection="1">
      <alignment horizontal="center" vertical="top" wrapText="1"/>
      <protection locked="0"/>
    </xf>
    <xf numFmtId="14" fontId="5" fillId="0" borderId="11" xfId="2" applyNumberFormat="1" applyFont="1" applyBorder="1" applyAlignment="1" applyProtection="1">
      <alignment horizontal="left" vertical="top" wrapText="1"/>
      <protection locked="0"/>
    </xf>
    <xf numFmtId="0" fontId="5" fillId="0" borderId="12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0" fontId="9" fillId="0" borderId="1" xfId="2" applyFont="1" applyBorder="1" applyAlignment="1" applyProtection="1">
      <alignment horizontal="center" vertical="top" wrapText="1"/>
      <protection locked="0"/>
    </xf>
    <xf numFmtId="9" fontId="4" fillId="0" borderId="1" xfId="2" applyNumberFormat="1" applyFont="1" applyBorder="1" applyAlignment="1" applyProtection="1">
      <alignment horizontal="center" vertical="center" wrapText="1"/>
      <protection hidden="1"/>
    </xf>
    <xf numFmtId="9" fontId="4" fillId="0" borderId="18" xfId="2" applyNumberFormat="1" applyFont="1" applyBorder="1" applyAlignment="1" applyProtection="1">
      <alignment horizontal="center" vertical="center" wrapText="1"/>
      <protection hidden="1"/>
    </xf>
    <xf numFmtId="9" fontId="4" fillId="0" borderId="7" xfId="2" applyNumberFormat="1" applyFont="1" applyBorder="1" applyAlignment="1" applyProtection="1">
      <alignment horizontal="center" vertical="center" wrapText="1"/>
      <protection hidden="1"/>
    </xf>
    <xf numFmtId="9" fontId="4" fillId="0" borderId="28" xfId="2" applyNumberFormat="1" applyFont="1" applyBorder="1" applyAlignment="1" applyProtection="1">
      <alignment horizontal="center" vertical="center" wrapText="1"/>
      <protection hidden="1"/>
    </xf>
    <xf numFmtId="9" fontId="4" fillId="0" borderId="9" xfId="2" applyNumberFormat="1" applyFont="1" applyBorder="1" applyAlignment="1" applyProtection="1">
      <alignment horizontal="center" vertical="center" wrapText="1"/>
      <protection hidden="1"/>
    </xf>
    <xf numFmtId="9" fontId="4" fillId="0" borderId="33" xfId="2" applyNumberFormat="1" applyFont="1" applyBorder="1" applyAlignment="1" applyProtection="1">
      <alignment horizontal="center" vertical="center" wrapText="1"/>
      <protection hidden="1"/>
    </xf>
    <xf numFmtId="9" fontId="4" fillId="0" borderId="27" xfId="2" applyNumberFormat="1" applyFont="1" applyBorder="1" applyAlignment="1" applyProtection="1">
      <alignment horizontal="center" vertical="center" wrapText="1"/>
      <protection hidden="1"/>
    </xf>
    <xf numFmtId="9" fontId="4" fillId="0" borderId="36" xfId="2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20" xfId="2" applyFont="1" applyBorder="1" applyAlignment="1" applyProtection="1">
      <alignment horizontal="center" vertical="top"/>
      <protection locked="0"/>
    </xf>
    <xf numFmtId="0" fontId="2" fillId="0" borderId="13" xfId="2" applyFont="1" applyBorder="1" applyAlignment="1" applyProtection="1">
      <alignment horizontal="center" vertical="top"/>
      <protection locked="0"/>
    </xf>
    <xf numFmtId="14" fontId="2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2" fillId="0" borderId="5" xfId="2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 wrapText="1"/>
    </xf>
    <xf numFmtId="14" fontId="16" fillId="0" borderId="3" xfId="7" applyNumberFormat="1" applyFont="1" applyBorder="1" applyAlignment="1">
      <alignment horizontal="center" vertical="top" wrapText="1"/>
    </xf>
    <xf numFmtId="14" fontId="17" fillId="0" borderId="4" xfId="0" applyNumberFormat="1" applyFont="1" applyBorder="1" applyAlignment="1">
      <alignment horizontal="center" vertical="top" wrapText="1"/>
    </xf>
    <xf numFmtId="14" fontId="17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 wrapText="1"/>
    </xf>
    <xf numFmtId="14" fontId="2" fillId="0" borderId="28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14" fontId="4" fillId="0" borderId="28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>
      <alignment horizontal="center" vertical="top" wrapText="1"/>
    </xf>
    <xf numFmtId="1" fontId="2" fillId="0" borderId="7" xfId="2" applyNumberFormat="1" applyFont="1" applyBorder="1" applyAlignment="1">
      <alignment horizontal="center" vertical="top" wrapText="1"/>
    </xf>
    <xf numFmtId="1" fontId="2" fillId="0" borderId="29" xfId="2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" fontId="5" fillId="0" borderId="38" xfId="0" applyNumberFormat="1" applyFont="1" applyBorder="1" applyAlignment="1">
      <alignment horizontal="center" vertical="top" wrapText="1"/>
    </xf>
    <xf numFmtId="1" fontId="5" fillId="0" borderId="39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37" xfId="0" applyNumberFormat="1" applyFont="1" applyBorder="1" applyAlignment="1" applyProtection="1">
      <alignment horizontal="center" vertical="center" wrapText="1"/>
      <protection locked="0"/>
    </xf>
    <xf numFmtId="1" fontId="5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>
      <alignment horizontal="left" vertical="top" wrapText="1"/>
    </xf>
    <xf numFmtId="0" fontId="3" fillId="0" borderId="28" xfId="2" applyFont="1" applyBorder="1" applyAlignment="1">
      <alignment horizontal="left" vertical="top" wrapText="1"/>
    </xf>
    <xf numFmtId="0" fontId="3" fillId="0" borderId="29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1" xfId="2" applyFont="1" applyBorder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14" fontId="4" fillId="0" borderId="29" xfId="0" applyNumberFormat="1" applyFont="1" applyBorder="1" applyAlignment="1">
      <alignment horizontal="center" vertical="top" wrapText="1"/>
    </xf>
    <xf numFmtId="14" fontId="4" fillId="0" borderId="30" xfId="0" applyNumberFormat="1" applyFont="1" applyBorder="1" applyAlignment="1">
      <alignment horizontal="center" vertical="top" wrapText="1"/>
    </xf>
    <xf numFmtId="14" fontId="4" fillId="0" borderId="31" xfId="0" applyNumberFormat="1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4" fontId="4" fillId="0" borderId="35" xfId="0" applyNumberFormat="1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 wrapText="1"/>
    </xf>
    <xf numFmtId="14" fontId="4" fillId="0" borderId="33" xfId="0" applyNumberFormat="1" applyFont="1" applyBorder="1" applyAlignment="1">
      <alignment horizontal="left" vertical="top" wrapText="1"/>
    </xf>
  </cellXfs>
  <cellStyles count="8">
    <cellStyle name="Comma 2" xfId="5" xr:uid="{00000000-0005-0000-0000-000000000000}"/>
    <cellStyle name="Excel Built-in Normal" xfId="1" xr:uid="{00000000-0005-0000-0000-000001000000}"/>
    <cellStyle name="Excel Built-in Normal 2" xfId="3" xr:uid="{00000000-0005-0000-0000-000002000000}"/>
    <cellStyle name="Hyperlink" xfId="7" builtinId="8"/>
    <cellStyle name="Normal" xfId="0" builtinId="0"/>
    <cellStyle name="Normal 3" xfId="2" xr:uid="{00000000-0005-0000-0000-000004000000}"/>
    <cellStyle name="Normal 4" xfId="4" xr:uid="{00000000-0005-0000-0000-000005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269631</xdr:colOff>
      <xdr:row>101</xdr:row>
      <xdr:rowOff>116645</xdr:rowOff>
    </xdr:from>
    <xdr:to>
      <xdr:col>16</xdr:col>
      <xdr:colOff>370293</xdr:colOff>
      <xdr:row>109</xdr:row>
      <xdr:rowOff>146950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D1E6C-D048-AF8D-878B-DFC38A1D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5231" y="26722168"/>
          <a:ext cx="3600000" cy="1454659"/>
        </a:xfrm>
        <a:prstGeom prst="rect">
          <a:avLst/>
        </a:prstGeom>
      </xdr:spPr>
    </xdr:pic>
    <xdr:clientData/>
  </xdr:twoCellAnchor>
  <xdr:twoCellAnchor editAs="oneCell">
    <xdr:from>
      <xdr:col>8</xdr:col>
      <xdr:colOff>29308</xdr:colOff>
      <xdr:row>83</xdr:row>
      <xdr:rowOff>339969</xdr:rowOff>
    </xdr:from>
    <xdr:to>
      <xdr:col>12</xdr:col>
      <xdr:colOff>37154</xdr:colOff>
      <xdr:row>93</xdr:row>
      <xdr:rowOff>149732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F0B460-9A24-6C82-35E9-A4C991C8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908" y="24893954"/>
          <a:ext cx="2880000" cy="1896470"/>
        </a:xfrm>
        <a:prstGeom prst="rect">
          <a:avLst/>
        </a:prstGeom>
      </xdr:spPr>
    </xdr:pic>
    <xdr:clientData/>
  </xdr:twoCellAnchor>
  <xdr:twoCellAnchor>
    <xdr:from>
      <xdr:col>1</xdr:col>
      <xdr:colOff>480647</xdr:colOff>
      <xdr:row>358</xdr:row>
      <xdr:rowOff>11723</xdr:rowOff>
    </xdr:from>
    <xdr:to>
      <xdr:col>6</xdr:col>
      <xdr:colOff>474785</xdr:colOff>
      <xdr:row>390</xdr:row>
      <xdr:rowOff>134815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041CDA3-920C-F1C9-B896-9A67E39E7720}"/>
            </a:ext>
          </a:extLst>
        </xdr:cNvPr>
        <xdr:cNvGrpSpPr/>
      </xdr:nvGrpSpPr>
      <xdr:grpSpPr>
        <a:xfrm>
          <a:off x="1257887" y="75769763"/>
          <a:ext cx="4307058" cy="5731412"/>
          <a:chOff x="909000" y="117566"/>
          <a:chExt cx="5040000" cy="8173921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886445E-5791-0C42-AA26-58E69DC95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30666" t="29681" r="30286" b="19525"/>
          <a:stretch>
            <a:fillRect/>
          </a:stretch>
        </xdr:blipFill>
        <xdr:spPr>
          <a:xfrm>
            <a:off x="909000" y="117566"/>
            <a:ext cx="5040000" cy="36878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F3E9ADC-273B-EE3F-ECC2-1318FE86A4C6}"/>
              </a:ext>
            </a:extLst>
          </xdr:cNvPr>
          <xdr:cNvGrpSpPr/>
        </xdr:nvGrpSpPr>
        <xdr:grpSpPr>
          <a:xfrm>
            <a:off x="909000" y="3951819"/>
            <a:ext cx="5040000" cy="4339668"/>
            <a:chOff x="909000" y="3951819"/>
            <a:chExt cx="5040000" cy="4339668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F087AE0-7935-CD65-AD5B-4BE8373E46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09000" y="3951819"/>
              <a:ext cx="5040000" cy="43396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D7234B3D-8507-8757-AE4F-18E0AD6067D7}"/>
                </a:ext>
              </a:extLst>
            </xdr:cNvPr>
            <xdr:cNvSpPr/>
          </xdr:nvSpPr>
          <xdr:spPr>
            <a:xfrm rot="20220261">
              <a:off x="2524637" y="5049840"/>
              <a:ext cx="1319102" cy="1907177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1</xdr:col>
      <xdr:colOff>0</xdr:colOff>
      <xdr:row>314</xdr:row>
      <xdr:rowOff>0</xdr:rowOff>
    </xdr:from>
    <xdr:to>
      <xdr:col>7</xdr:col>
      <xdr:colOff>52754</xdr:colOff>
      <xdr:row>353</xdr:row>
      <xdr:rowOff>158262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B2A30A1-DA53-12D4-BFB4-B041E470FAA2}"/>
            </a:ext>
          </a:extLst>
        </xdr:cNvPr>
        <xdr:cNvGrpSpPr/>
      </xdr:nvGrpSpPr>
      <xdr:grpSpPr>
        <a:xfrm>
          <a:off x="777240" y="68046600"/>
          <a:ext cx="5158154" cy="6993402"/>
          <a:chOff x="542393" y="236565"/>
          <a:chExt cx="5400000" cy="762300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80C13B8-51BE-611A-C044-97B55CD608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42393" y="236565"/>
            <a:ext cx="5400000" cy="41480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A22033B-EF01-E5D6-11ED-A424EDDDA4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365436" y="4514685"/>
            <a:ext cx="3600000" cy="33448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TextBox 5">
            <a:extLst>
              <a:ext uri="{FF2B5EF4-FFF2-40B4-BE49-F238E27FC236}">
                <a16:creationId xmlns:a16="http://schemas.microsoft.com/office/drawing/2014/main" id="{56950DE4-A147-7D89-90D6-07F83C8C73BB}"/>
              </a:ext>
            </a:extLst>
          </xdr:cNvPr>
          <xdr:cNvSpPr txBox="1"/>
        </xdr:nvSpPr>
        <xdr:spPr>
          <a:xfrm>
            <a:off x="2627376" y="2944368"/>
            <a:ext cx="431528" cy="40649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13" name="TextBox 6">
            <a:extLst>
              <a:ext uri="{FF2B5EF4-FFF2-40B4-BE49-F238E27FC236}">
                <a16:creationId xmlns:a16="http://schemas.microsoft.com/office/drawing/2014/main" id="{96EA1A2E-3869-5993-B714-42F8C1DEE8F5}"/>
              </a:ext>
            </a:extLst>
          </xdr:cNvPr>
          <xdr:cNvSpPr txBox="1"/>
        </xdr:nvSpPr>
        <xdr:spPr>
          <a:xfrm>
            <a:off x="2633471" y="2944368"/>
            <a:ext cx="526207" cy="40649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B1</a:t>
            </a:r>
          </a:p>
        </xdr:txBody>
      </xdr:sp>
      <xdr:sp macro="" textlink="">
        <xdr:nvSpPr>
          <xdr:cNvPr id="14" name="TextBox 7">
            <a:extLst>
              <a:ext uri="{FF2B5EF4-FFF2-40B4-BE49-F238E27FC236}">
                <a16:creationId xmlns:a16="http://schemas.microsoft.com/office/drawing/2014/main" id="{DDEE30FF-CA10-EC15-2CDA-06094644B8A3}"/>
              </a:ext>
            </a:extLst>
          </xdr:cNvPr>
          <xdr:cNvSpPr txBox="1"/>
        </xdr:nvSpPr>
        <xdr:spPr>
          <a:xfrm>
            <a:off x="3388731" y="2125911"/>
            <a:ext cx="526207" cy="40649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B2</a:t>
            </a:r>
          </a:p>
        </xdr:txBody>
      </xdr:sp>
      <xdr:sp macro="" textlink="">
        <xdr:nvSpPr>
          <xdr:cNvPr id="15" name="TextBox 8">
            <a:extLst>
              <a:ext uri="{FF2B5EF4-FFF2-40B4-BE49-F238E27FC236}">
                <a16:creationId xmlns:a16="http://schemas.microsoft.com/office/drawing/2014/main" id="{968D47E0-3A1F-BDC8-6068-87426D42267A}"/>
              </a:ext>
            </a:extLst>
          </xdr:cNvPr>
          <xdr:cNvSpPr txBox="1"/>
        </xdr:nvSpPr>
        <xdr:spPr>
          <a:xfrm>
            <a:off x="4876799" y="2267712"/>
            <a:ext cx="526207" cy="40649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B3</a:t>
            </a:r>
          </a:p>
        </xdr:txBody>
      </xdr:sp>
      <xdr:sp macro="" textlink="">
        <xdr:nvSpPr>
          <xdr:cNvPr id="16" name="TextBox 9">
            <a:extLst>
              <a:ext uri="{FF2B5EF4-FFF2-40B4-BE49-F238E27FC236}">
                <a16:creationId xmlns:a16="http://schemas.microsoft.com/office/drawing/2014/main" id="{488BDBF6-7EA4-9018-A70D-15EBA36CBCEA}"/>
              </a:ext>
            </a:extLst>
          </xdr:cNvPr>
          <xdr:cNvSpPr txBox="1"/>
        </xdr:nvSpPr>
        <xdr:spPr>
          <a:xfrm>
            <a:off x="4584191" y="755904"/>
            <a:ext cx="526207" cy="40649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B4</a:t>
            </a:r>
          </a:p>
        </xdr:txBody>
      </xdr:sp>
    </xdr:grpSp>
    <xdr:clientData/>
  </xdr:twoCellAnchor>
  <xdr:twoCellAnchor>
    <xdr:from>
      <xdr:col>0</xdr:col>
      <xdr:colOff>269631</xdr:colOff>
      <xdr:row>267</xdr:row>
      <xdr:rowOff>29307</xdr:rowOff>
    </xdr:from>
    <xdr:to>
      <xdr:col>7</xdr:col>
      <xdr:colOff>539262</xdr:colOff>
      <xdr:row>300</xdr:row>
      <xdr:rowOff>82061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6218111F-C20E-CDD5-881E-469888523427}"/>
            </a:ext>
          </a:extLst>
        </xdr:cNvPr>
        <xdr:cNvGrpSpPr/>
      </xdr:nvGrpSpPr>
      <xdr:grpSpPr>
        <a:xfrm>
          <a:off x="269631" y="59838687"/>
          <a:ext cx="6152271" cy="5836334"/>
          <a:chOff x="215147" y="152400"/>
          <a:chExt cx="7708728" cy="6908696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D0FAC2A2-8166-89B6-3418-AF6383FA4DAF}"/>
              </a:ext>
            </a:extLst>
          </xdr:cNvPr>
          <xdr:cNvGrpSpPr/>
        </xdr:nvGrpSpPr>
        <xdr:grpSpPr>
          <a:xfrm>
            <a:off x="630646" y="152400"/>
            <a:ext cx="6877731" cy="2520000"/>
            <a:chOff x="414546" y="152400"/>
            <a:chExt cx="6877731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E94266A0-691B-E1F9-DC29-A63E2378CB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34986" y="152400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90D27D0A-D7E5-B704-0F2E-3312DB7795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4546" y="152400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BF870F04-CC0E-6D0F-5E3D-DECDCDC062D7}"/>
              </a:ext>
            </a:extLst>
          </xdr:cNvPr>
          <xdr:cNvGrpSpPr/>
        </xdr:nvGrpSpPr>
        <xdr:grpSpPr>
          <a:xfrm>
            <a:off x="215147" y="2871508"/>
            <a:ext cx="7708728" cy="2175240"/>
            <a:chOff x="215147" y="2871508"/>
            <a:chExt cx="7708728" cy="217524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D9130234-8398-935B-2BA7-F906B54A9C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46197" y="2886748"/>
              <a:ext cx="2877678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9AE3B50B-E72F-1FF5-39E7-416E6C7E04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0161" y="2871508"/>
              <a:ext cx="2877678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F3EF0592-FF3F-5E1E-6C4E-4F4A21301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5147" y="288674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B9A3D710-3E66-2450-915D-2DF7EA988EA3}"/>
              </a:ext>
            </a:extLst>
          </xdr:cNvPr>
          <xdr:cNvGrpSpPr/>
        </xdr:nvGrpSpPr>
        <xdr:grpSpPr>
          <a:xfrm>
            <a:off x="1279888" y="5245856"/>
            <a:ext cx="5579247" cy="1815240"/>
            <a:chOff x="815544" y="5245856"/>
            <a:chExt cx="5579247" cy="181524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388F8F05-6BCC-3537-916E-A7061B57BB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46197" y="526109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EEE66386-9C93-4ECB-C5F0-44DDFA7463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5544" y="526109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60A31445-4E8B-5CBE-CCC6-AB3C566378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6135" y="5245856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10</xdr:col>
      <xdr:colOff>224117</xdr:colOff>
      <xdr:row>35</xdr:row>
      <xdr:rowOff>0</xdr:rowOff>
    </xdr:from>
    <xdr:to>
      <xdr:col>23</xdr:col>
      <xdr:colOff>105783</xdr:colOff>
      <xdr:row>58</xdr:row>
      <xdr:rowOff>177522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25E5435C-D8AB-D1F5-637F-1A1DDEA74C3F}"/>
            </a:ext>
          </a:extLst>
        </xdr:cNvPr>
        <xdr:cNvGrpSpPr/>
      </xdr:nvGrpSpPr>
      <xdr:grpSpPr>
        <a:xfrm>
          <a:off x="8537537" y="12161520"/>
          <a:ext cx="6130066" cy="5275302"/>
          <a:chOff x="152640" y="914400"/>
          <a:chExt cx="6156960" cy="5278440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5FC6C523-7BD6-55D6-E97D-66A7EF678C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1120" y="367284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66042B1A-E1C9-F3C5-09D5-B0E2BD8BFA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4600" y="367284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63CD66F-870E-CF75-98B1-73C8F2CB5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640" y="91440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2C023CED-1082-4979-B569-63A6144AD2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120" y="91440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F2F5A427-71D3-67C1-0B45-D2949E35E5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19600" y="91440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pSPa2DGZM3kCLc3w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0"/>
  <sheetViews>
    <sheetView tabSelected="1" view="pageBreakPreview" zoomScaleNormal="85" zoomScaleSheetLayoutView="100" zoomScalePageLayoutView="85" workbookViewId="0">
      <selection activeCell="K5" sqref="K5"/>
    </sheetView>
  </sheetViews>
  <sheetFormatPr defaultColWidth="9.109375" defaultRowHeight="13.8" x14ac:dyDescent="0.25"/>
  <cols>
    <col min="1" max="1" width="11.33203125" style="9" customWidth="1"/>
    <col min="2" max="2" width="13.33203125" style="9" customWidth="1"/>
    <col min="3" max="3" width="12.109375" style="9" customWidth="1"/>
    <col min="4" max="4" width="12.44140625" style="9" customWidth="1"/>
    <col min="5" max="5" width="11.6640625" style="9" customWidth="1"/>
    <col min="6" max="6" width="13.33203125" style="9" customWidth="1"/>
    <col min="7" max="7" width="11.5546875" style="9" customWidth="1"/>
    <col min="8" max="8" width="11.88671875" style="9" customWidth="1"/>
    <col min="9" max="9" width="14.44140625" style="9" customWidth="1"/>
    <col min="10" max="13" width="9.109375" style="9"/>
    <col min="14" max="16" width="0" style="9" hidden="1" customWidth="1"/>
    <col min="17" max="16384" width="9.109375" style="9"/>
  </cols>
  <sheetData>
    <row r="1" spans="1:9" ht="43.95" customHeight="1" x14ac:dyDescent="0.25">
      <c r="A1" s="141" t="s">
        <v>141</v>
      </c>
      <c r="B1" s="141"/>
      <c r="C1" s="141"/>
      <c r="D1" s="141"/>
      <c r="E1" s="141"/>
      <c r="F1" s="141"/>
      <c r="G1" s="141"/>
      <c r="H1" s="141"/>
    </row>
    <row r="2" spans="1:9" x14ac:dyDescent="0.25">
      <c r="A2" s="142" t="s">
        <v>8</v>
      </c>
      <c r="B2" s="142"/>
      <c r="C2" s="142"/>
      <c r="D2" s="142"/>
      <c r="E2" s="142"/>
      <c r="F2" s="142"/>
      <c r="G2" s="142"/>
      <c r="H2" s="142"/>
    </row>
    <row r="3" spans="1:9" x14ac:dyDescent="0.25">
      <c r="A3" s="10" t="s">
        <v>16</v>
      </c>
      <c r="B3" s="144" t="s">
        <v>14</v>
      </c>
      <c r="C3" s="144"/>
      <c r="D3" s="144"/>
      <c r="E3" s="143" t="s">
        <v>17</v>
      </c>
      <c r="F3" s="143"/>
      <c r="G3" s="143"/>
      <c r="H3" s="143"/>
    </row>
    <row r="4" spans="1:9" ht="15" customHeight="1" x14ac:dyDescent="0.25">
      <c r="A4" s="11">
        <v>1</v>
      </c>
      <c r="B4" s="119" t="s">
        <v>18</v>
      </c>
      <c r="C4" s="119"/>
      <c r="D4" s="119"/>
      <c r="E4" s="145" t="s">
        <v>192</v>
      </c>
      <c r="F4" s="145"/>
      <c r="G4" s="145"/>
      <c r="H4" s="145"/>
    </row>
    <row r="5" spans="1:9" ht="46.8" customHeight="1" x14ac:dyDescent="0.25">
      <c r="A5" s="107">
        <v>2</v>
      </c>
      <c r="B5" s="119" t="s">
        <v>19</v>
      </c>
      <c r="C5" s="119"/>
      <c r="D5" s="119"/>
      <c r="E5" s="132" t="s">
        <v>246</v>
      </c>
      <c r="F5" s="132"/>
      <c r="G5" s="132"/>
      <c r="H5" s="132"/>
    </row>
    <row r="6" spans="1:9" ht="15.75" customHeight="1" x14ac:dyDescent="0.25">
      <c r="A6" s="108"/>
      <c r="B6" s="119"/>
      <c r="C6" s="119"/>
      <c r="D6" s="119"/>
      <c r="E6" s="137" t="s">
        <v>142</v>
      </c>
      <c r="F6" s="139"/>
      <c r="G6" s="153" t="s">
        <v>240</v>
      </c>
      <c r="H6" s="153"/>
    </row>
    <row r="7" spans="1:9" ht="15.75" customHeight="1" x14ac:dyDescent="0.25">
      <c r="A7" s="108"/>
      <c r="B7" s="149" t="s">
        <v>139</v>
      </c>
      <c r="C7" s="150"/>
      <c r="D7" s="150"/>
      <c r="E7" s="146" t="s">
        <v>241</v>
      </c>
      <c r="F7" s="147"/>
      <c r="G7" s="147"/>
      <c r="H7" s="148"/>
    </row>
    <row r="8" spans="1:9" x14ac:dyDescent="0.25">
      <c r="A8" s="108"/>
      <c r="B8" s="119" t="s">
        <v>83</v>
      </c>
      <c r="C8" s="119"/>
      <c r="D8" s="119"/>
      <c r="E8" s="137" t="s">
        <v>192</v>
      </c>
      <c r="F8" s="139"/>
      <c r="G8" s="137" t="s">
        <v>193</v>
      </c>
      <c r="H8" s="139"/>
    </row>
    <row r="9" spans="1:9" x14ac:dyDescent="0.25">
      <c r="A9" s="109"/>
      <c r="B9" s="119" t="s">
        <v>149</v>
      </c>
      <c r="C9" s="119"/>
      <c r="D9" s="119"/>
      <c r="E9" s="132" t="s">
        <v>10</v>
      </c>
      <c r="F9" s="132"/>
      <c r="G9" s="132"/>
      <c r="H9" s="132"/>
    </row>
    <row r="10" spans="1:9" x14ac:dyDescent="0.25">
      <c r="A10" s="11">
        <v>3</v>
      </c>
      <c r="B10" s="119" t="s">
        <v>20</v>
      </c>
      <c r="C10" s="119"/>
      <c r="D10" s="119"/>
      <c r="E10" s="132" t="s">
        <v>194</v>
      </c>
      <c r="F10" s="132"/>
      <c r="G10" s="132"/>
      <c r="H10" s="132"/>
    </row>
    <row r="11" spans="1:9" ht="32.25" customHeight="1" x14ac:dyDescent="0.25">
      <c r="A11" s="11">
        <v>4</v>
      </c>
      <c r="B11" s="119" t="s">
        <v>21</v>
      </c>
      <c r="C11" s="119"/>
      <c r="D11" s="119"/>
      <c r="E11" s="132" t="s">
        <v>195</v>
      </c>
      <c r="F11" s="132"/>
      <c r="G11" s="132"/>
      <c r="H11" s="132"/>
    </row>
    <row r="12" spans="1:9" ht="36" customHeight="1" x14ac:dyDescent="0.25">
      <c r="A12" s="11">
        <v>5</v>
      </c>
      <c r="B12" s="119" t="s">
        <v>22</v>
      </c>
      <c r="C12" s="119"/>
      <c r="D12" s="119"/>
      <c r="E12" s="132" t="s">
        <v>196</v>
      </c>
      <c r="F12" s="132"/>
      <c r="G12" s="132"/>
      <c r="H12" s="132"/>
      <c r="I12" s="197" t="s">
        <v>138</v>
      </c>
    </row>
    <row r="13" spans="1:9" ht="36" customHeight="1" x14ac:dyDescent="0.25">
      <c r="A13" s="11">
        <v>6</v>
      </c>
      <c r="B13" s="119" t="s">
        <v>23</v>
      </c>
      <c r="C13" s="119"/>
      <c r="D13" s="119"/>
      <c r="E13" s="120" t="str">
        <f>E12</f>
        <v>G.No. 225(PT), Village - Makane, Taluka and District  Palghar.</v>
      </c>
      <c r="F13" s="120"/>
      <c r="G13" s="120"/>
      <c r="H13" s="120"/>
      <c r="I13" s="197"/>
    </row>
    <row r="14" spans="1:9" ht="15" customHeight="1" x14ac:dyDescent="0.25">
      <c r="A14" s="11">
        <v>7</v>
      </c>
      <c r="B14" s="119" t="s">
        <v>24</v>
      </c>
      <c r="C14" s="119"/>
      <c r="D14" s="119"/>
      <c r="E14" s="132">
        <v>45880</v>
      </c>
      <c r="F14" s="132"/>
      <c r="G14" s="132"/>
      <c r="H14" s="132"/>
    </row>
    <row r="15" spans="1:9" ht="15" customHeight="1" x14ac:dyDescent="0.25">
      <c r="A15" s="11">
        <v>8</v>
      </c>
      <c r="B15" s="119" t="s">
        <v>183</v>
      </c>
      <c r="C15" s="119"/>
      <c r="D15" s="119"/>
      <c r="E15" s="132">
        <v>45880</v>
      </c>
      <c r="F15" s="132"/>
      <c r="G15" s="132"/>
      <c r="H15" s="132"/>
    </row>
    <row r="16" spans="1:9" ht="49.2" customHeight="1" x14ac:dyDescent="0.25">
      <c r="A16" s="11">
        <v>9</v>
      </c>
      <c r="B16" s="119" t="s">
        <v>25</v>
      </c>
      <c r="C16" s="119"/>
      <c r="D16" s="119"/>
      <c r="E16" s="132" t="s">
        <v>197</v>
      </c>
      <c r="F16" s="132"/>
      <c r="G16" s="132"/>
      <c r="H16" s="132"/>
    </row>
    <row r="17" spans="1:10" ht="30.75" customHeight="1" x14ac:dyDescent="0.25">
      <c r="A17" s="11">
        <v>10</v>
      </c>
      <c r="B17" s="111" t="s">
        <v>26</v>
      </c>
      <c r="C17" s="111"/>
      <c r="D17" s="111"/>
      <c r="E17" s="130" t="s">
        <v>64</v>
      </c>
      <c r="F17" s="130"/>
      <c r="G17" s="130"/>
      <c r="H17" s="130"/>
    </row>
    <row r="18" spans="1:10" x14ac:dyDescent="0.25">
      <c r="A18" s="11">
        <v>11</v>
      </c>
      <c r="B18" s="119" t="s">
        <v>27</v>
      </c>
      <c r="C18" s="119"/>
      <c r="D18" s="119"/>
      <c r="E18" s="130" t="s">
        <v>64</v>
      </c>
      <c r="F18" s="130"/>
      <c r="G18" s="130"/>
      <c r="H18" s="130"/>
    </row>
    <row r="19" spans="1:10" ht="46.5" customHeight="1" x14ac:dyDescent="0.25">
      <c r="A19" s="11">
        <v>12</v>
      </c>
      <c r="B19" s="111" t="s">
        <v>28</v>
      </c>
      <c r="C19" s="111"/>
      <c r="D19" s="111"/>
      <c r="E19" s="130" t="s">
        <v>64</v>
      </c>
      <c r="F19" s="130"/>
      <c r="G19" s="130"/>
      <c r="H19" s="130"/>
    </row>
    <row r="20" spans="1:10" ht="47.25" customHeight="1" x14ac:dyDescent="0.25">
      <c r="A20" s="11">
        <v>13</v>
      </c>
      <c r="B20" s="111" t="s">
        <v>111</v>
      </c>
      <c r="C20" s="111"/>
      <c r="D20" s="111"/>
      <c r="E20" s="152" t="s">
        <v>198</v>
      </c>
      <c r="F20" s="152"/>
      <c r="G20" s="152"/>
      <c r="H20" s="152"/>
    </row>
    <row r="21" spans="1:10" ht="29.25" customHeight="1" x14ac:dyDescent="0.25">
      <c r="A21" s="11">
        <v>14</v>
      </c>
      <c r="B21" s="111" t="s">
        <v>29</v>
      </c>
      <c r="C21" s="111"/>
      <c r="D21" s="111"/>
      <c r="E21" s="132">
        <v>45881</v>
      </c>
      <c r="F21" s="132"/>
      <c r="G21" s="132"/>
      <c r="H21" s="132"/>
    </row>
    <row r="22" spans="1:10" ht="15" customHeight="1" x14ac:dyDescent="0.25">
      <c r="A22" s="11">
        <v>15</v>
      </c>
      <c r="B22" s="111" t="s">
        <v>30</v>
      </c>
      <c r="C22" s="111"/>
      <c r="D22" s="111"/>
      <c r="E22" s="151" t="s">
        <v>199</v>
      </c>
      <c r="F22" s="151"/>
      <c r="G22" s="151"/>
      <c r="H22" s="151"/>
      <c r="I22" s="198"/>
      <c r="J22" s="61"/>
    </row>
    <row r="23" spans="1:10" ht="30" customHeight="1" x14ac:dyDescent="0.25">
      <c r="A23" s="11">
        <v>16</v>
      </c>
      <c r="B23" s="111" t="s">
        <v>31</v>
      </c>
      <c r="C23" s="111"/>
      <c r="D23" s="111"/>
      <c r="E23" s="132" t="s">
        <v>200</v>
      </c>
      <c r="F23" s="132"/>
      <c r="G23" s="132"/>
      <c r="H23" s="132"/>
      <c r="I23" s="198"/>
      <c r="J23" s="61"/>
    </row>
    <row r="24" spans="1:10" ht="46.5" customHeight="1" x14ac:dyDescent="0.25">
      <c r="A24" s="11">
        <v>17</v>
      </c>
      <c r="B24" s="111" t="s">
        <v>112</v>
      </c>
      <c r="C24" s="111"/>
      <c r="D24" s="111"/>
      <c r="E24" s="132" t="s">
        <v>201</v>
      </c>
      <c r="F24" s="132"/>
      <c r="G24" s="132"/>
      <c r="H24" s="132"/>
      <c r="I24" s="198"/>
      <c r="J24" s="61"/>
    </row>
    <row r="25" spans="1:10" ht="31.5" customHeight="1" x14ac:dyDescent="0.25">
      <c r="A25" s="11">
        <v>18</v>
      </c>
      <c r="B25" s="111" t="s">
        <v>32</v>
      </c>
      <c r="C25" s="111"/>
      <c r="D25" s="111"/>
      <c r="E25" s="130" t="s">
        <v>64</v>
      </c>
      <c r="F25" s="130"/>
      <c r="G25" s="130"/>
      <c r="H25" s="130"/>
    </row>
    <row r="26" spans="1:10" x14ac:dyDescent="0.25">
      <c r="A26" s="11">
        <v>19</v>
      </c>
      <c r="B26" s="111" t="s">
        <v>33</v>
      </c>
      <c r="C26" s="111"/>
      <c r="D26" s="111"/>
      <c r="E26" s="132" t="s">
        <v>10</v>
      </c>
      <c r="F26" s="132"/>
      <c r="G26" s="132"/>
      <c r="H26" s="132"/>
    </row>
    <row r="27" spans="1:10" ht="45" customHeight="1" x14ac:dyDescent="0.25">
      <c r="A27" s="11">
        <v>20</v>
      </c>
      <c r="B27" s="111" t="s">
        <v>34</v>
      </c>
      <c r="C27" s="111"/>
      <c r="D27" s="111"/>
      <c r="E27" s="130" t="s">
        <v>64</v>
      </c>
      <c r="F27" s="130"/>
      <c r="G27" s="130"/>
      <c r="H27" s="130"/>
    </row>
    <row r="28" spans="1:10" x14ac:dyDescent="0.25">
      <c r="A28" s="11">
        <v>21</v>
      </c>
      <c r="B28" s="111" t="s">
        <v>35</v>
      </c>
      <c r="C28" s="111"/>
      <c r="D28" s="111"/>
      <c r="E28" s="132" t="s">
        <v>202</v>
      </c>
      <c r="F28" s="132"/>
      <c r="G28" s="132"/>
      <c r="H28" s="132"/>
    </row>
    <row r="29" spans="1:10" ht="15" customHeight="1" x14ac:dyDescent="0.25">
      <c r="A29" s="11">
        <v>22</v>
      </c>
      <c r="B29" s="111" t="s">
        <v>36</v>
      </c>
      <c r="C29" s="111"/>
      <c r="D29" s="111"/>
      <c r="E29" s="132" t="str">
        <f>E28</f>
        <v xml:space="preserve">K.M.WORLD </v>
      </c>
      <c r="F29" s="132"/>
      <c r="G29" s="132"/>
      <c r="H29" s="132"/>
    </row>
    <row r="30" spans="1:10" ht="42.6" customHeight="1" x14ac:dyDescent="0.25">
      <c r="A30" s="11">
        <v>23</v>
      </c>
      <c r="B30" s="111" t="s">
        <v>37</v>
      </c>
      <c r="C30" s="111"/>
      <c r="D30" s="111"/>
      <c r="E30" s="132" t="s">
        <v>203</v>
      </c>
      <c r="F30" s="132"/>
      <c r="G30" s="132"/>
      <c r="H30" s="132"/>
    </row>
    <row r="31" spans="1:10" ht="43.8" customHeight="1" x14ac:dyDescent="0.25">
      <c r="A31" s="11">
        <v>24</v>
      </c>
      <c r="B31" s="111" t="s">
        <v>204</v>
      </c>
      <c r="C31" s="111"/>
      <c r="D31" s="111"/>
      <c r="E31" s="132" t="s">
        <v>205</v>
      </c>
      <c r="F31" s="132"/>
      <c r="G31" s="132"/>
      <c r="H31" s="132"/>
    </row>
    <row r="32" spans="1:10" x14ac:dyDescent="0.25">
      <c r="A32" s="11">
        <v>25</v>
      </c>
      <c r="B32" s="111" t="s">
        <v>38</v>
      </c>
      <c r="C32" s="111"/>
      <c r="D32" s="111"/>
      <c r="E32" s="132" t="s">
        <v>206</v>
      </c>
      <c r="F32" s="132"/>
      <c r="G32" s="132"/>
      <c r="H32" s="132"/>
      <c r="I32" s="199" t="s">
        <v>138</v>
      </c>
      <c r="J32" s="200"/>
    </row>
    <row r="33" spans="1:10" ht="30" customHeight="1" x14ac:dyDescent="0.25">
      <c r="A33" s="11">
        <v>26</v>
      </c>
      <c r="B33" s="111" t="s">
        <v>39</v>
      </c>
      <c r="C33" s="111"/>
      <c r="D33" s="111"/>
      <c r="E33" s="120" t="str">
        <f>E32</f>
        <v>Collector Office Palghar</v>
      </c>
      <c r="F33" s="120"/>
      <c r="G33" s="120"/>
      <c r="H33" s="120"/>
      <c r="I33" s="199"/>
      <c r="J33" s="200"/>
    </row>
    <row r="34" spans="1:10" ht="33.75" customHeight="1" x14ac:dyDescent="0.25">
      <c r="A34" s="11">
        <v>27</v>
      </c>
      <c r="B34" s="111" t="s">
        <v>40</v>
      </c>
      <c r="C34" s="111"/>
      <c r="D34" s="111"/>
      <c r="E34" s="130" t="s">
        <v>67</v>
      </c>
      <c r="F34" s="130"/>
      <c r="G34" s="130"/>
      <c r="H34" s="130"/>
    </row>
    <row r="35" spans="1:10" ht="29.25" customHeight="1" x14ac:dyDescent="0.25">
      <c r="A35" s="11">
        <v>28</v>
      </c>
      <c r="B35" s="111" t="s">
        <v>41</v>
      </c>
      <c r="C35" s="111"/>
      <c r="D35" s="111"/>
      <c r="E35" s="130" t="str">
        <f>IF(AND(ISNUMBER(SEARCH("Flat",E227)),ISNUMBER(SEARCH("Shop",E227)),ISNUMBER(SEARCH("Office",E227))),"Residential + Commercial",IF(AND(ISNUMBER(SEARCH("Flat",E227)),ISNUMBER(SEARCH("Shop",E227))),"Residential + Commercial",IF(AND(ISNUMBER(SEARCH("Flat",E227)),ISNUMBER(SEARCH("Office",E227))),"Residential + Commercial",IF(AND(ISNUMBER(SEARCH("Shop",E227)),ISNUMBER(SEARCH("Office",E227))),"Commercial",IF(ISNUMBER(SEARCH("Shop",E227)),"Commercial",IF(ISNUMBER(SEARCH("Office",E227)),"Commercial",IF(ISNUMBER(SEARCH("Flat",E227)),"Residential")))))))</f>
        <v>Residential + Commercial</v>
      </c>
      <c r="F35" s="130"/>
      <c r="G35" s="130"/>
      <c r="H35" s="130"/>
    </row>
    <row r="36" spans="1:10" ht="15" customHeight="1" x14ac:dyDescent="0.25">
      <c r="A36" s="11">
        <v>29</v>
      </c>
      <c r="B36" s="111" t="s">
        <v>178</v>
      </c>
      <c r="C36" s="111"/>
      <c r="D36" s="111"/>
      <c r="E36" s="201">
        <v>8000</v>
      </c>
      <c r="F36" s="201"/>
      <c r="G36" s="201"/>
      <c r="H36" s="201"/>
    </row>
    <row r="37" spans="1:10" ht="31.5" customHeight="1" x14ac:dyDescent="0.25">
      <c r="A37" s="11">
        <v>30</v>
      </c>
      <c r="B37" s="111" t="s">
        <v>79</v>
      </c>
      <c r="C37" s="111"/>
      <c r="D37" s="111"/>
      <c r="E37" s="130" t="s">
        <v>9</v>
      </c>
      <c r="F37" s="130"/>
      <c r="G37" s="130"/>
      <c r="H37" s="130"/>
    </row>
    <row r="38" spans="1:10" ht="31.5" customHeight="1" x14ac:dyDescent="0.25">
      <c r="A38" s="11">
        <v>31</v>
      </c>
      <c r="B38" s="111" t="s">
        <v>80</v>
      </c>
      <c r="C38" s="111"/>
      <c r="D38" s="111"/>
      <c r="E38" s="130" t="s">
        <v>68</v>
      </c>
      <c r="F38" s="130"/>
      <c r="G38" s="130"/>
      <c r="H38" s="130"/>
    </row>
    <row r="39" spans="1:10" ht="47.25" customHeight="1" x14ac:dyDescent="0.25">
      <c r="A39" s="11">
        <v>32</v>
      </c>
      <c r="B39" s="111" t="s">
        <v>42</v>
      </c>
      <c r="C39" s="111"/>
      <c r="D39" s="111"/>
      <c r="E39" s="130" t="s">
        <v>9</v>
      </c>
      <c r="F39" s="130"/>
      <c r="G39" s="130"/>
      <c r="H39" s="130"/>
    </row>
    <row r="40" spans="1:10" x14ac:dyDescent="0.25">
      <c r="A40" s="121">
        <v>33</v>
      </c>
      <c r="B40" s="120" t="s">
        <v>177</v>
      </c>
      <c r="C40" s="120"/>
      <c r="D40" s="120"/>
      <c r="E40" s="120">
        <v>7046.09</v>
      </c>
      <c r="F40" s="120"/>
      <c r="G40" s="120"/>
      <c r="H40" s="120"/>
    </row>
    <row r="41" spans="1:10" x14ac:dyDescent="0.25">
      <c r="A41" s="209"/>
      <c r="B41" s="120" t="s">
        <v>184</v>
      </c>
      <c r="C41" s="120"/>
      <c r="D41" s="120"/>
      <c r="E41" s="120">
        <f>11527.31+798.59</f>
        <v>12325.9</v>
      </c>
      <c r="F41" s="120"/>
      <c r="G41" s="120"/>
      <c r="H41" s="120"/>
      <c r="I41" s="49">
        <f>E41/E40</f>
        <v>1.7493248028339121</v>
      </c>
    </row>
    <row r="42" spans="1:10" ht="15" customHeight="1" x14ac:dyDescent="0.25">
      <c r="A42" s="122"/>
      <c r="B42" s="120" t="s">
        <v>207</v>
      </c>
      <c r="C42" s="120"/>
      <c r="D42" s="120"/>
      <c r="E42" s="120">
        <f>3169.85+2804.32+2776.81+2776.33</f>
        <v>11527.31</v>
      </c>
      <c r="F42" s="120"/>
      <c r="G42" s="120"/>
      <c r="H42" s="120"/>
    </row>
    <row r="43" spans="1:10" x14ac:dyDescent="0.25">
      <c r="A43" s="11">
        <v>34</v>
      </c>
      <c r="B43" s="120" t="s">
        <v>143</v>
      </c>
      <c r="C43" s="120"/>
      <c r="D43" s="120"/>
      <c r="E43" s="123">
        <v>1</v>
      </c>
      <c r="F43" s="123"/>
      <c r="G43" s="123"/>
      <c r="H43" s="123"/>
    </row>
    <row r="44" spans="1:10" ht="15" customHeight="1" x14ac:dyDescent="0.25">
      <c r="A44" s="11">
        <f>A43+1</f>
        <v>35</v>
      </c>
      <c r="B44" s="124" t="s">
        <v>144</v>
      </c>
      <c r="C44" s="125"/>
      <c r="D44" s="126"/>
      <c r="E44" s="123">
        <v>0</v>
      </c>
      <c r="F44" s="123"/>
      <c r="G44" s="123"/>
      <c r="H44" s="123"/>
    </row>
    <row r="45" spans="1:10" x14ac:dyDescent="0.25">
      <c r="A45" s="11">
        <f t="shared" ref="A45:A47" si="0">A44+1</f>
        <v>36</v>
      </c>
      <c r="B45" s="120" t="s">
        <v>145</v>
      </c>
      <c r="C45" s="120"/>
      <c r="D45" s="120"/>
      <c r="E45" s="123">
        <v>0</v>
      </c>
      <c r="F45" s="123"/>
      <c r="G45" s="123"/>
      <c r="H45" s="123"/>
    </row>
    <row r="46" spans="1:10" ht="16.5" customHeight="1" x14ac:dyDescent="0.25">
      <c r="A46" s="11">
        <f t="shared" si="0"/>
        <v>37</v>
      </c>
      <c r="B46" s="120" t="s">
        <v>43</v>
      </c>
      <c r="C46" s="120"/>
      <c r="D46" s="120"/>
      <c r="E46" s="123">
        <v>0.7</v>
      </c>
      <c r="F46" s="123"/>
      <c r="G46" s="123"/>
      <c r="H46" s="123"/>
    </row>
    <row r="47" spans="1:10" ht="16.5" customHeight="1" x14ac:dyDescent="0.25">
      <c r="A47" s="11">
        <f t="shared" si="0"/>
        <v>38</v>
      </c>
      <c r="B47" s="120" t="s">
        <v>146</v>
      </c>
      <c r="C47" s="120"/>
      <c r="D47" s="120"/>
      <c r="E47" s="123">
        <f>SUM(E43:H46)</f>
        <v>1.7</v>
      </c>
      <c r="F47" s="123"/>
      <c r="G47" s="123"/>
      <c r="H47" s="123"/>
    </row>
    <row r="48" spans="1:10" x14ac:dyDescent="0.25">
      <c r="A48" s="121">
        <v>39</v>
      </c>
      <c r="B48" s="111" t="s">
        <v>44</v>
      </c>
      <c r="C48" s="111"/>
      <c r="D48" s="111"/>
      <c r="E48" s="132">
        <v>45755</v>
      </c>
      <c r="F48" s="132"/>
      <c r="G48" s="132"/>
      <c r="H48" s="132"/>
    </row>
    <row r="49" spans="1:10" x14ac:dyDescent="0.25">
      <c r="A49" s="122"/>
      <c r="B49" s="111" t="s">
        <v>162</v>
      </c>
      <c r="C49" s="111"/>
      <c r="D49" s="111"/>
      <c r="E49" s="135" t="s">
        <v>245</v>
      </c>
      <c r="F49" s="135"/>
      <c r="G49" s="135"/>
      <c r="H49" s="135"/>
    </row>
    <row r="50" spans="1:10" ht="14.4" thickBot="1" x14ac:dyDescent="0.3">
      <c r="A50" s="31">
        <v>40</v>
      </c>
      <c r="B50" s="131" t="s">
        <v>45</v>
      </c>
      <c r="C50" s="131"/>
      <c r="D50" s="131"/>
      <c r="E50" s="131"/>
      <c r="F50" s="131"/>
      <c r="G50" s="131"/>
      <c r="H50" s="131"/>
    </row>
    <row r="51" spans="1:10" ht="15" customHeight="1" x14ac:dyDescent="0.25">
      <c r="A51" s="127" t="s">
        <v>165</v>
      </c>
      <c r="B51" s="128"/>
      <c r="C51" s="94" t="str">
        <f>E88</f>
        <v>Building No. 1 to 3 = Gr + 1st to 7th Floor</v>
      </c>
      <c r="D51" s="95"/>
      <c r="E51" s="95"/>
      <c r="F51" s="95"/>
      <c r="G51" s="95"/>
      <c r="H51" s="96"/>
      <c r="I51" s="5" t="str">
        <f ca="1">(IF(E55&gt;99%,"All work completed. Please provide OC.",IF(E55&gt;89.8%,"Plinth, RCC, Brick, Plaster, Flooring, Painting work Completed. Finishing work is in process.",IF(E55&lt;94%,(IF(C55=0,"Work not yet Started.",IF(D55=25%,"Piling work in process",IF(D55=50%,"Excavation work in process",IF(D55=100%,"Excavation work Completed. ","0")))&amp;(IF(C56=0%,"",IF(C56=J57,"Footing work is process",IF(C56=J58,"Footing work Completed",IF(C56=J59,"1st Basement Completed",IF(C56=J60,"1st &amp; 2nd Basement Completed",IF(C56=J61,"1st to 3rd Basement Completed",IF(C56=J62,"1st to 4th Basement Completed",IF(C56=J63,"Plinth work is process",IF(C56=J64,"Plinth work completed","0")))))))))))&amp;(IF(C57=(D52+F52+H52),", RCC Slab",IF(C57&gt;0,", RCC upto "&amp;C57&amp;" Slab",""))&amp;(IF(C58=H52,", Brickwork",IF(C58&gt;0,", Brickwork upto "&amp;C58&amp;" Floor",""))&amp;(IF(C59=H52,", Internal Plaster",IF(C59&gt;0,", Internal Plaster upto "&amp;C59&amp;" Floor",""))&amp;(IF(C60=H52,", External Plaster",IF(C60&gt;0,", External Plaster upto "&amp;C60&amp;" Floor",""))&amp;(IF(C61=H52,", Flooring",IF(C61&gt;0,", Flooring upto "&amp;C61&amp;" Floor",""))&amp;(IF(C62=H52,", Painting",IF(C62&gt;0,", Painting upto "&amp;C62&amp;" Floor",""))&amp;(IF(C63&gt;0,", Finishing upto "&amp;C63&amp;" Floor","")&amp;(IF(C57&gt;0.5," Completed",""))))))))))))))</f>
        <v>Work not yet Started.</v>
      </c>
      <c r="J51" s="12"/>
    </row>
    <row r="52" spans="1:10" x14ac:dyDescent="0.25">
      <c r="A52" s="6" t="s">
        <v>84</v>
      </c>
      <c r="B52" s="7">
        <v>7</v>
      </c>
      <c r="C52" s="7" t="s">
        <v>86</v>
      </c>
      <c r="D52" s="7">
        <v>1</v>
      </c>
      <c r="E52" s="32" t="s">
        <v>85</v>
      </c>
      <c r="F52" s="7">
        <v>0</v>
      </c>
      <c r="G52" s="7" t="s">
        <v>113</v>
      </c>
      <c r="H52" s="34">
        <f ca="1">--TRIM(RIGHT(SUBSTITUTE(LEFT(C51,_xlfn.AGGREGATE(16,6,FIND({0,1,2,3,4,5,6,7,8,9},C51,ROW(INDIRECT("1:"&amp;LEN(C51)))),1))," ",REPT(" ",LEN(C51))),LEN(C51)))</f>
        <v>7</v>
      </c>
      <c r="I52" s="8"/>
      <c r="J52" s="13"/>
    </row>
    <row r="53" spans="1:10" ht="15" customHeight="1" x14ac:dyDescent="0.25">
      <c r="A53" s="81" t="s">
        <v>114</v>
      </c>
      <c r="B53" s="82"/>
      <c r="C53" s="83" t="str">
        <f ca="1">I51</f>
        <v>Work not yet Started.</v>
      </c>
      <c r="D53" s="84"/>
      <c r="E53" s="84"/>
      <c r="F53" s="84"/>
      <c r="G53" s="84"/>
      <c r="H53" s="85"/>
      <c r="I53" s="8" t="s">
        <v>115</v>
      </c>
      <c r="J53" s="13"/>
    </row>
    <row r="54" spans="1:10" ht="15" customHeight="1" x14ac:dyDescent="0.25">
      <c r="A54" s="86" t="s">
        <v>4</v>
      </c>
      <c r="B54" s="87"/>
      <c r="C54" s="40" t="s">
        <v>116</v>
      </c>
      <c r="D54" s="40" t="s">
        <v>117</v>
      </c>
      <c r="E54" s="88" t="s">
        <v>118</v>
      </c>
      <c r="F54" s="89"/>
      <c r="G54" s="90" t="s">
        <v>119</v>
      </c>
      <c r="H54" s="91"/>
      <c r="I54" s="3" t="s">
        <v>120</v>
      </c>
      <c r="J54" s="14">
        <f ca="1">H52*25%</f>
        <v>1.75</v>
      </c>
    </row>
    <row r="55" spans="1:10" ht="15" customHeight="1" x14ac:dyDescent="0.25">
      <c r="A55" s="97" t="s">
        <v>121</v>
      </c>
      <c r="B55" s="98"/>
      <c r="C55" s="41">
        <v>0</v>
      </c>
      <c r="D55" s="42">
        <f ca="1">((100/H52)*C55)/100</f>
        <v>0</v>
      </c>
      <c r="E55" s="99">
        <f ca="1">(((C56/H52*20)+(30/(D52+F52+H52)*C57)+(10/(H52)*C58)+(5/(H52)*C59)+(5/H52*C60)+(10/H52*C61)+(5/H52*C62)+(5/H52*C63)+(10/H52*C64))/100)</f>
        <v>0</v>
      </c>
      <c r="F55" s="99"/>
      <c r="G55" s="101">
        <f ca="1">((((C55/H52)*10)+((C56/H52)*20)+(30/(H52+F52+D52)*C57)+(10/H52*C58)+(5/H52*C59)+(5/H52*C60)+(10/H52*C61)+(5/H52*C62)+(5/H52*C63)+(0/H52*C64))/100)</f>
        <v>0</v>
      </c>
      <c r="H55" s="102"/>
      <c r="I55" s="3" t="s">
        <v>87</v>
      </c>
      <c r="J55" s="15">
        <f ca="1">H52*50%</f>
        <v>3.5</v>
      </c>
    </row>
    <row r="56" spans="1:10" x14ac:dyDescent="0.25">
      <c r="A56" s="97" t="s">
        <v>5</v>
      </c>
      <c r="B56" s="98"/>
      <c r="C56" s="43">
        <v>0</v>
      </c>
      <c r="D56" s="42">
        <f ca="1">((100/H52)*C56)/100</f>
        <v>0</v>
      </c>
      <c r="E56" s="99"/>
      <c r="F56" s="99"/>
      <c r="G56" s="103"/>
      <c r="H56" s="104"/>
      <c r="I56" s="3" t="s">
        <v>88</v>
      </c>
      <c r="J56" s="15">
        <f ca="1">H52</f>
        <v>7</v>
      </c>
    </row>
    <row r="57" spans="1:10" ht="15" customHeight="1" x14ac:dyDescent="0.3">
      <c r="A57" s="97" t="s">
        <v>122</v>
      </c>
      <c r="B57" s="98"/>
      <c r="C57" s="43">
        <v>0</v>
      </c>
      <c r="D57" s="42">
        <f ca="1">((100/(D52+F52+H52))*C57)/100</f>
        <v>0</v>
      </c>
      <c r="E57" s="99"/>
      <c r="F57" s="99"/>
      <c r="G57" s="103"/>
      <c r="H57" s="104"/>
      <c r="I57" s="3" t="s">
        <v>89</v>
      </c>
      <c r="J57" s="16">
        <f ca="1">(IF(B52&gt;1,(H52/(B52+2)),H52/4))</f>
        <v>0.77777777777777779</v>
      </c>
    </row>
    <row r="58" spans="1:10" ht="15" customHeight="1" x14ac:dyDescent="0.3">
      <c r="A58" s="97" t="s">
        <v>123</v>
      </c>
      <c r="B58" s="98" t="s">
        <v>124</v>
      </c>
      <c r="C58" s="41">
        <v>0</v>
      </c>
      <c r="D58" s="42">
        <f ca="1">((100/H52)*C58)/100</f>
        <v>0</v>
      </c>
      <c r="E58" s="99"/>
      <c r="F58" s="99"/>
      <c r="G58" s="103"/>
      <c r="H58" s="104"/>
      <c r="I58" s="3" t="s">
        <v>90</v>
      </c>
      <c r="J58" s="16">
        <f ca="1">(IF(B52&gt;1,(H52/(B52+2)+J57),H52/4+J57))</f>
        <v>1.5555555555555556</v>
      </c>
    </row>
    <row r="59" spans="1:10" ht="15" customHeight="1" x14ac:dyDescent="0.3">
      <c r="A59" s="97" t="s">
        <v>125</v>
      </c>
      <c r="B59" s="98" t="s">
        <v>124</v>
      </c>
      <c r="C59" s="41">
        <v>0</v>
      </c>
      <c r="D59" s="42">
        <f ca="1">((100/H52)*C59)/100</f>
        <v>0</v>
      </c>
      <c r="E59" s="99"/>
      <c r="F59" s="99"/>
      <c r="G59" s="103"/>
      <c r="H59" s="104"/>
      <c r="I59" s="3" t="s">
        <v>126</v>
      </c>
      <c r="J59" s="16">
        <f ca="1">(IF(B52&gt;1,(H52/(B52+2)+J58),0))</f>
        <v>2.3333333333333335</v>
      </c>
    </row>
    <row r="60" spans="1:10" ht="15" customHeight="1" x14ac:dyDescent="0.3">
      <c r="A60" s="97" t="s">
        <v>188</v>
      </c>
      <c r="B60" s="98" t="s">
        <v>128</v>
      </c>
      <c r="C60" s="41">
        <v>0</v>
      </c>
      <c r="D60" s="42">
        <f ca="1">((100/(H52))*C60)/100</f>
        <v>0</v>
      </c>
      <c r="E60" s="99"/>
      <c r="F60" s="99"/>
      <c r="G60" s="103"/>
      <c r="H60" s="104"/>
      <c r="I60" s="3" t="s">
        <v>129</v>
      </c>
      <c r="J60" s="16">
        <f ca="1">(IF(B52&gt;2,(H52/(B52+2)+J59),0))</f>
        <v>3.1111111111111112</v>
      </c>
    </row>
    <row r="61" spans="1:10" ht="15" customHeight="1" x14ac:dyDescent="0.3">
      <c r="A61" s="97" t="s">
        <v>130</v>
      </c>
      <c r="B61" s="98" t="s">
        <v>130</v>
      </c>
      <c r="C61" s="41">
        <v>0</v>
      </c>
      <c r="D61" s="42">
        <f ca="1">((100/H52)*C61)/100</f>
        <v>0</v>
      </c>
      <c r="E61" s="99"/>
      <c r="F61" s="99"/>
      <c r="G61" s="103"/>
      <c r="H61" s="104"/>
      <c r="I61" s="3" t="s">
        <v>131</v>
      </c>
      <c r="J61" s="17">
        <f ca="1">(IF(B52&gt;3,(H52/(B52+2)+J60),0))</f>
        <v>3.8888888888888888</v>
      </c>
    </row>
    <row r="62" spans="1:10" ht="15" customHeight="1" x14ac:dyDescent="0.3">
      <c r="A62" s="97" t="s">
        <v>132</v>
      </c>
      <c r="B62" s="98"/>
      <c r="C62" s="41">
        <v>0</v>
      </c>
      <c r="D62" s="42">
        <f ca="1">((100/H52)*C62)/100</f>
        <v>0</v>
      </c>
      <c r="E62" s="99"/>
      <c r="F62" s="99"/>
      <c r="G62" s="103"/>
      <c r="H62" s="104"/>
      <c r="I62" s="3" t="s">
        <v>133</v>
      </c>
      <c r="J62" s="16">
        <f ca="1">(IF(B52&gt;4,(H52/(B52+2)+J61),0))</f>
        <v>4.666666666666667</v>
      </c>
    </row>
    <row r="63" spans="1:10" ht="15" customHeight="1" x14ac:dyDescent="0.3">
      <c r="A63" s="97" t="s">
        <v>187</v>
      </c>
      <c r="B63" s="98" t="s">
        <v>128</v>
      </c>
      <c r="C63" s="41">
        <v>0</v>
      </c>
      <c r="D63" s="42">
        <f ca="1">((100/(H52))*C63)/100</f>
        <v>0</v>
      </c>
      <c r="E63" s="99"/>
      <c r="F63" s="99"/>
      <c r="G63" s="103"/>
      <c r="H63" s="104"/>
      <c r="I63" s="3" t="s">
        <v>91</v>
      </c>
      <c r="J63" s="16">
        <f>(IF(B52=1,(H52/(B52+3)+J58),IF(B52=0,(H52/4+J58),IF(B52&gt;1,0))))</f>
        <v>0</v>
      </c>
    </row>
    <row r="64" spans="1:10" ht="15.75" customHeight="1" thickBot="1" x14ac:dyDescent="0.35">
      <c r="A64" s="92" t="s">
        <v>135</v>
      </c>
      <c r="B64" s="93"/>
      <c r="C64" s="44">
        <v>0</v>
      </c>
      <c r="D64" s="45">
        <f ca="1">((100/(H52))*C64)/100</f>
        <v>0</v>
      </c>
      <c r="E64" s="100"/>
      <c r="F64" s="100"/>
      <c r="G64" s="105"/>
      <c r="H64" s="106"/>
      <c r="I64" s="4" t="s">
        <v>92</v>
      </c>
      <c r="J64" s="18">
        <f ca="1">(IF(B52&gt;1.5,(H52/(B52+2)+J58+MAX(0,J59-J58)+MAX(0,J60-J59)+MAX(0,J61-J60)+MAX(0,J62-J61)+MAX(0,J63-J62)),IF(B52=1,(H52/(B52+3)+J63),IF(B52=0,H52/4+J63))))</f>
        <v>5.4444444444444446</v>
      </c>
    </row>
    <row r="65" spans="1:10" x14ac:dyDescent="0.25">
      <c r="A65" s="127" t="s">
        <v>165</v>
      </c>
      <c r="B65" s="128"/>
      <c r="C65" s="94" t="str">
        <f>E89</f>
        <v>Building No. 4 = Gr + 1st to 7th Floor</v>
      </c>
      <c r="D65" s="95"/>
      <c r="E65" s="95"/>
      <c r="F65" s="95"/>
      <c r="G65" s="95"/>
      <c r="H65" s="96"/>
      <c r="I65" s="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upto 3 Slab Completed</v>
      </c>
      <c r="J65" s="12"/>
    </row>
    <row r="66" spans="1:10" x14ac:dyDescent="0.25">
      <c r="A66" s="6" t="s">
        <v>84</v>
      </c>
      <c r="B66" s="7">
        <f>IF(AND(ISNUMBER(SEARCH("1B",C65))),1,IF(AND(ISNUMBER(SEARCH("2B",C65))),2,IF(AND(ISNUMBER(SEARCH("3B",C65))),3,IF(AND(ISNUMBER(SEARCH("4B",C65))),4,IF(ISNUMBER(SEARCH("5B",C65)),5,0)))))</f>
        <v>0</v>
      </c>
      <c r="C66" s="7" t="s">
        <v>86</v>
      </c>
      <c r="D66" s="7">
        <v>1</v>
      </c>
      <c r="E66" s="32" t="s">
        <v>85</v>
      </c>
      <c r="F66" s="7">
        <v>0</v>
      </c>
      <c r="G66" s="7" t="s">
        <v>113</v>
      </c>
      <c r="H66" s="34">
        <f ca="1">--TRIM(RIGHT(SUBSTITUTE(LEFT(C65,_xlfn.AGGREGATE(16,6,FIND({0,1,2,3,4,5,6,7,8,9},C65,ROW(INDIRECT("1:"&amp;LEN(C65)))),1))," ",REPT(" ",LEN(C65))),LEN(C65)))</f>
        <v>7</v>
      </c>
      <c r="I66" s="8"/>
      <c r="J66" s="13"/>
    </row>
    <row r="67" spans="1:10" ht="15.6" customHeight="1" x14ac:dyDescent="0.25">
      <c r="A67" s="81" t="s">
        <v>114</v>
      </c>
      <c r="B67" s="82"/>
      <c r="C67" s="83" t="str">
        <f ca="1">I65</f>
        <v>Excavation work Completed. Plinth work completed, RCC upto 3 Slab Completed</v>
      </c>
      <c r="D67" s="84"/>
      <c r="E67" s="84"/>
      <c r="F67" s="84"/>
      <c r="G67" s="84"/>
      <c r="H67" s="85"/>
      <c r="I67" s="8" t="s">
        <v>115</v>
      </c>
      <c r="J67" s="13"/>
    </row>
    <row r="68" spans="1:10" x14ac:dyDescent="0.25">
      <c r="A68" s="86" t="s">
        <v>4</v>
      </c>
      <c r="B68" s="87"/>
      <c r="C68" s="40" t="s">
        <v>116</v>
      </c>
      <c r="D68" s="40" t="s">
        <v>117</v>
      </c>
      <c r="E68" s="88" t="s">
        <v>118</v>
      </c>
      <c r="F68" s="89"/>
      <c r="G68" s="90" t="s">
        <v>119</v>
      </c>
      <c r="H68" s="91"/>
      <c r="I68" s="3" t="s">
        <v>120</v>
      </c>
      <c r="J68" s="14">
        <f ca="1">H66*25%</f>
        <v>1.75</v>
      </c>
    </row>
    <row r="69" spans="1:10" x14ac:dyDescent="0.25">
      <c r="A69" s="97" t="s">
        <v>121</v>
      </c>
      <c r="B69" s="98"/>
      <c r="C69" s="41">
        <f ca="1">J70</f>
        <v>7</v>
      </c>
      <c r="D69" s="42">
        <f ca="1">((100/H66)*C69)/100</f>
        <v>1</v>
      </c>
      <c r="E69" s="99">
        <f ca="1">(((C70/H66*20)+(30/(D66+F66+H66)*C71)+(10/(H66)*C72)+(5/(H66)*C73)+(5/H66*C74)+(10/H66*C75)+(5/H66*C76)+(5/H66*C77)+(10/H66*C78))/100)</f>
        <v>0.3125</v>
      </c>
      <c r="F69" s="99"/>
      <c r="G69" s="101">
        <f ca="1">((((C69/H66)*10)+((C70/H66)*20)+(30/(H66+F66+D66)*C71)+(10/H66*C72)+(5/H66*C73)+(5/H66*C74)+(10/H66*C75)+(5/H66*C76)+(5/H66*C77)+(0/H66*C78))/100)</f>
        <v>0.41249999999999998</v>
      </c>
      <c r="H69" s="102"/>
      <c r="I69" s="3" t="s">
        <v>87</v>
      </c>
      <c r="J69" s="15">
        <f ca="1">H66*50%</f>
        <v>3.5</v>
      </c>
    </row>
    <row r="70" spans="1:10" x14ac:dyDescent="0.25">
      <c r="A70" s="97" t="s">
        <v>5</v>
      </c>
      <c r="B70" s="98"/>
      <c r="C70" s="43">
        <f ca="1">J78</f>
        <v>7</v>
      </c>
      <c r="D70" s="42">
        <f ca="1">((100/H66)*C70)/100</f>
        <v>1</v>
      </c>
      <c r="E70" s="99"/>
      <c r="F70" s="99"/>
      <c r="G70" s="103"/>
      <c r="H70" s="104"/>
      <c r="I70" s="3" t="s">
        <v>88</v>
      </c>
      <c r="J70" s="15">
        <f ca="1">H66</f>
        <v>7</v>
      </c>
    </row>
    <row r="71" spans="1:10" ht="14.4" x14ac:dyDescent="0.3">
      <c r="A71" s="97" t="s">
        <v>122</v>
      </c>
      <c r="B71" s="98"/>
      <c r="C71" s="43">
        <v>3</v>
      </c>
      <c r="D71" s="42">
        <f ca="1">((100/(D66+F66+H66))*C71)/100</f>
        <v>0.375</v>
      </c>
      <c r="E71" s="99"/>
      <c r="F71" s="99"/>
      <c r="G71" s="103"/>
      <c r="H71" s="104"/>
      <c r="I71" s="3" t="s">
        <v>89</v>
      </c>
      <c r="J71" s="16">
        <f ca="1">(IF(B66&gt;1,(H66/(B66+2)),H66/4))</f>
        <v>1.75</v>
      </c>
    </row>
    <row r="72" spans="1:10" ht="14.4" x14ac:dyDescent="0.3">
      <c r="A72" s="97" t="s">
        <v>123</v>
      </c>
      <c r="B72" s="98" t="s">
        <v>124</v>
      </c>
      <c r="C72" s="41">
        <v>0</v>
      </c>
      <c r="D72" s="42">
        <f ca="1">((100/H66)*C72)/100</f>
        <v>0</v>
      </c>
      <c r="E72" s="99"/>
      <c r="F72" s="99"/>
      <c r="G72" s="103"/>
      <c r="H72" s="104"/>
      <c r="I72" s="3" t="s">
        <v>90</v>
      </c>
      <c r="J72" s="16">
        <f ca="1">(IF(B66&gt;1,(H66/(B66+2)+J71),H66/4+J71))</f>
        <v>3.5</v>
      </c>
    </row>
    <row r="73" spans="1:10" ht="14.4" x14ac:dyDescent="0.3">
      <c r="A73" s="97" t="s">
        <v>125</v>
      </c>
      <c r="B73" s="98" t="s">
        <v>124</v>
      </c>
      <c r="C73" s="41">
        <v>0</v>
      </c>
      <c r="D73" s="42">
        <f ca="1">((100/H66)*C73)/100</f>
        <v>0</v>
      </c>
      <c r="E73" s="99"/>
      <c r="F73" s="99"/>
      <c r="G73" s="103"/>
      <c r="H73" s="104"/>
      <c r="I73" s="3" t="s">
        <v>126</v>
      </c>
      <c r="J73" s="16">
        <f>(IF(B66&gt;1,(H66/(B66+2)+J72),0))</f>
        <v>0</v>
      </c>
    </row>
    <row r="74" spans="1:10" ht="14.4" x14ac:dyDescent="0.3">
      <c r="A74" s="97" t="s">
        <v>127</v>
      </c>
      <c r="B74" s="98" t="s">
        <v>128</v>
      </c>
      <c r="C74" s="41">
        <v>0</v>
      </c>
      <c r="D74" s="42">
        <f ca="1">((100/(H66))*C74)/100</f>
        <v>0</v>
      </c>
      <c r="E74" s="99"/>
      <c r="F74" s="99"/>
      <c r="G74" s="103"/>
      <c r="H74" s="104"/>
      <c r="I74" s="3" t="s">
        <v>129</v>
      </c>
      <c r="J74" s="16">
        <f>(IF(B66&gt;2,(H66/(B66+2)+J73),0))</f>
        <v>0</v>
      </c>
    </row>
    <row r="75" spans="1:10" ht="14.4" x14ac:dyDescent="0.3">
      <c r="A75" s="97" t="s">
        <v>130</v>
      </c>
      <c r="B75" s="98" t="s">
        <v>130</v>
      </c>
      <c r="C75" s="41">
        <v>0</v>
      </c>
      <c r="D75" s="42">
        <f ca="1">((100/H66)*C75)/100</f>
        <v>0</v>
      </c>
      <c r="E75" s="99"/>
      <c r="F75" s="99"/>
      <c r="G75" s="103"/>
      <c r="H75" s="104"/>
      <c r="I75" s="3" t="s">
        <v>131</v>
      </c>
      <c r="J75" s="17">
        <f>(IF(B66&gt;3,(H66/(B66+2)+J74),0))</f>
        <v>0</v>
      </c>
    </row>
    <row r="76" spans="1:10" ht="14.4" x14ac:dyDescent="0.3">
      <c r="A76" s="97" t="s">
        <v>132</v>
      </c>
      <c r="B76" s="98"/>
      <c r="C76" s="41">
        <v>0</v>
      </c>
      <c r="D76" s="42">
        <f ca="1">((100/H66)*C76)/100</f>
        <v>0</v>
      </c>
      <c r="E76" s="99"/>
      <c r="F76" s="99"/>
      <c r="G76" s="103"/>
      <c r="H76" s="104"/>
      <c r="I76" s="3" t="s">
        <v>133</v>
      </c>
      <c r="J76" s="16">
        <f>(IF(B66&gt;4,(H66/(B66+2)+J75),0))</f>
        <v>0</v>
      </c>
    </row>
    <row r="77" spans="1:10" ht="14.4" x14ac:dyDescent="0.3">
      <c r="A77" s="97" t="s">
        <v>134</v>
      </c>
      <c r="B77" s="98" t="s">
        <v>134</v>
      </c>
      <c r="C77" s="41">
        <v>0</v>
      </c>
      <c r="D77" s="42">
        <f ca="1">((100/(H66))*C77)/100</f>
        <v>0</v>
      </c>
      <c r="E77" s="99"/>
      <c r="F77" s="99"/>
      <c r="G77" s="103"/>
      <c r="H77" s="104"/>
      <c r="I77" s="3" t="s">
        <v>91</v>
      </c>
      <c r="J77" s="16">
        <f ca="1">(IF(B66=1,(H66/(B66+3)+J72),IF(B66=0,(H66/4+J72),IF(B66&gt;1,0))))</f>
        <v>5.25</v>
      </c>
    </row>
    <row r="78" spans="1:10" ht="15" thickBot="1" x14ac:dyDescent="0.35">
      <c r="A78" s="92" t="s">
        <v>135</v>
      </c>
      <c r="B78" s="93"/>
      <c r="C78" s="44">
        <v>0</v>
      </c>
      <c r="D78" s="45">
        <f ca="1">((100/(H66))*C78)/100</f>
        <v>0</v>
      </c>
      <c r="E78" s="100"/>
      <c r="F78" s="100"/>
      <c r="G78" s="105"/>
      <c r="H78" s="106"/>
      <c r="I78" s="4" t="s">
        <v>92</v>
      </c>
      <c r="J78" s="18">
        <f ca="1">(IF(B66&gt;1.5,(H66/(B66+2)+J72+MAX(0,J73-J72)+MAX(0,J74-J73)+MAX(0,J75-J74)+MAX(0,J76-J75)+MAX(0,J77-J76)),IF(B66=1,(H66/(B66+3)+J77),IF(B66=0,H66/4+J77))))</f>
        <v>7</v>
      </c>
    </row>
    <row r="79" spans="1:10" x14ac:dyDescent="0.25">
      <c r="A79" s="221">
        <v>41</v>
      </c>
      <c r="B79" s="222" t="s">
        <v>181</v>
      </c>
      <c r="C79" s="223"/>
      <c r="D79" s="223"/>
      <c r="E79" s="224" t="s">
        <v>164</v>
      </c>
      <c r="F79" s="225"/>
      <c r="G79" s="226"/>
      <c r="H79" s="35">
        <v>47483</v>
      </c>
    </row>
    <row r="80" spans="1:10" x14ac:dyDescent="0.25">
      <c r="A80" s="122"/>
      <c r="B80" s="216"/>
      <c r="C80" s="217"/>
      <c r="D80" s="217"/>
      <c r="E80" s="132" t="s">
        <v>163</v>
      </c>
      <c r="F80" s="132"/>
      <c r="G80" s="132"/>
      <c r="H80" s="33" t="s">
        <v>244</v>
      </c>
    </row>
    <row r="81" spans="1:11" ht="31.8" customHeight="1" x14ac:dyDescent="0.25">
      <c r="A81" s="11">
        <v>42</v>
      </c>
      <c r="B81" s="111" t="s">
        <v>69</v>
      </c>
      <c r="C81" s="111"/>
      <c r="D81" s="111"/>
      <c r="E81" s="130" t="s">
        <v>10</v>
      </c>
      <c r="F81" s="130"/>
      <c r="G81" s="130"/>
      <c r="H81" s="130"/>
    </row>
    <row r="82" spans="1:11" ht="171" customHeight="1" x14ac:dyDescent="0.25">
      <c r="A82" s="11">
        <v>43</v>
      </c>
      <c r="B82" s="111" t="s">
        <v>61</v>
      </c>
      <c r="C82" s="111"/>
      <c r="D82" s="111"/>
      <c r="E82" s="132" t="s">
        <v>237</v>
      </c>
      <c r="F82" s="132"/>
      <c r="G82" s="132"/>
      <c r="H82" s="132"/>
    </row>
    <row r="83" spans="1:11" s="21" customFormat="1" ht="29.4" customHeight="1" x14ac:dyDescent="0.25">
      <c r="A83" s="11">
        <v>44</v>
      </c>
      <c r="B83" s="140" t="s">
        <v>175</v>
      </c>
      <c r="C83" s="140"/>
      <c r="D83" s="140"/>
      <c r="E83" s="132" t="s">
        <v>211</v>
      </c>
      <c r="F83" s="132"/>
      <c r="G83" s="132"/>
      <c r="H83" s="132"/>
      <c r="I83" s="9"/>
      <c r="J83" s="9"/>
      <c r="K83" s="9"/>
    </row>
    <row r="84" spans="1:11" s="21" customFormat="1" ht="36" customHeight="1" x14ac:dyDescent="0.25">
      <c r="A84" s="11">
        <v>45</v>
      </c>
      <c r="B84" s="111" t="s">
        <v>62</v>
      </c>
      <c r="C84" s="111"/>
      <c r="D84" s="111"/>
      <c r="E84" s="130" t="s">
        <v>9</v>
      </c>
      <c r="F84" s="130"/>
      <c r="G84" s="130"/>
      <c r="H84" s="130"/>
      <c r="I84" s="9"/>
      <c r="J84" s="9"/>
      <c r="K84" s="9"/>
    </row>
    <row r="85" spans="1:11" ht="15.75" customHeight="1" x14ac:dyDescent="0.25">
      <c r="A85" s="107">
        <v>46</v>
      </c>
      <c r="B85" s="210" t="s">
        <v>63</v>
      </c>
      <c r="C85" s="211"/>
      <c r="D85" s="212"/>
      <c r="E85" s="136" t="s">
        <v>168</v>
      </c>
      <c r="F85" s="136"/>
      <c r="G85" s="136"/>
      <c r="H85" s="136"/>
    </row>
    <row r="86" spans="1:11" ht="15.75" customHeight="1" x14ac:dyDescent="0.25">
      <c r="A86" s="108"/>
      <c r="B86" s="213"/>
      <c r="C86" s="214"/>
      <c r="D86" s="215"/>
      <c r="E86" s="137" t="s">
        <v>208</v>
      </c>
      <c r="F86" s="138"/>
      <c r="G86" s="138"/>
      <c r="H86" s="139"/>
    </row>
    <row r="87" spans="1:11" s="21" customFormat="1" x14ac:dyDescent="0.25">
      <c r="A87" s="108"/>
      <c r="B87" s="213"/>
      <c r="C87" s="214"/>
      <c r="D87" s="215"/>
      <c r="E87" s="158" t="s">
        <v>169</v>
      </c>
      <c r="F87" s="159"/>
      <c r="G87" s="159"/>
      <c r="H87" s="160"/>
      <c r="I87" s="9"/>
      <c r="J87" s="9"/>
      <c r="K87" s="9"/>
    </row>
    <row r="88" spans="1:11" s="21" customFormat="1" x14ac:dyDescent="0.25">
      <c r="A88" s="108"/>
      <c r="B88" s="213"/>
      <c r="C88" s="214"/>
      <c r="D88" s="214"/>
      <c r="E88" s="161" t="s">
        <v>209</v>
      </c>
      <c r="F88" s="162"/>
      <c r="G88" s="162"/>
      <c r="H88" s="163"/>
      <c r="I88" s="9"/>
      <c r="J88" s="9"/>
      <c r="K88" s="9"/>
    </row>
    <row r="89" spans="1:11" s="21" customFormat="1" x14ac:dyDescent="0.25">
      <c r="A89" s="109"/>
      <c r="B89" s="216"/>
      <c r="C89" s="217"/>
      <c r="D89" s="217"/>
      <c r="E89" s="218" t="s">
        <v>210</v>
      </c>
      <c r="F89" s="219"/>
      <c r="G89" s="219"/>
      <c r="H89" s="220"/>
      <c r="I89" s="9"/>
      <c r="J89" s="9"/>
      <c r="K89" s="9"/>
    </row>
    <row r="90" spans="1:11" x14ac:dyDescent="0.25">
      <c r="A90" s="133" t="s">
        <v>74</v>
      </c>
      <c r="B90" s="133"/>
      <c r="C90" s="133"/>
      <c r="D90" s="133"/>
      <c r="E90" s="134"/>
      <c r="F90" s="134"/>
      <c r="G90" s="134"/>
      <c r="H90" s="134"/>
    </row>
    <row r="91" spans="1:11" x14ac:dyDescent="0.25">
      <c r="A91" s="112" t="s">
        <v>185</v>
      </c>
      <c r="B91" s="112"/>
      <c r="C91" s="114" t="s">
        <v>212</v>
      </c>
      <c r="D91" s="114"/>
      <c r="E91" s="114"/>
      <c r="F91" s="19" t="s">
        <v>75</v>
      </c>
      <c r="G91" s="113">
        <v>45623</v>
      </c>
      <c r="H91" s="114"/>
    </row>
    <row r="92" spans="1:11" x14ac:dyDescent="0.25">
      <c r="A92" s="112" t="s">
        <v>186</v>
      </c>
      <c r="B92" s="112"/>
      <c r="C92" s="114" t="s">
        <v>212</v>
      </c>
      <c r="D92" s="114"/>
      <c r="E92" s="114"/>
      <c r="F92" s="19" t="s">
        <v>75</v>
      </c>
      <c r="G92" s="113">
        <v>45623</v>
      </c>
      <c r="H92" s="114"/>
    </row>
    <row r="93" spans="1:11" x14ac:dyDescent="0.25">
      <c r="A93" s="177" t="s">
        <v>170</v>
      </c>
      <c r="B93" s="178"/>
      <c r="C93" s="114" t="s">
        <v>212</v>
      </c>
      <c r="D93" s="114"/>
      <c r="E93" s="114"/>
      <c r="F93" s="20" t="s">
        <v>75</v>
      </c>
      <c r="G93" s="113">
        <v>45614</v>
      </c>
      <c r="H93" s="114"/>
    </row>
    <row r="94" spans="1:11" ht="15" customHeight="1" x14ac:dyDescent="0.25">
      <c r="A94" s="179"/>
      <c r="B94" s="180"/>
      <c r="C94" s="183" t="s">
        <v>208</v>
      </c>
      <c r="D94" s="184"/>
      <c r="E94" s="184"/>
      <c r="F94" s="184"/>
      <c r="G94" s="184"/>
      <c r="H94" s="185"/>
    </row>
    <row r="95" spans="1:11" ht="16.8" hidden="1" customHeight="1" x14ac:dyDescent="0.25">
      <c r="A95" s="69" t="s">
        <v>189</v>
      </c>
      <c r="B95" s="70"/>
      <c r="C95" s="65"/>
      <c r="D95" s="65"/>
      <c r="E95" s="65"/>
      <c r="F95" s="38" t="s">
        <v>75</v>
      </c>
      <c r="G95" s="65"/>
      <c r="H95" s="65"/>
    </row>
    <row r="96" spans="1:11" ht="15" hidden="1" customHeight="1" x14ac:dyDescent="0.25">
      <c r="A96" s="71"/>
      <c r="B96" s="72"/>
      <c r="C96" s="66"/>
      <c r="D96" s="67"/>
      <c r="E96" s="67"/>
      <c r="F96" s="67"/>
      <c r="G96" s="67"/>
      <c r="H96" s="68"/>
    </row>
    <row r="97" spans="1:11" ht="15" hidden="1" customHeight="1" x14ac:dyDescent="0.25">
      <c r="A97" s="69" t="s">
        <v>191</v>
      </c>
      <c r="B97" s="70"/>
      <c r="C97" s="65"/>
      <c r="D97" s="65"/>
      <c r="E97" s="65"/>
      <c r="F97" s="38" t="s">
        <v>75</v>
      </c>
      <c r="G97" s="65"/>
      <c r="H97" s="65"/>
    </row>
    <row r="98" spans="1:11" ht="15" hidden="1" customHeight="1" x14ac:dyDescent="0.25">
      <c r="A98" s="71"/>
      <c r="B98" s="72"/>
      <c r="C98" s="66"/>
      <c r="D98" s="67"/>
      <c r="E98" s="67"/>
      <c r="F98" s="67"/>
      <c r="G98" s="67"/>
      <c r="H98" s="68"/>
      <c r="I98" s="21"/>
      <c r="J98" s="21"/>
      <c r="K98" s="21"/>
    </row>
    <row r="99" spans="1:11" ht="15" hidden="1" customHeight="1" x14ac:dyDescent="0.25">
      <c r="A99" s="69" t="s">
        <v>190</v>
      </c>
      <c r="B99" s="70"/>
      <c r="C99" s="75"/>
      <c r="D99" s="76"/>
      <c r="E99" s="77"/>
      <c r="F99" s="38" t="s">
        <v>75</v>
      </c>
      <c r="G99" s="65"/>
      <c r="H99" s="65"/>
      <c r="I99" s="21"/>
      <c r="J99" s="21"/>
      <c r="K99" s="21"/>
    </row>
    <row r="100" spans="1:11" ht="34.5" hidden="1" customHeight="1" x14ac:dyDescent="0.25">
      <c r="A100" s="73"/>
      <c r="B100" s="74"/>
      <c r="C100" s="78"/>
      <c r="D100" s="79"/>
      <c r="E100" s="80"/>
      <c r="F100" s="39" t="s">
        <v>167</v>
      </c>
      <c r="G100" s="65"/>
      <c r="H100" s="65"/>
    </row>
    <row r="101" spans="1:11" ht="34.5" hidden="1" customHeight="1" x14ac:dyDescent="0.25">
      <c r="A101" s="71"/>
      <c r="B101" s="72"/>
      <c r="C101" s="66"/>
      <c r="D101" s="67"/>
      <c r="E101" s="67"/>
      <c r="F101" s="67"/>
      <c r="G101" s="67"/>
      <c r="H101" s="68"/>
    </row>
    <row r="102" spans="1:11" x14ac:dyDescent="0.25">
      <c r="A102" s="181" t="s">
        <v>76</v>
      </c>
      <c r="B102" s="181"/>
      <c r="C102" s="182" t="s">
        <v>77</v>
      </c>
      <c r="D102" s="208"/>
      <c r="E102" s="208" t="s">
        <v>78</v>
      </c>
      <c r="F102" s="37" t="s">
        <v>75</v>
      </c>
      <c r="G102" s="182" t="s">
        <v>10</v>
      </c>
      <c r="H102" s="182" t="s">
        <v>10</v>
      </c>
    </row>
    <row r="103" spans="1:11" x14ac:dyDescent="0.25">
      <c r="A103" s="116" t="s">
        <v>96</v>
      </c>
      <c r="B103" s="116"/>
      <c r="C103" s="116"/>
      <c r="D103" s="116"/>
      <c r="E103" s="116"/>
      <c r="F103" s="116"/>
      <c r="G103" s="116"/>
      <c r="H103" s="116"/>
      <c r="I103" s="21"/>
      <c r="J103" s="21"/>
      <c r="K103" s="21"/>
    </row>
    <row r="104" spans="1:11" x14ac:dyDescent="0.25">
      <c r="A104" s="117" t="s">
        <v>70</v>
      </c>
      <c r="B104" s="117"/>
      <c r="C104" s="115" t="s">
        <v>71</v>
      </c>
      <c r="D104" s="115"/>
      <c r="E104" s="118" t="s">
        <v>72</v>
      </c>
      <c r="F104" s="118"/>
      <c r="G104" s="118" t="s">
        <v>73</v>
      </c>
      <c r="H104" s="118"/>
      <c r="I104" s="21"/>
      <c r="J104" s="21"/>
      <c r="K104" s="21"/>
    </row>
    <row r="105" spans="1:11" ht="15" customHeight="1" x14ac:dyDescent="0.25">
      <c r="A105" s="52" t="s">
        <v>231</v>
      </c>
      <c r="B105" s="52"/>
      <c r="C105" s="50">
        <f>COUNT(C121:C126)</f>
        <v>6</v>
      </c>
      <c r="D105" s="51"/>
      <c r="E105" s="50">
        <f>SUM(F121:F126)</f>
        <v>1093.5147599999998</v>
      </c>
      <c r="F105" s="51"/>
      <c r="G105" s="50">
        <f>SUM(H121:H126)</f>
        <v>1640.2721399999998</v>
      </c>
      <c r="H105" s="51"/>
    </row>
    <row r="106" spans="1:11" x14ac:dyDescent="0.25">
      <c r="A106" s="172" t="s">
        <v>12</v>
      </c>
      <c r="B106" s="172"/>
      <c r="C106" s="173">
        <f>C105</f>
        <v>6</v>
      </c>
      <c r="D106" s="115"/>
      <c r="E106" s="118">
        <f>E105</f>
        <v>1093.5147599999998</v>
      </c>
      <c r="F106" s="118"/>
      <c r="G106" s="118">
        <f>G105</f>
        <v>1640.2721399999998</v>
      </c>
      <c r="H106" s="118"/>
    </row>
    <row r="107" spans="1:11" x14ac:dyDescent="0.25">
      <c r="A107" s="116" t="s">
        <v>82</v>
      </c>
      <c r="B107" s="116"/>
      <c r="C107" s="116"/>
      <c r="D107" s="116"/>
      <c r="E107" s="116"/>
      <c r="F107" s="116"/>
      <c r="G107" s="116"/>
      <c r="H107" s="116"/>
    </row>
    <row r="108" spans="1:11" x14ac:dyDescent="0.25">
      <c r="A108" s="117" t="s">
        <v>70</v>
      </c>
      <c r="B108" s="117"/>
      <c r="C108" s="115" t="s">
        <v>71</v>
      </c>
      <c r="D108" s="115"/>
      <c r="E108" s="118" t="s">
        <v>72</v>
      </c>
      <c r="F108" s="118"/>
      <c r="G108" s="118" t="s">
        <v>73</v>
      </c>
      <c r="H108" s="118"/>
    </row>
    <row r="109" spans="1:11" x14ac:dyDescent="0.25">
      <c r="A109" s="52" t="s">
        <v>232</v>
      </c>
      <c r="B109" s="52"/>
      <c r="C109" s="50">
        <f>COUNT(C133:C136,C139:C140)+COUNT(C142:C149)+COUNT(C151:C158)*6</f>
        <v>62</v>
      </c>
      <c r="D109" s="51"/>
      <c r="E109" s="50">
        <f>SUM(F133:F136,F139:F140)+SUM(F142:F149)+SUM(F151:F158)*6</f>
        <v>25162.249319999995</v>
      </c>
      <c r="F109" s="51"/>
      <c r="G109" s="50">
        <f>SUM(H133:H136,H139:H140)+SUM(H142:H149)+SUM(H151:H158)*6</f>
        <v>36655.117433999992</v>
      </c>
      <c r="H109" s="51"/>
    </row>
    <row r="110" spans="1:11" x14ac:dyDescent="0.25">
      <c r="A110" s="52" t="s">
        <v>233</v>
      </c>
      <c r="B110" s="52"/>
      <c r="C110" s="50">
        <f>COUNT(C161:C167)+COUNT(C170:C177)*7</f>
        <v>63</v>
      </c>
      <c r="D110" s="51"/>
      <c r="E110" s="50">
        <f>SUM(F161:F167)+SUM(F170:F177)*7</f>
        <v>22174.808760000004</v>
      </c>
      <c r="F110" s="51"/>
      <c r="G110" s="50">
        <f>SUM(H161:H167)+SUM(H170:H177)*7</f>
        <v>32153.472701999995</v>
      </c>
      <c r="H110" s="51"/>
    </row>
    <row r="111" spans="1:11" x14ac:dyDescent="0.25">
      <c r="A111" s="52" t="s">
        <v>234</v>
      </c>
      <c r="B111" s="52"/>
      <c r="C111" s="50">
        <f>COUNT(C180:C186)+COUNT(C189:C196)*7</f>
        <v>63</v>
      </c>
      <c r="D111" s="51"/>
      <c r="E111" s="50">
        <f>SUM(F180:F186)+SUM(F189:F196)*7</f>
        <v>22302.146879999997</v>
      </c>
      <c r="F111" s="51"/>
      <c r="G111" s="50">
        <f>SUM(H180:H186)+SUM(H189:H196)*7</f>
        <v>32338.112975999997</v>
      </c>
      <c r="H111" s="51"/>
    </row>
    <row r="112" spans="1:11" x14ac:dyDescent="0.25">
      <c r="A112" s="52" t="s">
        <v>235</v>
      </c>
      <c r="B112" s="52"/>
      <c r="C112" s="50">
        <f>COUNT(C199,C201:C205)+COUNT(C208:C215)+COUNT(C217:C224)*6</f>
        <v>62</v>
      </c>
      <c r="D112" s="51"/>
      <c r="E112" s="50">
        <f>SUM(F199,F201:F205)+SUM(F208:F215)+SUM(F217:F224)*6</f>
        <v>21676.758479999997</v>
      </c>
      <c r="F112" s="51"/>
      <c r="G112" s="50">
        <f>SUM(H199,H201:H205)+SUM(H208:H215)+SUM(H217:H224)*6</f>
        <v>31431.299795999996</v>
      </c>
      <c r="H112" s="51"/>
    </row>
    <row r="113" spans="1:16" ht="14.4" thickBot="1" x14ac:dyDescent="0.3">
      <c r="A113" s="174" t="s">
        <v>12</v>
      </c>
      <c r="B113" s="174"/>
      <c r="C113" s="164">
        <f>SUM(C109:D112)</f>
        <v>250</v>
      </c>
      <c r="D113" s="165"/>
      <c r="E113" s="166">
        <f>SUM(E109:F112)</f>
        <v>91315.963439999992</v>
      </c>
      <c r="F113" s="166"/>
      <c r="G113" s="166">
        <f>SUM(G109:H112)</f>
        <v>132578.00290799999</v>
      </c>
      <c r="H113" s="166"/>
    </row>
    <row r="114" spans="1:16" ht="14.4" thickBot="1" x14ac:dyDescent="0.3">
      <c r="A114" s="175" t="s">
        <v>157</v>
      </c>
      <c r="B114" s="176"/>
      <c r="C114" s="59">
        <f>C106+C113</f>
        <v>256</v>
      </c>
      <c r="D114" s="60"/>
      <c r="E114" s="170">
        <f>E106+E113</f>
        <v>92409.478199999998</v>
      </c>
      <c r="F114" s="170"/>
      <c r="G114" s="170">
        <f>G106+G113</f>
        <v>134218.27504799998</v>
      </c>
      <c r="H114" s="171"/>
    </row>
    <row r="115" spans="1:16" ht="15" customHeight="1" x14ac:dyDescent="0.25">
      <c r="A115" s="53" t="s">
        <v>161</v>
      </c>
      <c r="B115" s="53"/>
      <c r="C115" s="53"/>
      <c r="D115" s="53"/>
      <c r="E115" s="53"/>
      <c r="F115" s="53"/>
      <c r="G115" s="53"/>
      <c r="H115" s="53"/>
    </row>
    <row r="116" spans="1:16" ht="15" customHeight="1" x14ac:dyDescent="0.25">
      <c r="A116" s="54" t="s">
        <v>180</v>
      </c>
      <c r="B116" s="54"/>
      <c r="C116" s="54"/>
      <c r="D116" s="54"/>
      <c r="E116" s="54"/>
      <c r="F116" s="54"/>
      <c r="G116" s="54"/>
      <c r="H116" s="54"/>
    </row>
    <row r="117" spans="1:16" ht="41.4" x14ac:dyDescent="0.25">
      <c r="A117" s="157" t="s">
        <v>171</v>
      </c>
      <c r="B117" s="187" t="s">
        <v>2</v>
      </c>
      <c r="C117" s="157" t="s">
        <v>176</v>
      </c>
      <c r="D117" s="157" t="s">
        <v>159</v>
      </c>
      <c r="E117" s="55" t="s">
        <v>166</v>
      </c>
      <c r="F117" s="157" t="s">
        <v>173</v>
      </c>
      <c r="G117" s="55" t="s">
        <v>174</v>
      </c>
      <c r="H117" s="1" t="s">
        <v>172</v>
      </c>
    </row>
    <row r="118" spans="1:16" ht="15" customHeight="1" x14ac:dyDescent="0.25">
      <c r="A118" s="157"/>
      <c r="B118" s="187"/>
      <c r="C118" s="157"/>
      <c r="D118" s="157"/>
      <c r="E118" s="56"/>
      <c r="F118" s="157"/>
      <c r="G118" s="56"/>
      <c r="H118" s="46">
        <v>0.5</v>
      </c>
      <c r="N118" s="9" t="str">
        <f ca="1">O118&amp;" to "&amp;P118</f>
        <v>101 to 101</v>
      </c>
      <c r="O118" s="9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10^ROW(INDIRECT("1:"&amp;LEN((LEFT(A141,SUM(LEN(A141)-LEN(SUBSTITUTE(A141,{"0","1","2"},""))))))))/10))*100+1</f>
        <v>101</v>
      </c>
      <c r="P118" s="9">
        <f ca="1">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101</v>
      </c>
    </row>
    <row r="119" spans="1:16" ht="15" customHeight="1" x14ac:dyDescent="0.25">
      <c r="A119" s="57" t="s">
        <v>213</v>
      </c>
      <c r="B119" s="57"/>
      <c r="C119" s="57"/>
      <c r="D119" s="57"/>
      <c r="E119" s="57"/>
      <c r="F119" s="57"/>
      <c r="G119" s="58"/>
      <c r="H119" s="57"/>
      <c r="K119" s="2">
        <v>10.763999999999999</v>
      </c>
      <c r="N119" s="9" t="str">
        <f t="shared" ref="N119" si="1">O119&amp;" to "&amp;P119</f>
        <v>1 to 1</v>
      </c>
      <c r="O119" s="9">
        <f>O117+1</f>
        <v>1</v>
      </c>
      <c r="P119" s="9">
        <f>P117+1</f>
        <v>1</v>
      </c>
    </row>
    <row r="120" spans="1:16" ht="15" customHeight="1" x14ac:dyDescent="0.25">
      <c r="A120" s="57" t="s">
        <v>214</v>
      </c>
      <c r="B120" s="57"/>
      <c r="C120" s="57"/>
      <c r="D120" s="57"/>
      <c r="E120" s="57"/>
      <c r="F120" s="57"/>
      <c r="G120" s="58"/>
      <c r="H120" s="57"/>
      <c r="N120" s="9" t="str">
        <f t="shared" ref="N120:N129" ca="1" si="2">O120&amp;" to "&amp;P120</f>
        <v>102 to 102</v>
      </c>
      <c r="O120" s="9">
        <f ca="1">O118+1</f>
        <v>102</v>
      </c>
      <c r="P120" s="9">
        <f ca="1">P118+1</f>
        <v>102</v>
      </c>
    </row>
    <row r="121" spans="1:16" ht="15" customHeight="1" x14ac:dyDescent="0.25">
      <c r="A121" s="22">
        <v>1</v>
      </c>
      <c r="B121" s="2" t="s">
        <v>95</v>
      </c>
      <c r="C121" s="2">
        <f>(19.43)*10.764</f>
        <v>209.14451999999997</v>
      </c>
      <c r="D121" s="2">
        <v>0</v>
      </c>
      <c r="E121" s="2">
        <v>0</v>
      </c>
      <c r="F121" s="2">
        <f>C121+D121+E121</f>
        <v>209.14451999999997</v>
      </c>
      <c r="G121" s="2">
        <v>0</v>
      </c>
      <c r="H121" s="2">
        <f t="shared" ref="H121:H126" si="3">F121*(($H$118)+1)+G121</f>
        <v>313.71677999999997</v>
      </c>
      <c r="J121" s="9">
        <f>3.35*5.8</f>
        <v>19.43</v>
      </c>
      <c r="N121" s="9" t="str">
        <f t="shared" ca="1" si="2"/>
        <v>103 to 103</v>
      </c>
      <c r="O121" s="9">
        <f t="shared" ref="O121:O129" ca="1" si="4">O120+1</f>
        <v>103</v>
      </c>
      <c r="P121" s="9">
        <f t="shared" ref="P121:P129" ca="1" si="5">P120+1</f>
        <v>103</v>
      </c>
    </row>
    <row r="122" spans="1:16" x14ac:dyDescent="0.25">
      <c r="A122" s="22">
        <f>A121+1</f>
        <v>2</v>
      </c>
      <c r="B122" s="2" t="s">
        <v>95</v>
      </c>
      <c r="C122" s="2">
        <f>(11.39)*10.764</f>
        <v>122.60196000000001</v>
      </c>
      <c r="D122" s="2">
        <v>0</v>
      </c>
      <c r="E122" s="2">
        <v>0</v>
      </c>
      <c r="F122" s="2">
        <f t="shared" ref="F122:F125" si="6">C122+D122+E122</f>
        <v>122.60196000000001</v>
      </c>
      <c r="G122" s="2">
        <v>0</v>
      </c>
      <c r="H122" s="2">
        <f t="shared" si="3"/>
        <v>183.90294</v>
      </c>
      <c r="N122" s="9" t="str">
        <f t="shared" ca="1" si="2"/>
        <v>104 to 104</v>
      </c>
      <c r="O122" s="9">
        <f t="shared" ca="1" si="4"/>
        <v>104</v>
      </c>
      <c r="P122" s="9">
        <f t="shared" ca="1" si="5"/>
        <v>104</v>
      </c>
    </row>
    <row r="123" spans="1:16" ht="15" customHeight="1" x14ac:dyDescent="0.25">
      <c r="A123" s="22">
        <f>A122+1</f>
        <v>3</v>
      </c>
      <c r="B123" s="2" t="s">
        <v>95</v>
      </c>
      <c r="C123" s="2">
        <f>(18.09)*10.764</f>
        <v>194.72075999999998</v>
      </c>
      <c r="D123" s="2">
        <v>0</v>
      </c>
      <c r="E123" s="2">
        <v>0</v>
      </c>
      <c r="F123" s="2">
        <f t="shared" si="6"/>
        <v>194.72075999999998</v>
      </c>
      <c r="G123" s="2">
        <v>0</v>
      </c>
      <c r="H123" s="2">
        <f t="shared" si="3"/>
        <v>292.08114</v>
      </c>
      <c r="N123" s="9" t="str">
        <f t="shared" ca="1" si="2"/>
        <v>105 to 105</v>
      </c>
      <c r="O123" s="9">
        <f t="shared" ca="1" si="4"/>
        <v>105</v>
      </c>
      <c r="P123" s="9">
        <f t="shared" ca="1" si="5"/>
        <v>105</v>
      </c>
    </row>
    <row r="124" spans="1:16" ht="15" customHeight="1" x14ac:dyDescent="0.25">
      <c r="A124" s="22">
        <f>A123+1</f>
        <v>4</v>
      </c>
      <c r="B124" s="2" t="s">
        <v>95</v>
      </c>
      <c r="C124" s="2">
        <f>(18.09)*10.764</f>
        <v>194.72075999999998</v>
      </c>
      <c r="D124" s="2">
        <v>0</v>
      </c>
      <c r="E124" s="2">
        <v>0</v>
      </c>
      <c r="F124" s="2">
        <f t="shared" si="6"/>
        <v>194.72075999999998</v>
      </c>
      <c r="G124" s="2">
        <v>0</v>
      </c>
      <c r="H124" s="2">
        <f t="shared" si="3"/>
        <v>292.08114</v>
      </c>
      <c r="N124" s="9" t="str">
        <f t="shared" ca="1" si="2"/>
        <v>106 to 106</v>
      </c>
      <c r="O124" s="9">
        <f t="shared" ca="1" si="4"/>
        <v>106</v>
      </c>
      <c r="P124" s="9">
        <f t="shared" ca="1" si="5"/>
        <v>106</v>
      </c>
    </row>
    <row r="125" spans="1:16" ht="15" customHeight="1" x14ac:dyDescent="0.25">
      <c r="A125" s="22">
        <f>A124+1</f>
        <v>5</v>
      </c>
      <c r="B125" s="2" t="s">
        <v>95</v>
      </c>
      <c r="C125" s="2">
        <f>(15.16)*10.764</f>
        <v>163.18223999999998</v>
      </c>
      <c r="D125" s="2">
        <v>0</v>
      </c>
      <c r="E125" s="2">
        <v>0</v>
      </c>
      <c r="F125" s="2">
        <f t="shared" si="6"/>
        <v>163.18223999999998</v>
      </c>
      <c r="G125" s="2">
        <v>0</v>
      </c>
      <c r="H125" s="2">
        <f t="shared" si="3"/>
        <v>244.77335999999997</v>
      </c>
      <c r="N125" s="9" t="str">
        <f t="shared" ca="1" si="2"/>
        <v>107 to 107</v>
      </c>
      <c r="O125" s="9">
        <f t="shared" ca="1" si="4"/>
        <v>107</v>
      </c>
      <c r="P125" s="9">
        <f t="shared" ca="1" si="5"/>
        <v>107</v>
      </c>
    </row>
    <row r="126" spans="1:16" ht="15" customHeight="1" x14ac:dyDescent="0.25">
      <c r="A126" s="22">
        <f>A125+1</f>
        <v>6</v>
      </c>
      <c r="B126" s="2" t="s">
        <v>95</v>
      </c>
      <c r="C126" s="2">
        <f>(19.43)*10.764</f>
        <v>209.14451999999997</v>
      </c>
      <c r="D126" s="2">
        <v>0</v>
      </c>
      <c r="E126" s="2">
        <v>0</v>
      </c>
      <c r="F126" s="2">
        <f t="shared" ref="F126" si="7">C126+D126+E126</f>
        <v>209.14451999999997</v>
      </c>
      <c r="G126" s="2">
        <v>0</v>
      </c>
      <c r="H126" s="2">
        <f t="shared" si="3"/>
        <v>313.71677999999997</v>
      </c>
      <c r="N126" s="9" t="str">
        <f t="shared" ref="N126" ca="1" si="8">O126&amp;" to "&amp;P126</f>
        <v>108 to 108</v>
      </c>
      <c r="O126" s="9">
        <f t="shared" ca="1" si="4"/>
        <v>108</v>
      </c>
      <c r="P126" s="9">
        <f t="shared" ca="1" si="5"/>
        <v>108</v>
      </c>
    </row>
    <row r="127" spans="1:16" ht="15" customHeight="1" x14ac:dyDescent="0.25">
      <c r="A127" s="195"/>
      <c r="B127" s="195"/>
      <c r="C127" s="195"/>
      <c r="D127" s="195"/>
      <c r="E127" s="195"/>
      <c r="F127" s="195"/>
      <c r="G127" s="196"/>
      <c r="H127" s="195"/>
      <c r="N127" s="9" t="str">
        <f t="shared" ca="1" si="2"/>
        <v>108 to 108</v>
      </c>
      <c r="O127" s="9">
        <f ca="1">O125+1</f>
        <v>108</v>
      </c>
      <c r="P127" s="9">
        <f ca="1">P125+1</f>
        <v>108</v>
      </c>
    </row>
    <row r="128" spans="1:16" ht="15" customHeight="1" x14ac:dyDescent="0.25">
      <c r="A128" s="188" t="s">
        <v>179</v>
      </c>
      <c r="B128" s="188"/>
      <c r="C128" s="188"/>
      <c r="D128" s="188"/>
      <c r="E128" s="188"/>
      <c r="F128" s="188"/>
      <c r="G128" s="188"/>
      <c r="H128" s="188"/>
      <c r="N128" s="9" t="str">
        <f t="shared" ca="1" si="2"/>
        <v>109 to 109</v>
      </c>
      <c r="O128" s="9">
        <f t="shared" ca="1" si="4"/>
        <v>109</v>
      </c>
      <c r="P128" s="9">
        <f t="shared" ca="1" si="5"/>
        <v>109</v>
      </c>
    </row>
    <row r="129" spans="1:16" ht="50.25" customHeight="1" x14ac:dyDescent="0.25">
      <c r="A129" s="157" t="s">
        <v>171</v>
      </c>
      <c r="B129" s="187" t="s">
        <v>2</v>
      </c>
      <c r="C129" s="157" t="s">
        <v>176</v>
      </c>
      <c r="D129" s="157" t="s">
        <v>160</v>
      </c>
      <c r="E129" s="157" t="s">
        <v>97</v>
      </c>
      <c r="F129" s="55" t="s">
        <v>173</v>
      </c>
      <c r="G129" s="167" t="s">
        <v>174</v>
      </c>
      <c r="H129" s="1" t="s">
        <v>172</v>
      </c>
      <c r="N129" s="9" t="str">
        <f t="shared" ca="1" si="2"/>
        <v>110 to 110</v>
      </c>
      <c r="O129" s="9">
        <f t="shared" ca="1" si="4"/>
        <v>110</v>
      </c>
      <c r="P129" s="9">
        <f t="shared" ca="1" si="5"/>
        <v>110</v>
      </c>
    </row>
    <row r="130" spans="1:16" x14ac:dyDescent="0.25">
      <c r="A130" s="157"/>
      <c r="B130" s="187"/>
      <c r="C130" s="157"/>
      <c r="D130" s="157"/>
      <c r="E130" s="157"/>
      <c r="F130" s="56"/>
      <c r="G130" s="168"/>
      <c r="H130" s="46">
        <v>0.45</v>
      </c>
    </row>
    <row r="131" spans="1:16" ht="15" customHeight="1" x14ac:dyDescent="0.25">
      <c r="A131" s="57" t="s">
        <v>213</v>
      </c>
      <c r="B131" s="57"/>
      <c r="C131" s="57"/>
      <c r="D131" s="57"/>
      <c r="E131" s="57"/>
      <c r="F131" s="57"/>
      <c r="G131" s="58"/>
      <c r="H131" s="57"/>
      <c r="K131" s="2">
        <v>10.763999999999999</v>
      </c>
      <c r="N131" s="9" t="str">
        <f t="shared" ref="N131" ca="1" si="9">O131&amp;" to "&amp;P131</f>
        <v>111 to 111</v>
      </c>
      <c r="O131" s="9">
        <f ca="1">O129+1</f>
        <v>111</v>
      </c>
      <c r="P131" s="9">
        <f ca="1">P129+1</f>
        <v>111</v>
      </c>
    </row>
    <row r="132" spans="1:16" ht="15" customHeight="1" x14ac:dyDescent="0.25">
      <c r="A132" s="57" t="s">
        <v>215</v>
      </c>
      <c r="B132" s="57"/>
      <c r="C132" s="57"/>
      <c r="D132" s="57"/>
      <c r="E132" s="57"/>
      <c r="F132" s="57"/>
      <c r="G132" s="58"/>
      <c r="H132" s="57"/>
      <c r="N132" s="9" t="e">
        <f ca="1">O132&amp;" &amp; "&amp;P132</f>
        <v>#REF!</v>
      </c>
      <c r="O132" s="9" t="e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10^ROW(INDIRECT("1:"&amp;LEN((LEFT(A160,SUM(LEN(A160)-LEN(SUBSTITUTE(A160,{"0","1","2"},""))))))))/10))*100+1</f>
        <v>#REF!</v>
      </c>
      <c r="P132" s="9" t="e">
        <f ca="1">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#NUM!</v>
      </c>
    </row>
    <row r="133" spans="1:16" ht="15" customHeight="1" x14ac:dyDescent="0.25">
      <c r="A133" s="22">
        <v>1</v>
      </c>
      <c r="B133" s="2" t="s">
        <v>216</v>
      </c>
      <c r="C133" s="2">
        <f>(18.31)*10.764</f>
        <v>197.08883999999998</v>
      </c>
      <c r="D133" s="2">
        <v>0</v>
      </c>
      <c r="E133" s="2">
        <v>0</v>
      </c>
      <c r="F133" s="2">
        <f t="shared" ref="F133:F136" si="10">C133+D133+E133</f>
        <v>197.08883999999998</v>
      </c>
      <c r="G133" s="2">
        <v>0</v>
      </c>
      <c r="H133" s="2">
        <f t="shared" ref="H133:H136" si="11">F133*(($H$130)+1)+(IF(G133&lt;101,G133,IF(G133&lt;201,G133/2,IF(G133&lt;=301,G133/3,G133/4))))</f>
        <v>285.77881799999994</v>
      </c>
      <c r="N133" s="9" t="e">
        <f t="shared" ref="N133:N136" ca="1" si="12">O133&amp;" &amp; "&amp;P133</f>
        <v>#REF!</v>
      </c>
      <c r="O133" s="9" t="e">
        <f ca="1">O132+1</f>
        <v>#REF!</v>
      </c>
      <c r="P133" s="9" t="e">
        <f ca="1">P132+1</f>
        <v>#NUM!</v>
      </c>
    </row>
    <row r="134" spans="1:16" ht="15" customHeight="1" x14ac:dyDescent="0.25">
      <c r="A134" s="22">
        <f>A133+1</f>
        <v>2</v>
      </c>
      <c r="B134" s="2" t="s">
        <v>217</v>
      </c>
      <c r="C134" s="2">
        <f>(29.97)*10.764</f>
        <v>322.59707999999995</v>
      </c>
      <c r="D134" s="2">
        <v>0</v>
      </c>
      <c r="E134" s="2">
        <v>0</v>
      </c>
      <c r="F134" s="2">
        <f t="shared" si="10"/>
        <v>322.59707999999995</v>
      </c>
      <c r="G134" s="2">
        <v>0</v>
      </c>
      <c r="H134" s="2">
        <f t="shared" si="11"/>
        <v>467.76576599999993</v>
      </c>
      <c r="N134" s="9" t="e">
        <f t="shared" ca="1" si="12"/>
        <v>#REF!</v>
      </c>
      <c r="O134" s="9" t="e">
        <f t="shared" ref="O134:O138" ca="1" si="13">O133+1</f>
        <v>#REF!</v>
      </c>
      <c r="P134" s="9" t="e">
        <f t="shared" ref="P134:P138" ca="1" si="14">P133+1</f>
        <v>#NUM!</v>
      </c>
    </row>
    <row r="135" spans="1:16" ht="15" customHeight="1" x14ac:dyDescent="0.25">
      <c r="A135" s="22">
        <f>A134+1</f>
        <v>3</v>
      </c>
      <c r="B135" s="2" t="s">
        <v>217</v>
      </c>
      <c r="C135" s="2">
        <f>(29.97)*10.764</f>
        <v>322.59707999999995</v>
      </c>
      <c r="D135" s="2">
        <v>0</v>
      </c>
      <c r="E135" s="2">
        <v>0</v>
      </c>
      <c r="F135" s="2">
        <f t="shared" si="10"/>
        <v>322.59707999999995</v>
      </c>
      <c r="G135" s="2">
        <v>0</v>
      </c>
      <c r="H135" s="2">
        <f t="shared" si="11"/>
        <v>467.76576599999993</v>
      </c>
      <c r="J135" s="9">
        <f>2.75*4.27+2.13*2.75+2.75*2.75+1.2*0.9+1.83*1.2+1*0.9</f>
        <v>29.3385</v>
      </c>
      <c r="L135" s="9">
        <f>1850000</f>
        <v>1850000</v>
      </c>
      <c r="M135" s="9">
        <f>L135/H135</f>
        <v>3954.970915934879</v>
      </c>
      <c r="N135" s="9" t="e">
        <f t="shared" ca="1" si="12"/>
        <v>#REF!</v>
      </c>
      <c r="O135" s="9" t="e">
        <f t="shared" ca="1" si="13"/>
        <v>#REF!</v>
      </c>
      <c r="P135" s="9" t="e">
        <f t="shared" ca="1" si="14"/>
        <v>#NUM!</v>
      </c>
    </row>
    <row r="136" spans="1:16" ht="15" customHeight="1" x14ac:dyDescent="0.25">
      <c r="A136" s="22">
        <f>A135+1</f>
        <v>4</v>
      </c>
      <c r="B136" s="2" t="s">
        <v>218</v>
      </c>
      <c r="C136" s="2">
        <f>(43)*10.764</f>
        <v>462.85199999999998</v>
      </c>
      <c r="D136" s="2">
        <v>0</v>
      </c>
      <c r="E136" s="2">
        <v>0</v>
      </c>
      <c r="F136" s="2">
        <f t="shared" si="10"/>
        <v>462.85199999999998</v>
      </c>
      <c r="G136" s="2">
        <v>0</v>
      </c>
      <c r="H136" s="2">
        <f t="shared" si="11"/>
        <v>671.13539999999989</v>
      </c>
      <c r="L136" s="9">
        <v>2390000</v>
      </c>
      <c r="M136" s="9">
        <f>L136/H136</f>
        <v>3561.1293935620151</v>
      </c>
      <c r="N136" s="9" t="e">
        <f t="shared" ca="1" si="12"/>
        <v>#REF!</v>
      </c>
      <c r="O136" s="9" t="e">
        <f t="shared" ca="1" si="13"/>
        <v>#REF!</v>
      </c>
      <c r="P136" s="9" t="e">
        <f t="shared" ca="1" si="14"/>
        <v>#NUM!</v>
      </c>
    </row>
    <row r="137" spans="1:16" ht="15" customHeight="1" x14ac:dyDescent="0.25">
      <c r="A137" s="23" t="s">
        <v>219</v>
      </c>
      <c r="B137" s="189" t="s">
        <v>220</v>
      </c>
      <c r="C137" s="190"/>
      <c r="D137" s="190"/>
      <c r="E137" s="190"/>
      <c r="F137" s="190"/>
      <c r="G137" s="190"/>
      <c r="H137" s="191"/>
      <c r="N137" s="9" t="e">
        <f t="shared" ref="N137:N138" ca="1" si="15">O137&amp;" &amp; "&amp;P137</f>
        <v>#REF!</v>
      </c>
      <c r="O137" s="9" t="e">
        <f ca="1">O140+1</f>
        <v>#REF!</v>
      </c>
      <c r="P137" s="9" t="e">
        <f ca="1">P140+1</f>
        <v>#NUM!</v>
      </c>
    </row>
    <row r="138" spans="1:16" ht="15" customHeight="1" x14ac:dyDescent="0.25">
      <c r="A138" s="23" t="s">
        <v>219</v>
      </c>
      <c r="B138" s="192"/>
      <c r="C138" s="193"/>
      <c r="D138" s="193"/>
      <c r="E138" s="193"/>
      <c r="F138" s="193"/>
      <c r="G138" s="193"/>
      <c r="H138" s="194"/>
      <c r="N138" s="9" t="e">
        <f t="shared" ca="1" si="15"/>
        <v>#REF!</v>
      </c>
      <c r="O138" s="9" t="e">
        <f t="shared" ca="1" si="13"/>
        <v>#REF!</v>
      </c>
      <c r="P138" s="9" t="e">
        <f t="shared" ca="1" si="14"/>
        <v>#NUM!</v>
      </c>
    </row>
    <row r="139" spans="1:16" ht="15" customHeight="1" x14ac:dyDescent="0.25">
      <c r="A139" s="22">
        <f>A136+1</f>
        <v>5</v>
      </c>
      <c r="B139" s="2" t="s">
        <v>217</v>
      </c>
      <c r="C139" s="2">
        <f>(34.58)*10.764</f>
        <v>372.21911999999998</v>
      </c>
      <c r="D139" s="2">
        <v>0</v>
      </c>
      <c r="E139" s="2">
        <v>0</v>
      </c>
      <c r="F139" s="2">
        <f>C139+D139+E139</f>
        <v>372.21911999999998</v>
      </c>
      <c r="G139" s="2">
        <v>0</v>
      </c>
      <c r="H139" s="2">
        <f>F139*(($H$130)+1)+(IF(G139&lt;101,G139,IF(G139&lt;201,G139/2,IF(G139&lt;=301,G139/3,G139/4))))</f>
        <v>539.71772399999998</v>
      </c>
      <c r="N139" s="9" t="e">
        <f ca="1">O139&amp;" &amp; "&amp;P139</f>
        <v>#REF!</v>
      </c>
      <c r="O139" s="9" t="e">
        <f ca="1">O136+1</f>
        <v>#REF!</v>
      </c>
      <c r="P139" s="9" t="e">
        <f ca="1">P136+1</f>
        <v>#NUM!</v>
      </c>
    </row>
    <row r="140" spans="1:16" ht="15" customHeight="1" x14ac:dyDescent="0.25">
      <c r="A140" s="23">
        <f>A139+1</f>
        <v>6</v>
      </c>
      <c r="B140" s="2" t="s">
        <v>217</v>
      </c>
      <c r="C140" s="2">
        <f>(29.97)*10.764</f>
        <v>322.59707999999995</v>
      </c>
      <c r="D140" s="2">
        <v>0</v>
      </c>
      <c r="E140" s="2">
        <v>0</v>
      </c>
      <c r="F140" s="2">
        <f>C140+D140+E140</f>
        <v>322.59707999999995</v>
      </c>
      <c r="G140" s="2">
        <v>0</v>
      </c>
      <c r="H140" s="2">
        <f>F140*(($H$130)+1)+(IF(G140&lt;101,G140,IF(G140&lt;201,G140/2,IF(G140&lt;=301,G140/3,G140/4))))</f>
        <v>467.76576599999993</v>
      </c>
      <c r="N140" s="9" t="e">
        <f ca="1">O140&amp;" &amp; "&amp;P140</f>
        <v>#REF!</v>
      </c>
      <c r="O140" s="9" t="e">
        <f ca="1">O139+1</f>
        <v>#REF!</v>
      </c>
      <c r="P140" s="9" t="e">
        <f ca="1">P139+1</f>
        <v>#NUM!</v>
      </c>
    </row>
    <row r="141" spans="1:16" ht="15" customHeight="1" x14ac:dyDescent="0.25">
      <c r="A141" s="57" t="s">
        <v>158</v>
      </c>
      <c r="B141" s="57"/>
      <c r="C141" s="57"/>
      <c r="D141" s="57"/>
      <c r="E141" s="57"/>
      <c r="F141" s="57"/>
      <c r="G141" s="57"/>
      <c r="H141" s="57"/>
      <c r="I141" s="61"/>
      <c r="J141" s="61"/>
      <c r="N141" s="9" t="e">
        <f ca="1">O141&amp;",..,"&amp;P141</f>
        <v>#REF!</v>
      </c>
      <c r="O141" s="9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41" s="9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42" spans="1:16" ht="15" customHeight="1" x14ac:dyDescent="0.25">
      <c r="A142" s="22">
        <v>1</v>
      </c>
      <c r="B142" s="2" t="s">
        <v>217</v>
      </c>
      <c r="C142" s="2">
        <f>(29.97)*10.764</f>
        <v>322.59707999999995</v>
      </c>
      <c r="D142" s="2">
        <v>0</v>
      </c>
      <c r="E142" s="2">
        <v>0</v>
      </c>
      <c r="F142" s="2">
        <f t="shared" ref="F142:F149" si="16">C142+D142+E142</f>
        <v>322.59707999999995</v>
      </c>
      <c r="G142" s="2">
        <v>0</v>
      </c>
      <c r="H142" s="2">
        <f t="shared" ref="H142:H149" si="17">F142*(($H$130)+1)+(IF(G142&lt;101,G142,IF(G142&lt;201,G142/2,IF(G142&lt;=301,G142/3,G142/4))))</f>
        <v>467.76576599999993</v>
      </c>
      <c r="N142" s="9" t="e">
        <f t="shared" ref="N142:N149" ca="1" si="18">O142&amp;",..,"&amp;P142</f>
        <v>#REF!</v>
      </c>
      <c r="O142" s="9" t="e">
        <f ca="1">O141+1</f>
        <v>#REF!</v>
      </c>
      <c r="P142" s="9" t="e">
        <f ca="1">P141+1</f>
        <v>#REF!</v>
      </c>
    </row>
    <row r="143" spans="1:16" ht="15" customHeight="1" x14ac:dyDescent="0.25">
      <c r="A143" s="22">
        <f>A142+1</f>
        <v>2</v>
      </c>
      <c r="B143" s="2" t="s">
        <v>217</v>
      </c>
      <c r="C143" s="2">
        <f>(29.97)*10.764</f>
        <v>322.59707999999995</v>
      </c>
      <c r="D143" s="2">
        <v>0</v>
      </c>
      <c r="E143" s="2">
        <v>0</v>
      </c>
      <c r="F143" s="2">
        <f t="shared" si="16"/>
        <v>322.59707999999995</v>
      </c>
      <c r="G143" s="2">
        <v>0</v>
      </c>
      <c r="H143" s="2">
        <f t="shared" si="17"/>
        <v>467.76576599999993</v>
      </c>
      <c r="N143" s="9" t="e">
        <f t="shared" ca="1" si="18"/>
        <v>#REF!</v>
      </c>
      <c r="O143" s="9" t="e">
        <f t="shared" ref="O143:O149" ca="1" si="19">O142+1</f>
        <v>#REF!</v>
      </c>
      <c r="P143" s="9" t="e">
        <f t="shared" ref="P143:P149" ca="1" si="20">P142+1</f>
        <v>#REF!</v>
      </c>
    </row>
    <row r="144" spans="1:16" ht="15" customHeight="1" x14ac:dyDescent="0.25">
      <c r="A144" s="22">
        <f>A143+1</f>
        <v>3</v>
      </c>
      <c r="B144" s="2" t="s">
        <v>217</v>
      </c>
      <c r="C144" s="2">
        <f>(29.97)*10.764</f>
        <v>322.59707999999995</v>
      </c>
      <c r="D144" s="2">
        <v>0</v>
      </c>
      <c r="E144" s="2">
        <v>0</v>
      </c>
      <c r="F144" s="2">
        <f t="shared" si="16"/>
        <v>322.59707999999995</v>
      </c>
      <c r="G144" s="2">
        <v>0</v>
      </c>
      <c r="H144" s="2">
        <f t="shared" si="17"/>
        <v>467.76576599999993</v>
      </c>
      <c r="N144" s="9" t="e">
        <f t="shared" ca="1" si="18"/>
        <v>#REF!</v>
      </c>
      <c r="O144" s="9" t="e">
        <f t="shared" ca="1" si="19"/>
        <v>#REF!</v>
      </c>
      <c r="P144" s="9" t="e">
        <f t="shared" ca="1" si="20"/>
        <v>#REF!</v>
      </c>
    </row>
    <row r="145" spans="1:16" ht="15" customHeight="1" x14ac:dyDescent="0.25">
      <c r="A145" s="22">
        <f>A144+1</f>
        <v>4</v>
      </c>
      <c r="B145" s="2" t="s">
        <v>218</v>
      </c>
      <c r="C145" s="2">
        <f>(46.02)*10.764</f>
        <v>495.35928000000001</v>
      </c>
      <c r="D145" s="2">
        <f>(2.9)*10.764</f>
        <v>31.215599999999998</v>
      </c>
      <c r="E145" s="2">
        <v>0</v>
      </c>
      <c r="F145" s="2">
        <f t="shared" si="16"/>
        <v>526.57488000000001</v>
      </c>
      <c r="G145" s="2">
        <v>0</v>
      </c>
      <c r="H145" s="2">
        <f t="shared" si="17"/>
        <v>763.53357600000004</v>
      </c>
      <c r="N145" s="9" t="e">
        <f t="shared" ca="1" si="18"/>
        <v>#REF!</v>
      </c>
      <c r="O145" s="9" t="e">
        <f t="shared" ca="1" si="19"/>
        <v>#REF!</v>
      </c>
      <c r="P145" s="9" t="e">
        <f t="shared" ca="1" si="20"/>
        <v>#REF!</v>
      </c>
    </row>
    <row r="146" spans="1:16" ht="15" customHeight="1" x14ac:dyDescent="0.25">
      <c r="A146" s="22">
        <f>A145+1</f>
        <v>5</v>
      </c>
      <c r="B146" s="2" t="s">
        <v>217</v>
      </c>
      <c r="C146" s="2">
        <f>(37.6)*10.764</f>
        <v>404.72640000000001</v>
      </c>
      <c r="D146" s="2">
        <f>(2.87)*10.764</f>
        <v>30.892679999999999</v>
      </c>
      <c r="E146" s="2">
        <v>0</v>
      </c>
      <c r="F146" s="2">
        <f t="shared" si="16"/>
        <v>435.61908</v>
      </c>
      <c r="G146" s="2">
        <v>0</v>
      </c>
      <c r="H146" s="2">
        <f t="shared" si="17"/>
        <v>631.64766599999996</v>
      </c>
      <c r="N146" s="9" t="e">
        <f t="shared" ca="1" si="18"/>
        <v>#REF!</v>
      </c>
      <c r="O146" s="9" t="e">
        <f t="shared" ca="1" si="19"/>
        <v>#REF!</v>
      </c>
      <c r="P146" s="9" t="e">
        <f t="shared" ca="1" si="20"/>
        <v>#REF!</v>
      </c>
    </row>
    <row r="147" spans="1:16" ht="15" customHeight="1" x14ac:dyDescent="0.25">
      <c r="A147" s="22">
        <f>A146+1</f>
        <v>6</v>
      </c>
      <c r="B147" s="2" t="s">
        <v>218</v>
      </c>
      <c r="C147" s="2">
        <f>(46.71)*10.764</f>
        <v>502.78643999999997</v>
      </c>
      <c r="D147" s="2">
        <v>0</v>
      </c>
      <c r="E147" s="2">
        <v>0</v>
      </c>
      <c r="F147" s="2">
        <f t="shared" si="16"/>
        <v>502.78643999999997</v>
      </c>
      <c r="G147" s="2">
        <f>(15.78)*10.764</f>
        <v>169.85591999999997</v>
      </c>
      <c r="H147" s="2">
        <f t="shared" si="17"/>
        <v>813.96829799999989</v>
      </c>
      <c r="N147" s="9" t="e">
        <f t="shared" ca="1" si="18"/>
        <v>#REF!</v>
      </c>
      <c r="O147" s="9" t="e">
        <f t="shared" ca="1" si="19"/>
        <v>#REF!</v>
      </c>
      <c r="P147" s="9" t="e">
        <f t="shared" ca="1" si="20"/>
        <v>#REF!</v>
      </c>
    </row>
    <row r="148" spans="1:16" ht="15" customHeight="1" x14ac:dyDescent="0.25">
      <c r="A148" s="22">
        <f t="shared" ref="A148:A149" si="21">A147+1</f>
        <v>7</v>
      </c>
      <c r="B148" s="2" t="s">
        <v>218</v>
      </c>
      <c r="C148" s="2">
        <f>(46.71)*10.764</f>
        <v>502.78643999999997</v>
      </c>
      <c r="D148" s="2">
        <v>0</v>
      </c>
      <c r="E148" s="2">
        <v>0</v>
      </c>
      <c r="F148" s="2">
        <f t="shared" si="16"/>
        <v>502.78643999999997</v>
      </c>
      <c r="G148" s="2">
        <f>(15.78)*10.764</f>
        <v>169.85591999999997</v>
      </c>
      <c r="H148" s="2">
        <f t="shared" si="17"/>
        <v>813.96829799999989</v>
      </c>
      <c r="N148" s="9" t="e">
        <f t="shared" ca="1" si="18"/>
        <v>#REF!</v>
      </c>
      <c r="O148" s="9" t="e">
        <f t="shared" ca="1" si="19"/>
        <v>#REF!</v>
      </c>
      <c r="P148" s="9" t="e">
        <f t="shared" ca="1" si="20"/>
        <v>#REF!</v>
      </c>
    </row>
    <row r="149" spans="1:16" ht="15" customHeight="1" x14ac:dyDescent="0.25">
      <c r="A149" s="22">
        <f t="shared" si="21"/>
        <v>8</v>
      </c>
      <c r="B149" s="2" t="s">
        <v>217</v>
      </c>
      <c r="C149" s="2">
        <f>(29.97)*10.764</f>
        <v>322.59707999999995</v>
      </c>
      <c r="D149" s="2">
        <v>0</v>
      </c>
      <c r="E149" s="2">
        <v>0</v>
      </c>
      <c r="F149" s="2">
        <f t="shared" si="16"/>
        <v>322.59707999999995</v>
      </c>
      <c r="G149" s="2">
        <v>0</v>
      </c>
      <c r="H149" s="2">
        <f t="shared" si="17"/>
        <v>467.76576599999993</v>
      </c>
      <c r="N149" s="9" t="e">
        <f t="shared" ca="1" si="18"/>
        <v>#REF!</v>
      </c>
      <c r="O149" s="9" t="e">
        <f t="shared" ca="1" si="19"/>
        <v>#REF!</v>
      </c>
      <c r="P149" s="9" t="e">
        <f t="shared" ca="1" si="20"/>
        <v>#REF!</v>
      </c>
    </row>
    <row r="150" spans="1:16" ht="15" customHeight="1" x14ac:dyDescent="0.25">
      <c r="A150" s="57" t="s">
        <v>221</v>
      </c>
      <c r="B150" s="57"/>
      <c r="C150" s="57"/>
      <c r="D150" s="57"/>
      <c r="E150" s="57"/>
      <c r="F150" s="57"/>
      <c r="G150" s="57"/>
      <c r="H150" s="57"/>
      <c r="I150" s="61"/>
      <c r="J150" s="61"/>
      <c r="N150" s="9" t="e">
        <f ca="1">O150&amp;",..,"&amp;P150</f>
        <v>#REF!</v>
      </c>
      <c r="O150" s="9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50" s="9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51" spans="1:16" ht="15" customHeight="1" x14ac:dyDescent="0.25">
      <c r="A151" s="22">
        <v>1</v>
      </c>
      <c r="B151" s="2" t="s">
        <v>217</v>
      </c>
      <c r="C151" s="2">
        <f>(29.97)*10.764</f>
        <v>322.59707999999995</v>
      </c>
      <c r="D151" s="2">
        <v>0</v>
      </c>
      <c r="E151" s="2">
        <v>0</v>
      </c>
      <c r="F151" s="2">
        <f t="shared" ref="F151:F158" si="22">C151+D151+E151</f>
        <v>322.59707999999995</v>
      </c>
      <c r="G151" s="2">
        <v>0</v>
      </c>
      <c r="H151" s="2">
        <f t="shared" ref="H151:H158" si="23">F151*(($H$130)+1)+(IF(G151&lt;101,G151,IF(G151&lt;201,G151/2,IF(G151&lt;=301,G151/3,G151/4))))</f>
        <v>467.76576599999993</v>
      </c>
      <c r="N151" s="9" t="e">
        <f t="shared" ref="N151:N158" ca="1" si="24">O151&amp;",..,"&amp;P151</f>
        <v>#REF!</v>
      </c>
      <c r="O151" s="9" t="e">
        <f ca="1">O150+1</f>
        <v>#REF!</v>
      </c>
      <c r="P151" s="9" t="e">
        <f ca="1">P150+1</f>
        <v>#REF!</v>
      </c>
    </row>
    <row r="152" spans="1:16" ht="15" customHeight="1" x14ac:dyDescent="0.25">
      <c r="A152" s="22">
        <f>A151+1</f>
        <v>2</v>
      </c>
      <c r="B152" s="2" t="s">
        <v>217</v>
      </c>
      <c r="C152" s="2">
        <f>(29.97)*10.764</f>
        <v>322.59707999999995</v>
      </c>
      <c r="D152" s="2">
        <v>0</v>
      </c>
      <c r="E152" s="2">
        <v>0</v>
      </c>
      <c r="F152" s="2">
        <f t="shared" si="22"/>
        <v>322.59707999999995</v>
      </c>
      <c r="G152" s="2">
        <v>0</v>
      </c>
      <c r="H152" s="2">
        <f t="shared" si="23"/>
        <v>467.76576599999993</v>
      </c>
      <c r="N152" s="9" t="e">
        <f t="shared" ca="1" si="24"/>
        <v>#REF!</v>
      </c>
      <c r="O152" s="9" t="e">
        <f t="shared" ref="O152:P158" ca="1" si="25">O151+1</f>
        <v>#REF!</v>
      </c>
      <c r="P152" s="9" t="e">
        <f t="shared" ca="1" si="25"/>
        <v>#REF!</v>
      </c>
    </row>
    <row r="153" spans="1:16" ht="15" customHeight="1" x14ac:dyDescent="0.25">
      <c r="A153" s="22">
        <f>A152+1</f>
        <v>3</v>
      </c>
      <c r="B153" s="2" t="s">
        <v>217</v>
      </c>
      <c r="C153" s="2">
        <f>(29.97)*10.764</f>
        <v>322.59707999999995</v>
      </c>
      <c r="D153" s="2">
        <v>0</v>
      </c>
      <c r="E153" s="2">
        <v>0</v>
      </c>
      <c r="F153" s="2">
        <f t="shared" si="22"/>
        <v>322.59707999999995</v>
      </c>
      <c r="G153" s="2">
        <v>0</v>
      </c>
      <c r="H153" s="2">
        <f t="shared" si="23"/>
        <v>467.76576599999993</v>
      </c>
      <c r="N153" s="9" t="e">
        <f t="shared" ca="1" si="24"/>
        <v>#REF!</v>
      </c>
      <c r="O153" s="9" t="e">
        <f t="shared" ca="1" si="25"/>
        <v>#REF!</v>
      </c>
      <c r="P153" s="9" t="e">
        <f t="shared" ca="1" si="25"/>
        <v>#REF!</v>
      </c>
    </row>
    <row r="154" spans="1:16" ht="15" customHeight="1" x14ac:dyDescent="0.25">
      <c r="A154" s="22">
        <f>A153+1</f>
        <v>4</v>
      </c>
      <c r="B154" s="2" t="s">
        <v>218</v>
      </c>
      <c r="C154" s="2">
        <f>(46.02)*10.764</f>
        <v>495.35928000000001</v>
      </c>
      <c r="D154" s="2">
        <f>(2.9)*10.764</f>
        <v>31.215599999999998</v>
      </c>
      <c r="E154" s="2">
        <v>0</v>
      </c>
      <c r="F154" s="2">
        <f t="shared" si="22"/>
        <v>526.57488000000001</v>
      </c>
      <c r="G154" s="2">
        <v>0</v>
      </c>
      <c r="H154" s="2">
        <f t="shared" si="23"/>
        <v>763.53357600000004</v>
      </c>
      <c r="N154" s="9" t="e">
        <f t="shared" ca="1" si="24"/>
        <v>#REF!</v>
      </c>
      <c r="O154" s="9" t="e">
        <f t="shared" ca="1" si="25"/>
        <v>#REF!</v>
      </c>
      <c r="P154" s="9" t="e">
        <f t="shared" ca="1" si="25"/>
        <v>#REF!</v>
      </c>
    </row>
    <row r="155" spans="1:16" ht="15" customHeight="1" x14ac:dyDescent="0.25">
      <c r="A155" s="22">
        <f>A154+1</f>
        <v>5</v>
      </c>
      <c r="B155" s="2" t="s">
        <v>217</v>
      </c>
      <c r="C155" s="2">
        <f>(37.6)*10.764</f>
        <v>404.72640000000001</v>
      </c>
      <c r="D155" s="2">
        <f>(2.87)*10.764</f>
        <v>30.892679999999999</v>
      </c>
      <c r="E155" s="2">
        <v>0</v>
      </c>
      <c r="F155" s="2">
        <f t="shared" si="22"/>
        <v>435.61908</v>
      </c>
      <c r="G155" s="2">
        <v>0</v>
      </c>
      <c r="H155" s="2">
        <f t="shared" si="23"/>
        <v>631.64766599999996</v>
      </c>
      <c r="N155" s="9" t="e">
        <f t="shared" ca="1" si="24"/>
        <v>#REF!</v>
      </c>
      <c r="O155" s="9" t="e">
        <f t="shared" ca="1" si="25"/>
        <v>#REF!</v>
      </c>
      <c r="P155" s="9" t="e">
        <f t="shared" ca="1" si="25"/>
        <v>#REF!</v>
      </c>
    </row>
    <row r="156" spans="1:16" ht="15" customHeight="1" x14ac:dyDescent="0.25">
      <c r="A156" s="22">
        <f>A155+1</f>
        <v>6</v>
      </c>
      <c r="B156" s="2" t="s">
        <v>218</v>
      </c>
      <c r="C156" s="2">
        <f>(46.71)*10.764</f>
        <v>502.78643999999997</v>
      </c>
      <c r="D156" s="2">
        <f>2.75*10.764</f>
        <v>29.600999999999999</v>
      </c>
      <c r="E156" s="2">
        <v>0</v>
      </c>
      <c r="F156" s="2">
        <f t="shared" si="22"/>
        <v>532.38743999999997</v>
      </c>
      <c r="G156" s="2">
        <v>0</v>
      </c>
      <c r="H156" s="2">
        <f t="shared" si="23"/>
        <v>771.96178799999996</v>
      </c>
      <c r="N156" s="9" t="e">
        <f t="shared" ca="1" si="24"/>
        <v>#REF!</v>
      </c>
      <c r="O156" s="9" t="e">
        <f t="shared" ca="1" si="25"/>
        <v>#REF!</v>
      </c>
      <c r="P156" s="9" t="e">
        <f t="shared" ca="1" si="25"/>
        <v>#REF!</v>
      </c>
    </row>
    <row r="157" spans="1:16" ht="15" customHeight="1" x14ac:dyDescent="0.25">
      <c r="A157" s="22">
        <f t="shared" ref="A157:A158" si="26">A156+1</f>
        <v>7</v>
      </c>
      <c r="B157" s="2" t="s">
        <v>218</v>
      </c>
      <c r="C157" s="2">
        <f>(46.71)*10.764</f>
        <v>502.78643999999997</v>
      </c>
      <c r="D157" s="2">
        <f>2.75*10.764</f>
        <v>29.600999999999999</v>
      </c>
      <c r="E157" s="2">
        <v>0</v>
      </c>
      <c r="F157" s="2">
        <f t="shared" si="22"/>
        <v>532.38743999999997</v>
      </c>
      <c r="G157" s="2">
        <v>0</v>
      </c>
      <c r="H157" s="2">
        <f t="shared" si="23"/>
        <v>771.96178799999996</v>
      </c>
      <c r="N157" s="9" t="e">
        <f t="shared" ca="1" si="24"/>
        <v>#REF!</v>
      </c>
      <c r="O157" s="9" t="e">
        <f t="shared" ca="1" si="25"/>
        <v>#REF!</v>
      </c>
      <c r="P157" s="9" t="e">
        <f t="shared" ca="1" si="25"/>
        <v>#REF!</v>
      </c>
    </row>
    <row r="158" spans="1:16" ht="15" customHeight="1" x14ac:dyDescent="0.25">
      <c r="A158" s="22">
        <f t="shared" si="26"/>
        <v>8</v>
      </c>
      <c r="B158" s="2" t="s">
        <v>217</v>
      </c>
      <c r="C158" s="2">
        <f>(29.97)*10.764</f>
        <v>322.59707999999995</v>
      </c>
      <c r="D158" s="2">
        <v>0</v>
      </c>
      <c r="E158" s="2">
        <v>0</v>
      </c>
      <c r="F158" s="2">
        <f t="shared" si="22"/>
        <v>322.59707999999995</v>
      </c>
      <c r="G158" s="2">
        <v>0</v>
      </c>
      <c r="H158" s="2">
        <f t="shared" si="23"/>
        <v>467.76576599999993</v>
      </c>
      <c r="N158" s="9" t="e">
        <f t="shared" ca="1" si="24"/>
        <v>#REF!</v>
      </c>
      <c r="O158" s="9" t="e">
        <f t="shared" ca="1" si="25"/>
        <v>#REF!</v>
      </c>
      <c r="P158" s="9" t="e">
        <f t="shared" ca="1" si="25"/>
        <v>#REF!</v>
      </c>
    </row>
    <row r="159" spans="1:16" x14ac:dyDescent="0.25">
      <c r="A159" s="57" t="s">
        <v>222</v>
      </c>
      <c r="B159" s="57"/>
      <c r="C159" s="57"/>
      <c r="D159" s="57"/>
      <c r="E159" s="57"/>
      <c r="F159" s="57"/>
      <c r="G159" s="57"/>
      <c r="H159" s="57"/>
      <c r="I159" s="61"/>
      <c r="J159" s="61"/>
    </row>
    <row r="160" spans="1:16" x14ac:dyDescent="0.25">
      <c r="A160" s="57" t="s">
        <v>223</v>
      </c>
      <c r="B160" s="57"/>
      <c r="C160" s="57"/>
      <c r="D160" s="57"/>
      <c r="E160" s="57"/>
      <c r="F160" s="57"/>
      <c r="G160" s="57"/>
      <c r="H160" s="57"/>
      <c r="I160" s="61"/>
      <c r="J160" s="61"/>
    </row>
    <row r="161" spans="1:10" x14ac:dyDescent="0.25">
      <c r="A161" s="22">
        <v>1</v>
      </c>
      <c r="B161" s="2" t="s">
        <v>217</v>
      </c>
      <c r="C161" s="2">
        <f>(29.97)*10.764</f>
        <v>322.59707999999995</v>
      </c>
      <c r="D161" s="2">
        <v>0</v>
      </c>
      <c r="E161" s="2">
        <v>0</v>
      </c>
      <c r="F161" s="2">
        <f t="shared" ref="F161:F167" si="27">C161+D161+E161</f>
        <v>322.59707999999995</v>
      </c>
      <c r="G161" s="2">
        <v>0</v>
      </c>
      <c r="H161" s="2">
        <f t="shared" ref="H161:H167" si="28">F161*(($H$130)+1)+(IF(G161&lt;101,G161,IF(G161&lt;201,G161/2,IF(G161&lt;=301,G161/3,G161/4))))</f>
        <v>467.76576599999993</v>
      </c>
    </row>
    <row r="162" spans="1:10" x14ac:dyDescent="0.25">
      <c r="A162" s="22">
        <f>A161+1</f>
        <v>2</v>
      </c>
      <c r="B162" s="2" t="s">
        <v>217</v>
      </c>
      <c r="C162" s="2">
        <f>(29.93)*10.764</f>
        <v>322.16651999999999</v>
      </c>
      <c r="D162" s="2">
        <v>0</v>
      </c>
      <c r="E162" s="2">
        <v>0</v>
      </c>
      <c r="F162" s="2">
        <f t="shared" si="27"/>
        <v>322.16651999999999</v>
      </c>
      <c r="G162" s="2">
        <v>0</v>
      </c>
      <c r="H162" s="2">
        <f t="shared" si="28"/>
        <v>467.14145399999995</v>
      </c>
    </row>
    <row r="163" spans="1:10" x14ac:dyDescent="0.25">
      <c r="A163" s="22">
        <f>A162+1</f>
        <v>3</v>
      </c>
      <c r="B163" s="2" t="s">
        <v>217</v>
      </c>
      <c r="C163" s="2">
        <f>(33.76)*10.764</f>
        <v>363.39263999999997</v>
      </c>
      <c r="D163" s="2">
        <v>0</v>
      </c>
      <c r="E163" s="2">
        <v>0</v>
      </c>
      <c r="F163" s="2">
        <f t="shared" si="27"/>
        <v>363.39263999999997</v>
      </c>
      <c r="G163" s="2">
        <v>0</v>
      </c>
      <c r="H163" s="2">
        <f t="shared" si="28"/>
        <v>526.91932799999995</v>
      </c>
    </row>
    <row r="164" spans="1:10" x14ac:dyDescent="0.25">
      <c r="A164" s="22">
        <f>A163+1</f>
        <v>4</v>
      </c>
      <c r="B164" s="2" t="s">
        <v>217</v>
      </c>
      <c r="C164" s="2">
        <f>(31.53)*10.764</f>
        <v>339.38891999999998</v>
      </c>
      <c r="D164" s="2">
        <v>0</v>
      </c>
      <c r="E164" s="2">
        <v>0</v>
      </c>
      <c r="F164" s="2">
        <f>C164+D164+E164</f>
        <v>339.38891999999998</v>
      </c>
      <c r="G164" s="2">
        <v>0</v>
      </c>
      <c r="H164" s="2">
        <f t="shared" si="28"/>
        <v>492.11393399999997</v>
      </c>
    </row>
    <row r="165" spans="1:10" x14ac:dyDescent="0.25">
      <c r="A165" s="22">
        <f>A164+1</f>
        <v>5</v>
      </c>
      <c r="B165" s="2" t="s">
        <v>218</v>
      </c>
      <c r="C165" s="2">
        <f>(41.12)*10.764</f>
        <v>442.61567999999994</v>
      </c>
      <c r="D165" s="2">
        <v>0</v>
      </c>
      <c r="E165" s="2">
        <v>0</v>
      </c>
      <c r="F165" s="2">
        <f t="shared" si="27"/>
        <v>442.61567999999994</v>
      </c>
      <c r="G165" s="2">
        <v>0</v>
      </c>
      <c r="H165" s="2">
        <f t="shared" si="28"/>
        <v>641.79273599999988</v>
      </c>
    </row>
    <row r="166" spans="1:10" x14ac:dyDescent="0.25">
      <c r="A166" s="22">
        <f>A165+1</f>
        <v>6</v>
      </c>
      <c r="B166" s="2" t="s">
        <v>217</v>
      </c>
      <c r="C166" s="2">
        <f>(33.76)*10.764</f>
        <v>363.39263999999997</v>
      </c>
      <c r="D166" s="2">
        <v>0</v>
      </c>
      <c r="E166" s="2">
        <v>0</v>
      </c>
      <c r="F166" s="2">
        <f t="shared" si="27"/>
        <v>363.39263999999997</v>
      </c>
      <c r="G166" s="2">
        <v>0</v>
      </c>
      <c r="H166" s="2">
        <f t="shared" si="28"/>
        <v>526.91932799999995</v>
      </c>
    </row>
    <row r="167" spans="1:10" x14ac:dyDescent="0.25">
      <c r="A167" s="22">
        <f t="shared" ref="A167:A168" si="29">A166+1</f>
        <v>7</v>
      </c>
      <c r="B167" s="2" t="s">
        <v>218</v>
      </c>
      <c r="C167" s="2">
        <f>(39.88)*10.764</f>
        <v>429.26832000000002</v>
      </c>
      <c r="D167" s="2">
        <v>0</v>
      </c>
      <c r="E167" s="2">
        <v>0</v>
      </c>
      <c r="F167" s="2">
        <f t="shared" si="27"/>
        <v>429.26832000000002</v>
      </c>
      <c r="G167" s="2">
        <v>0</v>
      </c>
      <c r="H167" s="2">
        <f t="shared" si="28"/>
        <v>622.43906400000003</v>
      </c>
    </row>
    <row r="168" spans="1:10" x14ac:dyDescent="0.25">
      <c r="A168" s="22">
        <f t="shared" si="29"/>
        <v>8</v>
      </c>
      <c r="B168" s="62" t="s">
        <v>225</v>
      </c>
      <c r="C168" s="63"/>
      <c r="D168" s="63"/>
      <c r="E168" s="63"/>
      <c r="F168" s="63"/>
      <c r="G168" s="63"/>
      <c r="H168" s="64"/>
    </row>
    <row r="169" spans="1:10" x14ac:dyDescent="0.25">
      <c r="A169" s="57" t="s">
        <v>224</v>
      </c>
      <c r="B169" s="57"/>
      <c r="C169" s="57"/>
      <c r="D169" s="57"/>
      <c r="E169" s="57"/>
      <c r="F169" s="57"/>
      <c r="G169" s="57"/>
      <c r="H169" s="57"/>
      <c r="I169" s="61"/>
      <c r="J169" s="61"/>
    </row>
    <row r="170" spans="1:10" x14ac:dyDescent="0.25">
      <c r="A170" s="22">
        <v>1</v>
      </c>
      <c r="B170" s="2" t="s">
        <v>217</v>
      </c>
      <c r="C170" s="2">
        <f>(29.97)*10.764</f>
        <v>322.59707999999995</v>
      </c>
      <c r="D170" s="2">
        <v>0</v>
      </c>
      <c r="E170" s="2">
        <v>0</v>
      </c>
      <c r="F170" s="2">
        <f t="shared" ref="F170:F172" si="30">C170+D170+E170</f>
        <v>322.59707999999995</v>
      </c>
      <c r="G170" s="2">
        <v>0</v>
      </c>
      <c r="H170" s="2">
        <f t="shared" ref="H170:H176" si="31">F170*(($H$130)+1)+(IF(G170&lt;101,G170,IF(G170&lt;201,G170/2,IF(G170&lt;=301,G170/3,G170/4))))</f>
        <v>467.76576599999993</v>
      </c>
    </row>
    <row r="171" spans="1:10" x14ac:dyDescent="0.25">
      <c r="A171" s="22">
        <f>A170+1</f>
        <v>2</v>
      </c>
      <c r="B171" s="2" t="s">
        <v>217</v>
      </c>
      <c r="C171" s="2">
        <f>(29.93)*10.764</f>
        <v>322.16651999999999</v>
      </c>
      <c r="D171" s="2">
        <v>0</v>
      </c>
      <c r="E171" s="2">
        <v>0</v>
      </c>
      <c r="F171" s="2">
        <f t="shared" si="30"/>
        <v>322.16651999999999</v>
      </c>
      <c r="G171" s="2">
        <v>0</v>
      </c>
      <c r="H171" s="2">
        <f t="shared" si="31"/>
        <v>467.14145399999995</v>
      </c>
    </row>
    <row r="172" spans="1:10" x14ac:dyDescent="0.25">
      <c r="A172" s="22">
        <f>A171+1</f>
        <v>3</v>
      </c>
      <c r="B172" s="2" t="s">
        <v>217</v>
      </c>
      <c r="C172" s="2">
        <f>(33.76)*10.764</f>
        <v>363.39263999999997</v>
      </c>
      <c r="D172" s="2">
        <v>0</v>
      </c>
      <c r="E172" s="2">
        <v>0</v>
      </c>
      <c r="F172" s="2">
        <f t="shared" si="30"/>
        <v>363.39263999999997</v>
      </c>
      <c r="G172" s="2">
        <v>0</v>
      </c>
      <c r="H172" s="2">
        <f t="shared" si="31"/>
        <v>526.91932799999995</v>
      </c>
    </row>
    <row r="173" spans="1:10" x14ac:dyDescent="0.25">
      <c r="A173" s="22">
        <f>A172+1</f>
        <v>4</v>
      </c>
      <c r="B173" s="2" t="s">
        <v>217</v>
      </c>
      <c r="C173" s="2">
        <f>(31.53)*10.764</f>
        <v>339.38891999999998</v>
      </c>
      <c r="D173" s="2">
        <v>0</v>
      </c>
      <c r="E173" s="2">
        <v>0</v>
      </c>
      <c r="F173" s="2">
        <f>C173+D173+E173</f>
        <v>339.38891999999998</v>
      </c>
      <c r="G173" s="2">
        <v>0</v>
      </c>
      <c r="H173" s="2">
        <f t="shared" si="31"/>
        <v>492.11393399999997</v>
      </c>
    </row>
    <row r="174" spans="1:10" x14ac:dyDescent="0.25">
      <c r="A174" s="22">
        <f>A173+1</f>
        <v>5</v>
      </c>
      <c r="B174" s="2" t="s">
        <v>218</v>
      </c>
      <c r="C174" s="2">
        <f>(41.12)*10.764</f>
        <v>442.61567999999994</v>
      </c>
      <c r="D174" s="2">
        <v>0</v>
      </c>
      <c r="E174" s="2">
        <v>0</v>
      </c>
      <c r="F174" s="2">
        <f t="shared" ref="F174:F176" si="32">C174+D174+E174</f>
        <v>442.61567999999994</v>
      </c>
      <c r="G174" s="2">
        <v>0</v>
      </c>
      <c r="H174" s="2">
        <f t="shared" si="31"/>
        <v>641.79273599999988</v>
      </c>
    </row>
    <row r="175" spans="1:10" x14ac:dyDescent="0.25">
      <c r="A175" s="22">
        <f>A174+1</f>
        <v>6</v>
      </c>
      <c r="B175" s="2" t="s">
        <v>217</v>
      </c>
      <c r="C175" s="2">
        <f>(33.76)*10.764</f>
        <v>363.39263999999997</v>
      </c>
      <c r="D175" s="2">
        <v>0</v>
      </c>
      <c r="E175" s="2">
        <v>0</v>
      </c>
      <c r="F175" s="2">
        <f t="shared" si="32"/>
        <v>363.39263999999997</v>
      </c>
      <c r="G175" s="2">
        <v>0</v>
      </c>
      <c r="H175" s="2">
        <f t="shared" si="31"/>
        <v>526.91932799999995</v>
      </c>
    </row>
    <row r="176" spans="1:10" x14ac:dyDescent="0.25">
      <c r="A176" s="22">
        <f t="shared" ref="A176:A177" si="33">A175+1</f>
        <v>7</v>
      </c>
      <c r="B176" s="2" t="s">
        <v>217</v>
      </c>
      <c r="C176" s="2">
        <f>(29.98)*10.764</f>
        <v>322.70472000000001</v>
      </c>
      <c r="D176" s="2">
        <v>0</v>
      </c>
      <c r="E176" s="2">
        <v>0</v>
      </c>
      <c r="F176" s="2">
        <f t="shared" si="32"/>
        <v>322.70472000000001</v>
      </c>
      <c r="G176" s="2">
        <v>0</v>
      </c>
      <c r="H176" s="2">
        <f t="shared" si="31"/>
        <v>467.92184400000002</v>
      </c>
    </row>
    <row r="177" spans="1:10" x14ac:dyDescent="0.25">
      <c r="A177" s="22">
        <f t="shared" si="33"/>
        <v>8</v>
      </c>
      <c r="B177" s="2" t="s">
        <v>217</v>
      </c>
      <c r="C177" s="2">
        <f>(29.97)*10.764</f>
        <v>322.59707999999995</v>
      </c>
      <c r="D177" s="2">
        <v>0</v>
      </c>
      <c r="E177" s="2">
        <v>0</v>
      </c>
      <c r="F177" s="2">
        <f t="shared" ref="F177" si="34">C177+D177+E177</f>
        <v>322.59707999999995</v>
      </c>
      <c r="G177" s="2">
        <v>0</v>
      </c>
      <c r="H177" s="2">
        <f t="shared" ref="H177" si="35">F177*(($H$130)+1)+(IF(G177&lt;101,G177,IF(G177&lt;201,G177/2,IF(G177&lt;=301,G177/3,G177/4))))</f>
        <v>467.76576599999993</v>
      </c>
    </row>
    <row r="178" spans="1:10" x14ac:dyDescent="0.25">
      <c r="A178" s="57" t="s">
        <v>226</v>
      </c>
      <c r="B178" s="57"/>
      <c r="C178" s="57"/>
      <c r="D178" s="57"/>
      <c r="E178" s="57"/>
      <c r="F178" s="57"/>
      <c r="G178" s="57"/>
      <c r="H178" s="57"/>
      <c r="I178" s="61"/>
      <c r="J178" s="61"/>
    </row>
    <row r="179" spans="1:10" x14ac:dyDescent="0.25">
      <c r="A179" s="57" t="s">
        <v>223</v>
      </c>
      <c r="B179" s="57"/>
      <c r="C179" s="57"/>
      <c r="D179" s="57"/>
      <c r="E179" s="57"/>
      <c r="F179" s="57"/>
      <c r="G179" s="57"/>
      <c r="H179" s="57"/>
      <c r="I179" s="61"/>
      <c r="J179" s="61"/>
    </row>
    <row r="180" spans="1:10" x14ac:dyDescent="0.25">
      <c r="A180" s="22">
        <v>1</v>
      </c>
      <c r="B180" s="2" t="s">
        <v>217</v>
      </c>
      <c r="C180" s="2">
        <f>(29.97)*10.764</f>
        <v>322.59707999999995</v>
      </c>
      <c r="D180" s="2">
        <v>0</v>
      </c>
      <c r="E180" s="2">
        <v>0</v>
      </c>
      <c r="F180" s="2">
        <f t="shared" ref="F180:F182" si="36">C180+D180+E180</f>
        <v>322.59707999999995</v>
      </c>
      <c r="G180" s="2">
        <v>0</v>
      </c>
      <c r="H180" s="2">
        <f t="shared" ref="H180:H186" si="37">F180*(($H$130)+1)+(IF(G180&lt;101,G180,IF(G180&lt;201,G180/2,IF(G180&lt;=301,G180/3,G180/4))))</f>
        <v>467.76576599999993</v>
      </c>
    </row>
    <row r="181" spans="1:10" x14ac:dyDescent="0.25">
      <c r="A181" s="22">
        <f>A180+1</f>
        <v>2</v>
      </c>
      <c r="B181" s="2" t="s">
        <v>217</v>
      </c>
      <c r="C181" s="2">
        <f>(29.93)*10.764</f>
        <v>322.16651999999999</v>
      </c>
      <c r="D181" s="2">
        <v>0</v>
      </c>
      <c r="E181" s="2">
        <v>0</v>
      </c>
      <c r="F181" s="2">
        <f t="shared" si="36"/>
        <v>322.16651999999999</v>
      </c>
      <c r="G181" s="2">
        <v>0</v>
      </c>
      <c r="H181" s="2">
        <f t="shared" si="37"/>
        <v>467.14145399999995</v>
      </c>
    </row>
    <row r="182" spans="1:10" x14ac:dyDescent="0.25">
      <c r="A182" s="22">
        <f>A181+1</f>
        <v>3</v>
      </c>
      <c r="B182" s="2" t="s">
        <v>217</v>
      </c>
      <c r="C182" s="2">
        <f>(32.93)*10.764</f>
        <v>354.45851999999996</v>
      </c>
      <c r="D182" s="2">
        <v>0</v>
      </c>
      <c r="E182" s="2">
        <v>0</v>
      </c>
      <c r="F182" s="2">
        <f t="shared" si="36"/>
        <v>354.45851999999996</v>
      </c>
      <c r="G182" s="2">
        <v>0</v>
      </c>
      <c r="H182" s="2">
        <f t="shared" si="37"/>
        <v>513.96485399999995</v>
      </c>
    </row>
    <row r="183" spans="1:10" x14ac:dyDescent="0.25">
      <c r="A183" s="22">
        <f>A182+1</f>
        <v>4</v>
      </c>
      <c r="B183" s="2" t="s">
        <v>217</v>
      </c>
      <c r="C183" s="2">
        <f>(30.7)*10.764</f>
        <v>330.45479999999998</v>
      </c>
      <c r="D183" s="2">
        <v>0</v>
      </c>
      <c r="E183" s="2">
        <v>0</v>
      </c>
      <c r="F183" s="2">
        <f>C183+D183+E183</f>
        <v>330.45479999999998</v>
      </c>
      <c r="G183" s="2">
        <v>0</v>
      </c>
      <c r="H183" s="2">
        <f t="shared" si="37"/>
        <v>479.15945999999997</v>
      </c>
    </row>
    <row r="184" spans="1:10" x14ac:dyDescent="0.25">
      <c r="A184" s="22">
        <f>A183+1</f>
        <v>5</v>
      </c>
      <c r="B184" s="2" t="s">
        <v>218</v>
      </c>
      <c r="C184" s="2">
        <f>(40.32)*10.764</f>
        <v>434.00448</v>
      </c>
      <c r="D184" s="2">
        <v>0</v>
      </c>
      <c r="E184" s="2">
        <v>0</v>
      </c>
      <c r="F184" s="2">
        <f t="shared" ref="F184:F186" si="38">C184+D184+E184</f>
        <v>434.00448</v>
      </c>
      <c r="G184" s="2">
        <v>0</v>
      </c>
      <c r="H184" s="2">
        <f t="shared" si="37"/>
        <v>629.30649600000004</v>
      </c>
    </row>
    <row r="185" spans="1:10" x14ac:dyDescent="0.25">
      <c r="A185" s="22">
        <f>A184+1</f>
        <v>6</v>
      </c>
      <c r="B185" s="2" t="s">
        <v>217</v>
      </c>
      <c r="C185" s="2">
        <f>(32.93)*10.764</f>
        <v>354.45851999999996</v>
      </c>
      <c r="D185" s="2">
        <v>0</v>
      </c>
      <c r="E185" s="2">
        <v>0</v>
      </c>
      <c r="F185" s="2">
        <f t="shared" si="38"/>
        <v>354.45851999999996</v>
      </c>
      <c r="G185" s="2">
        <v>0</v>
      </c>
      <c r="H185" s="2">
        <f t="shared" si="37"/>
        <v>513.96485399999995</v>
      </c>
    </row>
    <row r="186" spans="1:10" x14ac:dyDescent="0.25">
      <c r="A186" s="22">
        <f t="shared" ref="A186:A187" si="39">A185+1</f>
        <v>7</v>
      </c>
      <c r="B186" s="2" t="s">
        <v>218</v>
      </c>
      <c r="C186" s="2">
        <f>(39.88)*10.764</f>
        <v>429.26832000000002</v>
      </c>
      <c r="D186" s="2">
        <v>0</v>
      </c>
      <c r="E186" s="2">
        <v>0</v>
      </c>
      <c r="F186" s="2">
        <f t="shared" si="38"/>
        <v>429.26832000000002</v>
      </c>
      <c r="G186" s="2">
        <v>0</v>
      </c>
      <c r="H186" s="2">
        <f t="shared" si="37"/>
        <v>622.43906400000003</v>
      </c>
    </row>
    <row r="187" spans="1:10" x14ac:dyDescent="0.25">
      <c r="A187" s="22">
        <f t="shared" si="39"/>
        <v>8</v>
      </c>
      <c r="B187" s="62" t="s">
        <v>225</v>
      </c>
      <c r="C187" s="63"/>
      <c r="D187" s="63"/>
      <c r="E187" s="63"/>
      <c r="F187" s="63"/>
      <c r="G187" s="63"/>
      <c r="H187" s="64"/>
    </row>
    <row r="188" spans="1:10" x14ac:dyDescent="0.25">
      <c r="A188" s="57" t="s">
        <v>224</v>
      </c>
      <c r="B188" s="57"/>
      <c r="C188" s="57"/>
      <c r="D188" s="57"/>
      <c r="E188" s="57"/>
      <c r="F188" s="57"/>
      <c r="G188" s="57"/>
      <c r="H188" s="57"/>
      <c r="I188" s="61"/>
      <c r="J188" s="61"/>
    </row>
    <row r="189" spans="1:10" x14ac:dyDescent="0.25">
      <c r="A189" s="22">
        <v>1</v>
      </c>
      <c r="B189" s="2" t="s">
        <v>217</v>
      </c>
      <c r="C189" s="2">
        <f>(29.97)*10.764</f>
        <v>322.59707999999995</v>
      </c>
      <c r="D189" s="2">
        <v>0</v>
      </c>
      <c r="E189" s="2">
        <v>0</v>
      </c>
      <c r="F189" s="2">
        <f t="shared" ref="F189:F191" si="40">C189+D189+E189</f>
        <v>322.59707999999995</v>
      </c>
      <c r="G189" s="2">
        <v>0</v>
      </c>
      <c r="H189" s="2">
        <f t="shared" ref="H189:H196" si="41">F189*(($H$130)+1)+(IF(G189&lt;101,G189,IF(G189&lt;201,G189/2,IF(G189&lt;=301,G189/3,G189/4))))</f>
        <v>467.76576599999993</v>
      </c>
    </row>
    <row r="190" spans="1:10" x14ac:dyDescent="0.25">
      <c r="A190" s="22">
        <f>A189+1</f>
        <v>2</v>
      </c>
      <c r="B190" s="2" t="s">
        <v>217</v>
      </c>
      <c r="C190" s="2">
        <f>(29.93)*10.764</f>
        <v>322.16651999999999</v>
      </c>
      <c r="D190" s="2">
        <v>0</v>
      </c>
      <c r="E190" s="2">
        <v>0</v>
      </c>
      <c r="F190" s="2">
        <f t="shared" si="40"/>
        <v>322.16651999999999</v>
      </c>
      <c r="G190" s="2">
        <v>0</v>
      </c>
      <c r="H190" s="2">
        <f t="shared" si="41"/>
        <v>467.14145399999995</v>
      </c>
    </row>
    <row r="191" spans="1:10" x14ac:dyDescent="0.25">
      <c r="A191" s="22">
        <f>A190+1</f>
        <v>3</v>
      </c>
      <c r="B191" s="2" t="s">
        <v>217</v>
      </c>
      <c r="C191" s="2">
        <f>(32.93)*10.764</f>
        <v>354.45851999999996</v>
      </c>
      <c r="D191" s="2">
        <v>0</v>
      </c>
      <c r="E191" s="2">
        <v>0</v>
      </c>
      <c r="F191" s="2">
        <f t="shared" si="40"/>
        <v>354.45851999999996</v>
      </c>
      <c r="G191" s="2">
        <v>0</v>
      </c>
      <c r="H191" s="2">
        <f t="shared" si="41"/>
        <v>513.96485399999995</v>
      </c>
    </row>
    <row r="192" spans="1:10" x14ac:dyDescent="0.25">
      <c r="A192" s="22">
        <f>A191+1</f>
        <v>4</v>
      </c>
      <c r="B192" s="2" t="s">
        <v>217</v>
      </c>
      <c r="C192" s="2">
        <f>(33.45)*10.764</f>
        <v>360.05580000000003</v>
      </c>
      <c r="D192" s="2">
        <v>0</v>
      </c>
      <c r="E192" s="2">
        <v>0</v>
      </c>
      <c r="F192" s="2">
        <f>C192+D192+E192</f>
        <v>360.05580000000003</v>
      </c>
      <c r="G192" s="2">
        <v>0</v>
      </c>
      <c r="H192" s="2">
        <f t="shared" si="41"/>
        <v>522.08091000000002</v>
      </c>
      <c r="I192" s="9">
        <f>2.75*4.27+2.13*2.9+2.75*2.9+1.2*0.9+1.83*1.2+0.9*1</f>
        <v>30.070499999999999</v>
      </c>
    </row>
    <row r="193" spans="1:10" x14ac:dyDescent="0.25">
      <c r="A193" s="22">
        <f>A192+1</f>
        <v>5</v>
      </c>
      <c r="B193" s="2" t="s">
        <v>218</v>
      </c>
      <c r="C193" s="2">
        <f>(43.07)*10.764</f>
        <v>463.60548</v>
      </c>
      <c r="D193" s="2">
        <v>0</v>
      </c>
      <c r="E193" s="2">
        <v>0</v>
      </c>
      <c r="F193" s="2">
        <f t="shared" ref="F193:F196" si="42">C193+D193+E193</f>
        <v>463.60548</v>
      </c>
      <c r="G193" s="2">
        <v>0</v>
      </c>
      <c r="H193" s="2">
        <f t="shared" si="41"/>
        <v>672.22794599999997</v>
      </c>
      <c r="I193" s="9">
        <f>2.75*4.27+2.13*2.9+2.75*2.9+1.13*2.25+1.13*2.25+2.6*3.29</f>
        <v>39.533500000000004</v>
      </c>
    </row>
    <row r="194" spans="1:10" x14ac:dyDescent="0.25">
      <c r="A194" s="22">
        <f>A193+1</f>
        <v>6</v>
      </c>
      <c r="B194" s="2" t="s">
        <v>217</v>
      </c>
      <c r="C194" s="2">
        <f>(32.93)*10.764</f>
        <v>354.45851999999996</v>
      </c>
      <c r="D194" s="2">
        <v>0</v>
      </c>
      <c r="E194" s="2">
        <v>0</v>
      </c>
      <c r="F194" s="2">
        <f t="shared" si="42"/>
        <v>354.45851999999996</v>
      </c>
      <c r="G194" s="2">
        <v>0</v>
      </c>
      <c r="H194" s="2">
        <f t="shared" si="41"/>
        <v>513.96485399999995</v>
      </c>
    </row>
    <row r="195" spans="1:10" x14ac:dyDescent="0.25">
      <c r="A195" s="22">
        <f t="shared" ref="A195:A196" si="43">A194+1</f>
        <v>7</v>
      </c>
      <c r="B195" s="2" t="s">
        <v>217</v>
      </c>
      <c r="C195" s="2">
        <f>(29.93)*10.764</f>
        <v>322.16651999999999</v>
      </c>
      <c r="D195" s="2">
        <v>0</v>
      </c>
      <c r="E195" s="2">
        <v>0</v>
      </c>
      <c r="F195" s="2">
        <f t="shared" si="42"/>
        <v>322.16651999999999</v>
      </c>
      <c r="G195" s="2">
        <v>0</v>
      </c>
      <c r="H195" s="2">
        <f t="shared" si="41"/>
        <v>467.14145399999995</v>
      </c>
    </row>
    <row r="196" spans="1:10" x14ac:dyDescent="0.25">
      <c r="A196" s="22">
        <f t="shared" si="43"/>
        <v>8</v>
      </c>
      <c r="B196" s="2" t="s">
        <v>217</v>
      </c>
      <c r="C196" s="2">
        <f>(29.97)*10.764</f>
        <v>322.59707999999995</v>
      </c>
      <c r="D196" s="2">
        <v>0</v>
      </c>
      <c r="E196" s="2">
        <v>0</v>
      </c>
      <c r="F196" s="2">
        <f t="shared" si="42"/>
        <v>322.59707999999995</v>
      </c>
      <c r="G196" s="2">
        <v>0</v>
      </c>
      <c r="H196" s="2">
        <f t="shared" si="41"/>
        <v>467.76576599999993</v>
      </c>
    </row>
    <row r="197" spans="1:10" x14ac:dyDescent="0.25">
      <c r="A197" s="57" t="s">
        <v>227</v>
      </c>
      <c r="B197" s="57"/>
      <c r="C197" s="57"/>
      <c r="D197" s="57"/>
      <c r="E197" s="57"/>
      <c r="F197" s="57"/>
      <c r="G197" s="57"/>
      <c r="H197" s="57"/>
      <c r="I197" s="61"/>
      <c r="J197" s="61"/>
    </row>
    <row r="198" spans="1:10" x14ac:dyDescent="0.25">
      <c r="A198" s="57" t="s">
        <v>230</v>
      </c>
      <c r="B198" s="57"/>
      <c r="C198" s="57"/>
      <c r="D198" s="57"/>
      <c r="E198" s="57"/>
      <c r="F198" s="57"/>
      <c r="G198" s="57"/>
      <c r="H198" s="57"/>
      <c r="I198" s="61"/>
      <c r="J198" s="61"/>
    </row>
    <row r="199" spans="1:10" x14ac:dyDescent="0.25">
      <c r="A199" s="22">
        <v>1</v>
      </c>
      <c r="B199" s="2" t="s">
        <v>217</v>
      </c>
      <c r="C199" s="2">
        <f>(29.97)*10.764</f>
        <v>322.59707999999995</v>
      </c>
      <c r="D199" s="2">
        <v>0</v>
      </c>
      <c r="E199" s="2">
        <v>0</v>
      </c>
      <c r="F199" s="2">
        <f t="shared" ref="F199:F201" si="44">C199+D199+E199</f>
        <v>322.59707999999995</v>
      </c>
      <c r="G199" s="2">
        <v>0</v>
      </c>
      <c r="H199" s="2">
        <f>F199*(($H$130)+1)+(IF(G199&lt;101,G199,IF(G199&lt;201,G199/2,IF(G199&lt;=301,G199/3,G199/4))))</f>
        <v>467.76576599999993</v>
      </c>
    </row>
    <row r="200" spans="1:10" x14ac:dyDescent="0.25">
      <c r="A200" s="22" t="s">
        <v>219</v>
      </c>
      <c r="B200" s="62" t="s">
        <v>229</v>
      </c>
      <c r="C200" s="63"/>
      <c r="D200" s="63"/>
      <c r="E200" s="63"/>
      <c r="F200" s="63"/>
      <c r="G200" s="63"/>
      <c r="H200" s="64"/>
    </row>
    <row r="201" spans="1:10" x14ac:dyDescent="0.25">
      <c r="A201" s="22">
        <v>2</v>
      </c>
      <c r="B201" s="2" t="s">
        <v>217</v>
      </c>
      <c r="C201" s="2">
        <f>(32.91)*10.764</f>
        <v>354.24323999999996</v>
      </c>
      <c r="D201" s="2">
        <v>0</v>
      </c>
      <c r="E201" s="2">
        <v>0</v>
      </c>
      <c r="F201" s="2">
        <f t="shared" si="44"/>
        <v>354.24323999999996</v>
      </c>
      <c r="G201" s="2">
        <v>0</v>
      </c>
      <c r="H201" s="2">
        <f>F201*(($H$130)+1)+(IF(G201&lt;101,G201,IF(G201&lt;201,G201/2,IF(G201&lt;=301,G201/3,G201/4))))</f>
        <v>513.65269799999987</v>
      </c>
    </row>
    <row r="202" spans="1:10" x14ac:dyDescent="0.25">
      <c r="A202" s="22">
        <f>A201+1</f>
        <v>3</v>
      </c>
      <c r="B202" s="2" t="s">
        <v>218</v>
      </c>
      <c r="C202" s="2">
        <f>(39.27)*10.764</f>
        <v>422.70228000000003</v>
      </c>
      <c r="D202" s="2">
        <v>0</v>
      </c>
      <c r="E202" s="2">
        <v>0</v>
      </c>
      <c r="F202" s="2">
        <f>C202+D202+E202</f>
        <v>422.70228000000003</v>
      </c>
      <c r="G202" s="2">
        <v>0</v>
      </c>
      <c r="H202" s="2">
        <f>F202*(($H$130)+1)+(IF(G202&lt;101,G202,IF(G202&lt;201,G202/2,IF(G202&lt;=301,G202/3,G202/4))))</f>
        <v>612.91830600000003</v>
      </c>
    </row>
    <row r="203" spans="1:10" x14ac:dyDescent="0.25">
      <c r="A203" s="22">
        <f>A202+1</f>
        <v>4</v>
      </c>
      <c r="B203" s="2" t="s">
        <v>217</v>
      </c>
      <c r="C203" s="2">
        <f>(29.97)*10.764</f>
        <v>322.59707999999995</v>
      </c>
      <c r="D203" s="2">
        <v>0</v>
      </c>
      <c r="E203" s="2">
        <v>0</v>
      </c>
      <c r="F203" s="2">
        <f t="shared" ref="F203:F205" si="45">C203+D203+E203</f>
        <v>322.59707999999995</v>
      </c>
      <c r="G203" s="2">
        <v>0</v>
      </c>
      <c r="H203" s="2">
        <f>F203*(($H$130)+1)+(IF(G203&lt;101,G203,IF(G203&lt;201,G203/2,IF(G203&lt;=301,G203/3,G203/4))))</f>
        <v>467.76576599999993</v>
      </c>
    </row>
    <row r="204" spans="1:10" x14ac:dyDescent="0.25">
      <c r="A204" s="22">
        <f>A203+1</f>
        <v>5</v>
      </c>
      <c r="B204" s="2" t="s">
        <v>217</v>
      </c>
      <c r="C204" s="2">
        <f>(32.91)*10.764</f>
        <v>354.24323999999996</v>
      </c>
      <c r="D204" s="2">
        <v>0</v>
      </c>
      <c r="E204" s="2">
        <v>0</v>
      </c>
      <c r="F204" s="2">
        <f t="shared" si="45"/>
        <v>354.24323999999996</v>
      </c>
      <c r="G204" s="2">
        <v>0</v>
      </c>
      <c r="H204" s="2">
        <f>F204*(($H$130)+1)+(IF(G204&lt;101,G204,IF(G204&lt;201,G204/2,IF(G204&lt;=301,G204/3,G204/4))))</f>
        <v>513.65269799999987</v>
      </c>
    </row>
    <row r="205" spans="1:10" x14ac:dyDescent="0.25">
      <c r="A205" s="22">
        <f t="shared" ref="A205" si="46">A204+1</f>
        <v>6</v>
      </c>
      <c r="B205" s="2" t="s">
        <v>218</v>
      </c>
      <c r="C205" s="2">
        <f>(40.27)*10.764</f>
        <v>433.46627999999998</v>
      </c>
      <c r="D205" s="2">
        <v>0</v>
      </c>
      <c r="E205" s="2">
        <v>0</v>
      </c>
      <c r="F205" s="2">
        <f t="shared" si="45"/>
        <v>433.46627999999998</v>
      </c>
      <c r="G205" s="2">
        <v>0</v>
      </c>
      <c r="H205" s="2">
        <f>F205*(($H$130)+1)+(IF(G205&lt;101,G205,IF(G205&lt;201,G205/2,IF(G205&lt;=301,G205/3,G205/4))))</f>
        <v>628.52610599999991</v>
      </c>
    </row>
    <row r="206" spans="1:10" x14ac:dyDescent="0.25">
      <c r="A206" s="22" t="s">
        <v>219</v>
      </c>
      <c r="B206" s="62" t="s">
        <v>225</v>
      </c>
      <c r="C206" s="63"/>
      <c r="D206" s="63"/>
      <c r="E206" s="63"/>
      <c r="F206" s="63"/>
      <c r="G206" s="63"/>
      <c r="H206" s="64"/>
    </row>
    <row r="207" spans="1:10" x14ac:dyDescent="0.25">
      <c r="A207" s="57" t="s">
        <v>158</v>
      </c>
      <c r="B207" s="57"/>
      <c r="C207" s="57"/>
      <c r="D207" s="57"/>
      <c r="E207" s="57"/>
      <c r="F207" s="57"/>
      <c r="G207" s="57"/>
      <c r="H207" s="57"/>
      <c r="I207" s="61"/>
      <c r="J207" s="61"/>
    </row>
    <row r="208" spans="1:10" x14ac:dyDescent="0.25">
      <c r="A208" s="22">
        <v>1</v>
      </c>
      <c r="B208" s="2" t="s">
        <v>217</v>
      </c>
      <c r="C208" s="2">
        <f>(29.97)*10.764</f>
        <v>322.59707999999995</v>
      </c>
      <c r="D208" s="2">
        <v>0</v>
      </c>
      <c r="E208" s="2">
        <v>0</v>
      </c>
      <c r="F208" s="2">
        <f t="shared" ref="F208:F210" si="47">C208+D208+E208</f>
        <v>322.59707999999995</v>
      </c>
      <c r="G208" s="2">
        <v>0</v>
      </c>
      <c r="H208" s="2">
        <f t="shared" ref="H208:H215" si="48">F208*(($H$130)+1)+(IF(G208&lt;101,G208,IF(G208&lt;201,G208/2,IF(G208&lt;=301,G208/3,G208/4))))</f>
        <v>467.76576599999993</v>
      </c>
    </row>
    <row r="209" spans="1:10" x14ac:dyDescent="0.25">
      <c r="A209" s="22">
        <f>A208+1</f>
        <v>2</v>
      </c>
      <c r="B209" s="2" t="s">
        <v>217</v>
      </c>
      <c r="C209" s="2">
        <f>(29.93)*10.764</f>
        <v>322.16651999999999</v>
      </c>
      <c r="D209" s="2">
        <v>0</v>
      </c>
      <c r="E209" s="2">
        <v>0</v>
      </c>
      <c r="F209" s="2">
        <f t="shared" si="47"/>
        <v>322.16651999999999</v>
      </c>
      <c r="G209" s="2">
        <v>0</v>
      </c>
      <c r="H209" s="2">
        <f t="shared" si="48"/>
        <v>467.14145399999995</v>
      </c>
    </row>
    <row r="210" spans="1:10" x14ac:dyDescent="0.25">
      <c r="A210" s="22">
        <f>A209+1</f>
        <v>3</v>
      </c>
      <c r="B210" s="2" t="s">
        <v>217</v>
      </c>
      <c r="C210" s="2">
        <f>(32.91)*10.764</f>
        <v>354.24323999999996</v>
      </c>
      <c r="D210" s="2">
        <v>0</v>
      </c>
      <c r="E210" s="2">
        <v>0</v>
      </c>
      <c r="F210" s="2">
        <f t="shared" si="47"/>
        <v>354.24323999999996</v>
      </c>
      <c r="G210" s="2">
        <v>0</v>
      </c>
      <c r="H210" s="2">
        <f t="shared" si="48"/>
        <v>513.65269799999987</v>
      </c>
    </row>
    <row r="211" spans="1:10" x14ac:dyDescent="0.25">
      <c r="A211" s="22">
        <f>A210+1</f>
        <v>4</v>
      </c>
      <c r="B211" s="2" t="s">
        <v>218</v>
      </c>
      <c r="C211" s="2">
        <f>(39.54)*10.764</f>
        <v>425.60855999999995</v>
      </c>
      <c r="D211" s="2">
        <f>(2.78)*10.764</f>
        <v>29.923919999999995</v>
      </c>
      <c r="E211" s="2">
        <v>0</v>
      </c>
      <c r="F211" s="2">
        <f>C211+D211+E211</f>
        <v>455.53247999999996</v>
      </c>
      <c r="G211" s="2">
        <v>0</v>
      </c>
      <c r="H211" s="2">
        <f t="shared" si="48"/>
        <v>660.52209599999992</v>
      </c>
      <c r="I211" s="9">
        <f>2.75*4.27+2.13*2.9+2.75*2.9+1.2*0.9+1.83*1.2+0.9*1</f>
        <v>30.070499999999999</v>
      </c>
    </row>
    <row r="212" spans="1:10" x14ac:dyDescent="0.25">
      <c r="A212" s="22">
        <f>A211+1</f>
        <v>5</v>
      </c>
      <c r="B212" s="2" t="s">
        <v>217</v>
      </c>
      <c r="C212" s="2">
        <f>(29.97)*10.764</f>
        <v>322.59707999999995</v>
      </c>
      <c r="D212" s="2">
        <v>0</v>
      </c>
      <c r="E212" s="2">
        <v>0</v>
      </c>
      <c r="F212" s="2">
        <f t="shared" ref="F212:F215" si="49">C212+D212+E212</f>
        <v>322.59707999999995</v>
      </c>
      <c r="G212" s="2">
        <v>0</v>
      </c>
      <c r="H212" s="2">
        <f t="shared" si="48"/>
        <v>467.76576599999993</v>
      </c>
      <c r="I212" s="9">
        <f>2.75*4.27+2.13*2.9+2.75*2.9+1.13*2.25+1.13*2.25+2.6*3.29</f>
        <v>39.533500000000004</v>
      </c>
    </row>
    <row r="213" spans="1:10" x14ac:dyDescent="0.25">
      <c r="A213" s="22">
        <f>A212+1</f>
        <v>6</v>
      </c>
      <c r="B213" s="2" t="s">
        <v>217</v>
      </c>
      <c r="C213" s="2">
        <f>(32.91)*10.764</f>
        <v>354.24323999999996</v>
      </c>
      <c r="D213" s="2">
        <v>0</v>
      </c>
      <c r="E213" s="2">
        <v>0</v>
      </c>
      <c r="F213" s="2">
        <f t="shared" si="49"/>
        <v>354.24323999999996</v>
      </c>
      <c r="G213" s="2">
        <v>0</v>
      </c>
      <c r="H213" s="2">
        <f t="shared" si="48"/>
        <v>513.65269799999987</v>
      </c>
    </row>
    <row r="214" spans="1:10" x14ac:dyDescent="0.25">
      <c r="A214" s="22">
        <f t="shared" ref="A214:A215" si="50">A213+1</f>
        <v>7</v>
      </c>
      <c r="B214" s="2" t="s">
        <v>217</v>
      </c>
      <c r="C214" s="2">
        <f>(30.38)*10.764</f>
        <v>327.01031999999998</v>
      </c>
      <c r="D214" s="2">
        <v>0</v>
      </c>
      <c r="E214" s="2">
        <v>0</v>
      </c>
      <c r="F214" s="2">
        <f t="shared" si="49"/>
        <v>327.01031999999998</v>
      </c>
      <c r="G214" s="2">
        <v>0</v>
      </c>
      <c r="H214" s="2">
        <f t="shared" si="48"/>
        <v>474.16496399999994</v>
      </c>
    </row>
    <row r="215" spans="1:10" x14ac:dyDescent="0.25">
      <c r="A215" s="22">
        <f t="shared" si="50"/>
        <v>8</v>
      </c>
      <c r="B215" s="2" t="s">
        <v>217</v>
      </c>
      <c r="C215" s="2">
        <f>(29.97)*10.764</f>
        <v>322.59707999999995</v>
      </c>
      <c r="D215" s="2">
        <v>0</v>
      </c>
      <c r="E215" s="2">
        <v>0</v>
      </c>
      <c r="F215" s="2">
        <f t="shared" si="49"/>
        <v>322.59707999999995</v>
      </c>
      <c r="G215" s="2">
        <v>0</v>
      </c>
      <c r="H215" s="2">
        <f t="shared" si="48"/>
        <v>467.76576599999993</v>
      </c>
    </row>
    <row r="216" spans="1:10" x14ac:dyDescent="0.25">
      <c r="A216" s="57" t="s">
        <v>228</v>
      </c>
      <c r="B216" s="57"/>
      <c r="C216" s="57"/>
      <c r="D216" s="57"/>
      <c r="E216" s="57"/>
      <c r="F216" s="57"/>
      <c r="G216" s="57"/>
      <c r="H216" s="57"/>
      <c r="I216" s="61"/>
      <c r="J216" s="61"/>
    </row>
    <row r="217" spans="1:10" x14ac:dyDescent="0.25">
      <c r="A217" s="22">
        <v>1</v>
      </c>
      <c r="B217" s="2" t="s">
        <v>217</v>
      </c>
      <c r="C217" s="2">
        <f>(29.97)*10.764</f>
        <v>322.59707999999995</v>
      </c>
      <c r="D217" s="2">
        <v>0</v>
      </c>
      <c r="E217" s="2">
        <v>0</v>
      </c>
      <c r="F217" s="2">
        <f t="shared" ref="F217:F219" si="51">C217+D217+E217</f>
        <v>322.59707999999995</v>
      </c>
      <c r="G217" s="2">
        <v>0</v>
      </c>
      <c r="H217" s="2">
        <f t="shared" ref="H217:H224" si="52">F217*(($H$130)+1)+(IF(G217&lt;101,G217,IF(G217&lt;201,G217/2,IF(G217&lt;=301,G217/3,G217/4))))</f>
        <v>467.76576599999993</v>
      </c>
    </row>
    <row r="218" spans="1:10" x14ac:dyDescent="0.25">
      <c r="A218" s="22">
        <f>A217+1</f>
        <v>2</v>
      </c>
      <c r="B218" s="2" t="s">
        <v>217</v>
      </c>
      <c r="C218" s="2">
        <f>(29.93)*10.764</f>
        <v>322.16651999999999</v>
      </c>
      <c r="D218" s="2">
        <v>0</v>
      </c>
      <c r="E218" s="2">
        <v>0</v>
      </c>
      <c r="F218" s="2">
        <f t="shared" si="51"/>
        <v>322.16651999999999</v>
      </c>
      <c r="G218" s="2">
        <v>0</v>
      </c>
      <c r="H218" s="2">
        <f t="shared" si="52"/>
        <v>467.14145399999995</v>
      </c>
    </row>
    <row r="219" spans="1:10" x14ac:dyDescent="0.25">
      <c r="A219" s="22">
        <f>A218+1</f>
        <v>3</v>
      </c>
      <c r="B219" s="2" t="s">
        <v>217</v>
      </c>
      <c r="C219" s="2">
        <f>(32.91)*10.764</f>
        <v>354.24323999999996</v>
      </c>
      <c r="D219" s="2">
        <v>0</v>
      </c>
      <c r="E219" s="2">
        <v>0</v>
      </c>
      <c r="F219" s="2">
        <f t="shared" si="51"/>
        <v>354.24323999999996</v>
      </c>
      <c r="G219" s="2">
        <v>0</v>
      </c>
      <c r="H219" s="2">
        <f t="shared" si="52"/>
        <v>513.65269799999987</v>
      </c>
    </row>
    <row r="220" spans="1:10" x14ac:dyDescent="0.25">
      <c r="A220" s="22">
        <f>A219+1</f>
        <v>4</v>
      </c>
      <c r="B220" s="2" t="s">
        <v>218</v>
      </c>
      <c r="C220" s="2">
        <f>(39.54)*10.764</f>
        <v>425.60855999999995</v>
      </c>
      <c r="D220" s="2">
        <f>(2.78)*10.764</f>
        <v>29.923919999999995</v>
      </c>
      <c r="E220" s="2">
        <v>0</v>
      </c>
      <c r="F220" s="2">
        <f>C220+D220+E220</f>
        <v>455.53247999999996</v>
      </c>
      <c r="G220" s="2">
        <v>0</v>
      </c>
      <c r="H220" s="2">
        <f t="shared" si="52"/>
        <v>660.52209599999992</v>
      </c>
      <c r="I220" s="9">
        <f>2.75*4.27+2.13*2.9+2.75*2.9+1.2*0.9+1.83*1.2+0.9*1</f>
        <v>30.070499999999999</v>
      </c>
    </row>
    <row r="221" spans="1:10" x14ac:dyDescent="0.25">
      <c r="A221" s="22">
        <f>A220+1</f>
        <v>5</v>
      </c>
      <c r="B221" s="2" t="s">
        <v>217</v>
      </c>
      <c r="C221" s="2">
        <f>(29.97)*10.764</f>
        <v>322.59707999999995</v>
      </c>
      <c r="D221" s="2">
        <v>0</v>
      </c>
      <c r="E221" s="2">
        <v>0</v>
      </c>
      <c r="F221" s="2">
        <f t="shared" ref="F221:F224" si="53">C221+D221+E221</f>
        <v>322.59707999999995</v>
      </c>
      <c r="G221" s="2">
        <v>0</v>
      </c>
      <c r="H221" s="2">
        <f t="shared" si="52"/>
        <v>467.76576599999993</v>
      </c>
      <c r="I221" s="9">
        <f>2.75*4.27+2.13*2.9+2.75*2.9+1.13*2.25+1.13*2.25+2.6*3.29</f>
        <v>39.533500000000004</v>
      </c>
    </row>
    <row r="222" spans="1:10" x14ac:dyDescent="0.25">
      <c r="A222" s="22">
        <f>A221+1</f>
        <v>6</v>
      </c>
      <c r="B222" s="2" t="s">
        <v>217</v>
      </c>
      <c r="C222" s="2">
        <f>(32.91)*10.764</f>
        <v>354.24323999999996</v>
      </c>
      <c r="D222" s="2">
        <v>0</v>
      </c>
      <c r="E222" s="2">
        <v>0</v>
      </c>
      <c r="F222" s="2">
        <f t="shared" si="53"/>
        <v>354.24323999999996</v>
      </c>
      <c r="G222" s="2">
        <v>0</v>
      </c>
      <c r="H222" s="2">
        <f t="shared" si="52"/>
        <v>513.65269799999987</v>
      </c>
    </row>
    <row r="223" spans="1:10" x14ac:dyDescent="0.25">
      <c r="A223" s="22">
        <f t="shared" ref="A223:A224" si="54">A222+1</f>
        <v>7</v>
      </c>
      <c r="B223" s="2" t="s">
        <v>217</v>
      </c>
      <c r="C223" s="2">
        <f>(30.38)*10.764</f>
        <v>327.01031999999998</v>
      </c>
      <c r="D223" s="2">
        <v>0</v>
      </c>
      <c r="E223" s="2">
        <v>0</v>
      </c>
      <c r="F223" s="2">
        <f t="shared" si="53"/>
        <v>327.01031999999998</v>
      </c>
      <c r="G223" s="2">
        <v>0</v>
      </c>
      <c r="H223" s="2">
        <f t="shared" si="52"/>
        <v>474.16496399999994</v>
      </c>
    </row>
    <row r="224" spans="1:10" x14ac:dyDescent="0.25">
      <c r="A224" s="22">
        <f t="shared" si="54"/>
        <v>8</v>
      </c>
      <c r="B224" s="2" t="s">
        <v>217</v>
      </c>
      <c r="C224" s="2">
        <f>(29.97)*10.764</f>
        <v>322.59707999999995</v>
      </c>
      <c r="D224" s="2">
        <v>0</v>
      </c>
      <c r="E224" s="2">
        <v>0</v>
      </c>
      <c r="F224" s="2">
        <f t="shared" si="53"/>
        <v>322.59707999999995</v>
      </c>
      <c r="G224" s="2">
        <v>0</v>
      </c>
      <c r="H224" s="2">
        <f t="shared" si="52"/>
        <v>467.76576599999993</v>
      </c>
    </row>
    <row r="225" spans="1:8" x14ac:dyDescent="0.25">
      <c r="A225" s="186"/>
      <c r="B225" s="186"/>
      <c r="C225" s="186"/>
      <c r="D225" s="186"/>
      <c r="E225" s="186"/>
      <c r="F225" s="186"/>
      <c r="G225" s="186"/>
      <c r="H225" s="186"/>
    </row>
    <row r="226" spans="1:8" ht="31.5" customHeight="1" x14ac:dyDescent="0.25">
      <c r="A226" s="11">
        <v>48</v>
      </c>
      <c r="B226" s="111" t="s">
        <v>46</v>
      </c>
      <c r="C226" s="111"/>
      <c r="D226" s="111"/>
      <c r="E226" s="132" t="s">
        <v>208</v>
      </c>
      <c r="F226" s="132"/>
      <c r="G226" s="132"/>
      <c r="H226" s="132"/>
    </row>
    <row r="227" spans="1:8" ht="45" customHeight="1" x14ac:dyDescent="0.25">
      <c r="A227" s="11">
        <v>49</v>
      </c>
      <c r="B227" s="111" t="s">
        <v>137</v>
      </c>
      <c r="C227" s="111"/>
      <c r="D227" s="111"/>
      <c r="E227" s="132" t="s">
        <v>236</v>
      </c>
      <c r="F227" s="132"/>
      <c r="G227" s="132"/>
      <c r="H227" s="132"/>
    </row>
    <row r="228" spans="1:8" ht="48" customHeight="1" x14ac:dyDescent="0.25">
      <c r="A228" s="11">
        <v>50</v>
      </c>
      <c r="B228" s="111" t="s">
        <v>47</v>
      </c>
      <c r="C228" s="111"/>
      <c r="D228" s="111"/>
      <c r="E228" s="130" t="s">
        <v>66</v>
      </c>
      <c r="F228" s="130"/>
      <c r="G228" s="130"/>
      <c r="H228" s="130"/>
    </row>
    <row r="229" spans="1:8" ht="30" customHeight="1" x14ac:dyDescent="0.25">
      <c r="A229" s="156">
        <v>51</v>
      </c>
      <c r="B229" s="111" t="s">
        <v>48</v>
      </c>
      <c r="C229" s="111"/>
      <c r="D229" s="111"/>
      <c r="E229" s="129" t="s">
        <v>65</v>
      </c>
      <c r="F229" s="129"/>
      <c r="G229" s="129"/>
      <c r="H229" s="129"/>
    </row>
    <row r="230" spans="1:8" ht="30" customHeight="1" x14ac:dyDescent="0.25">
      <c r="A230" s="156"/>
      <c r="B230" s="111"/>
      <c r="C230" s="111"/>
      <c r="D230" s="111"/>
      <c r="E230" s="120" t="s">
        <v>156</v>
      </c>
      <c r="F230" s="120"/>
      <c r="G230" s="120"/>
      <c r="H230" s="30">
        <v>3500</v>
      </c>
    </row>
    <row r="231" spans="1:8" ht="27" customHeight="1" x14ac:dyDescent="0.25">
      <c r="A231" s="11">
        <v>52</v>
      </c>
      <c r="B231" s="111" t="s">
        <v>49</v>
      </c>
      <c r="C231" s="111"/>
      <c r="D231" s="111"/>
      <c r="E231" s="132" t="s">
        <v>66</v>
      </c>
      <c r="F231" s="132"/>
      <c r="G231" s="132"/>
      <c r="H231" s="132"/>
    </row>
    <row r="232" spans="1:8" x14ac:dyDescent="0.25">
      <c r="A232" s="156">
        <v>53</v>
      </c>
      <c r="B232" s="111" t="s">
        <v>148</v>
      </c>
      <c r="C232" s="111"/>
      <c r="D232" s="111"/>
      <c r="E232" s="110" t="s">
        <v>147</v>
      </c>
      <c r="F232" s="110"/>
      <c r="G232" s="110"/>
      <c r="H232" s="110"/>
    </row>
    <row r="233" spans="1:8" ht="30" customHeight="1" x14ac:dyDescent="0.25">
      <c r="A233" s="156"/>
      <c r="B233" s="111"/>
      <c r="C233" s="111"/>
      <c r="D233" s="111"/>
      <c r="E233" s="120" t="s">
        <v>156</v>
      </c>
      <c r="F233" s="120"/>
      <c r="G233" s="120"/>
      <c r="H233" s="30">
        <f>H230</f>
        <v>3500</v>
      </c>
    </row>
    <row r="234" spans="1:8" x14ac:dyDescent="0.25">
      <c r="A234" s="156"/>
      <c r="B234" s="111"/>
      <c r="C234" s="111"/>
      <c r="D234" s="111"/>
      <c r="E234" s="111" t="s">
        <v>13</v>
      </c>
      <c r="F234" s="111"/>
      <c r="G234" s="111"/>
      <c r="H234" s="30">
        <v>100000</v>
      </c>
    </row>
    <row r="235" spans="1:8" ht="43.8" customHeight="1" x14ac:dyDescent="0.25">
      <c r="A235" s="11">
        <v>54</v>
      </c>
      <c r="B235" s="111" t="s">
        <v>50</v>
      </c>
      <c r="C235" s="111"/>
      <c r="D235" s="111"/>
      <c r="E235" s="130" t="s">
        <v>10</v>
      </c>
      <c r="F235" s="130"/>
      <c r="G235" s="130"/>
      <c r="H235" s="130"/>
    </row>
    <row r="236" spans="1:8" x14ac:dyDescent="0.25">
      <c r="A236" s="156">
        <v>55</v>
      </c>
      <c r="B236" s="111" t="s">
        <v>51</v>
      </c>
      <c r="C236" s="111"/>
      <c r="D236" s="111"/>
      <c r="E236" s="155" t="s">
        <v>98</v>
      </c>
      <c r="F236" s="155"/>
      <c r="G236" s="155"/>
      <c r="H236" s="47" t="s">
        <v>10</v>
      </c>
    </row>
    <row r="237" spans="1:8" hidden="1" x14ac:dyDescent="0.25">
      <c r="A237" s="156"/>
      <c r="B237" s="111"/>
      <c r="C237" s="111"/>
      <c r="D237" s="111"/>
      <c r="E237" s="155" t="s">
        <v>99</v>
      </c>
      <c r="F237" s="155"/>
      <c r="G237" s="155"/>
      <c r="H237" s="29">
        <v>0.2</v>
      </c>
    </row>
    <row r="238" spans="1:8" hidden="1" x14ac:dyDescent="0.25">
      <c r="A238" s="156"/>
      <c r="B238" s="111"/>
      <c r="C238" s="111"/>
      <c r="D238" s="111"/>
      <c r="E238" s="155" t="s">
        <v>5</v>
      </c>
      <c r="F238" s="155"/>
      <c r="G238" s="155"/>
      <c r="H238" s="29">
        <v>0.15</v>
      </c>
    </row>
    <row r="239" spans="1:8" hidden="1" x14ac:dyDescent="0.25">
      <c r="A239" s="156"/>
      <c r="B239" s="111"/>
      <c r="C239" s="111"/>
      <c r="D239" s="111"/>
      <c r="E239" s="155" t="s">
        <v>100</v>
      </c>
      <c r="F239" s="155"/>
      <c r="G239" s="155"/>
      <c r="H239" s="29">
        <v>0.05</v>
      </c>
    </row>
    <row r="240" spans="1:8" hidden="1" x14ac:dyDescent="0.25">
      <c r="A240" s="156"/>
      <c r="B240" s="111"/>
      <c r="C240" s="111"/>
      <c r="D240" s="111"/>
      <c r="E240" s="155" t="s">
        <v>101</v>
      </c>
      <c r="F240" s="155"/>
      <c r="G240" s="155"/>
      <c r="H240" s="29">
        <v>0.05</v>
      </c>
    </row>
    <row r="241" spans="1:8" hidden="1" x14ac:dyDescent="0.25">
      <c r="A241" s="156"/>
      <c r="B241" s="111"/>
      <c r="C241" s="111"/>
      <c r="D241" s="111"/>
      <c r="E241" s="155" t="s">
        <v>102</v>
      </c>
      <c r="F241" s="155"/>
      <c r="G241" s="155"/>
      <c r="H241" s="29">
        <v>0.05</v>
      </c>
    </row>
    <row r="242" spans="1:8" hidden="1" x14ac:dyDescent="0.25">
      <c r="A242" s="156"/>
      <c r="B242" s="111"/>
      <c r="C242" s="111"/>
      <c r="D242" s="111"/>
      <c r="E242" s="155" t="s">
        <v>103</v>
      </c>
      <c r="F242" s="155"/>
      <c r="G242" s="155"/>
      <c r="H242" s="29">
        <v>0.05</v>
      </c>
    </row>
    <row r="243" spans="1:8" hidden="1" x14ac:dyDescent="0.25">
      <c r="A243" s="156"/>
      <c r="B243" s="111"/>
      <c r="C243" s="111"/>
      <c r="D243" s="111"/>
      <c r="E243" s="155" t="s">
        <v>104</v>
      </c>
      <c r="F243" s="155"/>
      <c r="G243" s="155"/>
      <c r="H243" s="29">
        <v>0.05</v>
      </c>
    </row>
    <row r="244" spans="1:8" hidden="1" x14ac:dyDescent="0.25">
      <c r="A244" s="156"/>
      <c r="B244" s="111"/>
      <c r="C244" s="111"/>
      <c r="D244" s="111"/>
      <c r="E244" s="155" t="s">
        <v>105</v>
      </c>
      <c r="F244" s="155"/>
      <c r="G244" s="155"/>
      <c r="H244" s="29">
        <v>0.05</v>
      </c>
    </row>
    <row r="245" spans="1:8" ht="60" hidden="1" customHeight="1" x14ac:dyDescent="0.25">
      <c r="A245" s="156"/>
      <c r="B245" s="111"/>
      <c r="C245" s="111"/>
      <c r="D245" s="111"/>
      <c r="E245" s="155" t="s">
        <v>106</v>
      </c>
      <c r="F245" s="155"/>
      <c r="G245" s="155"/>
      <c r="H245" s="29">
        <v>0.05</v>
      </c>
    </row>
    <row r="246" spans="1:8" ht="51" hidden="1" customHeight="1" x14ac:dyDescent="0.25">
      <c r="A246" s="156"/>
      <c r="B246" s="111"/>
      <c r="C246" s="111"/>
      <c r="D246" s="111"/>
      <c r="E246" s="155" t="s">
        <v>107</v>
      </c>
      <c r="F246" s="155"/>
      <c r="G246" s="155"/>
      <c r="H246" s="29">
        <v>0.05</v>
      </c>
    </row>
    <row r="247" spans="1:8" ht="62.25" hidden="1" customHeight="1" x14ac:dyDescent="0.25">
      <c r="A247" s="156"/>
      <c r="B247" s="111"/>
      <c r="C247" s="111"/>
      <c r="D247" s="111"/>
      <c r="E247" s="155" t="s">
        <v>108</v>
      </c>
      <c r="F247" s="155"/>
      <c r="G247" s="155"/>
      <c r="H247" s="29">
        <v>0.05</v>
      </c>
    </row>
    <row r="248" spans="1:8" ht="62.25" hidden="1" customHeight="1" x14ac:dyDescent="0.25">
      <c r="A248" s="156"/>
      <c r="B248" s="111"/>
      <c r="C248" s="111"/>
      <c r="D248" s="111"/>
      <c r="E248" s="155" t="s">
        <v>109</v>
      </c>
      <c r="F248" s="155"/>
      <c r="G248" s="155"/>
      <c r="H248" s="29">
        <v>0.05</v>
      </c>
    </row>
    <row r="249" spans="1:8" hidden="1" x14ac:dyDescent="0.25">
      <c r="A249" s="156"/>
      <c r="B249" s="111"/>
      <c r="C249" s="111"/>
      <c r="D249" s="111"/>
      <c r="E249" s="155" t="s">
        <v>110</v>
      </c>
      <c r="F249" s="155"/>
      <c r="G249" s="155"/>
      <c r="H249" s="29">
        <v>0.05</v>
      </c>
    </row>
    <row r="250" spans="1:8" ht="33" hidden="1" customHeight="1" x14ac:dyDescent="0.25">
      <c r="A250" s="156"/>
      <c r="B250" s="111"/>
      <c r="C250" s="111"/>
      <c r="D250" s="111"/>
      <c r="E250" s="155" t="s">
        <v>12</v>
      </c>
      <c r="F250" s="155"/>
      <c r="G250" s="155"/>
      <c r="H250" s="29">
        <f>SUM(H236:H249)</f>
        <v>0.90000000000000024</v>
      </c>
    </row>
    <row r="251" spans="1:8" ht="62.4" customHeight="1" x14ac:dyDescent="0.25">
      <c r="A251" s="11">
        <v>56</v>
      </c>
      <c r="B251" s="111" t="s">
        <v>52</v>
      </c>
      <c r="C251" s="111"/>
      <c r="D251" s="111"/>
      <c r="E251" s="130" t="s">
        <v>64</v>
      </c>
      <c r="F251" s="130"/>
      <c r="G251" s="130"/>
      <c r="H251" s="130"/>
    </row>
    <row r="252" spans="1:8" ht="42.6" customHeight="1" x14ac:dyDescent="0.25">
      <c r="A252" s="11">
        <v>57</v>
      </c>
      <c r="B252" s="111" t="s">
        <v>53</v>
      </c>
      <c r="C252" s="111"/>
      <c r="D252" s="111"/>
      <c r="E252" s="130" t="s">
        <v>64</v>
      </c>
      <c r="F252" s="130"/>
      <c r="G252" s="130"/>
      <c r="H252" s="130"/>
    </row>
    <row r="253" spans="1:8" ht="56.4" customHeight="1" x14ac:dyDescent="0.25">
      <c r="A253" s="11">
        <v>58</v>
      </c>
      <c r="B253" s="111" t="s">
        <v>54</v>
      </c>
      <c r="C253" s="111"/>
      <c r="D253" s="111"/>
      <c r="E253" s="130" t="s">
        <v>64</v>
      </c>
      <c r="F253" s="130"/>
      <c r="G253" s="130"/>
      <c r="H253" s="130"/>
    </row>
    <row r="254" spans="1:8" ht="68.400000000000006" customHeight="1" x14ac:dyDescent="0.25">
      <c r="A254" s="11">
        <v>59</v>
      </c>
      <c r="B254" s="111" t="s">
        <v>55</v>
      </c>
      <c r="C254" s="111"/>
      <c r="D254" s="111"/>
      <c r="E254" s="130" t="s">
        <v>64</v>
      </c>
      <c r="F254" s="130"/>
      <c r="G254" s="130"/>
      <c r="H254" s="130"/>
    </row>
    <row r="255" spans="1:8" x14ac:dyDescent="0.25">
      <c r="A255" s="11">
        <v>60</v>
      </c>
      <c r="B255" s="111" t="s">
        <v>56</v>
      </c>
      <c r="C255" s="111"/>
      <c r="D255" s="111"/>
      <c r="E255" s="111"/>
      <c r="F255" s="111"/>
      <c r="G255" s="111"/>
      <c r="H255" s="111"/>
    </row>
    <row r="256" spans="1:8" ht="28.8" customHeight="1" x14ac:dyDescent="0.25">
      <c r="A256" s="11" t="s">
        <v>57</v>
      </c>
      <c r="B256" s="111" t="s">
        <v>58</v>
      </c>
      <c r="C256" s="111"/>
      <c r="D256" s="111"/>
      <c r="E256" s="130" t="s">
        <v>64</v>
      </c>
      <c r="F256" s="130"/>
      <c r="G256" s="130"/>
      <c r="H256" s="130"/>
    </row>
    <row r="257" spans="1:8" ht="42.6" customHeight="1" x14ac:dyDescent="0.25">
      <c r="A257" s="31" t="s">
        <v>60</v>
      </c>
      <c r="B257" s="131" t="s">
        <v>59</v>
      </c>
      <c r="C257" s="131"/>
      <c r="D257" s="131"/>
      <c r="E257" s="154" t="s">
        <v>66</v>
      </c>
      <c r="F257" s="154"/>
      <c r="G257" s="154"/>
      <c r="H257" s="154"/>
    </row>
    <row r="258" spans="1:8" x14ac:dyDescent="0.25">
      <c r="A258" s="206" t="s">
        <v>150</v>
      </c>
      <c r="B258" s="206"/>
      <c r="C258" s="206"/>
      <c r="D258" s="206"/>
      <c r="E258" s="206"/>
      <c r="F258" s="206"/>
      <c r="G258" s="206"/>
      <c r="H258" s="206"/>
    </row>
    <row r="259" spans="1:8" x14ac:dyDescent="0.25">
      <c r="A259" s="36">
        <v>1</v>
      </c>
      <c r="B259" s="206" t="s">
        <v>238</v>
      </c>
      <c r="C259" s="206"/>
      <c r="D259" s="206"/>
      <c r="E259" s="206"/>
      <c r="F259" s="206"/>
      <c r="G259" s="206"/>
      <c r="H259" s="206"/>
    </row>
    <row r="260" spans="1:8" x14ac:dyDescent="0.25">
      <c r="A260" s="36">
        <f t="shared" ref="A260:A265" si="55">A259+1</f>
        <v>2</v>
      </c>
      <c r="B260" s="206" t="s">
        <v>151</v>
      </c>
      <c r="C260" s="206"/>
      <c r="D260" s="206"/>
      <c r="E260" s="206"/>
      <c r="F260" s="206"/>
      <c r="G260" s="206"/>
      <c r="H260" s="206"/>
    </row>
    <row r="261" spans="1:8" x14ac:dyDescent="0.25">
      <c r="A261" s="36">
        <f t="shared" si="55"/>
        <v>3</v>
      </c>
      <c r="B261" s="206" t="s">
        <v>152</v>
      </c>
      <c r="C261" s="206"/>
      <c r="D261" s="206"/>
      <c r="E261" s="206"/>
      <c r="F261" s="206"/>
      <c r="G261" s="206"/>
      <c r="H261" s="206"/>
    </row>
    <row r="262" spans="1:8" x14ac:dyDescent="0.25">
      <c r="A262" s="36">
        <f t="shared" si="55"/>
        <v>4</v>
      </c>
      <c r="B262" s="206" t="s">
        <v>242</v>
      </c>
      <c r="C262" s="206"/>
      <c r="D262" s="206"/>
      <c r="E262" s="206"/>
      <c r="F262" s="206"/>
      <c r="G262" s="206"/>
      <c r="H262" s="206"/>
    </row>
    <row r="263" spans="1:8" x14ac:dyDescent="0.25">
      <c r="A263" s="36">
        <f t="shared" si="55"/>
        <v>5</v>
      </c>
      <c r="B263" s="206" t="s">
        <v>153</v>
      </c>
      <c r="C263" s="206"/>
      <c r="D263" s="206"/>
      <c r="E263" s="206"/>
      <c r="F263" s="206"/>
      <c r="G263" s="206"/>
      <c r="H263" s="206"/>
    </row>
    <row r="264" spans="1:8" x14ac:dyDescent="0.25">
      <c r="A264" s="36">
        <f t="shared" si="55"/>
        <v>6</v>
      </c>
      <c r="B264" s="206" t="s">
        <v>154</v>
      </c>
      <c r="C264" s="206"/>
      <c r="D264" s="206"/>
      <c r="E264" s="206"/>
      <c r="F264" s="206"/>
      <c r="G264" s="206"/>
      <c r="H264" s="206"/>
    </row>
    <row r="265" spans="1:8" ht="30" customHeight="1" x14ac:dyDescent="0.25">
      <c r="A265" s="36">
        <f t="shared" si="55"/>
        <v>7</v>
      </c>
      <c r="B265" s="206" t="s">
        <v>155</v>
      </c>
      <c r="C265" s="206"/>
      <c r="D265" s="206"/>
      <c r="E265" s="206"/>
      <c r="F265" s="206"/>
      <c r="G265" s="206"/>
      <c r="H265" s="206"/>
    </row>
    <row r="266" spans="1:8" x14ac:dyDescent="0.25">
      <c r="A266" s="24" t="s">
        <v>81</v>
      </c>
      <c r="B266" s="25"/>
      <c r="C266" s="25"/>
      <c r="D266" s="207" t="str">
        <f>E4</f>
        <v>Vidhata Empire</v>
      </c>
      <c r="E266" s="207"/>
      <c r="F266" s="207"/>
      <c r="G266" s="207"/>
      <c r="H266" s="207"/>
    </row>
    <row r="267" spans="1:8" x14ac:dyDescent="0.25">
      <c r="A267" s="25"/>
      <c r="B267" s="25"/>
      <c r="C267" s="25"/>
      <c r="D267" s="25"/>
      <c r="E267" s="25"/>
      <c r="F267" s="25"/>
      <c r="G267" s="25"/>
      <c r="H267" s="25"/>
    </row>
    <row r="268" spans="1:8" x14ac:dyDescent="0.25">
      <c r="A268" s="25"/>
      <c r="B268" s="25"/>
      <c r="C268" s="25"/>
      <c r="D268" s="25"/>
      <c r="E268" s="25"/>
      <c r="F268" s="25"/>
      <c r="G268" s="25"/>
      <c r="H268" s="25"/>
    </row>
    <row r="287" spans="3:7" x14ac:dyDescent="0.25">
      <c r="C287" s="26"/>
      <c r="F287" s="169"/>
      <c r="G287" s="169"/>
    </row>
    <row r="313" spans="1:1" x14ac:dyDescent="0.25">
      <c r="A313" s="27" t="s">
        <v>140</v>
      </c>
    </row>
    <row r="357" spans="1:8" x14ac:dyDescent="0.25">
      <c r="A357" s="27" t="s">
        <v>15</v>
      </c>
      <c r="B357" s="25"/>
      <c r="C357" s="25"/>
      <c r="D357" s="28"/>
      <c r="E357" s="24"/>
      <c r="F357" s="25"/>
      <c r="G357" s="25"/>
      <c r="H357" s="25"/>
    </row>
    <row r="358" spans="1:8" x14ac:dyDescent="0.25">
      <c r="A358" s="25"/>
      <c r="B358" s="25"/>
      <c r="C358" s="25"/>
      <c r="D358" s="25"/>
      <c r="E358" s="25"/>
      <c r="F358" s="25"/>
      <c r="G358" s="25"/>
      <c r="H358" s="25"/>
    </row>
    <row r="359" spans="1:8" x14ac:dyDescent="0.25">
      <c r="A359" s="25"/>
      <c r="B359" s="25"/>
      <c r="C359" s="25"/>
      <c r="D359" s="25"/>
      <c r="E359" s="25"/>
      <c r="F359" s="25"/>
      <c r="G359" s="25"/>
      <c r="H359" s="25"/>
    </row>
    <row r="378" spans="3:7" x14ac:dyDescent="0.25">
      <c r="C378" s="26"/>
      <c r="F378" s="169"/>
      <c r="G378" s="169"/>
    </row>
    <row r="393" spans="1:8" x14ac:dyDescent="0.25">
      <c r="A393" s="119" t="s">
        <v>0</v>
      </c>
      <c r="B393" s="119"/>
      <c r="C393" s="119"/>
      <c r="D393" s="119"/>
      <c r="E393" s="119"/>
      <c r="F393" s="119"/>
      <c r="G393" s="119"/>
      <c r="H393" s="119"/>
    </row>
    <row r="394" spans="1:8" x14ac:dyDescent="0.25">
      <c r="A394" s="119" t="s">
        <v>3</v>
      </c>
      <c r="B394" s="119"/>
      <c r="C394" s="119"/>
      <c r="D394" s="119"/>
      <c r="E394" s="119"/>
      <c r="F394" s="119"/>
      <c r="G394" s="119"/>
      <c r="H394" s="119"/>
    </row>
    <row r="395" spans="1:8" x14ac:dyDescent="0.25">
      <c r="A395" s="119" t="s">
        <v>1</v>
      </c>
      <c r="B395" s="119"/>
      <c r="C395" s="119"/>
      <c r="D395" s="119"/>
      <c r="E395" s="119"/>
      <c r="F395" s="119"/>
      <c r="G395" s="119"/>
      <c r="H395" s="119"/>
    </row>
    <row r="396" spans="1:8" x14ac:dyDescent="0.25">
      <c r="A396" s="119" t="s">
        <v>6</v>
      </c>
      <c r="B396" s="119"/>
      <c r="C396" s="119"/>
      <c r="D396" s="119"/>
      <c r="E396" s="119"/>
      <c r="F396" s="119"/>
      <c r="G396" s="119"/>
      <c r="H396" s="119"/>
    </row>
    <row r="397" spans="1:8" x14ac:dyDescent="0.25">
      <c r="A397" s="119" t="s">
        <v>11</v>
      </c>
      <c r="B397" s="119"/>
      <c r="C397" s="119"/>
      <c r="D397" s="119"/>
      <c r="E397" s="119"/>
      <c r="F397" s="119"/>
      <c r="G397" s="119"/>
      <c r="H397" s="119"/>
    </row>
    <row r="398" spans="1:8" x14ac:dyDescent="0.25">
      <c r="A398" s="119" t="s">
        <v>7</v>
      </c>
      <c r="B398" s="119"/>
      <c r="C398" s="119"/>
      <c r="D398" s="119"/>
      <c r="E398" s="119"/>
      <c r="F398" s="119"/>
      <c r="G398" s="119"/>
      <c r="H398" s="119"/>
    </row>
    <row r="399" spans="1:8" ht="59.25" customHeight="1" x14ac:dyDescent="0.25">
      <c r="A399" s="203" t="s">
        <v>136</v>
      </c>
      <c r="B399" s="204"/>
      <c r="C399" s="205" t="s">
        <v>243</v>
      </c>
      <c r="D399" s="205"/>
      <c r="E399" s="202" t="s">
        <v>182</v>
      </c>
      <c r="F399" s="202"/>
      <c r="G399" s="141"/>
      <c r="H399" s="141"/>
    </row>
    <row r="400" spans="1:8" x14ac:dyDescent="0.25">
      <c r="A400" s="27"/>
    </row>
  </sheetData>
  <mergeCells count="354">
    <mergeCell ref="E42:H42"/>
    <mergeCell ref="B85:D89"/>
    <mergeCell ref="A85:A89"/>
    <mergeCell ref="E89:H89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E82:H82"/>
    <mergeCell ref="A79:A80"/>
    <mergeCell ref="B79:D80"/>
    <mergeCell ref="E79:G79"/>
    <mergeCell ref="E80:G80"/>
    <mergeCell ref="E45:H45"/>
    <mergeCell ref="B46:D46"/>
    <mergeCell ref="E46:H46"/>
    <mergeCell ref="A397:H397"/>
    <mergeCell ref="A395:H395"/>
    <mergeCell ref="E399:F399"/>
    <mergeCell ref="G399:H399"/>
    <mergeCell ref="E39:H39"/>
    <mergeCell ref="A399:B399"/>
    <mergeCell ref="C399:D399"/>
    <mergeCell ref="A258:H258"/>
    <mergeCell ref="B259:H259"/>
    <mergeCell ref="B260:H260"/>
    <mergeCell ref="B261:H261"/>
    <mergeCell ref="B262:H262"/>
    <mergeCell ref="B263:H263"/>
    <mergeCell ref="B264:H264"/>
    <mergeCell ref="B265:H265"/>
    <mergeCell ref="D266:H266"/>
    <mergeCell ref="A398:H398"/>
    <mergeCell ref="A393:H393"/>
    <mergeCell ref="A396:H396"/>
    <mergeCell ref="F287:G287"/>
    <mergeCell ref="C102:E102"/>
    <mergeCell ref="A232:A234"/>
    <mergeCell ref="A40:A42"/>
    <mergeCell ref="B42:D42"/>
    <mergeCell ref="E8:F8"/>
    <mergeCell ref="G8:H8"/>
    <mergeCell ref="I12:I13"/>
    <mergeCell ref="I23:J23"/>
    <mergeCell ref="I22:J22"/>
    <mergeCell ref="I24:J24"/>
    <mergeCell ref="I32:J33"/>
    <mergeCell ref="E29:H29"/>
    <mergeCell ref="E38:H38"/>
    <mergeCell ref="E25:H25"/>
    <mergeCell ref="E23:H23"/>
    <mergeCell ref="E30:H30"/>
    <mergeCell ref="E31:H31"/>
    <mergeCell ref="E32:H32"/>
    <mergeCell ref="E36:H36"/>
    <mergeCell ref="E37:H37"/>
    <mergeCell ref="E35:H35"/>
    <mergeCell ref="E27:H27"/>
    <mergeCell ref="E28:H28"/>
    <mergeCell ref="B231:D231"/>
    <mergeCell ref="C129:C130"/>
    <mergeCell ref="D129:D130"/>
    <mergeCell ref="C117:C118"/>
    <mergeCell ref="A225:H225"/>
    <mergeCell ref="A160:H160"/>
    <mergeCell ref="D117:D118"/>
    <mergeCell ref="A117:A118"/>
    <mergeCell ref="B117:B118"/>
    <mergeCell ref="A128:H128"/>
    <mergeCell ref="A132:H132"/>
    <mergeCell ref="A229:A230"/>
    <mergeCell ref="E228:H228"/>
    <mergeCell ref="A119:H119"/>
    <mergeCell ref="A131:H131"/>
    <mergeCell ref="B137:H138"/>
    <mergeCell ref="A150:H150"/>
    <mergeCell ref="A127:H127"/>
    <mergeCell ref="A129:A130"/>
    <mergeCell ref="B129:B130"/>
    <mergeCell ref="G93:H93"/>
    <mergeCell ref="A106:B106"/>
    <mergeCell ref="C106:D106"/>
    <mergeCell ref="E106:F106"/>
    <mergeCell ref="G106:H106"/>
    <mergeCell ref="A113:B113"/>
    <mergeCell ref="A114:B114"/>
    <mergeCell ref="A95:B96"/>
    <mergeCell ref="E113:F113"/>
    <mergeCell ref="A93:B94"/>
    <mergeCell ref="A108:B108"/>
    <mergeCell ref="G109:H109"/>
    <mergeCell ref="A107:H107"/>
    <mergeCell ref="A102:B102"/>
    <mergeCell ref="G102:H102"/>
    <mergeCell ref="E108:F108"/>
    <mergeCell ref="A109:B109"/>
    <mergeCell ref="G108:H108"/>
    <mergeCell ref="C93:E93"/>
    <mergeCell ref="C94:H94"/>
    <mergeCell ref="C95:E95"/>
    <mergeCell ref="G95:H95"/>
    <mergeCell ref="A394:H394"/>
    <mergeCell ref="E252:H252"/>
    <mergeCell ref="E250:G250"/>
    <mergeCell ref="B256:D256"/>
    <mergeCell ref="E249:G249"/>
    <mergeCell ref="E253:H253"/>
    <mergeCell ref="B251:D251"/>
    <mergeCell ref="E251:H251"/>
    <mergeCell ref="E245:G245"/>
    <mergeCell ref="E248:G248"/>
    <mergeCell ref="B236:D250"/>
    <mergeCell ref="E239:G239"/>
    <mergeCell ref="B253:D253"/>
    <mergeCell ref="F378:G378"/>
    <mergeCell ref="E246:G246"/>
    <mergeCell ref="E237:G237"/>
    <mergeCell ref="E242:G242"/>
    <mergeCell ref="B252:D252"/>
    <mergeCell ref="E256:H256"/>
    <mergeCell ref="C91:E91"/>
    <mergeCell ref="A92:B92"/>
    <mergeCell ref="C92:E92"/>
    <mergeCell ref="E84:H84"/>
    <mergeCell ref="E81:H81"/>
    <mergeCell ref="B229:D230"/>
    <mergeCell ref="B257:D257"/>
    <mergeCell ref="B255:H255"/>
    <mergeCell ref="E247:G247"/>
    <mergeCell ref="E233:G233"/>
    <mergeCell ref="B232:D234"/>
    <mergeCell ref="E240:G240"/>
    <mergeCell ref="E236:G236"/>
    <mergeCell ref="C109:D109"/>
    <mergeCell ref="E109:F109"/>
    <mergeCell ref="C113:D113"/>
    <mergeCell ref="E234:G234"/>
    <mergeCell ref="G113:H113"/>
    <mergeCell ref="E129:E130"/>
    <mergeCell ref="F129:F130"/>
    <mergeCell ref="E243:G243"/>
    <mergeCell ref="G129:G130"/>
    <mergeCell ref="B226:D226"/>
    <mergeCell ref="B227:D227"/>
    <mergeCell ref="B47:D47"/>
    <mergeCell ref="E47:H47"/>
    <mergeCell ref="E257:H257"/>
    <mergeCell ref="E238:G238"/>
    <mergeCell ref="A236:A250"/>
    <mergeCell ref="B254:D254"/>
    <mergeCell ref="E241:G241"/>
    <mergeCell ref="E244:G244"/>
    <mergeCell ref="E105:F105"/>
    <mergeCell ref="G105:H105"/>
    <mergeCell ref="F117:F118"/>
    <mergeCell ref="E226:H226"/>
    <mergeCell ref="E231:H231"/>
    <mergeCell ref="E227:H227"/>
    <mergeCell ref="E117:E118"/>
    <mergeCell ref="G92:H92"/>
    <mergeCell ref="E54:F54"/>
    <mergeCell ref="E87:H87"/>
    <mergeCell ref="E88:H88"/>
    <mergeCell ref="C53:H53"/>
    <mergeCell ref="A54:B54"/>
    <mergeCell ref="C65:H65"/>
    <mergeCell ref="E230:G230"/>
    <mergeCell ref="A141:H141"/>
    <mergeCell ref="G6:H6"/>
    <mergeCell ref="B9:D9"/>
    <mergeCell ref="E9:H9"/>
    <mergeCell ref="B25:D25"/>
    <mergeCell ref="B23:D23"/>
    <mergeCell ref="E26:H26"/>
    <mergeCell ref="E15:H15"/>
    <mergeCell ref="A59:B59"/>
    <mergeCell ref="B28:D28"/>
    <mergeCell ref="E48:H48"/>
    <mergeCell ref="E33:H33"/>
    <mergeCell ref="B48:D48"/>
    <mergeCell ref="B35:D35"/>
    <mergeCell ref="B34:D34"/>
    <mergeCell ref="E34:H34"/>
    <mergeCell ref="B29:D29"/>
    <mergeCell ref="B30:D30"/>
    <mergeCell ref="B31:D31"/>
    <mergeCell ref="B32:D32"/>
    <mergeCell ref="B33:D33"/>
    <mergeCell ref="B45:D45"/>
    <mergeCell ref="E16:H16"/>
    <mergeCell ref="B24:D24"/>
    <mergeCell ref="E24:H24"/>
    <mergeCell ref="B17:D17"/>
    <mergeCell ref="B20:D20"/>
    <mergeCell ref="B18:D18"/>
    <mergeCell ref="B19:D19"/>
    <mergeCell ref="B21:D21"/>
    <mergeCell ref="E21:H21"/>
    <mergeCell ref="B22:D22"/>
    <mergeCell ref="E22:H22"/>
    <mergeCell ref="E17:H17"/>
    <mergeCell ref="E18:H18"/>
    <mergeCell ref="E19:H19"/>
    <mergeCell ref="E20:H20"/>
    <mergeCell ref="E44:H44"/>
    <mergeCell ref="A1:H1"/>
    <mergeCell ref="A2:H2"/>
    <mergeCell ref="E12:H12"/>
    <mergeCell ref="E13:H13"/>
    <mergeCell ref="E14:H14"/>
    <mergeCell ref="B13:D13"/>
    <mergeCell ref="B14:D14"/>
    <mergeCell ref="B5:D6"/>
    <mergeCell ref="B4:D4"/>
    <mergeCell ref="B10:D10"/>
    <mergeCell ref="B11:D11"/>
    <mergeCell ref="E10:H10"/>
    <mergeCell ref="E11:H11"/>
    <mergeCell ref="B8:D8"/>
    <mergeCell ref="E3:H3"/>
    <mergeCell ref="B3:D3"/>
    <mergeCell ref="B12:D12"/>
    <mergeCell ref="E4:H4"/>
    <mergeCell ref="E7:H7"/>
    <mergeCell ref="E6:F6"/>
    <mergeCell ref="E5:H5"/>
    <mergeCell ref="B7:D7"/>
    <mergeCell ref="B36:D36"/>
    <mergeCell ref="B39:D39"/>
    <mergeCell ref="B38:D38"/>
    <mergeCell ref="B37:D37"/>
    <mergeCell ref="E229:H229"/>
    <mergeCell ref="B235:D235"/>
    <mergeCell ref="E235:H235"/>
    <mergeCell ref="E254:H254"/>
    <mergeCell ref="B81:D81"/>
    <mergeCell ref="C105:D105"/>
    <mergeCell ref="B50:H50"/>
    <mergeCell ref="E83:H83"/>
    <mergeCell ref="A57:B57"/>
    <mergeCell ref="A58:B58"/>
    <mergeCell ref="A63:B63"/>
    <mergeCell ref="B43:D43"/>
    <mergeCell ref="A90:H90"/>
    <mergeCell ref="E49:H49"/>
    <mergeCell ref="A51:B51"/>
    <mergeCell ref="A62:B62"/>
    <mergeCell ref="E85:H85"/>
    <mergeCell ref="E86:H86"/>
    <mergeCell ref="B84:D84"/>
    <mergeCell ref="B83:D83"/>
    <mergeCell ref="B82:D82"/>
    <mergeCell ref="I160:J160"/>
    <mergeCell ref="B228:D228"/>
    <mergeCell ref="A178:H178"/>
    <mergeCell ref="I178:J178"/>
    <mergeCell ref="A179:H179"/>
    <mergeCell ref="I179:J179"/>
    <mergeCell ref="B187:H187"/>
    <mergeCell ref="A188:H188"/>
    <mergeCell ref="I188:J188"/>
    <mergeCell ref="A197:H197"/>
    <mergeCell ref="I197:J197"/>
    <mergeCell ref="A198:H198"/>
    <mergeCell ref="I198:J198"/>
    <mergeCell ref="B206:H206"/>
    <mergeCell ref="A216:H216"/>
    <mergeCell ref="I216:J216"/>
    <mergeCell ref="A207:H207"/>
    <mergeCell ref="I207:J207"/>
    <mergeCell ref="B200:H200"/>
    <mergeCell ref="A5:A9"/>
    <mergeCell ref="E232:H232"/>
    <mergeCell ref="B27:D27"/>
    <mergeCell ref="A91:B91"/>
    <mergeCell ref="G91:H91"/>
    <mergeCell ref="C108:D108"/>
    <mergeCell ref="A103:H103"/>
    <mergeCell ref="A104:B104"/>
    <mergeCell ref="C104:D104"/>
    <mergeCell ref="E104:F104"/>
    <mergeCell ref="G104:H104"/>
    <mergeCell ref="A105:B105"/>
    <mergeCell ref="B26:D26"/>
    <mergeCell ref="B15:D15"/>
    <mergeCell ref="B16:D16"/>
    <mergeCell ref="B40:D40"/>
    <mergeCell ref="E40:H40"/>
    <mergeCell ref="B41:D41"/>
    <mergeCell ref="E41:H41"/>
    <mergeCell ref="A48:A49"/>
    <mergeCell ref="B49:D49"/>
    <mergeCell ref="E43:H43"/>
    <mergeCell ref="B44:D44"/>
    <mergeCell ref="A65:B65"/>
    <mergeCell ref="A67:B67"/>
    <mergeCell ref="C67:H67"/>
    <mergeCell ref="A68:B68"/>
    <mergeCell ref="E68:F68"/>
    <mergeCell ref="G68:H68"/>
    <mergeCell ref="A64:B64"/>
    <mergeCell ref="C51:H51"/>
    <mergeCell ref="A53:B53"/>
    <mergeCell ref="A60:B60"/>
    <mergeCell ref="G54:H54"/>
    <mergeCell ref="A55:B55"/>
    <mergeCell ref="E55:F64"/>
    <mergeCell ref="A61:B61"/>
    <mergeCell ref="G55:H64"/>
    <mergeCell ref="A56:B56"/>
    <mergeCell ref="I150:J150"/>
    <mergeCell ref="A159:H159"/>
    <mergeCell ref="I159:J159"/>
    <mergeCell ref="A169:H169"/>
    <mergeCell ref="I169:J169"/>
    <mergeCell ref="B168:H168"/>
    <mergeCell ref="G99:H99"/>
    <mergeCell ref="G100:H100"/>
    <mergeCell ref="C96:H96"/>
    <mergeCell ref="C98:H98"/>
    <mergeCell ref="A97:B98"/>
    <mergeCell ref="C97:E97"/>
    <mergeCell ref="G97:H97"/>
    <mergeCell ref="A99:B101"/>
    <mergeCell ref="C101:H101"/>
    <mergeCell ref="C99:E100"/>
    <mergeCell ref="I141:J141"/>
    <mergeCell ref="A110:B110"/>
    <mergeCell ref="C110:D110"/>
    <mergeCell ref="E110:F110"/>
    <mergeCell ref="G110:H110"/>
    <mergeCell ref="A111:B111"/>
    <mergeCell ref="C111:D111"/>
    <mergeCell ref="E111:F111"/>
    <mergeCell ref="G111:H111"/>
    <mergeCell ref="A112:B112"/>
    <mergeCell ref="C112:D112"/>
    <mergeCell ref="E112:F112"/>
    <mergeCell ref="G112:H112"/>
    <mergeCell ref="A115:H115"/>
    <mergeCell ref="A116:H116"/>
    <mergeCell ref="G117:G118"/>
    <mergeCell ref="A120:H120"/>
    <mergeCell ref="C114:D114"/>
    <mergeCell ref="E114:F114"/>
    <mergeCell ref="G114:H114"/>
  </mergeCells>
  <phoneticPr fontId="15" type="noConversion"/>
  <dataValidations count="3">
    <dataValidation type="list" allowBlank="1" showInputMessage="1" showErrorMessage="1" sqref="H118 H130" xr:uid="{00000000-0002-0000-0000-000000000000}">
      <formula1>".45,.50,.55,.60"</formula1>
    </dataValidation>
    <dataValidation type="list" allowBlank="1" showInputMessage="1" showErrorMessage="1" sqref="E17:H17" xr:uid="{00000000-0002-0000-0000-000001000000}">
      <formula1>"None,Yes"</formula1>
    </dataValidation>
    <dataValidation type="list" allowBlank="1" showInputMessage="1" showErrorMessage="1" sqref="B265:H265" xr:uid="{00000000-0002-0000-0000-000002000000}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 xr:uid="{3B0B9856-1F4C-4807-B5BB-F769336DAED8}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5" manualBreakCount="5">
    <brk id="50" max="16383" man="1"/>
    <brk id="127" max="16383" man="1"/>
    <brk id="265" max="7" man="1"/>
    <brk id="312" max="7" man="1"/>
    <brk id="356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48D4-E1C1-4CC9-9136-B3CAB8576DD9}">
  <dimension ref="F10"/>
  <sheetViews>
    <sheetView workbookViewId="0">
      <selection activeCell="F11" sqref="F11"/>
    </sheetView>
  </sheetViews>
  <sheetFormatPr defaultRowHeight="14.4" x14ac:dyDescent="0.3"/>
  <cols>
    <col min="6" max="6" width="107.21875" customWidth="1"/>
  </cols>
  <sheetData>
    <row r="10" spans="6:6" ht="56.4" customHeight="1" x14ac:dyDescent="0.3">
      <c r="F10" s="48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9:O10"/>
  <sheetViews>
    <sheetView workbookViewId="0">
      <selection activeCell="J15" sqref="J15"/>
    </sheetView>
  </sheetViews>
  <sheetFormatPr defaultRowHeight="14.4" x14ac:dyDescent="0.3"/>
  <sheetData>
    <row r="9" spans="11:15" x14ac:dyDescent="0.3">
      <c r="K9" s="132" t="s">
        <v>93</v>
      </c>
      <c r="L9" s="132"/>
      <c r="M9" s="132"/>
      <c r="N9" s="132"/>
      <c r="O9" s="132"/>
    </row>
    <row r="10" spans="11:15" x14ac:dyDescent="0.3">
      <c r="K10" s="132" t="s">
        <v>94</v>
      </c>
      <c r="L10" s="132"/>
      <c r="M10" s="132"/>
      <c r="N10" s="132"/>
      <c r="O10" s="132"/>
    </row>
  </sheetData>
  <mergeCells count="2">
    <mergeCell ref="K9:O9"/>
    <mergeCell ref="K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Sheet1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Kunal Kadam</cp:lastModifiedBy>
  <cp:lastPrinted>2025-08-16T11:33:50Z</cp:lastPrinted>
  <dcterms:created xsi:type="dcterms:W3CDTF">2013-11-23T05:32:33Z</dcterms:created>
  <dcterms:modified xsi:type="dcterms:W3CDTF">2025-08-16T11:33:51Z</dcterms:modified>
</cp:coreProperties>
</file>