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August 2025\13-08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Report!$A$1:$H$573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4" i="1" l="1"/>
  <c r="C73" i="1"/>
  <c r="C76" i="1" l="1"/>
  <c r="C87" i="1"/>
  <c r="C88" i="1" s="1"/>
  <c r="C90" i="1" s="1"/>
  <c r="L86" i="1"/>
  <c r="C89" i="1" l="1"/>
  <c r="C75" i="1" l="1"/>
  <c r="L72" i="1"/>
  <c r="D428" i="1"/>
  <c r="D426" i="1"/>
  <c r="F426" i="1" s="1"/>
  <c r="D425" i="1"/>
  <c r="F425" i="1" s="1"/>
  <c r="D424" i="1"/>
  <c r="F424" i="1" s="1"/>
  <c r="D423" i="1"/>
  <c r="F423" i="1" s="1"/>
  <c r="D422" i="1"/>
  <c r="F422" i="1" s="1"/>
  <c r="D421" i="1"/>
  <c r="F421" i="1" s="1"/>
  <c r="D419" i="1"/>
  <c r="F419" i="1" s="1"/>
  <c r="D416" i="1"/>
  <c r="F416" i="1" s="1"/>
  <c r="D415" i="1"/>
  <c r="F415" i="1" s="1"/>
  <c r="D414" i="1"/>
  <c r="D413" i="1"/>
  <c r="F413" i="1" s="1"/>
  <c r="D412" i="1"/>
  <c r="F412" i="1" s="1"/>
  <c r="D410" i="1"/>
  <c r="F410" i="1" s="1"/>
  <c r="D409" i="1"/>
  <c r="F409" i="1" s="1"/>
  <c r="D408" i="1"/>
  <c r="F408" i="1" s="1"/>
  <c r="D407" i="1"/>
  <c r="F407" i="1" s="1"/>
  <c r="D406" i="1"/>
  <c r="F406" i="1" s="1"/>
  <c r="D405" i="1"/>
  <c r="D404" i="1"/>
  <c r="F404" i="1" s="1"/>
  <c r="D403" i="1"/>
  <c r="F403" i="1" s="1"/>
  <c r="D400" i="1"/>
  <c r="F400" i="1" s="1"/>
  <c r="D399" i="1"/>
  <c r="F399" i="1" s="1"/>
  <c r="D398" i="1"/>
  <c r="F398" i="1" s="1"/>
  <c r="D397" i="1"/>
  <c r="F397" i="1" s="1"/>
  <c r="D396" i="1"/>
  <c r="F396" i="1" s="1"/>
  <c r="D395" i="1"/>
  <c r="F395" i="1" s="1"/>
  <c r="D394" i="1"/>
  <c r="F394" i="1" s="1"/>
  <c r="D393" i="1"/>
  <c r="F393" i="1" s="1"/>
  <c r="D391" i="1"/>
  <c r="F391" i="1" s="1"/>
  <c r="D388" i="1"/>
  <c r="F388" i="1" s="1"/>
  <c r="D387" i="1"/>
  <c r="F387" i="1" s="1"/>
  <c r="D386" i="1"/>
  <c r="F386" i="1" s="1"/>
  <c r="D385" i="1"/>
  <c r="F385" i="1" s="1"/>
  <c r="D384" i="1"/>
  <c r="F384" i="1" s="1"/>
  <c r="D382" i="1"/>
  <c r="F382" i="1" s="1"/>
  <c r="D381" i="1"/>
  <c r="F381" i="1" s="1"/>
  <c r="D380" i="1"/>
  <c r="F380" i="1" s="1"/>
  <c r="D379" i="1"/>
  <c r="F379" i="1" s="1"/>
  <c r="D378" i="1"/>
  <c r="F378" i="1" s="1"/>
  <c r="D377" i="1"/>
  <c r="F377" i="1" s="1"/>
  <c r="D376" i="1"/>
  <c r="F376" i="1" s="1"/>
  <c r="D375" i="1"/>
  <c r="F375" i="1" s="1"/>
  <c r="D373" i="1"/>
  <c r="F373" i="1" s="1"/>
  <c r="D370" i="1"/>
  <c r="F370" i="1" s="1"/>
  <c r="D369" i="1"/>
  <c r="F369" i="1" s="1"/>
  <c r="D368" i="1"/>
  <c r="D367" i="1"/>
  <c r="F367" i="1" s="1"/>
  <c r="D366" i="1"/>
  <c r="F366" i="1" s="1"/>
  <c r="D364" i="1"/>
  <c r="F364" i="1" s="1"/>
  <c r="D363" i="1"/>
  <c r="F363" i="1" s="1"/>
  <c r="D362" i="1"/>
  <c r="F362" i="1" s="1"/>
  <c r="D361" i="1"/>
  <c r="F361" i="1" s="1"/>
  <c r="D360" i="1"/>
  <c r="F360" i="1" s="1"/>
  <c r="D359" i="1"/>
  <c r="F359" i="1" s="1"/>
  <c r="D358" i="1"/>
  <c r="F358" i="1" s="1"/>
  <c r="D357" i="1"/>
  <c r="F357" i="1" s="1"/>
  <c r="D355" i="1"/>
  <c r="D352" i="1"/>
  <c r="D351" i="1"/>
  <c r="D350" i="1"/>
  <c r="D349" i="1"/>
  <c r="D348" i="1"/>
  <c r="D346" i="1"/>
  <c r="D345" i="1"/>
  <c r="D344" i="1"/>
  <c r="D343" i="1"/>
  <c r="D342" i="1"/>
  <c r="D341" i="1"/>
  <c r="D340" i="1"/>
  <c r="D339" i="1"/>
  <c r="D336" i="1"/>
  <c r="F336" i="1" s="1"/>
  <c r="D335" i="1"/>
  <c r="F335" i="1" s="1"/>
  <c r="D334" i="1"/>
  <c r="F334" i="1" s="1"/>
  <c r="D333" i="1"/>
  <c r="F333" i="1" s="1"/>
  <c r="D331" i="1"/>
  <c r="F331" i="1" s="1"/>
  <c r="D330" i="1"/>
  <c r="F330" i="1" s="1"/>
  <c r="D329" i="1"/>
  <c r="F329" i="1" s="1"/>
  <c r="D327" i="1"/>
  <c r="F327" i="1" s="1"/>
  <c r="D326" i="1"/>
  <c r="F326" i="1" s="1"/>
  <c r="D325" i="1"/>
  <c r="F325" i="1" s="1"/>
  <c r="D322" i="1"/>
  <c r="F322" i="1" s="1"/>
  <c r="D321" i="1"/>
  <c r="F321" i="1" s="1"/>
  <c r="D320" i="1"/>
  <c r="F320" i="1" s="1"/>
  <c r="D318" i="1"/>
  <c r="F318" i="1" s="1"/>
  <c r="D317" i="1"/>
  <c r="F317" i="1" s="1"/>
  <c r="D316" i="1"/>
  <c r="F316" i="1" s="1"/>
  <c r="D315" i="1"/>
  <c r="F315" i="1" s="1"/>
  <c r="D314" i="1"/>
  <c r="F314" i="1" s="1"/>
  <c r="D313" i="1"/>
  <c r="F313" i="1" s="1"/>
  <c r="D312" i="1"/>
  <c r="F312" i="1" s="1"/>
  <c r="D311" i="1"/>
  <c r="F311" i="1" s="1"/>
  <c r="D308" i="1"/>
  <c r="F308" i="1" s="1"/>
  <c r="D307" i="1"/>
  <c r="F307" i="1" s="1"/>
  <c r="D306" i="1"/>
  <c r="D305" i="1"/>
  <c r="F305" i="1" s="1"/>
  <c r="D304" i="1"/>
  <c r="F304" i="1" s="1"/>
  <c r="D303" i="1"/>
  <c r="F303" i="1" s="1"/>
  <c r="D302" i="1"/>
  <c r="F302" i="1" s="1"/>
  <c r="D301" i="1"/>
  <c r="F301" i="1" s="1"/>
  <c r="D299" i="1"/>
  <c r="F299" i="1" s="1"/>
  <c r="D298" i="1"/>
  <c r="F298" i="1" s="1"/>
  <c r="D297" i="1"/>
  <c r="F297" i="1" s="1"/>
  <c r="D294" i="1"/>
  <c r="F294" i="1" s="1"/>
  <c r="D293" i="1"/>
  <c r="F293" i="1" s="1"/>
  <c r="D292" i="1"/>
  <c r="F292" i="1" s="1"/>
  <c r="D290" i="1"/>
  <c r="D289" i="1"/>
  <c r="F289" i="1" s="1"/>
  <c r="D288" i="1"/>
  <c r="F288" i="1" s="1"/>
  <c r="D287" i="1"/>
  <c r="F287" i="1" s="1"/>
  <c r="D286" i="1"/>
  <c r="D285" i="1"/>
  <c r="F285" i="1" s="1"/>
  <c r="D284" i="1"/>
  <c r="F284" i="1" s="1"/>
  <c r="D283" i="1"/>
  <c r="F283" i="1" s="1"/>
  <c r="D281" i="1"/>
  <c r="F281" i="1" s="1"/>
  <c r="D280" i="1"/>
  <c r="F280" i="1" s="1"/>
  <c r="D279" i="1"/>
  <c r="F279" i="1" s="1"/>
  <c r="D276" i="1"/>
  <c r="F276" i="1" s="1"/>
  <c r="D275" i="1"/>
  <c r="F275" i="1" s="1"/>
  <c r="D274" i="1"/>
  <c r="F274" i="1" s="1"/>
  <c r="D272" i="1"/>
  <c r="D271" i="1"/>
  <c r="D270" i="1"/>
  <c r="D269" i="1"/>
  <c r="D268" i="1"/>
  <c r="D267" i="1"/>
  <c r="D266" i="1"/>
  <c r="D265" i="1"/>
  <c r="D263" i="1"/>
  <c r="D262" i="1"/>
  <c r="D261" i="1"/>
  <c r="D258" i="1"/>
  <c r="D257" i="1"/>
  <c r="D256" i="1"/>
  <c r="D254" i="1"/>
  <c r="D253" i="1"/>
  <c r="D252" i="1"/>
  <c r="D251" i="1"/>
  <c r="D250" i="1"/>
  <c r="D249" i="1"/>
  <c r="D248" i="1"/>
  <c r="D247" i="1"/>
  <c r="D238" i="1"/>
  <c r="D237" i="1"/>
  <c r="D236" i="1"/>
  <c r="D235" i="1"/>
  <c r="D234" i="1"/>
  <c r="D233" i="1"/>
  <c r="D232" i="1"/>
  <c r="D231" i="1"/>
  <c r="D230" i="1"/>
  <c r="D229" i="1"/>
  <c r="D228" i="1"/>
  <c r="D226" i="1"/>
  <c r="D225" i="1"/>
  <c r="D224" i="1"/>
  <c r="D223" i="1"/>
  <c r="D222" i="1"/>
  <c r="D221" i="1"/>
  <c r="D220" i="1"/>
  <c r="D214" i="1"/>
  <c r="D213" i="1"/>
  <c r="D212" i="1"/>
  <c r="D211" i="1"/>
  <c r="D210" i="1"/>
  <c r="D209" i="1"/>
  <c r="D207" i="1"/>
  <c r="D206" i="1"/>
  <c r="D205" i="1"/>
  <c r="D204" i="1"/>
  <c r="D203" i="1"/>
  <c r="D202" i="1"/>
  <c r="I204" i="1"/>
  <c r="D200" i="1"/>
  <c r="D199" i="1"/>
  <c r="D198" i="1"/>
  <c r="D197" i="1"/>
  <c r="D196" i="1"/>
  <c r="D195" i="1"/>
  <c r="D193" i="1"/>
  <c r="D190" i="1"/>
  <c r="D189" i="1"/>
  <c r="D188" i="1"/>
  <c r="D187" i="1"/>
  <c r="D186" i="1"/>
  <c r="D185" i="1"/>
  <c r="D184" i="1"/>
  <c r="E115" i="1" s="1"/>
  <c r="D175" i="1"/>
  <c r="D174" i="1"/>
  <c r="D173" i="1"/>
  <c r="D172" i="1"/>
  <c r="D171" i="1"/>
  <c r="D169" i="1"/>
  <c r="D168" i="1"/>
  <c r="D167" i="1"/>
  <c r="D166" i="1"/>
  <c r="D165" i="1"/>
  <c r="D163" i="1"/>
  <c r="D162" i="1"/>
  <c r="D161" i="1"/>
  <c r="D160" i="1"/>
  <c r="D159" i="1"/>
  <c r="D157" i="1"/>
  <c r="D156" i="1"/>
  <c r="D155" i="1"/>
  <c r="D154" i="1"/>
  <c r="D153" i="1"/>
  <c r="D151" i="1"/>
  <c r="D150" i="1"/>
  <c r="D149" i="1"/>
  <c r="D148" i="1"/>
  <c r="D147" i="1"/>
  <c r="D145" i="1"/>
  <c r="D144" i="1"/>
  <c r="D143" i="1"/>
  <c r="D142" i="1"/>
  <c r="D141" i="1"/>
  <c r="D139" i="1"/>
  <c r="D138" i="1"/>
  <c r="D137" i="1"/>
  <c r="D136" i="1"/>
  <c r="D135" i="1"/>
  <c r="D134" i="1"/>
  <c r="J135" i="1"/>
  <c r="F428" i="1"/>
  <c r="F427" i="1"/>
  <c r="A422" i="1"/>
  <c r="A423" i="1" s="1"/>
  <c r="A424" i="1" s="1"/>
  <c r="A425" i="1" s="1"/>
  <c r="A426" i="1" s="1"/>
  <c r="A427" i="1" s="1"/>
  <c r="A428" i="1" s="1"/>
  <c r="G421" i="1"/>
  <c r="A330" i="1"/>
  <c r="A331" i="1" s="1"/>
  <c r="A332" i="1" s="1"/>
  <c r="A333" i="1" s="1"/>
  <c r="A334" i="1" s="1"/>
  <c r="A335" i="1" s="1"/>
  <c r="A336" i="1" s="1"/>
  <c r="G329" i="1"/>
  <c r="F324" i="1"/>
  <c r="A321" i="1"/>
  <c r="A322" i="1" s="1"/>
  <c r="A323" i="1" s="1"/>
  <c r="A324" i="1" s="1"/>
  <c r="A325" i="1" s="1"/>
  <c r="A326" i="1" s="1"/>
  <c r="A327" i="1" s="1"/>
  <c r="G320" i="1"/>
  <c r="F418" i="1"/>
  <c r="F414" i="1"/>
  <c r="A413" i="1"/>
  <c r="A414" i="1" s="1"/>
  <c r="A415" i="1" s="1"/>
  <c r="A416" i="1" s="1"/>
  <c r="A417" i="1" s="1"/>
  <c r="A418" i="1" s="1"/>
  <c r="A419" i="1" s="1"/>
  <c r="G412" i="1"/>
  <c r="F405" i="1"/>
  <c r="A404" i="1"/>
  <c r="A405" i="1" s="1"/>
  <c r="A406" i="1" s="1"/>
  <c r="A407" i="1" s="1"/>
  <c r="A408" i="1" s="1"/>
  <c r="A409" i="1" s="1"/>
  <c r="A410" i="1" s="1"/>
  <c r="G403" i="1"/>
  <c r="A312" i="1"/>
  <c r="A313" i="1" s="1"/>
  <c r="A314" i="1" s="1"/>
  <c r="A315" i="1" s="1"/>
  <c r="A316" i="1" s="1"/>
  <c r="A317" i="1" s="1"/>
  <c r="A318" i="1" s="1"/>
  <c r="G311" i="1"/>
  <c r="A394" i="1"/>
  <c r="A395" i="1" s="1"/>
  <c r="A396" i="1" s="1"/>
  <c r="A397" i="1" s="1"/>
  <c r="A398" i="1" s="1"/>
  <c r="A399" i="1" s="1"/>
  <c r="A400" i="1" s="1"/>
  <c r="G393" i="1"/>
  <c r="F306" i="1"/>
  <c r="A302" i="1"/>
  <c r="A303" i="1" s="1"/>
  <c r="A304" i="1" s="1"/>
  <c r="A305" i="1" s="1"/>
  <c r="A306" i="1" s="1"/>
  <c r="A307" i="1" s="1"/>
  <c r="A308" i="1" s="1"/>
  <c r="G301" i="1"/>
  <c r="F296" i="1"/>
  <c r="A293" i="1"/>
  <c r="A294" i="1" s="1"/>
  <c r="A295" i="1" s="1"/>
  <c r="A296" i="1" s="1"/>
  <c r="A297" i="1" s="1"/>
  <c r="A298" i="1" s="1"/>
  <c r="A299" i="1" s="1"/>
  <c r="G292" i="1"/>
  <c r="F390" i="1"/>
  <c r="A385" i="1"/>
  <c r="A386" i="1" s="1"/>
  <c r="A387" i="1" s="1"/>
  <c r="A388" i="1" s="1"/>
  <c r="A389" i="1" s="1"/>
  <c r="A390" i="1" s="1"/>
  <c r="A391" i="1" s="1"/>
  <c r="G384" i="1"/>
  <c r="F286" i="1"/>
  <c r="A376" i="1"/>
  <c r="A377" i="1" s="1"/>
  <c r="A378" i="1" s="1"/>
  <c r="A379" i="1" s="1"/>
  <c r="A380" i="1" s="1"/>
  <c r="A381" i="1" s="1"/>
  <c r="A382" i="1" s="1"/>
  <c r="G375" i="1"/>
  <c r="F290" i="1"/>
  <c r="A284" i="1"/>
  <c r="A285" i="1" s="1"/>
  <c r="A286" i="1" s="1"/>
  <c r="A287" i="1" s="1"/>
  <c r="A288" i="1" s="1"/>
  <c r="A289" i="1" s="1"/>
  <c r="A290" i="1" s="1"/>
  <c r="G283" i="1"/>
  <c r="F372" i="1"/>
  <c r="F368" i="1"/>
  <c r="A367" i="1"/>
  <c r="A368" i="1" s="1"/>
  <c r="A369" i="1" s="1"/>
  <c r="A370" i="1" s="1"/>
  <c r="A371" i="1" s="1"/>
  <c r="A372" i="1" s="1"/>
  <c r="A373" i="1" s="1"/>
  <c r="G366" i="1"/>
  <c r="I281" i="1"/>
  <c r="F278" i="1"/>
  <c r="I276" i="1"/>
  <c r="A275" i="1"/>
  <c r="A276" i="1" s="1"/>
  <c r="A277" i="1" s="1"/>
  <c r="A278" i="1" s="1"/>
  <c r="A279" i="1" s="1"/>
  <c r="A280" i="1" s="1"/>
  <c r="A281" i="1" s="1"/>
  <c r="I274" i="1"/>
  <c r="G274" i="1"/>
  <c r="A358" i="1"/>
  <c r="A359" i="1" s="1"/>
  <c r="A360" i="1" s="1"/>
  <c r="A361" i="1" s="1"/>
  <c r="A362" i="1" s="1"/>
  <c r="A363" i="1" s="1"/>
  <c r="A364" i="1" s="1"/>
  <c r="G357" i="1"/>
  <c r="E111" i="1" l="1"/>
  <c r="C112" i="1"/>
  <c r="C114" i="1"/>
  <c r="C111" i="1"/>
  <c r="E112" i="1"/>
  <c r="E113" i="1"/>
  <c r="C116" i="1"/>
  <c r="C120" i="1"/>
  <c r="C121" i="1"/>
  <c r="C115" i="1"/>
  <c r="C113" i="1"/>
  <c r="E121" i="1"/>
  <c r="E114" i="1"/>
  <c r="E116" i="1"/>
  <c r="E120" i="1"/>
  <c r="I272" i="1"/>
  <c r="F272" i="1"/>
  <c r="F271" i="1"/>
  <c r="F270" i="1"/>
  <c r="F269" i="1"/>
  <c r="F268" i="1"/>
  <c r="I267" i="1"/>
  <c r="F267" i="1"/>
  <c r="F266" i="1"/>
  <c r="A266" i="1"/>
  <c r="A267" i="1" s="1"/>
  <c r="A268" i="1" s="1"/>
  <c r="A269" i="1" s="1"/>
  <c r="A270" i="1" s="1"/>
  <c r="A271" i="1" s="1"/>
  <c r="A272" i="1" s="1"/>
  <c r="I265" i="1"/>
  <c r="G265" i="1"/>
  <c r="F265" i="1"/>
  <c r="I247" i="1"/>
  <c r="I249" i="1"/>
  <c r="I254" i="1"/>
  <c r="F258" i="1"/>
  <c r="F355" i="1"/>
  <c r="F354" i="1"/>
  <c r="F352" i="1"/>
  <c r="F351" i="1"/>
  <c r="F350" i="1"/>
  <c r="F349" i="1"/>
  <c r="A349" i="1"/>
  <c r="A350" i="1" s="1"/>
  <c r="A351" i="1" s="1"/>
  <c r="A352" i="1" s="1"/>
  <c r="A353" i="1" s="1"/>
  <c r="A354" i="1" s="1"/>
  <c r="A355" i="1" s="1"/>
  <c r="G348" i="1"/>
  <c r="F348" i="1"/>
  <c r="F263" i="1"/>
  <c r="F262" i="1"/>
  <c r="F261" i="1"/>
  <c r="F260" i="1"/>
  <c r="F257" i="1"/>
  <c r="A257" i="1"/>
  <c r="A258" i="1" s="1"/>
  <c r="A259" i="1" s="1"/>
  <c r="A260" i="1" s="1"/>
  <c r="A261" i="1" s="1"/>
  <c r="A262" i="1" s="1"/>
  <c r="A263" i="1" s="1"/>
  <c r="G256" i="1"/>
  <c r="F256" i="1"/>
  <c r="C117" i="1" l="1"/>
  <c r="E117" i="1"/>
  <c r="C122" i="1"/>
  <c r="E122" i="1"/>
  <c r="F340" i="1"/>
  <c r="F339" i="1"/>
  <c r="F346" i="1"/>
  <c r="F345" i="1"/>
  <c r="F344" i="1"/>
  <c r="F343" i="1"/>
  <c r="F342" i="1"/>
  <c r="F341" i="1"/>
  <c r="A340" i="1"/>
  <c r="A341" i="1" s="1"/>
  <c r="A342" i="1" s="1"/>
  <c r="A343" i="1" s="1"/>
  <c r="A344" i="1" s="1"/>
  <c r="A345" i="1" s="1"/>
  <c r="A346" i="1" s="1"/>
  <c r="G339" i="1"/>
  <c r="F254" i="1"/>
  <c r="F253" i="1"/>
  <c r="F252" i="1"/>
  <c r="F251" i="1"/>
  <c r="F235" i="1"/>
  <c r="F233" i="1"/>
  <c r="F238" i="1"/>
  <c r="F237" i="1"/>
  <c r="F236" i="1"/>
  <c r="F234" i="1"/>
  <c r="F232" i="1"/>
  <c r="F231" i="1"/>
  <c r="F230" i="1"/>
  <c r="F229" i="1"/>
  <c r="G228" i="1"/>
  <c r="F228" i="1"/>
  <c r="F175" i="1"/>
  <c r="F174" i="1"/>
  <c r="F173" i="1"/>
  <c r="F172" i="1"/>
  <c r="G171" i="1"/>
  <c r="F171" i="1"/>
  <c r="F226" i="1"/>
  <c r="F225" i="1"/>
  <c r="F224" i="1"/>
  <c r="F223" i="1"/>
  <c r="F222" i="1"/>
  <c r="F220" i="1"/>
  <c r="F169" i="1"/>
  <c r="F168" i="1"/>
  <c r="F167" i="1"/>
  <c r="F166" i="1"/>
  <c r="G165" i="1"/>
  <c r="F165" i="1"/>
  <c r="F221" i="1"/>
  <c r="G216" i="1"/>
  <c r="F163" i="1"/>
  <c r="F162" i="1"/>
  <c r="F161" i="1"/>
  <c r="F160" i="1"/>
  <c r="G159" i="1"/>
  <c r="F159" i="1"/>
  <c r="F214" i="1"/>
  <c r="F213" i="1"/>
  <c r="F212" i="1"/>
  <c r="F211" i="1"/>
  <c r="F210" i="1"/>
  <c r="G209" i="1"/>
  <c r="F209" i="1"/>
  <c r="F202" i="1"/>
  <c r="F207" i="1"/>
  <c r="F206" i="1"/>
  <c r="F205" i="1"/>
  <c r="F204" i="1"/>
  <c r="F203" i="1"/>
  <c r="G202" i="1"/>
  <c r="F157" i="1"/>
  <c r="F156" i="1"/>
  <c r="F155" i="1"/>
  <c r="F154" i="1"/>
  <c r="F153" i="1"/>
  <c r="F200" i="1"/>
  <c r="F199" i="1"/>
  <c r="F198" i="1"/>
  <c r="F197" i="1"/>
  <c r="F196" i="1"/>
  <c r="G195" i="1"/>
  <c r="F195" i="1"/>
  <c r="F151" i="1"/>
  <c r="F150" i="1"/>
  <c r="F149" i="1"/>
  <c r="F148" i="1"/>
  <c r="F147" i="1"/>
  <c r="G153" i="1"/>
  <c r="G147" i="1"/>
  <c r="F145" i="1"/>
  <c r="F144" i="1"/>
  <c r="F143" i="1"/>
  <c r="F141" i="1"/>
  <c r="F142" i="1"/>
  <c r="G141" i="1"/>
  <c r="F193" i="1"/>
  <c r="G192" i="1"/>
  <c r="F184" i="1"/>
  <c r="G115" i="1" s="1"/>
  <c r="F190" i="1"/>
  <c r="F189" i="1"/>
  <c r="F188" i="1"/>
  <c r="F187" i="1"/>
  <c r="F186" i="1"/>
  <c r="F185" i="1"/>
  <c r="G184" i="1"/>
  <c r="I136" i="1"/>
  <c r="I134" i="1"/>
  <c r="F139" i="1"/>
  <c r="F138" i="1"/>
  <c r="G112" i="1" l="1"/>
  <c r="G113" i="1"/>
  <c r="G116" i="1"/>
  <c r="G114" i="1"/>
  <c r="G121" i="1"/>
  <c r="D61" i="1"/>
  <c r="E31" i="1"/>
  <c r="B431" i="1"/>
  <c r="C67" i="1"/>
  <c r="B68" i="1" s="1"/>
  <c r="E26" i="1"/>
  <c r="E28" i="1" l="1"/>
  <c r="C16" i="1"/>
  <c r="E123" i="1" l="1"/>
  <c r="C123" i="1"/>
  <c r="E44" i="1" l="1"/>
  <c r="E45" i="1" s="1"/>
  <c r="F248" i="1" l="1"/>
  <c r="F249" i="1"/>
  <c r="F250" i="1"/>
  <c r="F247" i="1"/>
  <c r="A248" i="1"/>
  <c r="A249" i="1" s="1"/>
  <c r="A250" i="1" s="1"/>
  <c r="A251" i="1" s="1"/>
  <c r="A252" i="1" s="1"/>
  <c r="A253" i="1" s="1"/>
  <c r="A254" i="1" s="1"/>
  <c r="G247" i="1"/>
  <c r="G120" i="1" l="1"/>
  <c r="G122" i="1" s="1"/>
  <c r="F108" i="1"/>
  <c r="F135" i="1" l="1"/>
  <c r="F136" i="1"/>
  <c r="F137" i="1"/>
  <c r="F134" i="1"/>
  <c r="G111" i="1" l="1"/>
  <c r="G117" i="1" s="1"/>
  <c r="G123" i="1" s="1"/>
  <c r="B432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455" i="1"/>
  <c r="G134" i="1"/>
  <c r="D56" i="1"/>
  <c r="C51" i="1"/>
  <c r="C52" i="1" s="1"/>
  <c r="E7" i="1"/>
  <c r="E3" i="1"/>
  <c r="H68" i="1"/>
  <c r="D80" i="1" l="1"/>
  <c r="D78" i="1"/>
  <c r="D77" i="1"/>
  <c r="D76" i="1"/>
  <c r="D74" i="1"/>
  <c r="J67" i="1"/>
  <c r="D79" i="1"/>
  <c r="D75" i="1"/>
  <c r="J71" i="1"/>
  <c r="J72" i="1"/>
  <c r="C71" i="1" s="1"/>
  <c r="J70" i="1"/>
  <c r="J73" i="1"/>
  <c r="J74" i="1" s="1"/>
  <c r="J79" i="1" s="1"/>
  <c r="J75" i="1" l="1"/>
  <c r="J76" i="1" s="1"/>
  <c r="J77" i="1" s="1"/>
  <c r="J78" i="1" s="1"/>
  <c r="D73" i="1"/>
  <c r="J69" i="1"/>
  <c r="D71" i="1"/>
  <c r="B82" i="1" l="1"/>
  <c r="J80" i="1"/>
  <c r="C72" i="1" s="1"/>
  <c r="G71" i="1" s="1"/>
  <c r="H82" i="1"/>
  <c r="D94" i="1" l="1"/>
  <c r="D90" i="1"/>
  <c r="J85" i="1"/>
  <c r="D87" i="1"/>
  <c r="D93" i="1"/>
  <c r="J84" i="1"/>
  <c r="D88" i="1"/>
  <c r="J81" i="1"/>
  <c r="J83" i="1" s="1"/>
  <c r="D91" i="1"/>
  <c r="D89" i="1"/>
  <c r="J86" i="1"/>
  <c r="C85" i="1" s="1"/>
  <c r="D85" i="1" s="1"/>
  <c r="D92" i="1"/>
  <c r="J87" i="1"/>
  <c r="J88" i="1" s="1"/>
  <c r="J93" i="1" s="1"/>
  <c r="J90" i="1"/>
  <c r="J92" i="1"/>
  <c r="J91" i="1"/>
  <c r="D65" i="1"/>
  <c r="D66" i="1" s="1"/>
  <c r="J68" i="1"/>
  <c r="D72" i="1"/>
  <c r="I68" i="1" s="1"/>
  <c r="E71" i="1"/>
  <c r="J89" i="1" l="1"/>
  <c r="J94" i="1" s="1"/>
  <c r="C86" i="1" s="1"/>
  <c r="E85" i="1" s="1"/>
  <c r="F66" i="1"/>
  <c r="I69" i="1"/>
  <c r="I67" i="1" s="1"/>
  <c r="C69" i="1" s="1"/>
  <c r="J82" i="1" l="1"/>
  <c r="G85" i="1"/>
  <c r="D86" i="1"/>
  <c r="I82" i="1" s="1"/>
  <c r="I83" i="1" s="1"/>
  <c r="I81" i="1" l="1"/>
  <c r="C83" i="1" s="1"/>
</calcChain>
</file>

<file path=xl/sharedStrings.xml><?xml version="1.0" encoding="utf-8"?>
<sst xmlns="http://schemas.openxmlformats.org/spreadsheetml/2006/main" count="614" uniqueCount="267">
  <si>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</si>
  <si>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</si>
  <si>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</si>
  <si>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</si>
  <si>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</si>
  <si>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</si>
  <si>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</si>
  <si>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</si>
  <si>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</si>
  <si>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</si>
  <si>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</si>
  <si>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</si>
  <si>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</si>
  <si>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</si>
  <si>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</si>
  <si>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</si>
  <si>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</si>
  <si>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</si>
  <si>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</si>
  <si>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</si>
  <si>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</si>
  <si>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</si>
  <si>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</si>
  <si>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</si>
  <si>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</si>
  <si>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</si>
  <si>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</si>
  <si>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</si>
  <si>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</si>
  <si>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</si>
  <si>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</si>
  <si>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</si>
  <si>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</si>
  <si>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</si>
  <si>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</si>
  <si>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</si>
  <si>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</si>
  <si>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</si>
  <si>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</si>
  <si>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</si>
  <si>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</si>
  <si>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</si>
  <si>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</si>
  <si>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</si>
  <si>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</si>
  <si>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</si>
  <si>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</si>
  <si>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</si>
  <si>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</si>
  <si>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</si>
  <si>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</si>
  <si>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</si>
  <si>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</si>
  <si>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</si>
  <si>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</si>
  <si>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</si>
  <si>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</si>
  <si>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</si>
  <si>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</si>
  <si>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</si>
  <si>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</si>
  <si>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</si>
  <si>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</si>
  <si>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</si>
  <si>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</si>
  <si>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</si>
  <si>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</si>
  <si>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</si>
  <si>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</si>
  <si>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</si>
  <si>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</si>
  <si>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</si>
  <si>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</si>
  <si>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</si>
  <si>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</si>
  <si>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</si>
  <si>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</si>
  <si>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</si>
  <si>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</si>
  <si>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</si>
  <si>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</si>
  <si>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</si>
  <si>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</si>
  <si>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</si>
  <si>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</si>
  <si>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</si>
  <si>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</si>
  <si>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</si>
  <si>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</si>
  <si>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</si>
  <si>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</si>
  <si>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</si>
  <si>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</si>
  <si>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</si>
  <si>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</si>
  <si>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</si>
  <si>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</si>
  <si>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</si>
  <si>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</si>
  <si>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</si>
  <si>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</si>
  <si>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</si>
  <si>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</si>
  <si>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</si>
  <si>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</si>
  <si>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</si>
  <si>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</si>
  <si>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</si>
  <si>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</si>
  <si>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</si>
  <si>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</si>
  <si>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</si>
  <si>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</si>
  <si>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</si>
  <si>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</si>
  <si>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</si>
  <si>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</si>
  <si>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</si>
  <si>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</si>
  <si>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</si>
  <si>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</si>
  <si>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</si>
  <si>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</si>
  <si>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</si>
  <si>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</si>
  <si>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</si>
  <si>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</si>
  <si>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</si>
  <si>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</si>
  <si>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</si>
  <si>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</si>
  <si>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</si>
  <si>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</si>
  <si>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</si>
  <si>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</si>
  <si>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</si>
  <si>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</si>
  <si>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</si>
  <si>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</si>
  <si>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</si>
  <si>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</si>
  <si>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</si>
  <si>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</si>
  <si>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</si>
  <si>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</si>
  <si>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</si>
  <si>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</si>
  <si>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</si>
  <si>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</si>
  <si>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</si>
  <si>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</si>
  <si>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</si>
  <si>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</si>
  <si>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</si>
  <si>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</si>
  <si>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</si>
  <si>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</si>
  <si>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</si>
  <si>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</si>
  <si>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</si>
  <si>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</si>
  <si>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</si>
  <si>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</si>
  <si>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</si>
  <si>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</si>
  <si>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</si>
  <si>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</si>
  <si>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</si>
  <si>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</si>
  <si>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</si>
  <si>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</si>
  <si>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Axis Goregaon</t>
  </si>
  <si>
    <t>N.Rose Developers Pvt Ltd</t>
  </si>
  <si>
    <t>Name of the Project as per builder</t>
  </si>
  <si>
    <t>Name of the Project as per Rera</t>
  </si>
  <si>
    <t>Sale Bldg No. 6 (A &amp; B) Wing Known As Northern Supremus &amp; Northern Hills Building No. 1 &amp; 2</t>
  </si>
  <si>
    <t>P51800020350</t>
  </si>
  <si>
    <t>https://goo.gl/maps/5WDSz27AoREjcZtH6?coh=178572&amp;entry=tt</t>
  </si>
  <si>
    <t>500 M from Dahisar Railway Station</t>
  </si>
  <si>
    <t>Dahisar</t>
  </si>
  <si>
    <t>Mumbai</t>
  </si>
  <si>
    <t>Borivali</t>
  </si>
  <si>
    <t>Dahisar (East)</t>
  </si>
  <si>
    <t>Northern Heights</t>
  </si>
  <si>
    <t>CTS No</t>
  </si>
  <si>
    <t>1625 (PT), 1648 (PT), 1653 (PT), 1654 (PT), 1657 (PT) &amp; 1663/B (PT), Redevlopement of "Jankalyan CHSL"</t>
  </si>
  <si>
    <t>Name / No of the Existing Building</t>
  </si>
  <si>
    <t>Jankalyan CHSL</t>
  </si>
  <si>
    <t>Shanti Nagar</t>
  </si>
  <si>
    <t>Ghodbunder Road</t>
  </si>
  <si>
    <t>Hyland Park Building No. 2</t>
  </si>
  <si>
    <t>Heaven Plaza Society</t>
  </si>
  <si>
    <t>02 Wings</t>
  </si>
  <si>
    <t>Building No.6 (A &amp; B Wings)</t>
  </si>
  <si>
    <t>Approved Plans, Sale Plans</t>
  </si>
  <si>
    <t>Slum Rehabilitation Authority (SRA)</t>
  </si>
  <si>
    <t>R-N/MHADA/0004/20060203</t>
  </si>
  <si>
    <t>As per RERA - 30/12/2026</t>
  </si>
  <si>
    <t xml:space="preserve">Multipurpose Hall, Jogging Track, Kids Play Area, Seating &amp; Swing Zone, Pool Deck, Amphi Seating, Fitness Center, Game Zone, Movie Lounge etc. </t>
  </si>
  <si>
    <t>Building No.6</t>
  </si>
  <si>
    <t>Wing A</t>
  </si>
  <si>
    <t>Shop</t>
  </si>
  <si>
    <t>1A</t>
  </si>
  <si>
    <t>Upper Ground Floor For Entrance Lobby, Electrical BMS Room, Meter Room, Fire Control Room &amp; Commercial</t>
  </si>
  <si>
    <t>Wing B</t>
  </si>
  <si>
    <t>Restaurant Duplex With 1st Floor</t>
  </si>
  <si>
    <t>1st Floor For Commercial &amp; Parking</t>
  </si>
  <si>
    <t>Nursing Home</t>
  </si>
  <si>
    <t>Office</t>
  </si>
  <si>
    <t>1st Podium Floor For Commercial &amp; Parking</t>
  </si>
  <si>
    <t>2nd Podium Floor For Commercial &amp; Parking</t>
  </si>
  <si>
    <t>3rd &amp; 4th Podium Floor For Commercial &amp; Parking</t>
  </si>
  <si>
    <t>5th &amp; 6th Podium Floor For Commercial &amp; Parking</t>
  </si>
  <si>
    <t>7th Podium Floor For Commercial &amp; Parking</t>
  </si>
  <si>
    <t>7th Podium Floor For Commercial &amp; Parking (Part Refuge Area)</t>
  </si>
  <si>
    <t>Refuge Area</t>
  </si>
  <si>
    <t>12A</t>
  </si>
  <si>
    <t>8th Podium Floor For Commercial &amp; Parking</t>
  </si>
  <si>
    <t>9th Podium Floor For Parking</t>
  </si>
  <si>
    <t>E-Deck (Amenity) Floor For Fitness Center, Swimming Pool, Society Office &amp; Garden</t>
  </si>
  <si>
    <t>E-Deck (Amenity) Floor For Fitness Center, Society Office &amp; Garden</t>
  </si>
  <si>
    <t>1st to 3rd &amp; 5th to 10th Floor For Residential</t>
  </si>
  <si>
    <t>2BHK</t>
  </si>
  <si>
    <t>3BHK</t>
  </si>
  <si>
    <t>4th Floor (Part Refuge Area)</t>
  </si>
  <si>
    <t>12th to 17th, 19th &amp; 20th Floor</t>
  </si>
  <si>
    <t>11th &amp; 18th Floor (Part Refuge Area)</t>
  </si>
  <si>
    <t>11 to 20</t>
  </si>
  <si>
    <t>21st to 24th Floor</t>
  </si>
  <si>
    <t>25th Floor (Part Refuge Area)</t>
  </si>
  <si>
    <t>26th to 30th Floor</t>
  </si>
  <si>
    <t>31st, 33rd to 38th, 40th to 45th &amp; 47th to 52nd Floor</t>
  </si>
  <si>
    <t>31st to 52nd</t>
  </si>
  <si>
    <t>32nd, 39th &amp; 46th Floor (Part Refuge Area)</t>
  </si>
  <si>
    <t>We considered Gross carpet area = Net carpet + Balcony.</t>
  </si>
  <si>
    <t>53rd Floor (Part Refuge Area)</t>
  </si>
  <si>
    <t>Restaurant</t>
  </si>
  <si>
    <t>Flats</t>
  </si>
  <si>
    <t>Commercial Area Details : Building No.6</t>
  </si>
  <si>
    <t>Residential Area Details : Building No.6</t>
  </si>
  <si>
    <t>Flats - 818, Shops - 06, Offices - 40, Restaurant - 01, Nursing Home - 04</t>
  </si>
  <si>
    <t>Building No.6 (A &amp; B Wing) = 2B + 2G + 9P + Service Floor + 1st to 28th + Service Floor + 29th to 53rd Floor</t>
  </si>
  <si>
    <t>Name / No of the Building</t>
  </si>
  <si>
    <t>2nd Basement Floor For Parking</t>
  </si>
  <si>
    <t>1st Basement Floor For Pump Room &amp; Parking</t>
  </si>
  <si>
    <t>Lower Ground Floor For Meter Room, Electric Utility Room, Pump Room &amp; Parking</t>
  </si>
  <si>
    <t>Lower Ground Floor For Fire Fighting Tank, Pump Room, Panel Room &amp; Parking</t>
  </si>
  <si>
    <t>Upper Ground Floor For Entrance Lobby, Commercial &amp; Parking</t>
  </si>
  <si>
    <t>Northern Supremus &amp; Northern Hills</t>
  </si>
  <si>
    <t xml:space="preserve">  </t>
  </si>
  <si>
    <t>1st Service Floor (Above E-Deck Floor) For Services</t>
  </si>
  <si>
    <t>2nd Service Floor (Above 28th Floor) For Services</t>
  </si>
  <si>
    <t>As per Rera, project consists of 3 Buildings (i.e Northern Supremus &amp; Northern Hills Building No. 1 &amp; 2) which resembles Sale Building No. 6 as per approved plan.
With reference to attached Proforma of Allotment letter in Rera, point no. 1.y
Northern supremus will be commercial part of Project &amp; Northern Hills Building No. 1 &amp; 2 will be Residential part of Project.</t>
  </si>
  <si>
    <t>19.248872,72.863812</t>
  </si>
  <si>
    <t>Construction work is in process at the time of Visit. Internal visit was not allowed.</t>
  </si>
  <si>
    <t>Ext. Plaster &amp; Plumbing</t>
  </si>
  <si>
    <t>Rahul Salve</t>
  </si>
  <si>
    <t>Building No.6 (B Wing) = 2B + 2G + 9P + Service Floor + 1st to 28th + Service Floor + 29th to 53rd Floor</t>
  </si>
  <si>
    <t>Building No.6 (A &amp; B Wing) = 2B + 2G + 9P + Service Floor + 1st to 57th Floor</t>
  </si>
  <si>
    <t xml:space="preserve">We have considered proposed No. of Floor 2B + LG + UG + 9P + 1st to 57th Floor for Stage Calculation as per approved plan dtd. 09/08/2024.
</t>
  </si>
  <si>
    <t xml:space="preserve">Construction work goes beyond CC permission, Please provide revised approved CC &amp;
Plans dtd. 09/08/2024.
</t>
  </si>
  <si>
    <t>14000 to 18000 by nilesh verbal on 08/05/2025</t>
  </si>
  <si>
    <t xml:space="preserve">Recommended Rates/Other Charges of the Property have been revised on 08/05/2025.
</t>
  </si>
  <si>
    <t>Mr. Muskan : 7710889517</t>
  </si>
  <si>
    <t>This CC is issued for full work of wing A &amp; B upto 38th (pt) upper floors &amp; CC for RCC work only for Wing A &amp; B from 38th (pt) floors to 51st upper floors as per approved amended plans dtd.14/09/2022.</t>
  </si>
  <si>
    <t>Please provide revised CC &amp; approved floor plans.</t>
  </si>
  <si>
    <t>Pooja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</si>
</sst>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* #,##0_ ;_ * \-#,##0_ ;_ * &quot;-&quot;??_ ;_ @_ 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19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4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4" fillId="2" borderId="26" xfId="0" applyFont="1" applyFill="1" applyBorder="1"/>
    <xf numFmtId="0" fontId="25" fillId="0" borderId="27" xfId="0" applyFont="1" applyBorder="1"/>
    <xf numFmtId="0" fontId="25" fillId="0" borderId="1" xfId="0" applyFont="1" applyBorder="1"/>
    <xf numFmtId="0" fontId="25" fillId="0" borderId="5" xfId="0" applyFont="1" applyBorder="1"/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0" xfId="1" applyFont="1" applyAlignment="1">
      <alignment horizontal="center" vertical="center"/>
    </xf>
    <xf numFmtId="1" fontId="12" fillId="0" borderId="0" xfId="1" applyNumberFormat="1" applyFont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1" fontId="12" fillId="0" borderId="1" xfId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9" fontId="7" fillId="0" borderId="15" xfId="8" applyFont="1" applyFill="1" applyBorder="1" applyAlignment="1" applyProtection="1">
      <alignment horizontal="center" vertical="center" wrapText="1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21" xfId="8" applyFont="1" applyFill="1" applyBorder="1" applyAlignment="1" applyProtection="1">
      <alignment horizontal="center" vertical="center" wrapText="1"/>
      <protection locked="0"/>
    </xf>
    <xf numFmtId="9" fontId="7" fillId="0" borderId="22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3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0" fontId="7" fillId="0" borderId="4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1" fontId="6" fillId="0" borderId="3" xfId="0" applyNumberFormat="1" applyFont="1" applyBorder="1" applyAlignment="1" applyProtection="1">
      <alignment horizontal="center" vertical="center" wrapText="1"/>
      <protection locked="0"/>
    </xf>
    <xf numFmtId="1" fontId="6" fillId="0" borderId="31" xfId="0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9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13" fillId="0" borderId="8" xfId="1" applyNumberFormat="1" applyFont="1" applyBorder="1" applyAlignment="1" applyProtection="1">
      <alignment horizontal="center" vertical="center" wrapText="1"/>
      <protection locked="0"/>
    </xf>
    <xf numFmtId="1" fontId="13" fillId="0" borderId="19" xfId="1" applyNumberFormat="1" applyFont="1" applyBorder="1" applyAlignment="1" applyProtection="1">
      <alignment horizontal="center" vertical="center" wrapText="1"/>
      <protection locked="0"/>
    </xf>
    <xf numFmtId="1" fontId="13" fillId="0" borderId="9" xfId="1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4" xfId="0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10" fillId="0" borderId="8" xfId="1" applyNumberFormat="1" applyFont="1" applyBorder="1" applyAlignment="1" applyProtection="1">
      <alignment horizontal="center" vertical="center" wrapText="1"/>
      <protection locked="0"/>
    </xf>
    <xf numFmtId="1" fontId="10" fillId="0" borderId="19" xfId="1" applyNumberFormat="1" applyFont="1" applyBorder="1" applyAlignment="1" applyProtection="1">
      <alignment horizontal="center" vertical="center" wrapText="1"/>
      <protection locked="0"/>
    </xf>
    <xf numFmtId="1" fontId="10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0" xfId="1" applyNumberFormat="1" applyFont="1" applyBorder="1" applyAlignment="1" applyProtection="1">
      <alignment horizontal="center" vertical="center" wrapText="1"/>
      <protection locked="0"/>
    </xf>
    <xf numFmtId="1" fontId="6" fillId="0" borderId="2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8" fillId="0" borderId="14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4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3" xfId="0" applyNumberFormat="1" applyFont="1" applyBorder="1" applyAlignment="1" applyProtection="1">
      <alignment horizontal="center" vertical="center" wrapText="1"/>
      <protection locked="0"/>
    </xf>
    <xf numFmtId="1" fontId="10" fillId="0" borderId="3" xfId="0" applyNumberFormat="1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26" fillId="0" borderId="1" xfId="10" applyFont="1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19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0" fontId="8" fillId="0" borderId="14" xfId="1" applyFont="1" applyBorder="1" applyAlignment="1" applyProtection="1">
      <alignment horizontal="center" vertical="top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12" fillId="0" borderId="15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4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7" fillId="0" borderId="3" xfId="1" applyFont="1" applyBorder="1" applyAlignment="1" applyProtection="1">
      <alignment horizontal="left" vertical="top" wrapText="1"/>
      <protection locked="0"/>
    </xf>
    <xf numFmtId="0" fontId="7" fillId="0" borderId="3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1" fontId="13" fillId="0" borderId="1" xfId="0" applyNumberFormat="1" applyFont="1" applyBorder="1" applyAlignment="1" applyProtection="1">
      <alignment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3" fillId="0" borderId="8" xfId="1" applyFont="1" applyBorder="1" applyAlignment="1" applyProtection="1">
      <alignment horizontal="left" vertical="top" wrapText="1"/>
      <protection locked="0"/>
    </xf>
    <xf numFmtId="0" fontId="13" fillId="0" borderId="19" xfId="1" applyFont="1" applyBorder="1" applyAlignment="1" applyProtection="1">
      <alignment horizontal="left" vertical="top" wrapText="1"/>
      <protection locked="0"/>
    </xf>
    <xf numFmtId="0" fontId="13" fillId="0" borderId="9" xfId="1" applyFont="1" applyBorder="1" applyAlignment="1" applyProtection="1">
      <alignment horizontal="left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8" xfId="0" applyNumberFormat="1" applyFont="1" applyBorder="1" applyAlignment="1" applyProtection="1">
      <alignment horizontal="center" vertical="top" wrapText="1"/>
      <protection locked="0"/>
    </xf>
    <xf numFmtId="1" fontId="8" fillId="0" borderId="9" xfId="0" applyNumberFormat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Fill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1" fontId="8" fillId="0" borderId="28" xfId="0" applyNumberFormat="1" applyFont="1" applyBorder="1" applyAlignment="1" applyProtection="1">
      <alignment horizontal="center" vertical="center" wrapText="1"/>
      <protection locked="0"/>
    </xf>
    <xf numFmtId="1" fontId="8" fillId="0" borderId="29" xfId="0" applyNumberFormat="1" applyFont="1" applyBorder="1" applyAlignment="1" applyProtection="1">
      <alignment horizontal="center" vertical="center" wrapText="1"/>
      <protection locked="0"/>
    </xf>
    <xf numFmtId="0" fontId="10" fillId="0" borderId="29" xfId="0" applyFont="1" applyBorder="1" applyAlignment="1" applyProtection="1">
      <alignment horizontal="center" vertical="center"/>
      <protection locked="0"/>
    </xf>
    <xf numFmtId="1" fontId="10" fillId="0" borderId="29" xfId="0" applyNumberFormat="1" applyFont="1" applyBorder="1" applyAlignment="1" applyProtection="1">
      <alignment horizontal="center" vertical="top" wrapText="1"/>
      <protection locked="0"/>
    </xf>
    <xf numFmtId="1" fontId="8" fillId="0" borderId="29" xfId="0" applyNumberFormat="1" applyFont="1" applyBorder="1" applyAlignment="1" applyProtection="1">
      <alignment horizontal="center" vertical="top" wrapText="1"/>
      <protection locked="0"/>
    </xf>
    <xf numFmtId="1" fontId="8" fillId="0" borderId="30" xfId="0" applyNumberFormat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19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13" fillId="0" borderId="0" xfId="1" applyFont="1" applyBorder="1" applyAlignment="1" applyProtection="1">
      <alignment horizontal="left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  <xf numFmtId="0" fontId="24" fillId="2" borderId="13" xfId="0" applyFont="1" applyFill="1" applyBorder="1"/>
    <xf numFmtId="0" fontId="25" fillId="0" borderId="9" xfId="0" applyFont="1" applyBorder="1"/>
    <xf numFmtId="0" fontId="8" fillId="0" borderId="32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8" fillId="0" borderId="17" xfId="1" applyFont="1" applyBorder="1" applyAlignment="1" applyProtection="1">
      <alignment horizontal="left" vertical="top" wrapText="1"/>
      <protection locked="0"/>
    </xf>
    <xf numFmtId="0" fontId="8" fillId="0" borderId="2" xfId="1" applyFont="1" applyBorder="1" applyAlignment="1" applyProtection="1">
      <alignment horizontal="left" vertical="top" wrapText="1"/>
      <protection locked="0"/>
    </xf>
    <xf numFmtId="0" fontId="8" fillId="0" borderId="33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1" fontId="4" fillId="0" borderId="1" xfId="1" applyNumberFormat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9" fontId="8" fillId="0" borderId="1" xfId="8" applyFont="1" applyFill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13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12" Type="http://schemas.openxmlformats.org/officeDocument/2006/relationships/image" Target="../media/image10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microsoft.com/office/2007/relationships/hdphoto" Target="../media/hdphoto2.wdp"/><Relationship Id="rId11" Type="http://schemas.openxmlformats.org/officeDocument/2006/relationships/image" Target="../media/image9.png"/><Relationship Id="rId5" Type="http://schemas.openxmlformats.org/officeDocument/2006/relationships/image" Target="../media/image4.png"/><Relationship Id="rId10" Type="http://schemas.openxmlformats.org/officeDocument/2006/relationships/image" Target="../media/image8.png"/><Relationship Id="rId4" Type="http://schemas.microsoft.com/office/2007/relationships/hdphoto" Target="../media/hdphoto1.wdp"/><Relationship Id="rId9" Type="http://schemas.openxmlformats.org/officeDocument/2006/relationships/image" Target="../media/image7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363682</xdr:colOff>
      <xdr:row>556</xdr:row>
      <xdr:rowOff>93657</xdr:rowOff>
    </xdr:from>
    <xdr:to>
      <xdr:col>6</xdr:col>
      <xdr:colOff>507519</xdr:colOff>
      <xdr:row>570</xdr:row>
      <xdr:rowOff>185430</xdr:rowOff>
    </xdr:to>
    <xdr:pic>
      <xdr:nvPicPr>
        <xdr:cNvPr id="14" name="Picture 1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25682" y="114523543"/>
          <a:ext cx="4291542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363682</xdr:colOff>
      <xdr:row>541</xdr:row>
      <xdr:rowOff>8659</xdr:rowOff>
    </xdr:from>
    <xdr:to>
      <xdr:col>6</xdr:col>
      <xdr:colOff>478834</xdr:colOff>
      <xdr:row>555</xdr:row>
      <xdr:rowOff>100430</xdr:rowOff>
    </xdr:to>
    <xdr:pic>
      <xdr:nvPicPr>
        <xdr:cNvPr id="15" name="Picture 1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25682" y="111451159"/>
          <a:ext cx="4262857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543989</xdr:colOff>
      <xdr:row>515</xdr:row>
      <xdr:rowOff>102315</xdr:rowOff>
    </xdr:from>
    <xdr:to>
      <xdr:col>5</xdr:col>
      <xdr:colOff>459676</xdr:colOff>
      <xdr:row>533</xdr:row>
      <xdr:rowOff>117453</xdr:rowOff>
    </xdr:to>
    <xdr:pic>
      <xdr:nvPicPr>
        <xdr:cNvPr id="16" name="Picture 15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  <a14:imgEffect>
                    <a14:brightnessContrast bright="2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02625" y="106167520"/>
          <a:ext cx="2487437" cy="360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138546</xdr:colOff>
      <xdr:row>500</xdr:row>
      <xdr:rowOff>17318</xdr:rowOff>
    </xdr:from>
    <xdr:to>
      <xdr:col>6</xdr:col>
      <xdr:colOff>85801</xdr:colOff>
      <xdr:row>514</xdr:row>
      <xdr:rowOff>109090</xdr:rowOff>
    </xdr:to>
    <xdr:pic>
      <xdr:nvPicPr>
        <xdr:cNvPr id="17" name="Picture 16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  <a14:imgEffect>
                    <a14:brightnessContrast bright="2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97182" y="103095136"/>
          <a:ext cx="3298324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>
    <xdr:from>
      <xdr:col>3</xdr:col>
      <xdr:colOff>389660</xdr:colOff>
      <xdr:row>526</xdr:row>
      <xdr:rowOff>164522</xdr:rowOff>
    </xdr:from>
    <xdr:to>
      <xdr:col>4</xdr:col>
      <xdr:colOff>441615</xdr:colOff>
      <xdr:row>529</xdr:row>
      <xdr:rowOff>43295</xdr:rowOff>
    </xdr:to>
    <xdr:sp macro="" textlink="">
      <xdr:nvSpPr>
        <xdr:cNvPr id="3" name="Rectangle 2"/>
        <xdr:cNvSpPr/>
      </xdr:nvSpPr>
      <xdr:spPr>
        <a:xfrm>
          <a:off x="2796887" y="108420477"/>
          <a:ext cx="995796" cy="476250"/>
        </a:xfrm>
        <a:prstGeom prst="rect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3</xdr:col>
      <xdr:colOff>320386</xdr:colOff>
      <xdr:row>528</xdr:row>
      <xdr:rowOff>34636</xdr:rowOff>
    </xdr:from>
    <xdr:to>
      <xdr:col>3</xdr:col>
      <xdr:colOff>926522</xdr:colOff>
      <xdr:row>529</xdr:row>
      <xdr:rowOff>69273</xdr:rowOff>
    </xdr:to>
    <xdr:sp macro="" textlink="">
      <xdr:nvSpPr>
        <xdr:cNvPr id="18" name="TextBox 17"/>
        <xdr:cNvSpPr txBox="1"/>
      </xdr:nvSpPr>
      <xdr:spPr>
        <a:xfrm>
          <a:off x="2727613" y="108688909"/>
          <a:ext cx="606136" cy="2337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 b="1"/>
            <a:t>Wing A</a:t>
          </a:r>
        </a:p>
      </xdr:txBody>
    </xdr:sp>
    <xdr:clientData/>
  </xdr:twoCellAnchor>
  <xdr:twoCellAnchor>
    <xdr:from>
      <xdr:col>3</xdr:col>
      <xdr:colOff>821080</xdr:colOff>
      <xdr:row>528</xdr:row>
      <xdr:rowOff>24383</xdr:rowOff>
    </xdr:from>
    <xdr:to>
      <xdr:col>4</xdr:col>
      <xdr:colOff>483375</xdr:colOff>
      <xdr:row>529</xdr:row>
      <xdr:rowOff>59020</xdr:rowOff>
    </xdr:to>
    <xdr:sp macro="" textlink="">
      <xdr:nvSpPr>
        <xdr:cNvPr id="20" name="TextBox 19"/>
        <xdr:cNvSpPr txBox="1"/>
      </xdr:nvSpPr>
      <xdr:spPr>
        <a:xfrm>
          <a:off x="3228307" y="108678656"/>
          <a:ext cx="606136" cy="2337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 b="1"/>
            <a:t>Wing B</a:t>
          </a:r>
        </a:p>
      </xdr:txBody>
    </xdr:sp>
    <xdr:clientData/>
  </xdr:twoCellAnchor>
  <xdr:twoCellAnchor>
    <xdr:from>
      <xdr:col>3</xdr:col>
      <xdr:colOff>804841</xdr:colOff>
      <xdr:row>505</xdr:row>
      <xdr:rowOff>127827</xdr:rowOff>
    </xdr:from>
    <xdr:to>
      <xdr:col>4</xdr:col>
      <xdr:colOff>444898</xdr:colOff>
      <xdr:row>506</xdr:row>
      <xdr:rowOff>140754</xdr:rowOff>
    </xdr:to>
    <xdr:sp macro="" textlink="">
      <xdr:nvSpPr>
        <xdr:cNvPr id="21" name="Rectangle 20"/>
        <xdr:cNvSpPr/>
      </xdr:nvSpPr>
      <xdr:spPr>
        <a:xfrm rot="20682315">
          <a:off x="3212068" y="104201441"/>
          <a:ext cx="583898" cy="212086"/>
        </a:xfrm>
        <a:prstGeom prst="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3</xdr:col>
      <xdr:colOff>687979</xdr:colOff>
      <xdr:row>560</xdr:row>
      <xdr:rowOff>141097</xdr:rowOff>
    </xdr:from>
    <xdr:to>
      <xdr:col>4</xdr:col>
      <xdr:colOff>21584</xdr:colOff>
      <xdr:row>564</xdr:row>
      <xdr:rowOff>93830</xdr:rowOff>
    </xdr:to>
    <xdr:sp macro="" textlink="">
      <xdr:nvSpPr>
        <xdr:cNvPr id="22" name="Rectangle 21"/>
        <xdr:cNvSpPr/>
      </xdr:nvSpPr>
      <xdr:spPr>
        <a:xfrm rot="17589869">
          <a:off x="2859244" y="116001900"/>
          <a:ext cx="749369" cy="277446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 editAs="oneCell">
    <xdr:from>
      <xdr:col>8</xdr:col>
      <xdr:colOff>199159</xdr:colOff>
      <xdr:row>4</xdr:row>
      <xdr:rowOff>77931</xdr:rowOff>
    </xdr:from>
    <xdr:to>
      <xdr:col>14</xdr:col>
      <xdr:colOff>594537</xdr:colOff>
      <xdr:row>11</xdr:row>
      <xdr:rowOff>133174</xdr:rowOff>
    </xdr:to>
    <xdr:pic>
      <xdr:nvPicPr>
        <xdr:cNvPr id="23" name="Picture 22"/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30938" t="55896" r="27955" b="21227"/>
        <a:stretch/>
      </xdr:blipFill>
      <xdr:spPr>
        <a:xfrm>
          <a:off x="6719454" y="1272886"/>
          <a:ext cx="5348378" cy="1673525"/>
        </a:xfrm>
        <a:prstGeom prst="rect">
          <a:avLst/>
        </a:prstGeom>
      </xdr:spPr>
    </xdr:pic>
    <xdr:clientData/>
  </xdr:twoCellAnchor>
  <xdr:twoCellAnchor>
    <xdr:from>
      <xdr:col>8</xdr:col>
      <xdr:colOff>362993</xdr:colOff>
      <xdr:row>468</xdr:row>
      <xdr:rowOff>31969</xdr:rowOff>
    </xdr:from>
    <xdr:to>
      <xdr:col>8</xdr:col>
      <xdr:colOff>949400</xdr:colOff>
      <xdr:row>469</xdr:row>
      <xdr:rowOff>59557</xdr:rowOff>
    </xdr:to>
    <xdr:sp macro="" textlink="">
      <xdr:nvSpPr>
        <xdr:cNvPr id="42" name="Rectangle 41"/>
        <xdr:cNvSpPr/>
      </xdr:nvSpPr>
      <xdr:spPr>
        <a:xfrm rot="224443">
          <a:off x="7288228" y="99708293"/>
          <a:ext cx="586407" cy="229293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100" b="1">
              <a:solidFill>
                <a:srgbClr val="FFFF00"/>
              </a:solidFill>
            </a:rPr>
            <a:t>E-Deck</a:t>
          </a:r>
        </a:p>
      </xdr:txBody>
    </xdr:sp>
    <xdr:clientData/>
  </xdr:twoCellAnchor>
  <xdr:twoCellAnchor>
    <xdr:from>
      <xdr:col>0</xdr:col>
      <xdr:colOff>514350</xdr:colOff>
      <xdr:row>455</xdr:row>
      <xdr:rowOff>101600</xdr:rowOff>
    </xdr:from>
    <xdr:to>
      <xdr:col>7</xdr:col>
      <xdr:colOff>673370</xdr:colOff>
      <xdr:row>497</xdr:row>
      <xdr:rowOff>38650</xdr:rowOff>
    </xdr:to>
    <xdr:grpSp>
      <xdr:nvGrpSpPr>
        <xdr:cNvPr id="2" name="Group 1"/>
        <xdr:cNvGrpSpPr/>
      </xdr:nvGrpSpPr>
      <xdr:grpSpPr>
        <a:xfrm>
          <a:off x="514350" y="91687650"/>
          <a:ext cx="6134370" cy="8198400"/>
          <a:chOff x="514350" y="91351100"/>
          <a:chExt cx="6134370" cy="8198400"/>
        </a:xfrm>
      </xdr:grpSpPr>
      <xdr:pic>
        <xdr:nvPicPr>
          <xdr:cNvPr id="31" name="Picture 30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476523" y="97749500"/>
            <a:ext cx="2387823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2" name="Picture 31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70435" y="91351100"/>
            <a:ext cx="2978285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3" name="Picture 32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14350" y="91351100"/>
            <a:ext cx="2978285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4" name="Picture 33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86816" y="95450300"/>
            <a:ext cx="1624519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5" name="Picture 34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057935" y="95450300"/>
            <a:ext cx="2876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5WDSz27AoREjcZtH6?coh=178572&amp;entry=tt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540"/>
  <sheetViews>
    <sheetView tabSelected="1" showWhiteSpace="0" view="pageBreakPreview" topLeftCell="A67" zoomScaleNormal="100" zoomScaleSheetLayoutView="100" workbookViewId="0">
      <selection activeCell="C76" sqref="C76"/>
    </sheetView>
  </sheetViews>
  <sheetFormatPr defaultColWidth="9.1796875" defaultRowHeight="15.5" x14ac:dyDescent="0.35"/>
  <cols>
    <col min="1" max="1" width="11.453125" style="40" customWidth="1"/>
    <col min="2" max="2" width="12" style="40" customWidth="1"/>
    <col min="3" max="3" width="12.7265625" style="40" customWidth="1"/>
    <col min="4" max="4" width="14.1796875" style="40" customWidth="1"/>
    <col min="5" max="7" width="11.7265625" style="40" customWidth="1"/>
    <col min="8" max="8" width="18.26953125" style="40" customWidth="1"/>
    <col min="9" max="9" width="17.453125" style="21" customWidth="1"/>
    <col min="10" max="10" width="11.453125" style="21" customWidth="1"/>
    <col min="11" max="11" width="10.54296875" style="21" bestFit="1" customWidth="1"/>
    <col min="12" max="12" width="10.54296875" style="21" customWidth="1"/>
    <col min="13" max="13" width="11.81640625" style="21" customWidth="1"/>
    <col min="14" max="14" width="12.54296875" style="21" customWidth="1"/>
    <col min="15" max="15" width="9.81640625" style="21" customWidth="1"/>
    <col min="16" max="16" width="11.7265625" style="21" customWidth="1"/>
    <col min="17" max="247" width="9.1796875" style="21"/>
    <col min="248" max="248" width="8.7265625" style="21" customWidth="1"/>
    <col min="249" max="249" width="9.81640625" style="21" customWidth="1"/>
    <col min="250" max="250" width="14.453125" style="21" customWidth="1"/>
    <col min="251" max="251" width="7.26953125" style="21" customWidth="1"/>
    <col min="252" max="252" width="5.54296875" style="21" customWidth="1"/>
    <col min="253" max="253" width="9" style="21" customWidth="1"/>
    <col min="254" max="255" width="9.81640625" style="21" customWidth="1"/>
    <col min="256" max="256" width="11.1796875" style="21" customWidth="1"/>
    <col min="257" max="257" width="2.81640625" style="21" customWidth="1"/>
    <col min="258" max="258" width="3.54296875" style="21" customWidth="1"/>
    <col min="259" max="503" width="9.1796875" style="21"/>
    <col min="504" max="504" width="8.7265625" style="21" customWidth="1"/>
    <col min="505" max="505" width="9.81640625" style="21" customWidth="1"/>
    <col min="506" max="506" width="14.453125" style="21" customWidth="1"/>
    <col min="507" max="507" width="7.26953125" style="21" customWidth="1"/>
    <col min="508" max="508" width="5.54296875" style="21" customWidth="1"/>
    <col min="509" max="509" width="9" style="21" customWidth="1"/>
    <col min="510" max="511" width="9.81640625" style="21" customWidth="1"/>
    <col min="512" max="512" width="11.1796875" style="21" customWidth="1"/>
    <col min="513" max="513" width="2.81640625" style="21" customWidth="1"/>
    <col min="514" max="514" width="3.54296875" style="21" customWidth="1"/>
    <col min="515" max="759" width="9.1796875" style="21"/>
    <col min="760" max="760" width="8.7265625" style="21" customWidth="1"/>
    <col min="761" max="761" width="9.81640625" style="21" customWidth="1"/>
    <col min="762" max="762" width="14.453125" style="21" customWidth="1"/>
    <col min="763" max="763" width="7.26953125" style="21" customWidth="1"/>
    <col min="764" max="764" width="5.54296875" style="21" customWidth="1"/>
    <col min="765" max="765" width="9" style="21" customWidth="1"/>
    <col min="766" max="767" width="9.81640625" style="21" customWidth="1"/>
    <col min="768" max="768" width="11.1796875" style="21" customWidth="1"/>
    <col min="769" max="769" width="2.81640625" style="21" customWidth="1"/>
    <col min="770" max="770" width="3.54296875" style="21" customWidth="1"/>
    <col min="771" max="1015" width="9.1796875" style="21"/>
    <col min="1016" max="1016" width="8.7265625" style="21" customWidth="1"/>
    <col min="1017" max="1017" width="9.81640625" style="21" customWidth="1"/>
    <col min="1018" max="1018" width="14.453125" style="21" customWidth="1"/>
    <col min="1019" max="1019" width="7.26953125" style="21" customWidth="1"/>
    <col min="1020" max="1020" width="5.54296875" style="21" customWidth="1"/>
    <col min="1021" max="1021" width="9" style="21" customWidth="1"/>
    <col min="1022" max="1023" width="9.81640625" style="21" customWidth="1"/>
    <col min="1024" max="1024" width="11.1796875" style="21" customWidth="1"/>
    <col min="1025" max="1025" width="2.81640625" style="21" customWidth="1"/>
    <col min="1026" max="1026" width="3.54296875" style="21" customWidth="1"/>
    <col min="1027" max="1271" width="9.1796875" style="21"/>
    <col min="1272" max="1272" width="8.7265625" style="21" customWidth="1"/>
    <col min="1273" max="1273" width="9.81640625" style="21" customWidth="1"/>
    <col min="1274" max="1274" width="14.453125" style="21" customWidth="1"/>
    <col min="1275" max="1275" width="7.26953125" style="21" customWidth="1"/>
    <col min="1276" max="1276" width="5.54296875" style="21" customWidth="1"/>
    <col min="1277" max="1277" width="9" style="21" customWidth="1"/>
    <col min="1278" max="1279" width="9.81640625" style="21" customWidth="1"/>
    <col min="1280" max="1280" width="11.1796875" style="21" customWidth="1"/>
    <col min="1281" max="1281" width="2.81640625" style="21" customWidth="1"/>
    <col min="1282" max="1282" width="3.54296875" style="21" customWidth="1"/>
    <col min="1283" max="1527" width="9.1796875" style="21"/>
    <col min="1528" max="1528" width="8.7265625" style="21" customWidth="1"/>
    <col min="1529" max="1529" width="9.81640625" style="21" customWidth="1"/>
    <col min="1530" max="1530" width="14.453125" style="21" customWidth="1"/>
    <col min="1531" max="1531" width="7.26953125" style="21" customWidth="1"/>
    <col min="1532" max="1532" width="5.54296875" style="21" customWidth="1"/>
    <col min="1533" max="1533" width="9" style="21" customWidth="1"/>
    <col min="1534" max="1535" width="9.81640625" style="21" customWidth="1"/>
    <col min="1536" max="1536" width="11.1796875" style="21" customWidth="1"/>
    <col min="1537" max="1537" width="2.81640625" style="21" customWidth="1"/>
    <col min="1538" max="1538" width="3.54296875" style="21" customWidth="1"/>
    <col min="1539" max="1783" width="9.1796875" style="21"/>
    <col min="1784" max="1784" width="8.7265625" style="21" customWidth="1"/>
    <col min="1785" max="1785" width="9.81640625" style="21" customWidth="1"/>
    <col min="1786" max="1786" width="14.453125" style="21" customWidth="1"/>
    <col min="1787" max="1787" width="7.26953125" style="21" customWidth="1"/>
    <col min="1788" max="1788" width="5.54296875" style="21" customWidth="1"/>
    <col min="1789" max="1789" width="9" style="21" customWidth="1"/>
    <col min="1790" max="1791" width="9.81640625" style="21" customWidth="1"/>
    <col min="1792" max="1792" width="11.1796875" style="21" customWidth="1"/>
    <col min="1793" max="1793" width="2.81640625" style="21" customWidth="1"/>
    <col min="1794" max="1794" width="3.54296875" style="21" customWidth="1"/>
    <col min="1795" max="2039" width="9.1796875" style="21"/>
    <col min="2040" max="2040" width="8.7265625" style="21" customWidth="1"/>
    <col min="2041" max="2041" width="9.81640625" style="21" customWidth="1"/>
    <col min="2042" max="2042" width="14.453125" style="21" customWidth="1"/>
    <col min="2043" max="2043" width="7.26953125" style="21" customWidth="1"/>
    <col min="2044" max="2044" width="5.54296875" style="21" customWidth="1"/>
    <col min="2045" max="2045" width="9" style="21" customWidth="1"/>
    <col min="2046" max="2047" width="9.81640625" style="21" customWidth="1"/>
    <col min="2048" max="2048" width="11.1796875" style="21" customWidth="1"/>
    <col min="2049" max="2049" width="2.81640625" style="21" customWidth="1"/>
    <col min="2050" max="2050" width="3.54296875" style="21" customWidth="1"/>
    <col min="2051" max="2295" width="9.1796875" style="21"/>
    <col min="2296" max="2296" width="8.7265625" style="21" customWidth="1"/>
    <col min="2297" max="2297" width="9.81640625" style="21" customWidth="1"/>
    <col min="2298" max="2298" width="14.453125" style="21" customWidth="1"/>
    <col min="2299" max="2299" width="7.26953125" style="21" customWidth="1"/>
    <col min="2300" max="2300" width="5.54296875" style="21" customWidth="1"/>
    <col min="2301" max="2301" width="9" style="21" customWidth="1"/>
    <col min="2302" max="2303" width="9.81640625" style="21" customWidth="1"/>
    <col min="2304" max="2304" width="11.1796875" style="21" customWidth="1"/>
    <col min="2305" max="2305" width="2.81640625" style="21" customWidth="1"/>
    <col min="2306" max="2306" width="3.54296875" style="21" customWidth="1"/>
    <col min="2307" max="2551" width="9.1796875" style="21"/>
    <col min="2552" max="2552" width="8.7265625" style="21" customWidth="1"/>
    <col min="2553" max="2553" width="9.81640625" style="21" customWidth="1"/>
    <col min="2554" max="2554" width="14.453125" style="21" customWidth="1"/>
    <col min="2555" max="2555" width="7.26953125" style="21" customWidth="1"/>
    <col min="2556" max="2556" width="5.54296875" style="21" customWidth="1"/>
    <col min="2557" max="2557" width="9" style="21" customWidth="1"/>
    <col min="2558" max="2559" width="9.81640625" style="21" customWidth="1"/>
    <col min="2560" max="2560" width="11.1796875" style="21" customWidth="1"/>
    <col min="2561" max="2561" width="2.81640625" style="21" customWidth="1"/>
    <col min="2562" max="2562" width="3.54296875" style="21" customWidth="1"/>
    <col min="2563" max="2807" width="9.1796875" style="21"/>
    <col min="2808" max="2808" width="8.7265625" style="21" customWidth="1"/>
    <col min="2809" max="2809" width="9.81640625" style="21" customWidth="1"/>
    <col min="2810" max="2810" width="14.453125" style="21" customWidth="1"/>
    <col min="2811" max="2811" width="7.26953125" style="21" customWidth="1"/>
    <col min="2812" max="2812" width="5.54296875" style="21" customWidth="1"/>
    <col min="2813" max="2813" width="9" style="21" customWidth="1"/>
    <col min="2814" max="2815" width="9.81640625" style="21" customWidth="1"/>
    <col min="2816" max="2816" width="11.1796875" style="21" customWidth="1"/>
    <col min="2817" max="2817" width="2.81640625" style="21" customWidth="1"/>
    <col min="2818" max="2818" width="3.54296875" style="21" customWidth="1"/>
    <col min="2819" max="3063" width="9.1796875" style="21"/>
    <col min="3064" max="3064" width="8.7265625" style="21" customWidth="1"/>
    <col min="3065" max="3065" width="9.81640625" style="21" customWidth="1"/>
    <col min="3066" max="3066" width="14.453125" style="21" customWidth="1"/>
    <col min="3067" max="3067" width="7.26953125" style="21" customWidth="1"/>
    <col min="3068" max="3068" width="5.54296875" style="21" customWidth="1"/>
    <col min="3069" max="3069" width="9" style="21" customWidth="1"/>
    <col min="3070" max="3071" width="9.81640625" style="21" customWidth="1"/>
    <col min="3072" max="3072" width="11.1796875" style="21" customWidth="1"/>
    <col min="3073" max="3073" width="2.81640625" style="21" customWidth="1"/>
    <col min="3074" max="3074" width="3.54296875" style="21" customWidth="1"/>
    <col min="3075" max="3319" width="9.1796875" style="21"/>
    <col min="3320" max="3320" width="8.7265625" style="21" customWidth="1"/>
    <col min="3321" max="3321" width="9.81640625" style="21" customWidth="1"/>
    <col min="3322" max="3322" width="14.453125" style="21" customWidth="1"/>
    <col min="3323" max="3323" width="7.26953125" style="21" customWidth="1"/>
    <col min="3324" max="3324" width="5.54296875" style="21" customWidth="1"/>
    <col min="3325" max="3325" width="9" style="21" customWidth="1"/>
    <col min="3326" max="3327" width="9.81640625" style="21" customWidth="1"/>
    <col min="3328" max="3328" width="11.1796875" style="21" customWidth="1"/>
    <col min="3329" max="3329" width="2.81640625" style="21" customWidth="1"/>
    <col min="3330" max="3330" width="3.54296875" style="21" customWidth="1"/>
    <col min="3331" max="3575" width="9.1796875" style="21"/>
    <col min="3576" max="3576" width="8.7265625" style="21" customWidth="1"/>
    <col min="3577" max="3577" width="9.81640625" style="21" customWidth="1"/>
    <col min="3578" max="3578" width="14.453125" style="21" customWidth="1"/>
    <col min="3579" max="3579" width="7.26953125" style="21" customWidth="1"/>
    <col min="3580" max="3580" width="5.54296875" style="21" customWidth="1"/>
    <col min="3581" max="3581" width="9" style="21" customWidth="1"/>
    <col min="3582" max="3583" width="9.81640625" style="21" customWidth="1"/>
    <col min="3584" max="3584" width="11.1796875" style="21" customWidth="1"/>
    <col min="3585" max="3585" width="2.81640625" style="21" customWidth="1"/>
    <col min="3586" max="3586" width="3.54296875" style="21" customWidth="1"/>
    <col min="3587" max="3831" width="9.1796875" style="21"/>
    <col min="3832" max="3832" width="8.7265625" style="21" customWidth="1"/>
    <col min="3833" max="3833" width="9.81640625" style="21" customWidth="1"/>
    <col min="3834" max="3834" width="14.453125" style="21" customWidth="1"/>
    <col min="3835" max="3835" width="7.26953125" style="21" customWidth="1"/>
    <col min="3836" max="3836" width="5.54296875" style="21" customWidth="1"/>
    <col min="3837" max="3837" width="9" style="21" customWidth="1"/>
    <col min="3838" max="3839" width="9.81640625" style="21" customWidth="1"/>
    <col min="3840" max="3840" width="11.1796875" style="21" customWidth="1"/>
    <col min="3841" max="3841" width="2.81640625" style="21" customWidth="1"/>
    <col min="3842" max="3842" width="3.54296875" style="21" customWidth="1"/>
    <col min="3843" max="4087" width="9.1796875" style="21"/>
    <col min="4088" max="4088" width="8.7265625" style="21" customWidth="1"/>
    <col min="4089" max="4089" width="9.81640625" style="21" customWidth="1"/>
    <col min="4090" max="4090" width="14.453125" style="21" customWidth="1"/>
    <col min="4091" max="4091" width="7.26953125" style="21" customWidth="1"/>
    <col min="4092" max="4092" width="5.54296875" style="21" customWidth="1"/>
    <col min="4093" max="4093" width="9" style="21" customWidth="1"/>
    <col min="4094" max="4095" width="9.81640625" style="21" customWidth="1"/>
    <col min="4096" max="4096" width="11.1796875" style="21" customWidth="1"/>
    <col min="4097" max="4097" width="2.81640625" style="21" customWidth="1"/>
    <col min="4098" max="4098" width="3.54296875" style="21" customWidth="1"/>
    <col min="4099" max="4343" width="9.1796875" style="21"/>
    <col min="4344" max="4344" width="8.7265625" style="21" customWidth="1"/>
    <col min="4345" max="4345" width="9.81640625" style="21" customWidth="1"/>
    <col min="4346" max="4346" width="14.453125" style="21" customWidth="1"/>
    <col min="4347" max="4347" width="7.26953125" style="21" customWidth="1"/>
    <col min="4348" max="4348" width="5.54296875" style="21" customWidth="1"/>
    <col min="4349" max="4349" width="9" style="21" customWidth="1"/>
    <col min="4350" max="4351" width="9.81640625" style="21" customWidth="1"/>
    <col min="4352" max="4352" width="11.1796875" style="21" customWidth="1"/>
    <col min="4353" max="4353" width="2.81640625" style="21" customWidth="1"/>
    <col min="4354" max="4354" width="3.54296875" style="21" customWidth="1"/>
    <col min="4355" max="4599" width="9.1796875" style="21"/>
    <col min="4600" max="4600" width="8.7265625" style="21" customWidth="1"/>
    <col min="4601" max="4601" width="9.81640625" style="21" customWidth="1"/>
    <col min="4602" max="4602" width="14.453125" style="21" customWidth="1"/>
    <col min="4603" max="4603" width="7.26953125" style="21" customWidth="1"/>
    <col min="4604" max="4604" width="5.54296875" style="21" customWidth="1"/>
    <col min="4605" max="4605" width="9" style="21" customWidth="1"/>
    <col min="4606" max="4607" width="9.81640625" style="21" customWidth="1"/>
    <col min="4608" max="4608" width="11.1796875" style="21" customWidth="1"/>
    <col min="4609" max="4609" width="2.81640625" style="21" customWidth="1"/>
    <col min="4610" max="4610" width="3.54296875" style="21" customWidth="1"/>
    <col min="4611" max="4855" width="9.1796875" style="21"/>
    <col min="4856" max="4856" width="8.7265625" style="21" customWidth="1"/>
    <col min="4857" max="4857" width="9.81640625" style="21" customWidth="1"/>
    <col min="4858" max="4858" width="14.453125" style="21" customWidth="1"/>
    <col min="4859" max="4859" width="7.26953125" style="21" customWidth="1"/>
    <col min="4860" max="4860" width="5.54296875" style="21" customWidth="1"/>
    <col min="4861" max="4861" width="9" style="21" customWidth="1"/>
    <col min="4862" max="4863" width="9.81640625" style="21" customWidth="1"/>
    <col min="4864" max="4864" width="11.1796875" style="21" customWidth="1"/>
    <col min="4865" max="4865" width="2.81640625" style="21" customWidth="1"/>
    <col min="4866" max="4866" width="3.54296875" style="21" customWidth="1"/>
    <col min="4867" max="5111" width="9.1796875" style="21"/>
    <col min="5112" max="5112" width="8.7265625" style="21" customWidth="1"/>
    <col min="5113" max="5113" width="9.81640625" style="21" customWidth="1"/>
    <col min="5114" max="5114" width="14.453125" style="21" customWidth="1"/>
    <col min="5115" max="5115" width="7.26953125" style="21" customWidth="1"/>
    <col min="5116" max="5116" width="5.54296875" style="21" customWidth="1"/>
    <col min="5117" max="5117" width="9" style="21" customWidth="1"/>
    <col min="5118" max="5119" width="9.81640625" style="21" customWidth="1"/>
    <col min="5120" max="5120" width="11.1796875" style="21" customWidth="1"/>
    <col min="5121" max="5121" width="2.81640625" style="21" customWidth="1"/>
    <col min="5122" max="5122" width="3.54296875" style="21" customWidth="1"/>
    <col min="5123" max="5367" width="9.1796875" style="21"/>
    <col min="5368" max="5368" width="8.7265625" style="21" customWidth="1"/>
    <col min="5369" max="5369" width="9.81640625" style="21" customWidth="1"/>
    <col min="5370" max="5370" width="14.453125" style="21" customWidth="1"/>
    <col min="5371" max="5371" width="7.26953125" style="21" customWidth="1"/>
    <col min="5372" max="5372" width="5.54296875" style="21" customWidth="1"/>
    <col min="5373" max="5373" width="9" style="21" customWidth="1"/>
    <col min="5374" max="5375" width="9.81640625" style="21" customWidth="1"/>
    <col min="5376" max="5376" width="11.1796875" style="21" customWidth="1"/>
    <col min="5377" max="5377" width="2.81640625" style="21" customWidth="1"/>
    <col min="5378" max="5378" width="3.54296875" style="21" customWidth="1"/>
    <col min="5379" max="5623" width="9.1796875" style="21"/>
    <col min="5624" max="5624" width="8.7265625" style="21" customWidth="1"/>
    <col min="5625" max="5625" width="9.81640625" style="21" customWidth="1"/>
    <col min="5626" max="5626" width="14.453125" style="21" customWidth="1"/>
    <col min="5627" max="5627" width="7.26953125" style="21" customWidth="1"/>
    <col min="5628" max="5628" width="5.54296875" style="21" customWidth="1"/>
    <col min="5629" max="5629" width="9" style="21" customWidth="1"/>
    <col min="5630" max="5631" width="9.81640625" style="21" customWidth="1"/>
    <col min="5632" max="5632" width="11.1796875" style="21" customWidth="1"/>
    <col min="5633" max="5633" width="2.81640625" style="21" customWidth="1"/>
    <col min="5634" max="5634" width="3.54296875" style="21" customWidth="1"/>
    <col min="5635" max="5879" width="9.1796875" style="21"/>
    <col min="5880" max="5880" width="8.7265625" style="21" customWidth="1"/>
    <col min="5881" max="5881" width="9.81640625" style="21" customWidth="1"/>
    <col min="5882" max="5882" width="14.453125" style="21" customWidth="1"/>
    <col min="5883" max="5883" width="7.26953125" style="21" customWidth="1"/>
    <col min="5884" max="5884" width="5.54296875" style="21" customWidth="1"/>
    <col min="5885" max="5885" width="9" style="21" customWidth="1"/>
    <col min="5886" max="5887" width="9.81640625" style="21" customWidth="1"/>
    <col min="5888" max="5888" width="11.1796875" style="21" customWidth="1"/>
    <col min="5889" max="5889" width="2.81640625" style="21" customWidth="1"/>
    <col min="5890" max="5890" width="3.54296875" style="21" customWidth="1"/>
    <col min="5891" max="6135" width="9.1796875" style="21"/>
    <col min="6136" max="6136" width="8.7265625" style="21" customWidth="1"/>
    <col min="6137" max="6137" width="9.81640625" style="21" customWidth="1"/>
    <col min="6138" max="6138" width="14.453125" style="21" customWidth="1"/>
    <col min="6139" max="6139" width="7.26953125" style="21" customWidth="1"/>
    <col min="6140" max="6140" width="5.54296875" style="21" customWidth="1"/>
    <col min="6141" max="6141" width="9" style="21" customWidth="1"/>
    <col min="6142" max="6143" width="9.81640625" style="21" customWidth="1"/>
    <col min="6144" max="6144" width="11.1796875" style="21" customWidth="1"/>
    <col min="6145" max="6145" width="2.81640625" style="21" customWidth="1"/>
    <col min="6146" max="6146" width="3.54296875" style="21" customWidth="1"/>
    <col min="6147" max="6391" width="9.1796875" style="21"/>
    <col min="6392" max="6392" width="8.7265625" style="21" customWidth="1"/>
    <col min="6393" max="6393" width="9.81640625" style="21" customWidth="1"/>
    <col min="6394" max="6394" width="14.453125" style="21" customWidth="1"/>
    <col min="6395" max="6395" width="7.26953125" style="21" customWidth="1"/>
    <col min="6396" max="6396" width="5.54296875" style="21" customWidth="1"/>
    <col min="6397" max="6397" width="9" style="21" customWidth="1"/>
    <col min="6398" max="6399" width="9.81640625" style="21" customWidth="1"/>
    <col min="6400" max="6400" width="11.1796875" style="21" customWidth="1"/>
    <col min="6401" max="6401" width="2.81640625" style="21" customWidth="1"/>
    <col min="6402" max="6402" width="3.54296875" style="21" customWidth="1"/>
    <col min="6403" max="6647" width="9.1796875" style="21"/>
    <col min="6648" max="6648" width="8.7265625" style="21" customWidth="1"/>
    <col min="6649" max="6649" width="9.81640625" style="21" customWidth="1"/>
    <col min="6650" max="6650" width="14.453125" style="21" customWidth="1"/>
    <col min="6651" max="6651" width="7.26953125" style="21" customWidth="1"/>
    <col min="6652" max="6652" width="5.54296875" style="21" customWidth="1"/>
    <col min="6653" max="6653" width="9" style="21" customWidth="1"/>
    <col min="6654" max="6655" width="9.81640625" style="21" customWidth="1"/>
    <col min="6656" max="6656" width="11.1796875" style="21" customWidth="1"/>
    <col min="6657" max="6657" width="2.81640625" style="21" customWidth="1"/>
    <col min="6658" max="6658" width="3.54296875" style="21" customWidth="1"/>
    <col min="6659" max="6903" width="9.1796875" style="21"/>
    <col min="6904" max="6904" width="8.7265625" style="21" customWidth="1"/>
    <col min="6905" max="6905" width="9.81640625" style="21" customWidth="1"/>
    <col min="6906" max="6906" width="14.453125" style="21" customWidth="1"/>
    <col min="6907" max="6907" width="7.26953125" style="21" customWidth="1"/>
    <col min="6908" max="6908" width="5.54296875" style="21" customWidth="1"/>
    <col min="6909" max="6909" width="9" style="21" customWidth="1"/>
    <col min="6910" max="6911" width="9.81640625" style="21" customWidth="1"/>
    <col min="6912" max="6912" width="11.1796875" style="21" customWidth="1"/>
    <col min="6913" max="6913" width="2.81640625" style="21" customWidth="1"/>
    <col min="6914" max="6914" width="3.54296875" style="21" customWidth="1"/>
    <col min="6915" max="7159" width="9.1796875" style="21"/>
    <col min="7160" max="7160" width="8.7265625" style="21" customWidth="1"/>
    <col min="7161" max="7161" width="9.81640625" style="21" customWidth="1"/>
    <col min="7162" max="7162" width="14.453125" style="21" customWidth="1"/>
    <col min="7163" max="7163" width="7.26953125" style="21" customWidth="1"/>
    <col min="7164" max="7164" width="5.54296875" style="21" customWidth="1"/>
    <col min="7165" max="7165" width="9" style="21" customWidth="1"/>
    <col min="7166" max="7167" width="9.81640625" style="21" customWidth="1"/>
    <col min="7168" max="7168" width="11.1796875" style="21" customWidth="1"/>
    <col min="7169" max="7169" width="2.81640625" style="21" customWidth="1"/>
    <col min="7170" max="7170" width="3.54296875" style="21" customWidth="1"/>
    <col min="7171" max="7415" width="9.1796875" style="21"/>
    <col min="7416" max="7416" width="8.7265625" style="21" customWidth="1"/>
    <col min="7417" max="7417" width="9.81640625" style="21" customWidth="1"/>
    <col min="7418" max="7418" width="14.453125" style="21" customWidth="1"/>
    <col min="7419" max="7419" width="7.26953125" style="21" customWidth="1"/>
    <col min="7420" max="7420" width="5.54296875" style="21" customWidth="1"/>
    <col min="7421" max="7421" width="9" style="21" customWidth="1"/>
    <col min="7422" max="7423" width="9.81640625" style="21" customWidth="1"/>
    <col min="7424" max="7424" width="11.1796875" style="21" customWidth="1"/>
    <col min="7425" max="7425" width="2.81640625" style="21" customWidth="1"/>
    <col min="7426" max="7426" width="3.54296875" style="21" customWidth="1"/>
    <col min="7427" max="7671" width="9.1796875" style="21"/>
    <col min="7672" max="7672" width="8.7265625" style="21" customWidth="1"/>
    <col min="7673" max="7673" width="9.81640625" style="21" customWidth="1"/>
    <col min="7674" max="7674" width="14.453125" style="21" customWidth="1"/>
    <col min="7675" max="7675" width="7.26953125" style="21" customWidth="1"/>
    <col min="7676" max="7676" width="5.54296875" style="21" customWidth="1"/>
    <col min="7677" max="7677" width="9" style="21" customWidth="1"/>
    <col min="7678" max="7679" width="9.81640625" style="21" customWidth="1"/>
    <col min="7680" max="7680" width="11.1796875" style="21" customWidth="1"/>
    <col min="7681" max="7681" width="2.81640625" style="21" customWidth="1"/>
    <col min="7682" max="7682" width="3.54296875" style="21" customWidth="1"/>
    <col min="7683" max="7927" width="9.1796875" style="21"/>
    <col min="7928" max="7928" width="8.7265625" style="21" customWidth="1"/>
    <col min="7929" max="7929" width="9.81640625" style="21" customWidth="1"/>
    <col min="7930" max="7930" width="14.453125" style="21" customWidth="1"/>
    <col min="7931" max="7931" width="7.26953125" style="21" customWidth="1"/>
    <col min="7932" max="7932" width="5.54296875" style="21" customWidth="1"/>
    <col min="7933" max="7933" width="9" style="21" customWidth="1"/>
    <col min="7934" max="7935" width="9.81640625" style="21" customWidth="1"/>
    <col min="7936" max="7936" width="11.1796875" style="21" customWidth="1"/>
    <col min="7937" max="7937" width="2.81640625" style="21" customWidth="1"/>
    <col min="7938" max="7938" width="3.54296875" style="21" customWidth="1"/>
    <col min="7939" max="8183" width="9.1796875" style="21"/>
    <col min="8184" max="8184" width="8.7265625" style="21" customWidth="1"/>
    <col min="8185" max="8185" width="9.81640625" style="21" customWidth="1"/>
    <col min="8186" max="8186" width="14.453125" style="21" customWidth="1"/>
    <col min="8187" max="8187" width="7.26953125" style="21" customWidth="1"/>
    <col min="8188" max="8188" width="5.54296875" style="21" customWidth="1"/>
    <col min="8189" max="8189" width="9" style="21" customWidth="1"/>
    <col min="8190" max="8191" width="9.81640625" style="21" customWidth="1"/>
    <col min="8192" max="8192" width="11.1796875" style="21" customWidth="1"/>
    <col min="8193" max="8193" width="2.81640625" style="21" customWidth="1"/>
    <col min="8194" max="8194" width="3.54296875" style="21" customWidth="1"/>
    <col min="8195" max="8439" width="9.1796875" style="21"/>
    <col min="8440" max="8440" width="8.7265625" style="21" customWidth="1"/>
    <col min="8441" max="8441" width="9.81640625" style="21" customWidth="1"/>
    <col min="8442" max="8442" width="14.453125" style="21" customWidth="1"/>
    <col min="8443" max="8443" width="7.26953125" style="21" customWidth="1"/>
    <col min="8444" max="8444" width="5.54296875" style="21" customWidth="1"/>
    <col min="8445" max="8445" width="9" style="21" customWidth="1"/>
    <col min="8446" max="8447" width="9.81640625" style="21" customWidth="1"/>
    <col min="8448" max="8448" width="11.1796875" style="21" customWidth="1"/>
    <col min="8449" max="8449" width="2.81640625" style="21" customWidth="1"/>
    <col min="8450" max="8450" width="3.54296875" style="21" customWidth="1"/>
    <col min="8451" max="8695" width="9.1796875" style="21"/>
    <col min="8696" max="8696" width="8.7265625" style="21" customWidth="1"/>
    <col min="8697" max="8697" width="9.81640625" style="21" customWidth="1"/>
    <col min="8698" max="8698" width="14.453125" style="21" customWidth="1"/>
    <col min="8699" max="8699" width="7.26953125" style="21" customWidth="1"/>
    <col min="8700" max="8700" width="5.54296875" style="21" customWidth="1"/>
    <col min="8701" max="8701" width="9" style="21" customWidth="1"/>
    <col min="8702" max="8703" width="9.81640625" style="21" customWidth="1"/>
    <col min="8704" max="8704" width="11.1796875" style="21" customWidth="1"/>
    <col min="8705" max="8705" width="2.81640625" style="21" customWidth="1"/>
    <col min="8706" max="8706" width="3.54296875" style="21" customWidth="1"/>
    <col min="8707" max="8951" width="9.1796875" style="21"/>
    <col min="8952" max="8952" width="8.7265625" style="21" customWidth="1"/>
    <col min="8953" max="8953" width="9.81640625" style="21" customWidth="1"/>
    <col min="8954" max="8954" width="14.453125" style="21" customWidth="1"/>
    <col min="8955" max="8955" width="7.26953125" style="21" customWidth="1"/>
    <col min="8956" max="8956" width="5.54296875" style="21" customWidth="1"/>
    <col min="8957" max="8957" width="9" style="21" customWidth="1"/>
    <col min="8958" max="8959" width="9.81640625" style="21" customWidth="1"/>
    <col min="8960" max="8960" width="11.1796875" style="21" customWidth="1"/>
    <col min="8961" max="8961" width="2.81640625" style="21" customWidth="1"/>
    <col min="8962" max="8962" width="3.54296875" style="21" customWidth="1"/>
    <col min="8963" max="9207" width="9.1796875" style="21"/>
    <col min="9208" max="9208" width="8.7265625" style="21" customWidth="1"/>
    <col min="9209" max="9209" width="9.81640625" style="21" customWidth="1"/>
    <col min="9210" max="9210" width="14.453125" style="21" customWidth="1"/>
    <col min="9211" max="9211" width="7.26953125" style="21" customWidth="1"/>
    <col min="9212" max="9212" width="5.54296875" style="21" customWidth="1"/>
    <col min="9213" max="9213" width="9" style="21" customWidth="1"/>
    <col min="9214" max="9215" width="9.81640625" style="21" customWidth="1"/>
    <col min="9216" max="9216" width="11.1796875" style="21" customWidth="1"/>
    <col min="9217" max="9217" width="2.81640625" style="21" customWidth="1"/>
    <col min="9218" max="9218" width="3.54296875" style="21" customWidth="1"/>
    <col min="9219" max="9463" width="9.1796875" style="21"/>
    <col min="9464" max="9464" width="8.7265625" style="21" customWidth="1"/>
    <col min="9465" max="9465" width="9.81640625" style="21" customWidth="1"/>
    <col min="9466" max="9466" width="14.453125" style="21" customWidth="1"/>
    <col min="9467" max="9467" width="7.26953125" style="21" customWidth="1"/>
    <col min="9468" max="9468" width="5.54296875" style="21" customWidth="1"/>
    <col min="9469" max="9469" width="9" style="21" customWidth="1"/>
    <col min="9470" max="9471" width="9.81640625" style="21" customWidth="1"/>
    <col min="9472" max="9472" width="11.1796875" style="21" customWidth="1"/>
    <col min="9473" max="9473" width="2.81640625" style="21" customWidth="1"/>
    <col min="9474" max="9474" width="3.54296875" style="21" customWidth="1"/>
    <col min="9475" max="9719" width="9.1796875" style="21"/>
    <col min="9720" max="9720" width="8.7265625" style="21" customWidth="1"/>
    <col min="9721" max="9721" width="9.81640625" style="21" customWidth="1"/>
    <col min="9722" max="9722" width="14.453125" style="21" customWidth="1"/>
    <col min="9723" max="9723" width="7.26953125" style="21" customWidth="1"/>
    <col min="9724" max="9724" width="5.54296875" style="21" customWidth="1"/>
    <col min="9725" max="9725" width="9" style="21" customWidth="1"/>
    <col min="9726" max="9727" width="9.81640625" style="21" customWidth="1"/>
    <col min="9728" max="9728" width="11.1796875" style="21" customWidth="1"/>
    <col min="9729" max="9729" width="2.81640625" style="21" customWidth="1"/>
    <col min="9730" max="9730" width="3.54296875" style="21" customWidth="1"/>
    <col min="9731" max="9975" width="9.1796875" style="21"/>
    <col min="9976" max="9976" width="8.7265625" style="21" customWidth="1"/>
    <col min="9977" max="9977" width="9.81640625" style="21" customWidth="1"/>
    <col min="9978" max="9978" width="14.453125" style="21" customWidth="1"/>
    <col min="9979" max="9979" width="7.26953125" style="21" customWidth="1"/>
    <col min="9980" max="9980" width="5.54296875" style="21" customWidth="1"/>
    <col min="9981" max="9981" width="9" style="21" customWidth="1"/>
    <col min="9982" max="9983" width="9.81640625" style="21" customWidth="1"/>
    <col min="9984" max="9984" width="11.1796875" style="21" customWidth="1"/>
    <col min="9985" max="9985" width="2.81640625" style="21" customWidth="1"/>
    <col min="9986" max="9986" width="3.54296875" style="21" customWidth="1"/>
    <col min="9987" max="10231" width="9.1796875" style="21"/>
    <col min="10232" max="10232" width="8.7265625" style="21" customWidth="1"/>
    <col min="10233" max="10233" width="9.81640625" style="21" customWidth="1"/>
    <col min="10234" max="10234" width="14.453125" style="21" customWidth="1"/>
    <col min="10235" max="10235" width="7.26953125" style="21" customWidth="1"/>
    <col min="10236" max="10236" width="5.54296875" style="21" customWidth="1"/>
    <col min="10237" max="10237" width="9" style="21" customWidth="1"/>
    <col min="10238" max="10239" width="9.81640625" style="21" customWidth="1"/>
    <col min="10240" max="10240" width="11.1796875" style="21" customWidth="1"/>
    <col min="10241" max="10241" width="2.81640625" style="21" customWidth="1"/>
    <col min="10242" max="10242" width="3.54296875" style="21" customWidth="1"/>
    <col min="10243" max="10487" width="9.1796875" style="21"/>
    <col min="10488" max="10488" width="8.7265625" style="21" customWidth="1"/>
    <col min="10489" max="10489" width="9.81640625" style="21" customWidth="1"/>
    <col min="10490" max="10490" width="14.453125" style="21" customWidth="1"/>
    <col min="10491" max="10491" width="7.26953125" style="21" customWidth="1"/>
    <col min="10492" max="10492" width="5.54296875" style="21" customWidth="1"/>
    <col min="10493" max="10493" width="9" style="21" customWidth="1"/>
    <col min="10494" max="10495" width="9.81640625" style="21" customWidth="1"/>
    <col min="10496" max="10496" width="11.1796875" style="21" customWidth="1"/>
    <col min="10497" max="10497" width="2.81640625" style="21" customWidth="1"/>
    <col min="10498" max="10498" width="3.54296875" style="21" customWidth="1"/>
    <col min="10499" max="10743" width="9.1796875" style="21"/>
    <col min="10744" max="10744" width="8.7265625" style="21" customWidth="1"/>
    <col min="10745" max="10745" width="9.81640625" style="21" customWidth="1"/>
    <col min="10746" max="10746" width="14.453125" style="21" customWidth="1"/>
    <col min="10747" max="10747" width="7.26953125" style="21" customWidth="1"/>
    <col min="10748" max="10748" width="5.54296875" style="21" customWidth="1"/>
    <col min="10749" max="10749" width="9" style="21" customWidth="1"/>
    <col min="10750" max="10751" width="9.81640625" style="21" customWidth="1"/>
    <col min="10752" max="10752" width="11.1796875" style="21" customWidth="1"/>
    <col min="10753" max="10753" width="2.81640625" style="21" customWidth="1"/>
    <col min="10754" max="10754" width="3.54296875" style="21" customWidth="1"/>
    <col min="10755" max="10999" width="9.1796875" style="21"/>
    <col min="11000" max="11000" width="8.7265625" style="21" customWidth="1"/>
    <col min="11001" max="11001" width="9.81640625" style="21" customWidth="1"/>
    <col min="11002" max="11002" width="14.453125" style="21" customWidth="1"/>
    <col min="11003" max="11003" width="7.26953125" style="21" customWidth="1"/>
    <col min="11004" max="11004" width="5.54296875" style="21" customWidth="1"/>
    <col min="11005" max="11005" width="9" style="21" customWidth="1"/>
    <col min="11006" max="11007" width="9.81640625" style="21" customWidth="1"/>
    <col min="11008" max="11008" width="11.1796875" style="21" customWidth="1"/>
    <col min="11009" max="11009" width="2.81640625" style="21" customWidth="1"/>
    <col min="11010" max="11010" width="3.54296875" style="21" customWidth="1"/>
    <col min="11011" max="11255" width="9.1796875" style="21"/>
    <col min="11256" max="11256" width="8.7265625" style="21" customWidth="1"/>
    <col min="11257" max="11257" width="9.81640625" style="21" customWidth="1"/>
    <col min="11258" max="11258" width="14.453125" style="21" customWidth="1"/>
    <col min="11259" max="11259" width="7.26953125" style="21" customWidth="1"/>
    <col min="11260" max="11260" width="5.54296875" style="21" customWidth="1"/>
    <col min="11261" max="11261" width="9" style="21" customWidth="1"/>
    <col min="11262" max="11263" width="9.81640625" style="21" customWidth="1"/>
    <col min="11264" max="11264" width="11.1796875" style="21" customWidth="1"/>
    <col min="11265" max="11265" width="2.81640625" style="21" customWidth="1"/>
    <col min="11266" max="11266" width="3.54296875" style="21" customWidth="1"/>
    <col min="11267" max="11511" width="9.1796875" style="21"/>
    <col min="11512" max="11512" width="8.7265625" style="21" customWidth="1"/>
    <col min="11513" max="11513" width="9.81640625" style="21" customWidth="1"/>
    <col min="11514" max="11514" width="14.453125" style="21" customWidth="1"/>
    <col min="11515" max="11515" width="7.26953125" style="21" customWidth="1"/>
    <col min="11516" max="11516" width="5.54296875" style="21" customWidth="1"/>
    <col min="11517" max="11517" width="9" style="21" customWidth="1"/>
    <col min="11518" max="11519" width="9.81640625" style="21" customWidth="1"/>
    <col min="11520" max="11520" width="11.1796875" style="21" customWidth="1"/>
    <col min="11521" max="11521" width="2.81640625" style="21" customWidth="1"/>
    <col min="11522" max="11522" width="3.54296875" style="21" customWidth="1"/>
    <col min="11523" max="11767" width="9.1796875" style="21"/>
    <col min="11768" max="11768" width="8.7265625" style="21" customWidth="1"/>
    <col min="11769" max="11769" width="9.81640625" style="21" customWidth="1"/>
    <col min="11770" max="11770" width="14.453125" style="21" customWidth="1"/>
    <col min="11771" max="11771" width="7.26953125" style="21" customWidth="1"/>
    <col min="11772" max="11772" width="5.54296875" style="21" customWidth="1"/>
    <col min="11773" max="11773" width="9" style="21" customWidth="1"/>
    <col min="11774" max="11775" width="9.81640625" style="21" customWidth="1"/>
    <col min="11776" max="11776" width="11.1796875" style="21" customWidth="1"/>
    <col min="11777" max="11777" width="2.81640625" style="21" customWidth="1"/>
    <col min="11778" max="11778" width="3.54296875" style="21" customWidth="1"/>
    <col min="11779" max="12023" width="9.1796875" style="21"/>
    <col min="12024" max="12024" width="8.7265625" style="21" customWidth="1"/>
    <col min="12025" max="12025" width="9.81640625" style="21" customWidth="1"/>
    <col min="12026" max="12026" width="14.453125" style="21" customWidth="1"/>
    <col min="12027" max="12027" width="7.26953125" style="21" customWidth="1"/>
    <col min="12028" max="12028" width="5.54296875" style="21" customWidth="1"/>
    <col min="12029" max="12029" width="9" style="21" customWidth="1"/>
    <col min="12030" max="12031" width="9.81640625" style="21" customWidth="1"/>
    <col min="12032" max="12032" width="11.1796875" style="21" customWidth="1"/>
    <col min="12033" max="12033" width="2.81640625" style="21" customWidth="1"/>
    <col min="12034" max="12034" width="3.54296875" style="21" customWidth="1"/>
    <col min="12035" max="12279" width="9.1796875" style="21"/>
    <col min="12280" max="12280" width="8.7265625" style="21" customWidth="1"/>
    <col min="12281" max="12281" width="9.81640625" style="21" customWidth="1"/>
    <col min="12282" max="12282" width="14.453125" style="21" customWidth="1"/>
    <col min="12283" max="12283" width="7.26953125" style="21" customWidth="1"/>
    <col min="12284" max="12284" width="5.54296875" style="21" customWidth="1"/>
    <col min="12285" max="12285" width="9" style="21" customWidth="1"/>
    <col min="12286" max="12287" width="9.81640625" style="21" customWidth="1"/>
    <col min="12288" max="12288" width="11.1796875" style="21" customWidth="1"/>
    <col min="12289" max="12289" width="2.81640625" style="21" customWidth="1"/>
    <col min="12290" max="12290" width="3.54296875" style="21" customWidth="1"/>
    <col min="12291" max="12535" width="9.1796875" style="21"/>
    <col min="12536" max="12536" width="8.7265625" style="21" customWidth="1"/>
    <col min="12537" max="12537" width="9.81640625" style="21" customWidth="1"/>
    <col min="12538" max="12538" width="14.453125" style="21" customWidth="1"/>
    <col min="12539" max="12539" width="7.26953125" style="21" customWidth="1"/>
    <col min="12540" max="12540" width="5.54296875" style="21" customWidth="1"/>
    <col min="12541" max="12541" width="9" style="21" customWidth="1"/>
    <col min="12542" max="12543" width="9.81640625" style="21" customWidth="1"/>
    <col min="12544" max="12544" width="11.1796875" style="21" customWidth="1"/>
    <col min="12545" max="12545" width="2.81640625" style="21" customWidth="1"/>
    <col min="12546" max="12546" width="3.54296875" style="21" customWidth="1"/>
    <col min="12547" max="12791" width="9.1796875" style="21"/>
    <col min="12792" max="12792" width="8.7265625" style="21" customWidth="1"/>
    <col min="12793" max="12793" width="9.81640625" style="21" customWidth="1"/>
    <col min="12794" max="12794" width="14.453125" style="21" customWidth="1"/>
    <col min="12795" max="12795" width="7.26953125" style="21" customWidth="1"/>
    <col min="12796" max="12796" width="5.54296875" style="21" customWidth="1"/>
    <col min="12797" max="12797" width="9" style="21" customWidth="1"/>
    <col min="12798" max="12799" width="9.81640625" style="21" customWidth="1"/>
    <col min="12800" max="12800" width="11.1796875" style="21" customWidth="1"/>
    <col min="12801" max="12801" width="2.81640625" style="21" customWidth="1"/>
    <col min="12802" max="12802" width="3.54296875" style="21" customWidth="1"/>
    <col min="12803" max="13047" width="9.1796875" style="21"/>
    <col min="13048" max="13048" width="8.7265625" style="21" customWidth="1"/>
    <col min="13049" max="13049" width="9.81640625" style="21" customWidth="1"/>
    <col min="13050" max="13050" width="14.453125" style="21" customWidth="1"/>
    <col min="13051" max="13051" width="7.26953125" style="21" customWidth="1"/>
    <col min="13052" max="13052" width="5.54296875" style="21" customWidth="1"/>
    <col min="13053" max="13053" width="9" style="21" customWidth="1"/>
    <col min="13054" max="13055" width="9.81640625" style="21" customWidth="1"/>
    <col min="13056" max="13056" width="11.1796875" style="21" customWidth="1"/>
    <col min="13057" max="13057" width="2.81640625" style="21" customWidth="1"/>
    <col min="13058" max="13058" width="3.54296875" style="21" customWidth="1"/>
    <col min="13059" max="13303" width="9.1796875" style="21"/>
    <col min="13304" max="13304" width="8.7265625" style="21" customWidth="1"/>
    <col min="13305" max="13305" width="9.81640625" style="21" customWidth="1"/>
    <col min="13306" max="13306" width="14.453125" style="21" customWidth="1"/>
    <col min="13307" max="13307" width="7.26953125" style="21" customWidth="1"/>
    <col min="13308" max="13308" width="5.54296875" style="21" customWidth="1"/>
    <col min="13309" max="13309" width="9" style="21" customWidth="1"/>
    <col min="13310" max="13311" width="9.81640625" style="21" customWidth="1"/>
    <col min="13312" max="13312" width="11.1796875" style="21" customWidth="1"/>
    <col min="13313" max="13313" width="2.81640625" style="21" customWidth="1"/>
    <col min="13314" max="13314" width="3.54296875" style="21" customWidth="1"/>
    <col min="13315" max="13559" width="9.1796875" style="21"/>
    <col min="13560" max="13560" width="8.7265625" style="21" customWidth="1"/>
    <col min="13561" max="13561" width="9.81640625" style="21" customWidth="1"/>
    <col min="13562" max="13562" width="14.453125" style="21" customWidth="1"/>
    <col min="13563" max="13563" width="7.26953125" style="21" customWidth="1"/>
    <col min="13564" max="13564" width="5.54296875" style="21" customWidth="1"/>
    <col min="13565" max="13565" width="9" style="21" customWidth="1"/>
    <col min="13566" max="13567" width="9.81640625" style="21" customWidth="1"/>
    <col min="13568" max="13568" width="11.1796875" style="21" customWidth="1"/>
    <col min="13569" max="13569" width="2.81640625" style="21" customWidth="1"/>
    <col min="13570" max="13570" width="3.54296875" style="21" customWidth="1"/>
    <col min="13571" max="13815" width="9.1796875" style="21"/>
    <col min="13816" max="13816" width="8.7265625" style="21" customWidth="1"/>
    <col min="13817" max="13817" width="9.81640625" style="21" customWidth="1"/>
    <col min="13818" max="13818" width="14.453125" style="21" customWidth="1"/>
    <col min="13819" max="13819" width="7.26953125" style="21" customWidth="1"/>
    <col min="13820" max="13820" width="5.54296875" style="21" customWidth="1"/>
    <col min="13821" max="13821" width="9" style="21" customWidth="1"/>
    <col min="13822" max="13823" width="9.81640625" style="21" customWidth="1"/>
    <col min="13824" max="13824" width="11.1796875" style="21" customWidth="1"/>
    <col min="13825" max="13825" width="2.81640625" style="21" customWidth="1"/>
    <col min="13826" max="13826" width="3.54296875" style="21" customWidth="1"/>
    <col min="13827" max="14071" width="9.1796875" style="21"/>
    <col min="14072" max="14072" width="8.7265625" style="21" customWidth="1"/>
    <col min="14073" max="14073" width="9.81640625" style="21" customWidth="1"/>
    <col min="14074" max="14074" width="14.453125" style="21" customWidth="1"/>
    <col min="14075" max="14075" width="7.26953125" style="21" customWidth="1"/>
    <col min="14076" max="14076" width="5.54296875" style="21" customWidth="1"/>
    <col min="14077" max="14077" width="9" style="21" customWidth="1"/>
    <col min="14078" max="14079" width="9.81640625" style="21" customWidth="1"/>
    <col min="14080" max="14080" width="11.1796875" style="21" customWidth="1"/>
    <col min="14081" max="14081" width="2.81640625" style="21" customWidth="1"/>
    <col min="14082" max="14082" width="3.54296875" style="21" customWidth="1"/>
    <col min="14083" max="14327" width="9.1796875" style="21"/>
    <col min="14328" max="14328" width="8.7265625" style="21" customWidth="1"/>
    <col min="14329" max="14329" width="9.81640625" style="21" customWidth="1"/>
    <col min="14330" max="14330" width="14.453125" style="21" customWidth="1"/>
    <col min="14331" max="14331" width="7.26953125" style="21" customWidth="1"/>
    <col min="14332" max="14332" width="5.54296875" style="21" customWidth="1"/>
    <col min="14333" max="14333" width="9" style="21" customWidth="1"/>
    <col min="14334" max="14335" width="9.81640625" style="21" customWidth="1"/>
    <col min="14336" max="14336" width="11.1796875" style="21" customWidth="1"/>
    <col min="14337" max="14337" width="2.81640625" style="21" customWidth="1"/>
    <col min="14338" max="14338" width="3.54296875" style="21" customWidth="1"/>
    <col min="14339" max="14583" width="9.1796875" style="21"/>
    <col min="14584" max="14584" width="8.7265625" style="21" customWidth="1"/>
    <col min="14585" max="14585" width="9.81640625" style="21" customWidth="1"/>
    <col min="14586" max="14586" width="14.453125" style="21" customWidth="1"/>
    <col min="14587" max="14587" width="7.26953125" style="21" customWidth="1"/>
    <col min="14588" max="14588" width="5.54296875" style="21" customWidth="1"/>
    <col min="14589" max="14589" width="9" style="21" customWidth="1"/>
    <col min="14590" max="14591" width="9.81640625" style="21" customWidth="1"/>
    <col min="14592" max="14592" width="11.1796875" style="21" customWidth="1"/>
    <col min="14593" max="14593" width="2.81640625" style="21" customWidth="1"/>
    <col min="14594" max="14594" width="3.54296875" style="21" customWidth="1"/>
    <col min="14595" max="14839" width="9.1796875" style="21"/>
    <col min="14840" max="14840" width="8.7265625" style="21" customWidth="1"/>
    <col min="14841" max="14841" width="9.81640625" style="21" customWidth="1"/>
    <col min="14842" max="14842" width="14.453125" style="21" customWidth="1"/>
    <col min="14843" max="14843" width="7.26953125" style="21" customWidth="1"/>
    <col min="14844" max="14844" width="5.54296875" style="21" customWidth="1"/>
    <col min="14845" max="14845" width="9" style="21" customWidth="1"/>
    <col min="14846" max="14847" width="9.81640625" style="21" customWidth="1"/>
    <col min="14848" max="14848" width="11.1796875" style="21" customWidth="1"/>
    <col min="14849" max="14849" width="2.81640625" style="21" customWidth="1"/>
    <col min="14850" max="14850" width="3.54296875" style="21" customWidth="1"/>
    <col min="14851" max="15095" width="9.1796875" style="21"/>
    <col min="15096" max="15096" width="8.7265625" style="21" customWidth="1"/>
    <col min="15097" max="15097" width="9.81640625" style="21" customWidth="1"/>
    <col min="15098" max="15098" width="14.453125" style="21" customWidth="1"/>
    <col min="15099" max="15099" width="7.26953125" style="21" customWidth="1"/>
    <col min="15100" max="15100" width="5.54296875" style="21" customWidth="1"/>
    <col min="15101" max="15101" width="9" style="21" customWidth="1"/>
    <col min="15102" max="15103" width="9.81640625" style="21" customWidth="1"/>
    <col min="15104" max="15104" width="11.1796875" style="21" customWidth="1"/>
    <col min="15105" max="15105" width="2.81640625" style="21" customWidth="1"/>
    <col min="15106" max="15106" width="3.54296875" style="21" customWidth="1"/>
    <col min="15107" max="15351" width="9.1796875" style="21"/>
    <col min="15352" max="15352" width="8.7265625" style="21" customWidth="1"/>
    <col min="15353" max="15353" width="9.81640625" style="21" customWidth="1"/>
    <col min="15354" max="15354" width="14.453125" style="21" customWidth="1"/>
    <col min="15355" max="15355" width="7.26953125" style="21" customWidth="1"/>
    <col min="15356" max="15356" width="5.54296875" style="21" customWidth="1"/>
    <col min="15357" max="15357" width="9" style="21" customWidth="1"/>
    <col min="15358" max="15359" width="9.81640625" style="21" customWidth="1"/>
    <col min="15360" max="15360" width="11.1796875" style="21" customWidth="1"/>
    <col min="15361" max="15361" width="2.81640625" style="21" customWidth="1"/>
    <col min="15362" max="15362" width="3.54296875" style="21" customWidth="1"/>
    <col min="15363" max="15607" width="9.1796875" style="21"/>
    <col min="15608" max="15608" width="8.7265625" style="21" customWidth="1"/>
    <col min="15609" max="15609" width="9.81640625" style="21" customWidth="1"/>
    <col min="15610" max="15610" width="14.453125" style="21" customWidth="1"/>
    <col min="15611" max="15611" width="7.26953125" style="21" customWidth="1"/>
    <col min="15612" max="15612" width="5.54296875" style="21" customWidth="1"/>
    <col min="15613" max="15613" width="9" style="21" customWidth="1"/>
    <col min="15614" max="15615" width="9.81640625" style="21" customWidth="1"/>
    <col min="15616" max="15616" width="11.1796875" style="21" customWidth="1"/>
    <col min="15617" max="15617" width="2.81640625" style="21" customWidth="1"/>
    <col min="15618" max="15618" width="3.54296875" style="21" customWidth="1"/>
    <col min="15619" max="15863" width="9.1796875" style="21"/>
    <col min="15864" max="15864" width="8.7265625" style="21" customWidth="1"/>
    <col min="15865" max="15865" width="9.81640625" style="21" customWidth="1"/>
    <col min="15866" max="15866" width="14.453125" style="21" customWidth="1"/>
    <col min="15867" max="15867" width="7.26953125" style="21" customWidth="1"/>
    <col min="15868" max="15868" width="5.54296875" style="21" customWidth="1"/>
    <col min="15869" max="15869" width="9" style="21" customWidth="1"/>
    <col min="15870" max="15871" width="9.81640625" style="21" customWidth="1"/>
    <col min="15872" max="15872" width="11.1796875" style="21" customWidth="1"/>
    <col min="15873" max="15873" width="2.81640625" style="21" customWidth="1"/>
    <col min="15874" max="15874" width="3.54296875" style="21" customWidth="1"/>
    <col min="15875" max="16119" width="9.1796875" style="21"/>
    <col min="16120" max="16120" width="8.7265625" style="21" customWidth="1"/>
    <col min="16121" max="16121" width="9.81640625" style="21" customWidth="1"/>
    <col min="16122" max="16122" width="14.453125" style="21" customWidth="1"/>
    <col min="16123" max="16123" width="7.26953125" style="21" customWidth="1"/>
    <col min="16124" max="16124" width="5.54296875" style="21" customWidth="1"/>
    <col min="16125" max="16125" width="9" style="21" customWidth="1"/>
    <col min="16126" max="16127" width="9.81640625" style="21" customWidth="1"/>
    <col min="16128" max="16128" width="11.1796875" style="21" customWidth="1"/>
    <col min="16129" max="16129" width="2.81640625" style="21" customWidth="1"/>
    <col min="16130" max="16130" width="3.54296875" style="21" customWidth="1"/>
    <col min="16131" max="16384" width="9.1796875" style="21"/>
  </cols>
  <sheetData>
    <row r="1" spans="1:8" ht="46.5" customHeight="1" x14ac:dyDescent="0.35">
      <c r="A1" s="174" t="s">
        <v>166</v>
      </c>
      <c r="B1" s="174"/>
      <c r="C1" s="174"/>
      <c r="D1" s="174"/>
      <c r="E1" s="174"/>
      <c r="F1" s="174"/>
      <c r="G1" s="174"/>
      <c r="H1" s="174"/>
    </row>
    <row r="2" spans="1:8" ht="16.5" customHeight="1" x14ac:dyDescent="0.35">
      <c r="A2" s="175" t="s">
        <v>0</v>
      </c>
      <c r="B2" s="175"/>
      <c r="C2" s="175"/>
      <c r="D2" s="175"/>
      <c r="E2" s="175"/>
      <c r="F2" s="175"/>
      <c r="G2" s="175"/>
      <c r="H2" s="175"/>
    </row>
    <row r="3" spans="1:8" x14ac:dyDescent="0.35">
      <c r="A3" s="161" t="s">
        <v>1</v>
      </c>
      <c r="B3" s="161"/>
      <c r="C3" s="161"/>
      <c r="D3" s="161"/>
      <c r="E3" s="161" t="str">
        <f ca="1">TEXT(TODAY(),"DD/MM/YYYY")</f>
        <v>14/08/2025</v>
      </c>
      <c r="F3" s="161"/>
      <c r="G3" s="161"/>
      <c r="H3" s="161"/>
    </row>
    <row r="4" spans="1:8" x14ac:dyDescent="0.35">
      <c r="A4" s="161" t="s">
        <v>2</v>
      </c>
      <c r="B4" s="161"/>
      <c r="C4" s="161"/>
      <c r="D4" s="161"/>
      <c r="E4" s="161" t="s">
        <v>171</v>
      </c>
      <c r="F4" s="161"/>
      <c r="G4" s="161"/>
      <c r="H4" s="161"/>
    </row>
    <row r="5" spans="1:8" x14ac:dyDescent="0.35">
      <c r="A5" s="161" t="s">
        <v>3</v>
      </c>
      <c r="B5" s="161"/>
      <c r="C5" s="161"/>
      <c r="D5" s="161"/>
      <c r="E5" s="179">
        <v>45883</v>
      </c>
      <c r="F5" s="161"/>
      <c r="G5" s="161"/>
      <c r="H5" s="161"/>
    </row>
    <row r="6" spans="1:8" ht="16.5" customHeight="1" x14ac:dyDescent="0.35">
      <c r="A6" s="161" t="s">
        <v>4</v>
      </c>
      <c r="B6" s="161"/>
      <c r="C6" s="161"/>
      <c r="D6" s="161"/>
      <c r="E6" s="161" t="s">
        <v>172</v>
      </c>
      <c r="F6" s="161"/>
      <c r="G6" s="161"/>
      <c r="H6" s="161"/>
    </row>
    <row r="7" spans="1:8" ht="15" customHeight="1" x14ac:dyDescent="0.35">
      <c r="A7" s="161" t="s">
        <v>5</v>
      </c>
      <c r="B7" s="161"/>
      <c r="C7" s="161"/>
      <c r="D7" s="161"/>
      <c r="E7" s="161" t="str">
        <f>E6</f>
        <v>N.Rose Developers Pvt Ltd</v>
      </c>
      <c r="F7" s="161"/>
      <c r="G7" s="161"/>
      <c r="H7" s="161"/>
    </row>
    <row r="8" spans="1:8" x14ac:dyDescent="0.35">
      <c r="A8" s="161" t="s">
        <v>173</v>
      </c>
      <c r="B8" s="161"/>
      <c r="C8" s="161"/>
      <c r="D8" s="161"/>
      <c r="E8" s="137" t="s">
        <v>248</v>
      </c>
      <c r="F8" s="138"/>
      <c r="G8" s="138"/>
      <c r="H8" s="139"/>
    </row>
    <row r="9" spans="1:8" ht="33.75" customHeight="1" x14ac:dyDescent="0.35">
      <c r="A9" s="161" t="s">
        <v>174</v>
      </c>
      <c r="B9" s="161"/>
      <c r="C9" s="161"/>
      <c r="D9" s="161"/>
      <c r="E9" s="176" t="s">
        <v>175</v>
      </c>
      <c r="F9" s="177"/>
      <c r="G9" s="177"/>
      <c r="H9" s="178"/>
    </row>
    <row r="10" spans="1:8" x14ac:dyDescent="0.35">
      <c r="A10" s="161" t="s">
        <v>169</v>
      </c>
      <c r="B10" s="161"/>
      <c r="C10" s="161"/>
      <c r="D10" s="161"/>
      <c r="E10" s="161">
        <v>9833500177</v>
      </c>
      <c r="F10" s="161"/>
      <c r="G10" s="161"/>
      <c r="H10" s="161"/>
    </row>
    <row r="11" spans="1:8" x14ac:dyDescent="0.35">
      <c r="A11" s="161" t="s">
        <v>170</v>
      </c>
      <c r="B11" s="161"/>
      <c r="C11" s="161"/>
      <c r="D11" s="161"/>
      <c r="E11" s="161" t="s">
        <v>263</v>
      </c>
      <c r="F11" s="161"/>
      <c r="G11" s="161"/>
      <c r="H11" s="161"/>
    </row>
    <row r="12" spans="1:8" x14ac:dyDescent="0.35">
      <c r="A12" s="161" t="s">
        <v>242</v>
      </c>
      <c r="B12" s="161"/>
      <c r="C12" s="161"/>
      <c r="D12" s="161"/>
      <c r="E12" s="161" t="s">
        <v>193</v>
      </c>
      <c r="F12" s="161"/>
      <c r="G12" s="161"/>
      <c r="H12" s="161"/>
    </row>
    <row r="13" spans="1:8" x14ac:dyDescent="0.35">
      <c r="A13" s="161" t="s">
        <v>186</v>
      </c>
      <c r="B13" s="161"/>
      <c r="C13" s="161"/>
      <c r="D13" s="161"/>
      <c r="E13" s="161" t="s">
        <v>187</v>
      </c>
      <c r="F13" s="161"/>
      <c r="G13" s="161"/>
      <c r="H13" s="161"/>
    </row>
    <row r="14" spans="1:8" x14ac:dyDescent="0.35">
      <c r="A14" s="120" t="s">
        <v>6</v>
      </c>
      <c r="B14" s="120"/>
      <c r="C14" s="120"/>
      <c r="D14" s="120"/>
      <c r="E14" s="134" t="s">
        <v>194</v>
      </c>
      <c r="F14" s="134"/>
      <c r="G14" s="134"/>
      <c r="H14" s="134"/>
    </row>
    <row r="15" spans="1:8" x14ac:dyDescent="0.35">
      <c r="A15" s="120" t="s">
        <v>7</v>
      </c>
      <c r="B15" s="120"/>
      <c r="C15" s="120"/>
      <c r="D15" s="120"/>
      <c r="E15" s="134" t="s">
        <v>176</v>
      </c>
      <c r="F15" s="161"/>
      <c r="G15" s="161"/>
      <c r="H15" s="161"/>
    </row>
    <row r="16" spans="1:8" ht="49.5" customHeight="1" x14ac:dyDescent="0.35">
      <c r="A16" s="147" t="s">
        <v>8</v>
      </c>
      <c r="B16" s="147"/>
      <c r="C16" s="147" t="str">
        <f>CONCATENATE((IF(OR(E8="",E8="NA"),"",E8)),", ",(IF(OR(A17="",A17="NA"),"",A17)),".",(IF(OR(C17="",C17="NA"),"",C17)),", near ",(IF(OR(C22="",C22="NA"),"",C22)),", ",(IF(OR(C19="",C19="NA"),"",C19)),", ",(IF(OR(C18="",C18="NA"),"",C18)),", ",(IF(OR(G19="",G19="NA"),"",G19)),", ",(IF(OR(C20="",C20="NA"),"",C20)),", ",(IF(OR(C21="",C21="NA"),"",C21)),", ",(IF(OR(G20="",G20="NA"),"",G20))," - ",(IF(OR(G21="",G21="NA"),"",G21)),".")</f>
        <v>Northern Supremus &amp; Northern Hills, CTS No.1625 (PT), 1648 (PT), 1653 (PT), 1654 (PT), 1657 (PT) &amp; 1663/B (PT), Redevlopement of "Jankalyan CHSL", near Northern Heights, Ghodbunder Road, Shanti Nagar, Dahisar, Dahisar (East), Borivali, Mumbai - 400068.</v>
      </c>
      <c r="D16" s="147"/>
      <c r="E16" s="147"/>
      <c r="F16" s="147"/>
      <c r="G16" s="147"/>
      <c r="H16" s="147"/>
    </row>
    <row r="17" spans="1:8" ht="33.75" customHeight="1" x14ac:dyDescent="0.35">
      <c r="A17" s="134" t="s">
        <v>184</v>
      </c>
      <c r="B17" s="134"/>
      <c r="C17" s="134" t="s">
        <v>185</v>
      </c>
      <c r="D17" s="134"/>
      <c r="E17" s="134"/>
      <c r="F17" s="134"/>
      <c r="G17" s="134"/>
      <c r="H17" s="134"/>
    </row>
    <row r="18" spans="1:8" ht="15.75" customHeight="1" x14ac:dyDescent="0.35">
      <c r="A18" s="134" t="s">
        <v>164</v>
      </c>
      <c r="B18" s="134"/>
      <c r="C18" s="134" t="s">
        <v>188</v>
      </c>
      <c r="D18" s="134"/>
      <c r="E18" s="134"/>
      <c r="F18" s="134"/>
      <c r="G18" s="134"/>
      <c r="H18" s="134"/>
    </row>
    <row r="19" spans="1:8" ht="15.75" customHeight="1" x14ac:dyDescent="0.35">
      <c r="A19" s="147" t="s">
        <v>9</v>
      </c>
      <c r="B19" s="147"/>
      <c r="C19" s="161" t="s">
        <v>189</v>
      </c>
      <c r="D19" s="161"/>
      <c r="E19" s="147" t="s">
        <v>72</v>
      </c>
      <c r="F19" s="147"/>
      <c r="G19" s="134" t="s">
        <v>179</v>
      </c>
      <c r="H19" s="134"/>
    </row>
    <row r="20" spans="1:8" x14ac:dyDescent="0.35">
      <c r="A20" s="120" t="s">
        <v>11</v>
      </c>
      <c r="B20" s="120"/>
      <c r="C20" s="134" t="s">
        <v>182</v>
      </c>
      <c r="D20" s="134"/>
      <c r="E20" s="147" t="s">
        <v>10</v>
      </c>
      <c r="F20" s="147"/>
      <c r="G20" s="172" t="s">
        <v>180</v>
      </c>
      <c r="H20" s="172"/>
    </row>
    <row r="21" spans="1:8" x14ac:dyDescent="0.35">
      <c r="A21" s="120" t="s">
        <v>73</v>
      </c>
      <c r="B21" s="120"/>
      <c r="C21" s="134" t="s">
        <v>181</v>
      </c>
      <c r="D21" s="134"/>
      <c r="E21" s="147" t="s">
        <v>12</v>
      </c>
      <c r="F21" s="147"/>
      <c r="G21" s="134">
        <v>400068</v>
      </c>
      <c r="H21" s="134"/>
    </row>
    <row r="22" spans="1:8" ht="32.25" customHeight="1" x14ac:dyDescent="0.35">
      <c r="A22" s="120" t="s">
        <v>123</v>
      </c>
      <c r="B22" s="120"/>
      <c r="C22" s="134" t="s">
        <v>183</v>
      </c>
      <c r="D22" s="134"/>
      <c r="E22" s="147" t="s">
        <v>13</v>
      </c>
      <c r="F22" s="147"/>
      <c r="G22" s="134" t="s">
        <v>178</v>
      </c>
      <c r="H22" s="134"/>
    </row>
    <row r="23" spans="1:8" ht="15" customHeight="1" x14ac:dyDescent="0.35">
      <c r="A23" s="147" t="s">
        <v>75</v>
      </c>
      <c r="B23" s="147"/>
      <c r="C23" s="147"/>
      <c r="D23" s="147"/>
      <c r="E23" s="161" t="s">
        <v>14</v>
      </c>
      <c r="F23" s="161"/>
      <c r="G23" s="161"/>
      <c r="H23" s="161"/>
    </row>
    <row r="24" spans="1:8" ht="18.75" customHeight="1" x14ac:dyDescent="0.35">
      <c r="A24" s="147"/>
      <c r="B24" s="147"/>
      <c r="C24" s="147"/>
      <c r="D24" s="147"/>
      <c r="E24" s="161"/>
      <c r="F24" s="161"/>
      <c r="G24" s="161"/>
      <c r="H24" s="161"/>
    </row>
    <row r="25" spans="1:8" ht="15" customHeight="1" x14ac:dyDescent="0.35">
      <c r="A25" s="147" t="s">
        <v>15</v>
      </c>
      <c r="B25" s="147"/>
      <c r="C25" s="147"/>
      <c r="D25" s="147"/>
      <c r="E25" s="134" t="s">
        <v>16</v>
      </c>
      <c r="F25" s="134"/>
      <c r="G25" s="134"/>
      <c r="H25" s="134"/>
    </row>
    <row r="26" spans="1:8" ht="15" customHeight="1" x14ac:dyDescent="0.35">
      <c r="A26" s="120" t="s">
        <v>17</v>
      </c>
      <c r="B26" s="120"/>
      <c r="C26" s="120"/>
      <c r="D26" s="120"/>
      <c r="E26" s="169" t="str">
        <f>IF(AND(G20="Mumbai"),"Upper Class","Middle Class")</f>
        <v>Upper Class</v>
      </c>
      <c r="F26" s="169"/>
      <c r="G26" s="169"/>
      <c r="H26" s="169"/>
    </row>
    <row r="27" spans="1:8" x14ac:dyDescent="0.35">
      <c r="A27" s="120" t="s">
        <v>18</v>
      </c>
      <c r="B27" s="120"/>
      <c r="C27" s="120"/>
      <c r="D27" s="120"/>
      <c r="E27" s="134" t="s">
        <v>19</v>
      </c>
      <c r="F27" s="134"/>
      <c r="G27" s="134"/>
      <c r="H27" s="134"/>
    </row>
    <row r="28" spans="1:8" ht="15.75" customHeight="1" x14ac:dyDescent="0.35">
      <c r="A28" s="120" t="s">
        <v>20</v>
      </c>
      <c r="B28" s="120"/>
      <c r="C28" s="120"/>
      <c r="D28" s="120"/>
      <c r="E28" s="169" t="str">
        <f>IF(AND(G20="Mumbai"),"Developed","Developing")</f>
        <v>Developed</v>
      </c>
      <c r="F28" s="169"/>
      <c r="G28" s="169"/>
      <c r="H28" s="169"/>
    </row>
    <row r="29" spans="1:8" x14ac:dyDescent="0.35">
      <c r="A29" s="120" t="s">
        <v>21</v>
      </c>
      <c r="B29" s="120"/>
      <c r="C29" s="120"/>
      <c r="D29" s="120"/>
      <c r="E29" s="134" t="s">
        <v>22</v>
      </c>
      <c r="F29" s="134"/>
      <c r="G29" s="134"/>
      <c r="H29" s="134"/>
    </row>
    <row r="30" spans="1:8" ht="15.75" customHeight="1" x14ac:dyDescent="0.35">
      <c r="A30" s="120" t="s">
        <v>80</v>
      </c>
      <c r="B30" s="120"/>
      <c r="C30" s="120"/>
      <c r="D30" s="120"/>
      <c r="E30" s="134" t="s">
        <v>81</v>
      </c>
      <c r="F30" s="134"/>
      <c r="G30" s="134"/>
      <c r="H30" s="134"/>
    </row>
    <row r="31" spans="1:8" ht="15" customHeight="1" x14ac:dyDescent="0.35">
      <c r="A31" s="120" t="s">
        <v>31</v>
      </c>
      <c r="B31" s="120"/>
      <c r="C31" s="120"/>
      <c r="D31" s="120"/>
      <c r="E31" s="169" t="str">
        <f>IF(AND(ISNUMBER(SEARCH("Flat",D57)),ISNUMBER(SEARCH("Shop",D57)),ISNUMBER(SEARCH("Office",D57))),"Residential + Commercial",IF(AND(ISNUMBER(SEARCH("Flat",D57)),ISNUMBER(SEARCH("Shop",D57))),"Residential + Commercial",IF(AND(ISNUMBER(SEARCH("Flat",D57)),ISNUMBER(SEARCH("Office",D57))),"Residential + Commercial",IF(AND(ISNUMBER(SEARCH("Shop",D57)),ISNUMBER(SEARCH("Office",D57))),"Commercial",IF(ISNUMBER(SEARCH("Shop",D57)),"Commercial",IF(ISNUMBER(SEARCH("Office",D57)),"Commercial",IF(ISNUMBER(SEARCH("Flat",D57)),"Residential")))))))</f>
        <v>Residential + Commercial</v>
      </c>
      <c r="F31" s="169"/>
      <c r="G31" s="169"/>
      <c r="H31" s="169"/>
    </row>
    <row r="32" spans="1:8" ht="15.75" customHeight="1" x14ac:dyDescent="0.35">
      <c r="A32" s="120" t="s">
        <v>92</v>
      </c>
      <c r="B32" s="120"/>
      <c r="C32" s="120"/>
      <c r="D32" s="120"/>
      <c r="E32" s="134" t="s">
        <v>32</v>
      </c>
      <c r="F32" s="134"/>
      <c r="G32" s="134"/>
      <c r="H32" s="134"/>
    </row>
    <row r="33" spans="1:8" s="22" customFormat="1" x14ac:dyDescent="0.35">
      <c r="A33" s="171" t="s">
        <v>93</v>
      </c>
      <c r="B33" s="171"/>
      <c r="C33" s="170" t="s">
        <v>27</v>
      </c>
      <c r="D33" s="170"/>
      <c r="E33" s="170"/>
      <c r="F33" s="170" t="s">
        <v>29</v>
      </c>
      <c r="G33" s="170"/>
      <c r="H33" s="170"/>
    </row>
    <row r="34" spans="1:8" s="22" customFormat="1" x14ac:dyDescent="0.35">
      <c r="A34" s="154" t="s">
        <v>23</v>
      </c>
      <c r="B34" s="154" t="s">
        <v>28</v>
      </c>
      <c r="C34" s="155" t="s">
        <v>28</v>
      </c>
      <c r="D34" s="155"/>
      <c r="E34" s="155"/>
      <c r="F34" s="155" t="s">
        <v>183</v>
      </c>
      <c r="G34" s="155"/>
      <c r="H34" s="155"/>
    </row>
    <row r="35" spans="1:8" x14ac:dyDescent="0.35">
      <c r="A35" s="154" t="s">
        <v>24</v>
      </c>
      <c r="B35" s="154" t="s">
        <v>28</v>
      </c>
      <c r="C35" s="155" t="s">
        <v>28</v>
      </c>
      <c r="D35" s="155"/>
      <c r="E35" s="155"/>
      <c r="F35" s="155" t="s">
        <v>190</v>
      </c>
      <c r="G35" s="155"/>
      <c r="H35" s="155"/>
    </row>
    <row r="36" spans="1:8" s="22" customFormat="1" x14ac:dyDescent="0.35">
      <c r="A36" s="154" t="s">
        <v>26</v>
      </c>
      <c r="B36" s="154" t="s">
        <v>28</v>
      </c>
      <c r="C36" s="155" t="s">
        <v>28</v>
      </c>
      <c r="D36" s="155"/>
      <c r="E36" s="155"/>
      <c r="F36" s="155" t="s">
        <v>191</v>
      </c>
      <c r="G36" s="155"/>
      <c r="H36" s="155"/>
    </row>
    <row r="37" spans="1:8" x14ac:dyDescent="0.35">
      <c r="A37" s="154" t="s">
        <v>25</v>
      </c>
      <c r="B37" s="154" t="s">
        <v>28</v>
      </c>
      <c r="C37" s="155" t="s">
        <v>28</v>
      </c>
      <c r="D37" s="155"/>
      <c r="E37" s="155"/>
      <c r="F37" s="155" t="s">
        <v>189</v>
      </c>
      <c r="G37" s="155"/>
      <c r="H37" s="155"/>
    </row>
    <row r="38" spans="1:8" x14ac:dyDescent="0.35">
      <c r="A38" s="120" t="s">
        <v>30</v>
      </c>
      <c r="B38" s="120"/>
      <c r="C38" s="120"/>
      <c r="D38" s="120"/>
      <c r="E38" s="120"/>
      <c r="F38" s="120"/>
      <c r="G38" s="120"/>
      <c r="H38" s="120"/>
    </row>
    <row r="39" spans="1:8" ht="15.75" customHeight="1" x14ac:dyDescent="0.35">
      <c r="A39" s="132" t="s">
        <v>167</v>
      </c>
      <c r="B39" s="132"/>
      <c r="C39" s="120" t="s">
        <v>253</v>
      </c>
      <c r="D39" s="120"/>
      <c r="E39" s="120"/>
      <c r="F39" s="120"/>
      <c r="G39" s="120"/>
      <c r="H39" s="120"/>
    </row>
    <row r="40" spans="1:8" x14ac:dyDescent="0.35">
      <c r="A40" s="132" t="s">
        <v>163</v>
      </c>
      <c r="B40" s="132"/>
      <c r="C40" s="133" t="s">
        <v>177</v>
      </c>
      <c r="D40" s="134"/>
      <c r="E40" s="134"/>
      <c r="F40" s="134"/>
      <c r="G40" s="134"/>
      <c r="H40" s="134"/>
    </row>
    <row r="41" spans="1:8" x14ac:dyDescent="0.35">
      <c r="A41" s="132" t="s">
        <v>33</v>
      </c>
      <c r="B41" s="132"/>
      <c r="C41" s="132"/>
      <c r="D41" s="132"/>
      <c r="E41" s="132"/>
      <c r="F41" s="132"/>
      <c r="G41" s="132"/>
      <c r="H41" s="132"/>
    </row>
    <row r="42" spans="1:8" x14ac:dyDescent="0.35">
      <c r="A42" s="120" t="s">
        <v>34</v>
      </c>
      <c r="B42" s="120"/>
      <c r="C42" s="120"/>
      <c r="D42" s="120"/>
      <c r="E42" s="156">
        <v>33586.660000000003</v>
      </c>
      <c r="F42" s="156"/>
      <c r="G42" s="156"/>
      <c r="H42" s="156"/>
    </row>
    <row r="43" spans="1:8" x14ac:dyDescent="0.35">
      <c r="A43" s="120" t="s">
        <v>35</v>
      </c>
      <c r="B43" s="120"/>
      <c r="C43" s="120"/>
      <c r="D43" s="120"/>
      <c r="E43" s="159">
        <v>4</v>
      </c>
      <c r="F43" s="159"/>
      <c r="G43" s="159"/>
      <c r="H43" s="159"/>
    </row>
    <row r="44" spans="1:8" x14ac:dyDescent="0.35">
      <c r="A44" s="120" t="s">
        <v>36</v>
      </c>
      <c r="B44" s="120"/>
      <c r="C44" s="120"/>
      <c r="D44" s="120"/>
      <c r="E44" s="159">
        <f>E46/E42-E43</f>
        <v>1.5673044000207224</v>
      </c>
      <c r="F44" s="159"/>
      <c r="G44" s="159"/>
      <c r="H44" s="159"/>
    </row>
    <row r="45" spans="1:8" x14ac:dyDescent="0.35">
      <c r="A45" s="120" t="s">
        <v>37</v>
      </c>
      <c r="B45" s="120"/>
      <c r="C45" s="120"/>
      <c r="D45" s="120"/>
      <c r="E45" s="159">
        <f>E43+E44</f>
        <v>5.5673044000207224</v>
      </c>
      <c r="F45" s="159"/>
      <c r="G45" s="159"/>
      <c r="H45" s="159"/>
    </row>
    <row r="46" spans="1:8" x14ac:dyDescent="0.35">
      <c r="A46" s="120" t="s">
        <v>91</v>
      </c>
      <c r="B46" s="120"/>
      <c r="C46" s="120"/>
      <c r="D46" s="120"/>
      <c r="E46" s="160">
        <v>186987.16</v>
      </c>
      <c r="F46" s="160"/>
      <c r="G46" s="160"/>
      <c r="H46" s="160"/>
    </row>
    <row r="47" spans="1:8" x14ac:dyDescent="0.35">
      <c r="A47" s="161" t="s">
        <v>38</v>
      </c>
      <c r="B47" s="161"/>
      <c r="C47" s="161"/>
      <c r="D47" s="161"/>
      <c r="E47" s="161" t="s">
        <v>192</v>
      </c>
      <c r="F47" s="161"/>
      <c r="G47" s="161"/>
      <c r="H47" s="161"/>
    </row>
    <row r="48" spans="1:8" x14ac:dyDescent="0.35">
      <c r="A48" s="132" t="s">
        <v>39</v>
      </c>
      <c r="B48" s="132"/>
      <c r="C48" s="132"/>
      <c r="D48" s="132"/>
      <c r="E48" s="132"/>
      <c r="F48" s="132"/>
      <c r="G48" s="132"/>
      <c r="H48" s="132"/>
    </row>
    <row r="49" spans="1:14" ht="33.75" customHeight="1" x14ac:dyDescent="0.35">
      <c r="A49" s="135" t="s">
        <v>151</v>
      </c>
      <c r="B49" s="136"/>
      <c r="C49" s="137" t="s">
        <v>195</v>
      </c>
      <c r="D49" s="138"/>
      <c r="E49" s="138"/>
      <c r="F49" s="138"/>
      <c r="G49" s="138"/>
      <c r="H49" s="139"/>
    </row>
    <row r="50" spans="1:14" ht="15.75" customHeight="1" x14ac:dyDescent="0.35">
      <c r="A50" s="135" t="s">
        <v>40</v>
      </c>
      <c r="B50" s="136"/>
      <c r="C50" s="135" t="s">
        <v>196</v>
      </c>
      <c r="D50" s="151"/>
      <c r="E50" s="136"/>
      <c r="F50" s="18" t="s">
        <v>41</v>
      </c>
      <c r="G50" s="150">
        <v>44818</v>
      </c>
      <c r="H50" s="136"/>
    </row>
    <row r="51" spans="1:14" x14ac:dyDescent="0.35">
      <c r="A51" s="135" t="s">
        <v>42</v>
      </c>
      <c r="B51" s="136"/>
      <c r="C51" s="135" t="str">
        <f>C50</f>
        <v>R-N/MHADA/0004/20060203</v>
      </c>
      <c r="D51" s="151"/>
      <c r="E51" s="136"/>
      <c r="F51" s="18" t="s">
        <v>41</v>
      </c>
      <c r="G51" s="150">
        <v>44818</v>
      </c>
      <c r="H51" s="136"/>
    </row>
    <row r="52" spans="1:14" s="23" customFormat="1" ht="15.75" customHeight="1" x14ac:dyDescent="0.35">
      <c r="A52" s="165" t="s">
        <v>154</v>
      </c>
      <c r="B52" s="166"/>
      <c r="C52" s="135" t="str">
        <f>C51</f>
        <v>R-N/MHADA/0004/20060203</v>
      </c>
      <c r="D52" s="151"/>
      <c r="E52" s="136"/>
      <c r="F52" s="18" t="s">
        <v>41</v>
      </c>
      <c r="G52" s="150">
        <v>44818</v>
      </c>
      <c r="H52" s="136"/>
    </row>
    <row r="53" spans="1:14" s="23" customFormat="1" ht="51" customHeight="1" x14ac:dyDescent="0.35">
      <c r="A53" s="167"/>
      <c r="B53" s="168"/>
      <c r="C53" s="135" t="s">
        <v>264</v>
      </c>
      <c r="D53" s="151"/>
      <c r="E53" s="151"/>
      <c r="F53" s="151"/>
      <c r="G53" s="151"/>
      <c r="H53" s="136"/>
    </row>
    <row r="54" spans="1:14" x14ac:dyDescent="0.35">
      <c r="A54" s="196" t="s">
        <v>43</v>
      </c>
      <c r="B54" s="197"/>
      <c r="C54" s="196" t="s">
        <v>105</v>
      </c>
      <c r="D54" s="198"/>
      <c r="E54" s="197"/>
      <c r="F54" s="44" t="s">
        <v>41</v>
      </c>
      <c r="G54" s="187" t="s">
        <v>28</v>
      </c>
      <c r="H54" s="188"/>
    </row>
    <row r="55" spans="1:14" x14ac:dyDescent="0.35">
      <c r="A55" s="186" t="s">
        <v>45</v>
      </c>
      <c r="B55" s="186"/>
      <c r="C55" s="186"/>
      <c r="D55" s="186"/>
      <c r="E55" s="186"/>
      <c r="F55" s="186"/>
      <c r="G55" s="186"/>
      <c r="H55" s="186"/>
    </row>
    <row r="56" spans="1:14" x14ac:dyDescent="0.35">
      <c r="A56" s="147" t="s">
        <v>90</v>
      </c>
      <c r="B56" s="147"/>
      <c r="C56" s="147"/>
      <c r="D56" s="120">
        <f>E46</f>
        <v>186987.16</v>
      </c>
      <c r="E56" s="120"/>
      <c r="F56" s="120"/>
      <c r="G56" s="120"/>
      <c r="H56" s="120"/>
    </row>
    <row r="57" spans="1:14" x14ac:dyDescent="0.35">
      <c r="A57" s="134" t="s">
        <v>46</v>
      </c>
      <c r="B57" s="161"/>
      <c r="C57" s="161"/>
      <c r="D57" s="199" t="s">
        <v>240</v>
      </c>
      <c r="E57" s="199"/>
      <c r="F57" s="199"/>
      <c r="G57" s="199"/>
      <c r="H57" s="199"/>
      <c r="I57" s="24"/>
    </row>
    <row r="58" spans="1:14" ht="33" customHeight="1" x14ac:dyDescent="0.35">
      <c r="A58" s="152" t="s">
        <v>47</v>
      </c>
      <c r="B58" s="153"/>
      <c r="C58" s="164"/>
      <c r="D58" s="162" t="s">
        <v>241</v>
      </c>
      <c r="E58" s="163"/>
      <c r="F58" s="163"/>
      <c r="G58" s="163"/>
      <c r="H58" s="163"/>
    </row>
    <row r="59" spans="1:14" ht="33" customHeight="1" x14ac:dyDescent="0.35">
      <c r="A59" s="152" t="s">
        <v>88</v>
      </c>
      <c r="B59" s="153"/>
      <c r="C59" s="153"/>
      <c r="D59" s="134" t="s">
        <v>258</v>
      </c>
      <c r="E59" s="134"/>
      <c r="F59" s="134"/>
      <c r="G59" s="134"/>
      <c r="H59" s="134"/>
    </row>
    <row r="60" spans="1:14" ht="15.75" customHeight="1" x14ac:dyDescent="0.35">
      <c r="A60" s="120" t="s">
        <v>44</v>
      </c>
      <c r="B60" s="120"/>
      <c r="C60" s="120"/>
      <c r="D60" s="157" t="s">
        <v>197</v>
      </c>
      <c r="E60" s="157"/>
      <c r="F60" s="157"/>
      <c r="G60" s="157"/>
      <c r="H60" s="157"/>
      <c r="J60" s="25"/>
      <c r="K60" s="24"/>
      <c r="N60" s="24"/>
    </row>
    <row r="61" spans="1:14" ht="15.75" customHeight="1" x14ac:dyDescent="0.35">
      <c r="A61" s="120" t="s">
        <v>86</v>
      </c>
      <c r="B61" s="120"/>
      <c r="C61" s="120"/>
      <c r="D61" s="158" t="str">
        <f>(IF(G54="NA","60 Years After Completion",IF(G54&lt;&gt;"NA",""&amp;60-ROUNDDOWN((E3-G54)/360,0)&amp;" Years"," ")))</f>
        <v>60 Years After Completion</v>
      </c>
      <c r="E61" s="158"/>
      <c r="F61" s="158"/>
      <c r="G61" s="158"/>
      <c r="H61" s="158"/>
      <c r="N61" s="24"/>
    </row>
    <row r="62" spans="1:14" ht="15.75" customHeight="1" x14ac:dyDescent="0.35">
      <c r="A62" s="120" t="s">
        <v>87</v>
      </c>
      <c r="B62" s="120"/>
      <c r="C62" s="120"/>
      <c r="D62" s="147" t="s">
        <v>22</v>
      </c>
      <c r="E62" s="147"/>
      <c r="F62" s="147"/>
      <c r="G62" s="147"/>
      <c r="H62" s="147"/>
      <c r="J62" s="26"/>
      <c r="K62" s="26"/>
    </row>
    <row r="63" spans="1:14" ht="35.25" customHeight="1" x14ac:dyDescent="0.35">
      <c r="A63" s="120" t="s">
        <v>74</v>
      </c>
      <c r="B63" s="120"/>
      <c r="C63" s="120"/>
      <c r="D63" s="134" t="s">
        <v>198</v>
      </c>
      <c r="E63" s="147"/>
      <c r="F63" s="147"/>
      <c r="G63" s="147"/>
      <c r="H63" s="147"/>
    </row>
    <row r="64" spans="1:14" x14ac:dyDescent="0.35">
      <c r="A64" s="147" t="s">
        <v>148</v>
      </c>
      <c r="B64" s="147"/>
      <c r="C64" s="147"/>
      <c r="D64" s="147" t="s">
        <v>28</v>
      </c>
      <c r="E64" s="147"/>
      <c r="F64" s="147"/>
      <c r="G64" s="147"/>
      <c r="H64" s="147"/>
      <c r="I64" s="27"/>
      <c r="J64" s="27"/>
      <c r="K64" s="27"/>
      <c r="L64" s="27"/>
      <c r="M64" s="27"/>
      <c r="N64" s="27"/>
    </row>
    <row r="65" spans="1:12" ht="15.75" customHeight="1" x14ac:dyDescent="0.35">
      <c r="A65" s="149" t="s">
        <v>85</v>
      </c>
      <c r="B65" s="149"/>
      <c r="C65" s="149"/>
      <c r="D65" s="148" t="str">
        <f ca="1">(IF(G71&gt;95%,"Nothing",IF(G71&gt;0%,"Cement, Aggregate, Steel, etc",IF(G71=0%,"Work not yet Started"))))</f>
        <v>Cement, Aggregate, Steel, etc</v>
      </c>
      <c r="E65" s="148"/>
      <c r="F65" s="148"/>
      <c r="G65" s="148"/>
      <c r="H65" s="148"/>
      <c r="J65" s="26"/>
    </row>
    <row r="66" spans="1:12" ht="33.75" customHeight="1" thickBot="1" x14ac:dyDescent="0.4">
      <c r="A66" s="147" t="s">
        <v>118</v>
      </c>
      <c r="B66" s="147"/>
      <c r="C66" s="147"/>
      <c r="D66" s="134" t="str">
        <f ca="1">(IF(D65="Nothing","Yes",IF(D65="Cement, Aggregate, Steel, etc","Under Construction",IF(D65="Work not yet Started","Work not yet Started"))))</f>
        <v>Under Construction</v>
      </c>
      <c r="E66" s="134"/>
      <c r="F66" s="134" t="str">
        <f ca="1">(IF(D65="Nothing","Yes",IF(D65="Cement, Aggregate, Steel, etc","Under Construction",IF(D65="Work not yet Started","Work not yet Started"))))</f>
        <v>Under Construction</v>
      </c>
      <c r="G66" s="134"/>
      <c r="H66" s="134"/>
    </row>
    <row r="67" spans="1:12" x14ac:dyDescent="0.35">
      <c r="A67" s="210" t="s">
        <v>140</v>
      </c>
      <c r="B67" s="210"/>
      <c r="C67" s="210" t="str">
        <f>D59</f>
        <v>Building No.6 (A &amp; B Wing) = 2B + 2G + 9P + Service Floor + 1st to 57th Floor</v>
      </c>
      <c r="D67" s="210"/>
      <c r="E67" s="210"/>
      <c r="F67" s="210"/>
      <c r="G67" s="210"/>
      <c r="H67" s="210"/>
      <c r="I67" s="203" t="str">
        <f ca="1">IF(D80=100%,"All work Completed. Possession granted to the Building.",IF(D79=100%,"All work Completed, Waiting for OC",I68&amp;""&amp;I69&amp;""&amp;J68&amp;""&amp;J67&amp;" "&amp;J69))</f>
        <v>Excavation, Plinth Completed, RCC upto 63 Slab, Brickwork upto 52 Floor, Internal Plaster upto 39 Floor, External Plaster upto 36.4 Floor, Flooring upto 14 Floor, Painting upto 8 Floor Completed</v>
      </c>
      <c r="J67" s="48" t="str">
        <f ca="1">(IF(C73=(D68+F68+H68),"",IF(C73&gt;0,", RCC upto "&amp;C73&amp;" Slab","")))&amp;(IF(C74=H68,"",IF(C74&gt;0,", Brickwork upto "&amp;C74&amp;" Floor","")))&amp;(IF(C75=H68,"",IF(C75&gt;0,", Internal Plaster upto "&amp;C75&amp;" Floor","")))&amp;(IF(C76=H68,"",IF(C76&gt;0,", External Plaster upto "&amp;C76&amp;" Floor","")))&amp;(IF(C77=H68,"",IF(C77&gt;0,", Flooring upto "&amp;C77&amp;" Floor","")))&amp;(IF(C78=H68,"",IF(C78&gt;0,", Painting upto "&amp;C78&amp;" Floor","")))&amp;(IF(C79=H68,"",IF(C79&gt;0,", Finishing upto "&amp;C79&amp;" Floor","")))&amp;(IF(C80=H68,"",IF(C80&gt;0,", Possession upto "&amp;C80&amp;" Floor","")))</f>
        <v>, RCC upto 63 Slab, Brickwork upto 52 Floor, Internal Plaster upto 39 Floor, External Plaster upto 36.4 Floor, Flooring upto 14 Floor, Painting upto 8 Floor</v>
      </c>
    </row>
    <row r="68" spans="1:12" x14ac:dyDescent="0.35">
      <c r="A68" s="67" t="s">
        <v>142</v>
      </c>
      <c r="B68" s="67">
        <f>IF(AND(ISNUMBER(SEARCH("1B",C67))),1,IF(AND(ISNUMBER(SEARCH("2B",C67))),2,IF(AND(ISNUMBER(SEARCH("3B",C67))),3,IF(AND(ISNUMBER(SEARCH("4B",C67))),4,IF(ISNUMBER(SEARCH("5B",C67)),5,0)))))</f>
        <v>2</v>
      </c>
      <c r="C68" s="67" t="s">
        <v>71</v>
      </c>
      <c r="D68" s="67">
        <v>2</v>
      </c>
      <c r="E68" s="67" t="s">
        <v>70</v>
      </c>
      <c r="F68" s="67">
        <v>9</v>
      </c>
      <c r="G68" s="46" t="s">
        <v>79</v>
      </c>
      <c r="H68" s="67">
        <f ca="1">--TRIM(RIGHT(SUBSTITUTE(LEFT(C67,_xlfn.AGGREGATE(16,6,FIND({0,1,2,3,4,5,6,7,8,9},C67,ROW(INDIRECT("1:"&amp;LEN(C67)))),1))," ",REPT(" ",LEN(C67))),LEN(C67)))</f>
        <v>57</v>
      </c>
      <c r="I68" s="204" t="str">
        <f ca="1">IF(D71=100%,"Excavation","")&amp;IF(D72=100%,", Plinth","")&amp;IF(D73=100%,", RCC Slab","")&amp;IF(D74=100%,", Brickwork","")&amp;IF(D75=100%,", Internal Plaster","")&amp;IF(D76=100%,", External Plaster","")&amp;IF(D77=100%,", Flooring","")&amp;IF(D78=100%,", Painting","")&amp;IF(D79=100%,", Building common Amenities","")</f>
        <v>Excavation, Plinth</v>
      </c>
      <c r="J68" s="50" t="str">
        <f ca="1">(IF(C71=0,"Work not yet Started.",IF(D71=25%,"Piling work in process",IF(D71=50%,"Excavation work in process",IF(D71=100%,"","0")))))&amp;(IF(C72=0%,"",IF(C72=J73,", Footing work is process",IF(C72=J74,", Footing work Completed",IF(C72=J75,", 1st Basement Completed",IF(C72=J76,", 1st &amp; 2nd Basement Completed",IF(C72=J77,", 1st to 3rd Basement Completed",IF(C72=J78,", 1st to 4th Basement Completed",IF(C72=J79,", Plinth work is process",IF(C72=J80,"","0"))))))))))</f>
        <v/>
      </c>
    </row>
    <row r="69" spans="1:12" ht="51" customHeight="1" x14ac:dyDescent="0.35">
      <c r="A69" s="71" t="s">
        <v>89</v>
      </c>
      <c r="B69" s="71"/>
      <c r="C69" s="72" t="str">
        <f ca="1">I67</f>
        <v>Excavation, Plinth Completed, RCC upto 63 Slab, Brickwork upto 52 Floor, Internal Plaster upto 39 Floor, External Plaster upto 36.4 Floor, Flooring upto 14 Floor, Painting upto 8 Floor Completed</v>
      </c>
      <c r="D69" s="72"/>
      <c r="E69" s="72"/>
      <c r="F69" s="72"/>
      <c r="G69" s="72"/>
      <c r="H69" s="72"/>
      <c r="I69" s="204" t="str">
        <f ca="1">IF(I68&lt;&gt;""," Completed","")</f>
        <v xml:space="preserve"> Completed</v>
      </c>
      <c r="J69" s="50" t="str">
        <f ca="1">IF(J67&lt;&gt;"","Completed","")</f>
        <v>Completed</v>
      </c>
    </row>
    <row r="70" spans="1:12" ht="15.75" customHeight="1" x14ac:dyDescent="0.35">
      <c r="A70" s="75" t="s">
        <v>48</v>
      </c>
      <c r="B70" s="75"/>
      <c r="C70" s="68" t="s">
        <v>139</v>
      </c>
      <c r="D70" s="68" t="s">
        <v>82</v>
      </c>
      <c r="E70" s="75" t="s">
        <v>84</v>
      </c>
      <c r="F70" s="75"/>
      <c r="G70" s="75" t="s">
        <v>83</v>
      </c>
      <c r="H70" s="75"/>
      <c r="I70" s="14" t="s">
        <v>141</v>
      </c>
      <c r="J70" s="28">
        <f ca="1">H68*25%</f>
        <v>14.25</v>
      </c>
    </row>
    <row r="71" spans="1:12" x14ac:dyDescent="0.35">
      <c r="A71" s="75" t="s">
        <v>129</v>
      </c>
      <c r="B71" s="75"/>
      <c r="C71" s="68">
        <f ca="1">J72</f>
        <v>57</v>
      </c>
      <c r="D71" s="19">
        <f ca="1">((100/H68)*C71)/100</f>
        <v>1</v>
      </c>
      <c r="E71" s="211">
        <f ca="1">(((C72/H68*10)+(40/(D68+F68+H68)*C73)+(7.5/(H68)*C74)+(7.5/(H68)*C75)+(10/H68*C76)+(10/H68*C77)+(5/H68*C78)+(5/H68*C79)+(5/H68*C80))/100)</f>
        <v>0.68576367389060888</v>
      </c>
      <c r="F71" s="211"/>
      <c r="G71" s="211">
        <f ca="1">((((C71/H68)*20)+((C72/H68)*25)+(30/(H68+F68+D68)*C73)+(5/H68*C74)+(5/H68*C75)+(5/H68*C76)+(5/H68*C77)+(0/H68*C78)+(0/H68*C79)+(5/H68*C80))/100)</f>
        <v>0.85197626418988659</v>
      </c>
      <c r="H71" s="211"/>
      <c r="I71" s="14" t="s">
        <v>100</v>
      </c>
      <c r="J71" s="29">
        <f ca="1">H68*50%</f>
        <v>28.5</v>
      </c>
    </row>
    <row r="72" spans="1:12" x14ac:dyDescent="0.35">
      <c r="A72" s="75" t="s">
        <v>49</v>
      </c>
      <c r="B72" s="75"/>
      <c r="C72" s="68">
        <f ca="1">J80</f>
        <v>57</v>
      </c>
      <c r="D72" s="19">
        <f ca="1">((100/H68)*C72)/100</f>
        <v>1</v>
      </c>
      <c r="E72" s="211"/>
      <c r="F72" s="211"/>
      <c r="G72" s="211"/>
      <c r="H72" s="211"/>
      <c r="I72" s="14" t="s">
        <v>101</v>
      </c>
      <c r="J72" s="29">
        <f ca="1">H68</f>
        <v>57</v>
      </c>
      <c r="L72" s="21">
        <f>53+9+2</f>
        <v>64</v>
      </c>
    </row>
    <row r="73" spans="1:12" ht="15.75" customHeight="1" x14ac:dyDescent="0.35">
      <c r="A73" s="75" t="s">
        <v>130</v>
      </c>
      <c r="B73" s="75"/>
      <c r="C73" s="68">
        <f>D68+F68+52</f>
        <v>63</v>
      </c>
      <c r="D73" s="19">
        <f ca="1">((100/(D68+F68+H68))*C73)/100</f>
        <v>0.92647058823529416</v>
      </c>
      <c r="E73" s="211"/>
      <c r="F73" s="211"/>
      <c r="G73" s="211"/>
      <c r="H73" s="211"/>
      <c r="I73" s="14" t="s">
        <v>102</v>
      </c>
      <c r="J73" s="30">
        <f ca="1">(IF(B68&gt;1,(H68/(B68+2)),H68/4))</f>
        <v>14.25</v>
      </c>
    </row>
    <row r="74" spans="1:12" ht="15.75" customHeight="1" x14ac:dyDescent="0.35">
      <c r="A74" s="75" t="s">
        <v>136</v>
      </c>
      <c r="B74" s="75" t="s">
        <v>131</v>
      </c>
      <c r="C74" s="68">
        <f>C73-F68-D68</f>
        <v>52</v>
      </c>
      <c r="D74" s="19">
        <f ca="1">((100/H68)*C74)/100</f>
        <v>0.91228070175438591</v>
      </c>
      <c r="E74" s="211"/>
      <c r="F74" s="211"/>
      <c r="G74" s="211"/>
      <c r="H74" s="211"/>
      <c r="I74" s="14" t="s">
        <v>103</v>
      </c>
      <c r="J74" s="30">
        <f ca="1">(IF(B68&gt;1,(H68/(B68+2)+J73),H68/4+J73))</f>
        <v>28.5</v>
      </c>
    </row>
    <row r="75" spans="1:12" ht="15.75" customHeight="1" x14ac:dyDescent="0.35">
      <c r="A75" s="75" t="s">
        <v>137</v>
      </c>
      <c r="B75" s="75" t="s">
        <v>131</v>
      </c>
      <c r="C75" s="63">
        <f>C74*0.75</f>
        <v>39</v>
      </c>
      <c r="D75" s="19">
        <f ca="1">((100/H68)*C75)/100</f>
        <v>0.68421052631578949</v>
      </c>
      <c r="E75" s="211"/>
      <c r="F75" s="211"/>
      <c r="G75" s="211"/>
      <c r="H75" s="211"/>
      <c r="I75" s="14" t="s">
        <v>146</v>
      </c>
      <c r="J75" s="30">
        <f ca="1">(IF(B68&gt;1,(H68/(B68+2)+J74),0))</f>
        <v>42.75</v>
      </c>
    </row>
    <row r="76" spans="1:12" ht="15" customHeight="1" x14ac:dyDescent="0.35">
      <c r="A76" s="87" t="s">
        <v>255</v>
      </c>
      <c r="B76" s="87" t="s">
        <v>133</v>
      </c>
      <c r="C76" s="63">
        <f>C74*0.7</f>
        <v>36.4</v>
      </c>
      <c r="D76" s="19">
        <f ca="1">((100/(H68))*C76)/100</f>
        <v>0.63859649122807016</v>
      </c>
      <c r="E76" s="211"/>
      <c r="F76" s="211"/>
      <c r="G76" s="211"/>
      <c r="H76" s="211"/>
      <c r="I76" s="14" t="s">
        <v>143</v>
      </c>
      <c r="J76" s="30">
        <f>(IF(B68&gt;2,(H68/(B68+2)+J75),0))</f>
        <v>0</v>
      </c>
    </row>
    <row r="77" spans="1:12" ht="15.75" customHeight="1" x14ac:dyDescent="0.35">
      <c r="A77" s="75" t="s">
        <v>132</v>
      </c>
      <c r="B77" s="75" t="s">
        <v>132</v>
      </c>
      <c r="C77" s="68">
        <v>14</v>
      </c>
      <c r="D77" s="19">
        <f ca="1">((100/H68)*C77)/100</f>
        <v>0.24561403508771928</v>
      </c>
      <c r="E77" s="211"/>
      <c r="F77" s="211"/>
      <c r="G77" s="211"/>
      <c r="H77" s="211"/>
      <c r="I77" s="14" t="s">
        <v>144</v>
      </c>
      <c r="J77" s="31">
        <f>(IF(B68&gt;3,(H68/(B68+2)+J76),0))</f>
        <v>0</v>
      </c>
    </row>
    <row r="78" spans="1:12" ht="15.75" customHeight="1" x14ac:dyDescent="0.35">
      <c r="A78" s="75" t="s">
        <v>138</v>
      </c>
      <c r="B78" s="75"/>
      <c r="C78" s="68">
        <v>8</v>
      </c>
      <c r="D78" s="19">
        <f ca="1">((100/H68)*C78)/100</f>
        <v>0.14035087719298245</v>
      </c>
      <c r="E78" s="211"/>
      <c r="F78" s="211"/>
      <c r="G78" s="211"/>
      <c r="H78" s="211"/>
      <c r="I78" s="14" t="s">
        <v>145</v>
      </c>
      <c r="J78" s="30">
        <f>(IF(B68&gt;4,(H68/(B68+2)+J77),0))</f>
        <v>0</v>
      </c>
    </row>
    <row r="79" spans="1:12" ht="15.75" customHeight="1" x14ac:dyDescent="0.35">
      <c r="A79" s="75" t="s">
        <v>134</v>
      </c>
      <c r="B79" s="75" t="s">
        <v>134</v>
      </c>
      <c r="C79" s="68">
        <v>0</v>
      </c>
      <c r="D79" s="19">
        <f ca="1">((100/(H68))*C79)/100</f>
        <v>0</v>
      </c>
      <c r="E79" s="211"/>
      <c r="F79" s="211"/>
      <c r="G79" s="211"/>
      <c r="H79" s="211"/>
      <c r="I79" s="14" t="s">
        <v>147</v>
      </c>
      <c r="J79" s="30">
        <f>(IF(B68=1,(H68/(B68+3)+J74),IF(B68=0,(H68/4+J74),IF(B68&gt;1,0))))</f>
        <v>0</v>
      </c>
    </row>
    <row r="80" spans="1:12" ht="16" thickBot="1" x14ac:dyDescent="0.4">
      <c r="A80" s="75" t="s">
        <v>135</v>
      </c>
      <c r="B80" s="75"/>
      <c r="C80" s="68">
        <v>0</v>
      </c>
      <c r="D80" s="19">
        <f ca="1">((100/(H68))*C80)/100</f>
        <v>0</v>
      </c>
      <c r="E80" s="211"/>
      <c r="F80" s="211"/>
      <c r="G80" s="211"/>
      <c r="H80" s="211"/>
      <c r="I80" s="15" t="s">
        <v>104</v>
      </c>
      <c r="J80" s="32">
        <f ca="1">(IF(B68&gt;1.5,(H68/(B68+2)+J74+MAX(0,J75-J74)+MAX(0,J76-J75)+MAX(0,J77-J76)+MAX(0,J78-J77)+MAX(0,J79-J78)),IF(B68=1,(H68/(B68+3)+J79),IF(B68=0,H68/4+J79))))</f>
        <v>57</v>
      </c>
    </row>
    <row r="81" spans="1:12" ht="32.25" hidden="1" customHeight="1" x14ac:dyDescent="0.35">
      <c r="A81" s="205" t="s">
        <v>140</v>
      </c>
      <c r="B81" s="206"/>
      <c r="C81" s="207" t="s">
        <v>257</v>
      </c>
      <c r="D81" s="208"/>
      <c r="E81" s="208"/>
      <c r="F81" s="208"/>
      <c r="G81" s="208"/>
      <c r="H81" s="209"/>
      <c r="I81" s="47" t="str">
        <f ca="1">IF(D94=100%,"All work Completed. Possession granted to the Building.",IF(D93=100%,"All work Completed, Waiting for OC",I82&amp;""&amp;I83&amp;""&amp;J82&amp;""&amp;J81&amp;" "&amp;J83))</f>
        <v>Excavation, Plinth Completed, RCC upto 38 Slab, Brickwork upto 27 Floor, Internal Plaster upto 20.25 Floor, External Plaster upto 17.55 Floor, Flooring upto 6 Floor Completed</v>
      </c>
      <c r="J81" s="48" t="str">
        <f ca="1">(IF(C87=(D82+F82+H82),"",IF(C87&gt;0,", RCC upto "&amp;C87&amp;" Slab","")))&amp;(IF(C88=H82,"",IF(C88&gt;0,", Brickwork upto "&amp;C88&amp;" Floor","")))&amp;(IF(C89=H82,"",IF(C89&gt;0,", Internal Plaster upto "&amp;C89&amp;" Floor","")))&amp;(IF(C90=H82,"",IF(C90&gt;0,", External Plaster upto "&amp;C90&amp;" Floor","")))&amp;(IF(C91=H82,"",IF(C91&gt;0,", Flooring upto "&amp;C91&amp;" Floor","")))&amp;(IF(C92=H82,"",IF(C92&gt;0,", Painting upto "&amp;C92&amp;" Floor","")))&amp;(IF(C93=H82,"",IF(C93&gt;0,", Finishing upto "&amp;C93&amp;" Floor","")))&amp;(IF(C94=H82,"",IF(C94&gt;0,", Possession upto "&amp;C94&amp;" Floor","")))</f>
        <v>, RCC upto 38 Slab, Brickwork upto 27 Floor, Internal Plaster upto 20.25 Floor, External Plaster upto 17.55 Floor, Flooring upto 6 Floor</v>
      </c>
    </row>
    <row r="82" spans="1:12" hidden="1" x14ac:dyDescent="0.35">
      <c r="A82" s="16" t="s">
        <v>142</v>
      </c>
      <c r="B82" s="65">
        <f>IF(AND(ISNUMBER(SEARCH("1B",C81))),1,IF(AND(ISNUMBER(SEARCH("2B",C81))),2,IF(AND(ISNUMBER(SEARCH("3B",C81))),3,IF(AND(ISNUMBER(SEARCH("4B",C81))),4,IF(ISNUMBER(SEARCH("5B",C81)),5,0)))))</f>
        <v>2</v>
      </c>
      <c r="C82" s="65" t="s">
        <v>71</v>
      </c>
      <c r="D82" s="65">
        <v>2</v>
      </c>
      <c r="E82" s="65" t="s">
        <v>70</v>
      </c>
      <c r="F82" s="65">
        <v>9</v>
      </c>
      <c r="G82" s="46" t="s">
        <v>79</v>
      </c>
      <c r="H82" s="17">
        <f ca="1">--TRIM(RIGHT(SUBSTITUTE(LEFT(C81,_xlfn.AGGREGATE(16,6,FIND({0,1,2,3,4,5,6,7,8,9},C81,ROW(INDIRECT("1:"&amp;LEN(C81)))),1))," ",REPT(" ",LEN(C81))),LEN(C81)))</f>
        <v>53</v>
      </c>
      <c r="I82" s="49" t="str">
        <f ca="1">IF(D85=100%,"Excavation","")&amp;IF(D86=100%,", Plinth","")&amp;IF(D87=100%,", RCC Slab","")&amp;IF(D88=100%,", Brickwork","")&amp;IF(D89=100%,", Internal Plaster","")&amp;IF(D90=100%,", External Plaster","")&amp;IF(D91=100%,", Flooring","")&amp;IF(D92=100%,", Painting","")&amp;IF(D93=100%,", Building common Amenities","")</f>
        <v>Excavation, Plinth</v>
      </c>
      <c r="J82" s="50" t="str">
        <f ca="1">(IF(C85=0,"Work not yet Started.",IF(D85=25%,"Piling work in process",IF(D85=50%,"Excavation work in process",IF(D85=100%,"","0")))))&amp;(IF(C86=0%,"",IF(C86=J87,", Footing work is process",IF(C86=J88,", Footing work Completed",IF(C86=J89,", 1st Basement Completed",IF(C86=J90,", 1st &amp; 2nd Basement Completed",IF(C86=J91,", 1st to 3rd Basement Completed",IF(C86=J92,", 1st to 4th Basement Completed",IF(C86=J93,", Plinth work is process",IF(C86=J94,"","0"))))))))))</f>
        <v/>
      </c>
    </row>
    <row r="83" spans="1:12" ht="51" hidden="1" customHeight="1" x14ac:dyDescent="0.35">
      <c r="A83" s="70" t="s">
        <v>89</v>
      </c>
      <c r="B83" s="71"/>
      <c r="C83" s="72" t="str">
        <f ca="1">I81</f>
        <v>Excavation, Plinth Completed, RCC upto 38 Slab, Brickwork upto 27 Floor, Internal Plaster upto 20.25 Floor, External Plaster upto 17.55 Floor, Flooring upto 6 Floor Completed</v>
      </c>
      <c r="D83" s="72"/>
      <c r="E83" s="72"/>
      <c r="F83" s="72"/>
      <c r="G83" s="72"/>
      <c r="H83" s="73"/>
      <c r="I83" s="49" t="str">
        <f ca="1">IF(I82&lt;&gt;""," Completed","")</f>
        <v xml:space="preserve"> Completed</v>
      </c>
      <c r="J83" s="50" t="str">
        <f ca="1">IF(J81&lt;&gt;"","Completed","")</f>
        <v>Completed</v>
      </c>
    </row>
    <row r="84" spans="1:12" ht="15.75" hidden="1" customHeight="1" x14ac:dyDescent="0.35">
      <c r="A84" s="74" t="s">
        <v>48</v>
      </c>
      <c r="B84" s="75"/>
      <c r="C84" s="64" t="s">
        <v>139</v>
      </c>
      <c r="D84" s="64" t="s">
        <v>82</v>
      </c>
      <c r="E84" s="75" t="s">
        <v>84</v>
      </c>
      <c r="F84" s="75"/>
      <c r="G84" s="75" t="s">
        <v>83</v>
      </c>
      <c r="H84" s="76"/>
      <c r="I84" s="14" t="s">
        <v>141</v>
      </c>
      <c r="J84" s="28">
        <f ca="1">H82*25%</f>
        <v>13.25</v>
      </c>
    </row>
    <row r="85" spans="1:12" hidden="1" x14ac:dyDescent="0.35">
      <c r="A85" s="74" t="s">
        <v>129</v>
      </c>
      <c r="B85" s="75"/>
      <c r="C85" s="64">
        <f ca="1">J86</f>
        <v>53</v>
      </c>
      <c r="D85" s="19">
        <f ca="1">((100/H82)*C85)/100</f>
        <v>1</v>
      </c>
      <c r="E85" s="77">
        <f ca="1">(((C86/H82*10)+(40/(D82+F82+H82)*C87)+(7.5/(H82)*C88)+(7.5/(H82)*C89)+(10/H82*C90)+(10/H82*C91)+(5/H82*C92)+(5/H82*C93)+(5/H82*C94))/100)</f>
        <v>0.44879716981132078</v>
      </c>
      <c r="F85" s="78"/>
      <c r="G85" s="77">
        <f ca="1">((((C85/H82)*20)+((C86/H82)*25)+(30/(H82+F82+D82)*C87)+(5/H82*C88)+(5/H82*C89)+(5/H82*C90)+(5/H82*C91)+(0/H82*C92)+(0/H82*C93)+(5/H82*C94))/100)</f>
        <v>0.69491745283018858</v>
      </c>
      <c r="H85" s="83"/>
      <c r="I85" s="14" t="s">
        <v>100</v>
      </c>
      <c r="J85" s="29">
        <f ca="1">H82*50%</f>
        <v>26.5</v>
      </c>
    </row>
    <row r="86" spans="1:12" hidden="1" x14ac:dyDescent="0.35">
      <c r="A86" s="74" t="s">
        <v>49</v>
      </c>
      <c r="B86" s="75"/>
      <c r="C86" s="64">
        <f ca="1">J94</f>
        <v>53</v>
      </c>
      <c r="D86" s="19">
        <f ca="1">((100/H82)*C86)/100</f>
        <v>1</v>
      </c>
      <c r="E86" s="79"/>
      <c r="F86" s="80"/>
      <c r="G86" s="79"/>
      <c r="H86" s="84"/>
      <c r="I86" s="14" t="s">
        <v>101</v>
      </c>
      <c r="J86" s="29">
        <f ca="1">H82</f>
        <v>53</v>
      </c>
      <c r="L86" s="21">
        <f>53+9+2</f>
        <v>64</v>
      </c>
    </row>
    <row r="87" spans="1:12" ht="15.75" hidden="1" customHeight="1" x14ac:dyDescent="0.35">
      <c r="A87" s="74" t="s">
        <v>130</v>
      </c>
      <c r="B87" s="75"/>
      <c r="C87" s="64">
        <f>D82+F82+27</f>
        <v>38</v>
      </c>
      <c r="D87" s="19">
        <f ca="1">((100/(D82+F82+H82))*C87)/100</f>
        <v>0.59375</v>
      </c>
      <c r="E87" s="79"/>
      <c r="F87" s="80"/>
      <c r="G87" s="79"/>
      <c r="H87" s="84"/>
      <c r="I87" s="14" t="s">
        <v>102</v>
      </c>
      <c r="J87" s="30">
        <f ca="1">(IF(B82&gt;1,(H82/(B82+2)),H82/4))</f>
        <v>13.25</v>
      </c>
    </row>
    <row r="88" spans="1:12" ht="15.75" hidden="1" customHeight="1" x14ac:dyDescent="0.35">
      <c r="A88" s="74" t="s">
        <v>136</v>
      </c>
      <c r="B88" s="75" t="s">
        <v>131</v>
      </c>
      <c r="C88" s="64">
        <f>C87-F82-D82</f>
        <v>27</v>
      </c>
      <c r="D88" s="19">
        <f ca="1">((100/H82)*C88)/100</f>
        <v>0.50943396226415094</v>
      </c>
      <c r="E88" s="79"/>
      <c r="F88" s="80"/>
      <c r="G88" s="79"/>
      <c r="H88" s="84"/>
      <c r="I88" s="14" t="s">
        <v>103</v>
      </c>
      <c r="J88" s="30">
        <f ca="1">(IF(B82&gt;1,(H82/(B82+2)+J87),H82/4+J87))</f>
        <v>26.5</v>
      </c>
    </row>
    <row r="89" spans="1:12" ht="15.75" hidden="1" customHeight="1" x14ac:dyDescent="0.35">
      <c r="A89" s="74" t="s">
        <v>137</v>
      </c>
      <c r="B89" s="75" t="s">
        <v>131</v>
      </c>
      <c r="C89" s="63">
        <f>C88*0.75</f>
        <v>20.25</v>
      </c>
      <c r="D89" s="19">
        <f ca="1">((100/H82)*C89)/100</f>
        <v>0.38207547169811318</v>
      </c>
      <c r="E89" s="79"/>
      <c r="F89" s="80"/>
      <c r="G89" s="79"/>
      <c r="H89" s="84"/>
      <c r="I89" s="14" t="s">
        <v>146</v>
      </c>
      <c r="J89" s="30">
        <f ca="1">(IF(B82&gt;1,(H82/(B82+2)+J88),0))</f>
        <v>39.75</v>
      </c>
    </row>
    <row r="90" spans="1:12" ht="15" hidden="1" customHeight="1" x14ac:dyDescent="0.35">
      <c r="A90" s="86" t="s">
        <v>255</v>
      </c>
      <c r="B90" s="87" t="s">
        <v>133</v>
      </c>
      <c r="C90" s="63">
        <f>C88*0.65</f>
        <v>17.55</v>
      </c>
      <c r="D90" s="19">
        <f ca="1">((100/(H82))*C90)/100</f>
        <v>0.33113207547169815</v>
      </c>
      <c r="E90" s="79"/>
      <c r="F90" s="80"/>
      <c r="G90" s="79"/>
      <c r="H90" s="84"/>
      <c r="I90" s="14" t="s">
        <v>143</v>
      </c>
      <c r="J90" s="30">
        <f>(IF(B82&gt;2,(H82/(B82+2)+J89),0))</f>
        <v>0</v>
      </c>
    </row>
    <row r="91" spans="1:12" ht="15.75" hidden="1" customHeight="1" x14ac:dyDescent="0.35">
      <c r="A91" s="74" t="s">
        <v>132</v>
      </c>
      <c r="B91" s="75" t="s">
        <v>132</v>
      </c>
      <c r="C91" s="64">
        <v>6</v>
      </c>
      <c r="D91" s="19">
        <f ca="1">((100/H82)*C91)/100</f>
        <v>0.11320754716981131</v>
      </c>
      <c r="E91" s="79"/>
      <c r="F91" s="80"/>
      <c r="G91" s="79"/>
      <c r="H91" s="84"/>
      <c r="I91" s="14" t="s">
        <v>144</v>
      </c>
      <c r="J91" s="31">
        <f>(IF(B82&gt;3,(H82/(B82+2)+J90),0))</f>
        <v>0</v>
      </c>
    </row>
    <row r="92" spans="1:12" ht="15.75" hidden="1" customHeight="1" x14ac:dyDescent="0.35">
      <c r="A92" s="74" t="s">
        <v>138</v>
      </c>
      <c r="B92" s="75"/>
      <c r="C92" s="64">
        <v>0</v>
      </c>
      <c r="D92" s="19">
        <f ca="1">((100/H82)*C92)/100</f>
        <v>0</v>
      </c>
      <c r="E92" s="79"/>
      <c r="F92" s="80"/>
      <c r="G92" s="79"/>
      <c r="H92" s="84"/>
      <c r="I92" s="14" t="s">
        <v>145</v>
      </c>
      <c r="J92" s="30">
        <f>(IF(B82&gt;4,(H82/(B82+2)+J91),0))</f>
        <v>0</v>
      </c>
    </row>
    <row r="93" spans="1:12" ht="15.75" hidden="1" customHeight="1" x14ac:dyDescent="0.35">
      <c r="A93" s="74" t="s">
        <v>134</v>
      </c>
      <c r="B93" s="75" t="s">
        <v>134</v>
      </c>
      <c r="C93" s="64">
        <v>0</v>
      </c>
      <c r="D93" s="19">
        <f ca="1">((100/(H82))*C93)/100</f>
        <v>0</v>
      </c>
      <c r="E93" s="79"/>
      <c r="F93" s="80"/>
      <c r="G93" s="79"/>
      <c r="H93" s="84"/>
      <c r="I93" s="14" t="s">
        <v>147</v>
      </c>
      <c r="J93" s="30">
        <f>(IF(B82=1,(H82/(B82+3)+J88),IF(B82=0,(H82/4+J88),IF(B82&gt;1,0))))</f>
        <v>0</v>
      </c>
    </row>
    <row r="94" spans="1:12" ht="16" hidden="1" thickBot="1" x14ac:dyDescent="0.4">
      <c r="A94" s="88" t="s">
        <v>135</v>
      </c>
      <c r="B94" s="89"/>
      <c r="C94" s="66">
        <v>0</v>
      </c>
      <c r="D94" s="20">
        <f ca="1">((100/(H82))*C94)/100</f>
        <v>0</v>
      </c>
      <c r="E94" s="81"/>
      <c r="F94" s="82"/>
      <c r="G94" s="81"/>
      <c r="H94" s="85"/>
      <c r="I94" s="15" t="s">
        <v>104</v>
      </c>
      <c r="J94" s="32">
        <f ca="1">(IF(B82&gt;1.5,(H82/(B82+2)+J88+MAX(0,J89-J88)+MAX(0,J90-J89)+MAX(0,J91-J90)+MAX(0,J92-J91)+MAX(0,J93-J92)),IF(B82=1,(H82/(B82+3)+J93),IF(B82=0,H82/4+J93))))</f>
        <v>53</v>
      </c>
    </row>
    <row r="95" spans="1:12" x14ac:dyDescent="0.35">
      <c r="A95" s="121" t="s">
        <v>156</v>
      </c>
      <c r="B95" s="121"/>
      <c r="C95" s="121"/>
      <c r="D95" s="121"/>
      <c r="E95" s="121"/>
      <c r="F95" s="143" t="s">
        <v>161</v>
      </c>
      <c r="G95" s="143"/>
      <c r="H95" s="143"/>
    </row>
    <row r="96" spans="1:12" x14ac:dyDescent="0.35">
      <c r="A96" s="120" t="s">
        <v>159</v>
      </c>
      <c r="B96" s="120"/>
      <c r="C96" s="120"/>
      <c r="D96" s="120"/>
      <c r="E96" s="120"/>
      <c r="F96" s="140">
        <v>18000</v>
      </c>
      <c r="G96" s="140"/>
      <c r="H96" s="140"/>
      <c r="I96" s="21" t="s">
        <v>261</v>
      </c>
    </row>
    <row r="97" spans="1:8" x14ac:dyDescent="0.35">
      <c r="A97" s="120" t="s">
        <v>158</v>
      </c>
      <c r="B97" s="120"/>
      <c r="C97" s="120"/>
      <c r="D97" s="120"/>
      <c r="E97" s="120"/>
      <c r="F97" s="140">
        <v>25000</v>
      </c>
      <c r="G97" s="140"/>
      <c r="H97" s="140"/>
    </row>
    <row r="98" spans="1:8" x14ac:dyDescent="0.35">
      <c r="A98" s="120" t="s">
        <v>160</v>
      </c>
      <c r="B98" s="120"/>
      <c r="C98" s="120"/>
      <c r="D98" s="120"/>
      <c r="E98" s="120"/>
      <c r="F98" s="140">
        <v>18000</v>
      </c>
      <c r="G98" s="140"/>
      <c r="H98" s="140"/>
    </row>
    <row r="99" spans="1:8" s="33" customFormat="1" hidden="1" x14ac:dyDescent="0.3">
      <c r="A99" s="120" t="s">
        <v>157</v>
      </c>
      <c r="B99" s="120"/>
      <c r="C99" s="120"/>
      <c r="D99" s="120"/>
      <c r="E99" s="120"/>
      <c r="F99" s="140"/>
      <c r="G99" s="140"/>
      <c r="H99" s="140"/>
    </row>
    <row r="100" spans="1:8" s="33" customFormat="1" hidden="1" x14ac:dyDescent="0.3">
      <c r="A100" s="120" t="s">
        <v>94</v>
      </c>
      <c r="B100" s="120"/>
      <c r="C100" s="120"/>
      <c r="D100" s="120"/>
      <c r="E100" s="120"/>
      <c r="F100" s="140"/>
      <c r="G100" s="140"/>
      <c r="H100" s="140"/>
    </row>
    <row r="101" spans="1:8" s="33" customFormat="1" hidden="1" x14ac:dyDescent="0.3">
      <c r="A101" s="120" t="s">
        <v>95</v>
      </c>
      <c r="B101" s="120"/>
      <c r="C101" s="120"/>
      <c r="D101" s="120"/>
      <c r="E101" s="120"/>
      <c r="F101" s="140"/>
      <c r="G101" s="140"/>
      <c r="H101" s="140"/>
    </row>
    <row r="102" spans="1:8" s="33" customFormat="1" hidden="1" x14ac:dyDescent="0.3">
      <c r="A102" s="120" t="s">
        <v>162</v>
      </c>
      <c r="B102" s="120"/>
      <c r="C102" s="120"/>
      <c r="D102" s="120"/>
      <c r="E102" s="120"/>
      <c r="F102" s="140"/>
      <c r="G102" s="140"/>
      <c r="H102" s="140"/>
    </row>
    <row r="103" spans="1:8" s="33" customFormat="1" hidden="1" x14ac:dyDescent="0.3">
      <c r="A103" s="120" t="s">
        <v>96</v>
      </c>
      <c r="B103" s="120"/>
      <c r="C103" s="120"/>
      <c r="D103" s="120"/>
      <c r="E103" s="120"/>
      <c r="F103" s="140"/>
      <c r="G103" s="140"/>
      <c r="H103" s="140"/>
    </row>
    <row r="104" spans="1:8" s="33" customFormat="1" hidden="1" x14ac:dyDescent="0.3">
      <c r="A104" s="120" t="s">
        <v>97</v>
      </c>
      <c r="B104" s="120"/>
      <c r="C104" s="120"/>
      <c r="D104" s="120"/>
      <c r="E104" s="120"/>
      <c r="F104" s="140"/>
      <c r="G104" s="140"/>
      <c r="H104" s="140"/>
    </row>
    <row r="105" spans="1:8" s="33" customFormat="1" hidden="1" x14ac:dyDescent="0.3">
      <c r="A105" s="120" t="s">
        <v>98</v>
      </c>
      <c r="B105" s="120"/>
      <c r="C105" s="120"/>
      <c r="D105" s="120"/>
      <c r="E105" s="120"/>
      <c r="F105" s="140"/>
      <c r="G105" s="140"/>
      <c r="H105" s="140"/>
    </row>
    <row r="106" spans="1:8" s="33" customFormat="1" hidden="1" x14ac:dyDescent="0.3">
      <c r="A106" s="120" t="s">
        <v>99</v>
      </c>
      <c r="B106" s="120"/>
      <c r="C106" s="120"/>
      <c r="D106" s="120"/>
      <c r="E106" s="120"/>
      <c r="F106" s="140"/>
      <c r="G106" s="140"/>
      <c r="H106" s="140"/>
    </row>
    <row r="107" spans="1:8" x14ac:dyDescent="0.35">
      <c r="A107" s="120" t="s">
        <v>50</v>
      </c>
      <c r="B107" s="120"/>
      <c r="C107" s="120"/>
      <c r="D107" s="120"/>
      <c r="E107" s="120"/>
      <c r="F107" s="140">
        <v>800000</v>
      </c>
      <c r="G107" s="140"/>
      <c r="H107" s="140"/>
    </row>
    <row r="108" spans="1:8" s="34" customFormat="1" x14ac:dyDescent="0.35">
      <c r="A108" s="132" t="s">
        <v>51</v>
      </c>
      <c r="B108" s="132"/>
      <c r="C108" s="132"/>
      <c r="D108" s="132"/>
      <c r="E108" s="132"/>
      <c r="F108" s="140">
        <f>F96*0.8</f>
        <v>14400</v>
      </c>
      <c r="G108" s="140"/>
      <c r="H108" s="140"/>
    </row>
    <row r="109" spans="1:8" s="35" customFormat="1" ht="15.75" customHeight="1" x14ac:dyDescent="0.35">
      <c r="A109" s="144" t="s">
        <v>238</v>
      </c>
      <c r="B109" s="144"/>
      <c r="C109" s="144"/>
      <c r="D109" s="144"/>
      <c r="E109" s="144"/>
      <c r="F109" s="144"/>
      <c r="G109" s="144"/>
      <c r="H109" s="144"/>
    </row>
    <row r="110" spans="1:8" s="35" customFormat="1" ht="15.75" customHeight="1" x14ac:dyDescent="0.35">
      <c r="A110" s="181" t="s">
        <v>52</v>
      </c>
      <c r="B110" s="182"/>
      <c r="C110" s="146" t="s">
        <v>77</v>
      </c>
      <c r="D110" s="146"/>
      <c r="E110" s="180" t="s">
        <v>53</v>
      </c>
      <c r="F110" s="180"/>
      <c r="G110" s="122" t="s">
        <v>54</v>
      </c>
      <c r="H110" s="122"/>
    </row>
    <row r="111" spans="1:8" s="35" customFormat="1" x14ac:dyDescent="0.35">
      <c r="A111" s="90" t="s">
        <v>200</v>
      </c>
      <c r="B111" s="57" t="s">
        <v>201</v>
      </c>
      <c r="C111" s="98">
        <f>COUNT(D134:D139)</f>
        <v>6</v>
      </c>
      <c r="D111" s="99"/>
      <c r="E111" s="100">
        <f>SUM(D134:D139)</f>
        <v>2828.241</v>
      </c>
      <c r="F111" s="101"/>
      <c r="G111" s="100">
        <f>SUM(F134:F139)</f>
        <v>4525.1855999999998</v>
      </c>
      <c r="H111" s="101"/>
    </row>
    <row r="112" spans="1:8" s="35" customFormat="1" x14ac:dyDescent="0.35">
      <c r="A112" s="91"/>
      <c r="B112" s="57" t="s">
        <v>208</v>
      </c>
      <c r="C112" s="98">
        <f>COUNT(D141:D145)+COUNT(D147:D151)+COUNT(D153:D157)*2+COUNT(D159:D163)*2+COUNT(D165:D169)+COUNT(D171:D175)</f>
        <v>40</v>
      </c>
      <c r="D112" s="98"/>
      <c r="E112" s="100">
        <f>SUM(D141:D145)+SUM(D147:D151)+SUM(D153:D157)*2+SUM(D159:D163)*2+SUM(D165:D169)+SUM(D171:D175)</f>
        <v>22854.017159999996</v>
      </c>
      <c r="F112" s="100"/>
      <c r="G112" s="100">
        <f>SUM(F141:F145)+SUM(F147:F151)+SUM(F153:F157)*2+SUM(F159:F163)*2+SUM(F165:F169)+SUM(F171:F175)</f>
        <v>36566.427455999998</v>
      </c>
      <c r="H112" s="100"/>
    </row>
    <row r="113" spans="1:10" s="35" customFormat="1" x14ac:dyDescent="0.35">
      <c r="A113" s="90" t="s">
        <v>204</v>
      </c>
      <c r="B113" s="57" t="s">
        <v>201</v>
      </c>
      <c r="C113" s="98">
        <f>COUNT(D185:D190)</f>
        <v>6</v>
      </c>
      <c r="D113" s="99"/>
      <c r="E113" s="100">
        <f>SUM(D185:D190)</f>
        <v>3005.0935200000004</v>
      </c>
      <c r="F113" s="101"/>
      <c r="G113" s="100">
        <f>SUM(F185:F190)</f>
        <v>4808.1496319999997</v>
      </c>
      <c r="H113" s="101"/>
    </row>
    <row r="114" spans="1:10" s="35" customFormat="1" ht="15.75" customHeight="1" x14ac:dyDescent="0.35">
      <c r="A114" s="91"/>
      <c r="B114" s="57" t="s">
        <v>208</v>
      </c>
      <c r="C114" s="98">
        <f>COUNT(D195:D199)+COUNT(D202:D206)*2+COUNT(D209:D214)*2+COUNT(D220:D226)+COUNT(D228:D238)</f>
        <v>45</v>
      </c>
      <c r="D114" s="98"/>
      <c r="E114" s="100">
        <f>SUM(D195:D199)+SUM(D202:D206)*2+SUM(D209:D214)*2+SUM(D220:D226)+SUM(D228:D238)</f>
        <v>26497.95408</v>
      </c>
      <c r="F114" s="100"/>
      <c r="G114" s="100">
        <f>SUM(F195:F199)+SUM(F202:F206)*2+SUM(F209:F214)*2+SUM(F220:F226)+SUM(F228:F238)</f>
        <v>42396.726527999992</v>
      </c>
      <c r="H114" s="100"/>
    </row>
    <row r="115" spans="1:10" s="35" customFormat="1" x14ac:dyDescent="0.35">
      <c r="A115" s="91"/>
      <c r="B115" s="57" t="s">
        <v>236</v>
      </c>
      <c r="C115" s="98">
        <f>COUNT(D184)</f>
        <v>1</v>
      </c>
      <c r="D115" s="99"/>
      <c r="E115" s="100">
        <f>SUM(D184)</f>
        <v>3594.2072399999993</v>
      </c>
      <c r="F115" s="101"/>
      <c r="G115" s="100">
        <f>SUM(F184)</f>
        <v>5750.7315839999992</v>
      </c>
      <c r="H115" s="101"/>
    </row>
    <row r="116" spans="1:10" s="35" customFormat="1" ht="36" customHeight="1" x14ac:dyDescent="0.35">
      <c r="A116" s="103"/>
      <c r="B116" s="57" t="s">
        <v>207</v>
      </c>
      <c r="C116" s="98">
        <f>COUNT(D193)+COUNT(D200)+COUNT(D207)*2</f>
        <v>4</v>
      </c>
      <c r="D116" s="98"/>
      <c r="E116" s="102">
        <f>SUM(D193)+SUM(D200)+SUM(D207)*2</f>
        <v>14779.402559999999</v>
      </c>
      <c r="F116" s="102"/>
      <c r="G116" s="102">
        <f>SUM(F193)+SUM(F200)+SUM(F207)*2</f>
        <v>23647.044095999998</v>
      </c>
      <c r="H116" s="102"/>
    </row>
    <row r="117" spans="1:10" s="35" customFormat="1" x14ac:dyDescent="0.35">
      <c r="A117" s="144" t="s">
        <v>150</v>
      </c>
      <c r="B117" s="144"/>
      <c r="C117" s="145">
        <f>SUM(C111:C116)</f>
        <v>102</v>
      </c>
      <c r="D117" s="146"/>
      <c r="E117" s="145">
        <f t="shared" ref="E117" si="0">SUM(E111:E116)</f>
        <v>73558.915559999994</v>
      </c>
      <c r="F117" s="146"/>
      <c r="G117" s="145">
        <f t="shared" ref="G117" si="1">SUM(G111:G116)</f>
        <v>117694.26489599998</v>
      </c>
      <c r="H117" s="146"/>
    </row>
    <row r="118" spans="1:10" s="35" customFormat="1" x14ac:dyDescent="0.35">
      <c r="A118" s="144" t="s">
        <v>239</v>
      </c>
      <c r="B118" s="144"/>
      <c r="C118" s="144"/>
      <c r="D118" s="144"/>
      <c r="E118" s="144"/>
      <c r="F118" s="144"/>
      <c r="G118" s="144"/>
      <c r="H118" s="144"/>
    </row>
    <row r="119" spans="1:10" s="35" customFormat="1" ht="15.75" customHeight="1" x14ac:dyDescent="0.35">
      <c r="A119" s="122" t="s">
        <v>52</v>
      </c>
      <c r="B119" s="122"/>
      <c r="C119" s="146" t="s">
        <v>77</v>
      </c>
      <c r="D119" s="146"/>
      <c r="E119" s="180" t="s">
        <v>53</v>
      </c>
      <c r="F119" s="180"/>
      <c r="G119" s="122" t="s">
        <v>54</v>
      </c>
      <c r="H119" s="122"/>
    </row>
    <row r="120" spans="1:10" s="35" customFormat="1" x14ac:dyDescent="0.35">
      <c r="A120" s="57" t="s">
        <v>200</v>
      </c>
      <c r="B120" s="57" t="s">
        <v>237</v>
      </c>
      <c r="C120" s="98">
        <f>COUNT(D247:D254)*9+COUNT(D256:D258,D261:D263)+COUNT(D265:D272)*8+COUNT(D274:D276,D279:D281)*2+COUNT(D283:D290)*4+COUNT(D292:D294,D297:D299)+COUNT(D301:D308)*5+COUNT(D311:D318)*19+COUNT(D320:D322,D325:D327)*3+COUNT(D329:D331,D333:D336)</f>
        <v>409</v>
      </c>
      <c r="D120" s="98"/>
      <c r="E120" s="100">
        <f>SUM(D247:D254)*9+SUM(D256:D258,D261:D263)+SUM(D265:D272)*8+SUM(D274:D276,D279:D281)*2+SUM(D283:D290)*4+SUM(D292:D294,D297:D299)+SUM(D301:D308)*5+SUM(D311:D318)*19+SUM(D320:D322,D325:D327)*3+SUM(D329:D331,D333:D336)</f>
        <v>311520.17052000004</v>
      </c>
      <c r="F120" s="100"/>
      <c r="G120" s="100">
        <f>SUM(F247:F254)*9+SUM(F256:F258,F261:F263)+SUM(F265:F272)*8+SUM(F274:F276,F279:F281)*2+SUM(F283:F290)*4+SUM(F292:F294,F297:F299)+SUM(F301:F308)*5+SUM(F311:F318)*19+SUM(F320:F322,F325:F327)*3+SUM(F329:F331,F333:F336)</f>
        <v>482856.26430599985</v>
      </c>
      <c r="H120" s="100"/>
    </row>
    <row r="121" spans="1:10" s="35" customFormat="1" x14ac:dyDescent="0.35">
      <c r="A121" s="57" t="s">
        <v>204</v>
      </c>
      <c r="B121" s="57" t="s">
        <v>237</v>
      </c>
      <c r="C121" s="98">
        <f>COUNT(D339:D346)*9+COUNT(D348:D352,D355)+COUNT(D357:D364)*8+COUNT(D366:D370,D373)*2+COUNT(D375:D382)*4+COUNT(D384:D388,D391)+COUNT(D393:D400)*5+COUNT(D403:D410)*19+COUNT(D412:D416,D419)*3+COUNT(D421:D426,D428)</f>
        <v>409</v>
      </c>
      <c r="D121" s="98"/>
      <c r="E121" s="100">
        <f>SUM(D339:D346)*9+SUM(D348:D352,D355)+SUM(D357:D364)*8+SUM(D366:D370,D373)*2+SUM(D375:D382)*4+SUM(D384:D388,D391)+SUM(D393:D400)*5+SUM(D403:D410)*19+SUM(D412:D416,D419)*3+SUM(D421:D426,D428)</f>
        <v>311520.17052000004</v>
      </c>
      <c r="F121" s="100"/>
      <c r="G121" s="100">
        <f>SUM(F339:F346)*9+SUM(F348:F352,F355)+SUM(F357:F364)*8+SUM(F366:F370,F373)*2+SUM(F375:F382)*4+SUM(F384:F388,F391)+SUM(F393:F400)*5+SUM(F403:F410)*19+SUM(F412:F416,F419)*3+SUM(F421:F426,F428)</f>
        <v>482856.26430599997</v>
      </c>
      <c r="H121" s="100"/>
    </row>
    <row r="122" spans="1:10" s="35" customFormat="1" ht="16" thickBot="1" x14ac:dyDescent="0.4">
      <c r="A122" s="129" t="s">
        <v>150</v>
      </c>
      <c r="B122" s="129"/>
      <c r="C122" s="130">
        <f>SUM(C120:C121)</f>
        <v>818</v>
      </c>
      <c r="D122" s="131"/>
      <c r="E122" s="130">
        <f t="shared" ref="E122" si="2">SUM(E120:E121)</f>
        <v>623040.34104000009</v>
      </c>
      <c r="F122" s="131"/>
      <c r="G122" s="130">
        <f t="shared" ref="G122" si="3">SUM(G120:G121)</f>
        <v>965712.52861199982</v>
      </c>
      <c r="H122" s="131"/>
    </row>
    <row r="123" spans="1:10" s="35" customFormat="1" ht="16" thickBot="1" x14ac:dyDescent="0.4">
      <c r="A123" s="189" t="s">
        <v>168</v>
      </c>
      <c r="B123" s="190"/>
      <c r="C123" s="191">
        <f>C117+C122</f>
        <v>920</v>
      </c>
      <c r="D123" s="191"/>
      <c r="E123" s="192">
        <f>E117+E122</f>
        <v>696599.25660000008</v>
      </c>
      <c r="F123" s="192"/>
      <c r="G123" s="193">
        <f>G117+G122</f>
        <v>1083406.7935079997</v>
      </c>
      <c r="H123" s="194"/>
    </row>
    <row r="124" spans="1:10" s="34" customFormat="1" x14ac:dyDescent="0.35">
      <c r="A124" s="143" t="s">
        <v>55</v>
      </c>
      <c r="B124" s="143"/>
      <c r="C124" s="143"/>
      <c r="D124" s="143"/>
      <c r="E124" s="143"/>
      <c r="F124" s="143"/>
      <c r="G124" s="143"/>
      <c r="H124" s="143"/>
    </row>
    <row r="125" spans="1:10" x14ac:dyDescent="0.35">
      <c r="A125" s="175" t="s">
        <v>56</v>
      </c>
      <c r="B125" s="175"/>
      <c r="C125" s="175"/>
      <c r="D125" s="175"/>
      <c r="E125" s="175"/>
      <c r="F125" s="175"/>
      <c r="G125" s="175"/>
      <c r="H125" s="175"/>
    </row>
    <row r="126" spans="1:10" ht="47.25" customHeight="1" x14ac:dyDescent="0.35">
      <c r="A126" s="212" t="s">
        <v>120</v>
      </c>
      <c r="B126" s="212" t="s">
        <v>119</v>
      </c>
      <c r="C126" s="212" t="s">
        <v>57</v>
      </c>
      <c r="D126" s="212" t="s">
        <v>58</v>
      </c>
      <c r="E126" s="213" t="s">
        <v>155</v>
      </c>
      <c r="F126" s="214" t="s">
        <v>149</v>
      </c>
      <c r="G126" s="212" t="s">
        <v>60</v>
      </c>
      <c r="H126" s="212"/>
    </row>
    <row r="127" spans="1:10" s="37" customFormat="1" x14ac:dyDescent="0.35">
      <c r="A127" s="212"/>
      <c r="B127" s="212"/>
      <c r="C127" s="212"/>
      <c r="D127" s="212"/>
      <c r="E127" s="213"/>
      <c r="F127" s="215">
        <v>0.6</v>
      </c>
      <c r="G127" s="212"/>
      <c r="H127" s="212"/>
    </row>
    <row r="128" spans="1:10" s="52" customFormat="1" x14ac:dyDescent="0.35">
      <c r="A128" s="216" t="s">
        <v>199</v>
      </c>
      <c r="B128" s="216"/>
      <c r="C128" s="216"/>
      <c r="D128" s="216"/>
      <c r="E128" s="216"/>
      <c r="F128" s="216"/>
      <c r="G128" s="216"/>
      <c r="H128" s="216"/>
      <c r="J128" s="36"/>
    </row>
    <row r="129" spans="1:14" s="52" customFormat="1" x14ac:dyDescent="0.35">
      <c r="A129" s="216" t="s">
        <v>200</v>
      </c>
      <c r="B129" s="216"/>
      <c r="C129" s="216"/>
      <c r="D129" s="216"/>
      <c r="E129" s="216"/>
      <c r="F129" s="216"/>
      <c r="G129" s="216"/>
      <c r="H129" s="216"/>
      <c r="J129" s="36"/>
    </row>
    <row r="130" spans="1:14" s="55" customFormat="1" x14ac:dyDescent="0.35">
      <c r="A130" s="217" t="s">
        <v>244</v>
      </c>
      <c r="B130" s="217"/>
      <c r="C130" s="217"/>
      <c r="D130" s="217"/>
      <c r="E130" s="217"/>
      <c r="F130" s="217"/>
      <c r="G130" s="217"/>
      <c r="H130" s="217"/>
      <c r="J130" s="36"/>
    </row>
    <row r="131" spans="1:14" s="52" customFormat="1" x14ac:dyDescent="0.35">
      <c r="A131" s="217" t="s">
        <v>243</v>
      </c>
      <c r="B131" s="217"/>
      <c r="C131" s="217"/>
      <c r="D131" s="217"/>
      <c r="E131" s="217"/>
      <c r="F131" s="217"/>
      <c r="G131" s="217"/>
      <c r="H131" s="217"/>
      <c r="J131" s="36"/>
    </row>
    <row r="132" spans="1:14" s="52" customFormat="1" x14ac:dyDescent="0.35">
      <c r="A132" s="216" t="s">
        <v>245</v>
      </c>
      <c r="B132" s="216"/>
      <c r="C132" s="216"/>
      <c r="D132" s="216"/>
      <c r="E132" s="216"/>
      <c r="F132" s="216"/>
      <c r="G132" s="216"/>
      <c r="H132" s="216"/>
      <c r="J132" s="36"/>
    </row>
    <row r="133" spans="1:14" s="37" customFormat="1" ht="32.25" customHeight="1" x14ac:dyDescent="0.35">
      <c r="A133" s="216" t="s">
        <v>203</v>
      </c>
      <c r="B133" s="216"/>
      <c r="C133" s="216"/>
      <c r="D133" s="216"/>
      <c r="E133" s="216"/>
      <c r="F133" s="216"/>
      <c r="G133" s="216"/>
      <c r="H133" s="216"/>
      <c r="J133" s="36"/>
    </row>
    <row r="134" spans="1:14" s="37" customFormat="1" ht="15.75" customHeight="1" x14ac:dyDescent="0.35">
      <c r="A134" s="218">
        <v>1</v>
      </c>
      <c r="B134" s="218"/>
      <c r="C134" s="56" t="s">
        <v>201</v>
      </c>
      <c r="D134" s="60">
        <f>(41.61)*(10.764)</f>
        <v>447.89003999999994</v>
      </c>
      <c r="E134" s="56">
        <v>0</v>
      </c>
      <c r="F134" s="56">
        <f>(D134+E134)*(($F$127)+1)</f>
        <v>716.62406399999998</v>
      </c>
      <c r="G134" s="218" t="str">
        <f>A133</f>
        <v>Upper Ground Floor For Entrance Lobby, Electrical BMS Room, Meter Room, Fire Control Room &amp; Commercial</v>
      </c>
      <c r="H134" s="218"/>
      <c r="I134" s="36">
        <f>5.15*2.3+2.2*0.5+4.8*3.53+5.15*1.27+1.35*1.68</f>
        <v>38.697499999999998</v>
      </c>
      <c r="L134" s="113"/>
      <c r="M134" s="113"/>
      <c r="N134" s="36"/>
    </row>
    <row r="135" spans="1:14" s="37" customFormat="1" ht="15.75" customHeight="1" x14ac:dyDescent="0.35">
      <c r="A135" s="218" t="s">
        <v>202</v>
      </c>
      <c r="B135" s="218"/>
      <c r="C135" s="56" t="s">
        <v>201</v>
      </c>
      <c r="D135" s="60">
        <f>(42.43)*(10.764)</f>
        <v>456.71651999999995</v>
      </c>
      <c r="E135" s="56">
        <v>0</v>
      </c>
      <c r="F135" s="56">
        <f t="shared" ref="F135:F138" si="4">(D135+E135)*(($F$127)+1)</f>
        <v>730.74643199999991</v>
      </c>
      <c r="G135" s="218"/>
      <c r="H135" s="218"/>
      <c r="I135" s="36"/>
      <c r="J135" s="60">
        <f>10.764</f>
        <v>10.763999999999999</v>
      </c>
      <c r="L135" s="113"/>
      <c r="M135" s="113"/>
      <c r="N135" s="36"/>
    </row>
    <row r="136" spans="1:14" s="37" customFormat="1" ht="15.75" customHeight="1" x14ac:dyDescent="0.35">
      <c r="A136" s="218">
        <v>2</v>
      </c>
      <c r="B136" s="218"/>
      <c r="C136" s="56" t="s">
        <v>201</v>
      </c>
      <c r="D136" s="60">
        <f>(61.97)*(10.764)</f>
        <v>667.04507999999998</v>
      </c>
      <c r="E136" s="56">
        <v>0</v>
      </c>
      <c r="F136" s="56">
        <f t="shared" si="4"/>
        <v>1067.2721280000001</v>
      </c>
      <c r="G136" s="218"/>
      <c r="H136" s="218"/>
      <c r="I136" s="36">
        <f>6.21*7.3+5.24*2.15+1.35*2</f>
        <v>59.298999999999999</v>
      </c>
      <c r="L136" s="113"/>
      <c r="M136" s="113"/>
      <c r="N136" s="36"/>
    </row>
    <row r="137" spans="1:14" s="37" customFormat="1" ht="15.75" customHeight="1" x14ac:dyDescent="0.35">
      <c r="A137" s="218">
        <v>3</v>
      </c>
      <c r="B137" s="218"/>
      <c r="C137" s="56" t="s">
        <v>201</v>
      </c>
      <c r="D137" s="60">
        <f>(33.54)*(10.764)</f>
        <v>361.02455999999995</v>
      </c>
      <c r="E137" s="56">
        <v>0</v>
      </c>
      <c r="F137" s="56">
        <f t="shared" si="4"/>
        <v>577.63929599999994</v>
      </c>
      <c r="G137" s="218"/>
      <c r="H137" s="218"/>
      <c r="I137" s="36"/>
      <c r="L137" s="113"/>
      <c r="M137" s="113"/>
      <c r="N137" s="36"/>
    </row>
    <row r="138" spans="1:14" s="52" customFormat="1" ht="15.75" customHeight="1" x14ac:dyDescent="0.35">
      <c r="A138" s="218">
        <v>4</v>
      </c>
      <c r="B138" s="218"/>
      <c r="C138" s="56" t="s">
        <v>201</v>
      </c>
      <c r="D138" s="60">
        <f>(41.6)*(10.764)</f>
        <v>447.7824</v>
      </c>
      <c r="E138" s="56">
        <v>0</v>
      </c>
      <c r="F138" s="56">
        <f t="shared" si="4"/>
        <v>716.45184000000006</v>
      </c>
      <c r="G138" s="218"/>
      <c r="H138" s="218"/>
      <c r="I138" s="36"/>
      <c r="L138" s="113"/>
      <c r="M138" s="113"/>
      <c r="N138" s="36"/>
    </row>
    <row r="139" spans="1:14" s="52" customFormat="1" ht="15.75" customHeight="1" x14ac:dyDescent="0.35">
      <c r="A139" s="218">
        <v>5</v>
      </c>
      <c r="B139" s="218"/>
      <c r="C139" s="56" t="s">
        <v>201</v>
      </c>
      <c r="D139" s="60">
        <f>(41.6)*(10.764)</f>
        <v>447.7824</v>
      </c>
      <c r="E139" s="56">
        <v>0</v>
      </c>
      <c r="F139" s="56">
        <f t="shared" ref="F139" si="5">(D139+E139)*(($F$127)+1)</f>
        <v>716.45184000000006</v>
      </c>
      <c r="G139" s="218"/>
      <c r="H139" s="218"/>
      <c r="I139" s="36"/>
      <c r="L139" s="113"/>
      <c r="M139" s="113"/>
      <c r="N139" s="36"/>
    </row>
    <row r="140" spans="1:14" s="52" customFormat="1" x14ac:dyDescent="0.35">
      <c r="A140" s="92" t="s">
        <v>209</v>
      </c>
      <c r="B140" s="93"/>
      <c r="C140" s="93"/>
      <c r="D140" s="93"/>
      <c r="E140" s="93"/>
      <c r="F140" s="93"/>
      <c r="G140" s="93"/>
      <c r="H140" s="94"/>
      <c r="J140" s="36"/>
    </row>
    <row r="141" spans="1:14" s="52" customFormat="1" ht="15.75" customHeight="1" x14ac:dyDescent="0.35">
      <c r="A141" s="104">
        <v>1</v>
      </c>
      <c r="B141" s="105"/>
      <c r="C141" s="51" t="s">
        <v>208</v>
      </c>
      <c r="D141" s="60">
        <f>(57.29)*(10.764)</f>
        <v>616.66955999999993</v>
      </c>
      <c r="E141" s="51">
        <v>0</v>
      </c>
      <c r="F141" s="51">
        <f>(D141+E141)*(($F$127)+1)</f>
        <v>986.67129599999998</v>
      </c>
      <c r="G141" s="106" t="str">
        <f>A140</f>
        <v>1st Podium Floor For Commercial &amp; Parking</v>
      </c>
      <c r="H141" s="107"/>
      <c r="I141" s="36"/>
      <c r="L141" s="113"/>
      <c r="M141" s="113"/>
      <c r="N141" s="36"/>
    </row>
    <row r="142" spans="1:14" s="52" customFormat="1" ht="15.75" customHeight="1" x14ac:dyDescent="0.35">
      <c r="A142" s="104">
        <v>2</v>
      </c>
      <c r="B142" s="105"/>
      <c r="C142" s="51" t="s">
        <v>208</v>
      </c>
      <c r="D142" s="60">
        <f>(34.09)*(10.764)</f>
        <v>366.94476000000003</v>
      </c>
      <c r="E142" s="51">
        <v>0</v>
      </c>
      <c r="F142" s="51">
        <f t="shared" ref="F142:F145" si="6">(D142+E142)*(($F$127)+1)</f>
        <v>587.11161600000003</v>
      </c>
      <c r="G142" s="108"/>
      <c r="H142" s="109"/>
      <c r="I142" s="36"/>
      <c r="L142" s="113"/>
      <c r="M142" s="113"/>
      <c r="N142" s="36"/>
    </row>
    <row r="143" spans="1:14" s="52" customFormat="1" ht="15.75" customHeight="1" x14ac:dyDescent="0.35">
      <c r="A143" s="104">
        <v>3</v>
      </c>
      <c r="B143" s="105"/>
      <c r="C143" s="51" t="s">
        <v>208</v>
      </c>
      <c r="D143" s="60">
        <f>(82.67)*(10.764)</f>
        <v>889.85987999999998</v>
      </c>
      <c r="E143" s="51">
        <v>0</v>
      </c>
      <c r="F143" s="51">
        <f t="shared" si="6"/>
        <v>1423.7758080000001</v>
      </c>
      <c r="G143" s="108"/>
      <c r="H143" s="109"/>
      <c r="I143" s="36"/>
      <c r="L143" s="113"/>
      <c r="M143" s="113"/>
      <c r="N143" s="36"/>
    </row>
    <row r="144" spans="1:14" s="52" customFormat="1" ht="15.75" customHeight="1" x14ac:dyDescent="0.35">
      <c r="A144" s="104">
        <v>4</v>
      </c>
      <c r="B144" s="105"/>
      <c r="C144" s="51" t="s">
        <v>208</v>
      </c>
      <c r="D144" s="60">
        <f>(52.55)*(10.764)</f>
        <v>565.64819999999997</v>
      </c>
      <c r="E144" s="51">
        <v>0</v>
      </c>
      <c r="F144" s="51">
        <f t="shared" si="6"/>
        <v>905.03711999999996</v>
      </c>
      <c r="G144" s="108"/>
      <c r="H144" s="109"/>
      <c r="I144" s="36"/>
      <c r="L144" s="113"/>
      <c r="M144" s="113"/>
      <c r="N144" s="36"/>
    </row>
    <row r="145" spans="1:14" s="52" customFormat="1" ht="15.75" customHeight="1" x14ac:dyDescent="0.35">
      <c r="A145" s="104">
        <v>5</v>
      </c>
      <c r="B145" s="105"/>
      <c r="C145" s="51" t="s">
        <v>208</v>
      </c>
      <c r="D145" s="60">
        <f>(38.16)*(10.764)</f>
        <v>410.75423999999992</v>
      </c>
      <c r="E145" s="51">
        <v>0</v>
      </c>
      <c r="F145" s="51">
        <f t="shared" si="6"/>
        <v>657.20678399999997</v>
      </c>
      <c r="G145" s="108"/>
      <c r="H145" s="109"/>
      <c r="I145" s="36"/>
      <c r="L145" s="113"/>
      <c r="M145" s="113"/>
      <c r="N145" s="36"/>
    </row>
    <row r="146" spans="1:14" s="52" customFormat="1" x14ac:dyDescent="0.35">
      <c r="A146" s="92" t="s">
        <v>210</v>
      </c>
      <c r="B146" s="93"/>
      <c r="C146" s="93"/>
      <c r="D146" s="93"/>
      <c r="E146" s="93"/>
      <c r="F146" s="93"/>
      <c r="G146" s="93"/>
      <c r="H146" s="94"/>
      <c r="J146" s="36"/>
    </row>
    <row r="147" spans="1:14" s="52" customFormat="1" ht="15.75" customHeight="1" x14ac:dyDescent="0.35">
      <c r="A147" s="104">
        <v>1</v>
      </c>
      <c r="B147" s="105"/>
      <c r="C147" s="51" t="s">
        <v>208</v>
      </c>
      <c r="D147" s="60">
        <f>(57.29)*(10.764)</f>
        <v>616.66955999999993</v>
      </c>
      <c r="E147" s="51">
        <v>0</v>
      </c>
      <c r="F147" s="51">
        <f>(D147+E147)*(($F$127)+1)</f>
        <v>986.67129599999998</v>
      </c>
      <c r="G147" s="106" t="str">
        <f>A146</f>
        <v>2nd Podium Floor For Commercial &amp; Parking</v>
      </c>
      <c r="H147" s="107"/>
      <c r="I147" s="36"/>
      <c r="L147" s="113"/>
      <c r="M147" s="113"/>
      <c r="N147" s="36"/>
    </row>
    <row r="148" spans="1:14" s="52" customFormat="1" ht="15.75" customHeight="1" x14ac:dyDescent="0.35">
      <c r="A148" s="104">
        <v>2</v>
      </c>
      <c r="B148" s="105"/>
      <c r="C148" s="51" t="s">
        <v>208</v>
      </c>
      <c r="D148" s="60">
        <f>(34.09)*(10.764)</f>
        <v>366.94476000000003</v>
      </c>
      <c r="E148" s="51">
        <v>0</v>
      </c>
      <c r="F148" s="51">
        <f t="shared" ref="F148:F151" si="7">(D148+E148)*(($F$127)+1)</f>
        <v>587.11161600000003</v>
      </c>
      <c r="G148" s="108"/>
      <c r="H148" s="109"/>
      <c r="I148" s="36"/>
      <c r="L148" s="113"/>
      <c r="M148" s="113"/>
      <c r="N148" s="36"/>
    </row>
    <row r="149" spans="1:14" s="52" customFormat="1" ht="15.75" customHeight="1" x14ac:dyDescent="0.35">
      <c r="A149" s="104">
        <v>3</v>
      </c>
      <c r="B149" s="105"/>
      <c r="C149" s="51" t="s">
        <v>208</v>
      </c>
      <c r="D149" s="60">
        <f>(82.67)*(10.764)</f>
        <v>889.85987999999998</v>
      </c>
      <c r="E149" s="51">
        <v>0</v>
      </c>
      <c r="F149" s="51">
        <f t="shared" si="7"/>
        <v>1423.7758080000001</v>
      </c>
      <c r="G149" s="108"/>
      <c r="H149" s="109"/>
      <c r="I149" s="36"/>
      <c r="L149" s="113"/>
      <c r="M149" s="113"/>
      <c r="N149" s="36"/>
    </row>
    <row r="150" spans="1:14" s="52" customFormat="1" ht="15.75" customHeight="1" x14ac:dyDescent="0.35">
      <c r="A150" s="104">
        <v>4</v>
      </c>
      <c r="B150" s="105"/>
      <c r="C150" s="51" t="s">
        <v>208</v>
      </c>
      <c r="D150" s="60">
        <f>(53.28)*(10.764)</f>
        <v>573.50591999999995</v>
      </c>
      <c r="E150" s="51">
        <v>0</v>
      </c>
      <c r="F150" s="51">
        <f t="shared" si="7"/>
        <v>917.60947199999998</v>
      </c>
      <c r="G150" s="108"/>
      <c r="H150" s="109"/>
      <c r="I150" s="36"/>
      <c r="L150" s="113"/>
      <c r="M150" s="113"/>
      <c r="N150" s="36"/>
    </row>
    <row r="151" spans="1:14" s="52" customFormat="1" ht="15.75" customHeight="1" x14ac:dyDescent="0.35">
      <c r="A151" s="104">
        <v>5</v>
      </c>
      <c r="B151" s="105"/>
      <c r="C151" s="51" t="s">
        <v>208</v>
      </c>
      <c r="D151" s="60">
        <f>(38.16)*(10.764)</f>
        <v>410.75423999999992</v>
      </c>
      <c r="E151" s="51">
        <v>0</v>
      </c>
      <c r="F151" s="51">
        <f t="shared" si="7"/>
        <v>657.20678399999997</v>
      </c>
      <c r="G151" s="108"/>
      <c r="H151" s="109"/>
      <c r="I151" s="36"/>
      <c r="L151" s="113"/>
      <c r="M151" s="113"/>
      <c r="N151" s="36"/>
    </row>
    <row r="152" spans="1:14" s="52" customFormat="1" x14ac:dyDescent="0.35">
      <c r="A152" s="92" t="s">
        <v>211</v>
      </c>
      <c r="B152" s="93"/>
      <c r="C152" s="93"/>
      <c r="D152" s="93"/>
      <c r="E152" s="93"/>
      <c r="F152" s="93"/>
      <c r="G152" s="93"/>
      <c r="H152" s="94"/>
      <c r="J152" s="36"/>
    </row>
    <row r="153" spans="1:14" s="52" customFormat="1" ht="15.75" customHeight="1" x14ac:dyDescent="0.35">
      <c r="A153" s="104">
        <v>1</v>
      </c>
      <c r="B153" s="105"/>
      <c r="C153" s="51" t="s">
        <v>208</v>
      </c>
      <c r="D153" s="60">
        <f>(57.29)*(10.764)</f>
        <v>616.66955999999993</v>
      </c>
      <c r="E153" s="51">
        <v>0</v>
      </c>
      <c r="F153" s="51">
        <f>(D153+E153)*(($F$127)+1)</f>
        <v>986.67129599999998</v>
      </c>
      <c r="G153" s="106" t="str">
        <f>A152</f>
        <v>3rd &amp; 4th Podium Floor For Commercial &amp; Parking</v>
      </c>
      <c r="H153" s="107"/>
      <c r="I153" s="36"/>
      <c r="L153" s="113"/>
      <c r="M153" s="113"/>
      <c r="N153" s="36"/>
    </row>
    <row r="154" spans="1:14" s="52" customFormat="1" ht="15.75" customHeight="1" x14ac:dyDescent="0.35">
      <c r="A154" s="104">
        <v>2</v>
      </c>
      <c r="B154" s="105"/>
      <c r="C154" s="51" t="s">
        <v>208</v>
      </c>
      <c r="D154" s="60">
        <f>(34.09)*(10.764)</f>
        <v>366.94476000000003</v>
      </c>
      <c r="E154" s="51">
        <v>0</v>
      </c>
      <c r="F154" s="51">
        <f t="shared" ref="F154:F157" si="8">(D154+E154)*(($F$127)+1)</f>
        <v>587.11161600000003</v>
      </c>
      <c r="G154" s="108"/>
      <c r="H154" s="109"/>
      <c r="I154" s="36"/>
      <c r="L154" s="113"/>
      <c r="M154" s="113"/>
      <c r="N154" s="36"/>
    </row>
    <row r="155" spans="1:14" s="52" customFormat="1" ht="15.75" customHeight="1" x14ac:dyDescent="0.35">
      <c r="A155" s="104">
        <v>3</v>
      </c>
      <c r="B155" s="105"/>
      <c r="C155" s="51" t="s">
        <v>208</v>
      </c>
      <c r="D155" s="60">
        <f>(82.67)*(10.764)</f>
        <v>889.85987999999998</v>
      </c>
      <c r="E155" s="51">
        <v>0</v>
      </c>
      <c r="F155" s="51">
        <f t="shared" si="8"/>
        <v>1423.7758080000001</v>
      </c>
      <c r="G155" s="108"/>
      <c r="H155" s="109"/>
      <c r="I155" s="36"/>
      <c r="L155" s="113"/>
      <c r="M155" s="113"/>
      <c r="N155" s="36"/>
    </row>
    <row r="156" spans="1:14" s="52" customFormat="1" ht="15.75" customHeight="1" x14ac:dyDescent="0.35">
      <c r="A156" s="104">
        <v>4</v>
      </c>
      <c r="B156" s="105"/>
      <c r="C156" s="51" t="s">
        <v>208</v>
      </c>
      <c r="D156" s="60">
        <f>(53.28)*(10.764)</f>
        <v>573.50591999999995</v>
      </c>
      <c r="E156" s="51">
        <v>0</v>
      </c>
      <c r="F156" s="51">
        <f t="shared" si="8"/>
        <v>917.60947199999998</v>
      </c>
      <c r="G156" s="108"/>
      <c r="H156" s="109"/>
      <c r="I156" s="36"/>
      <c r="L156" s="113"/>
      <c r="M156" s="113"/>
      <c r="N156" s="36"/>
    </row>
    <row r="157" spans="1:14" s="52" customFormat="1" ht="15.75" customHeight="1" x14ac:dyDescent="0.35">
      <c r="A157" s="104">
        <v>5</v>
      </c>
      <c r="B157" s="105"/>
      <c r="C157" s="51" t="s">
        <v>208</v>
      </c>
      <c r="D157" s="60">
        <f>(38.16)*(10.764)</f>
        <v>410.75423999999992</v>
      </c>
      <c r="E157" s="51">
        <v>0</v>
      </c>
      <c r="F157" s="51">
        <f t="shared" si="8"/>
        <v>657.20678399999997</v>
      </c>
      <c r="G157" s="108"/>
      <c r="H157" s="109"/>
      <c r="I157" s="36"/>
      <c r="L157" s="113"/>
      <c r="M157" s="113"/>
      <c r="N157" s="36"/>
    </row>
    <row r="158" spans="1:14" s="52" customFormat="1" x14ac:dyDescent="0.35">
      <c r="A158" s="92" t="s">
        <v>212</v>
      </c>
      <c r="B158" s="93"/>
      <c r="C158" s="93"/>
      <c r="D158" s="93"/>
      <c r="E158" s="93"/>
      <c r="F158" s="93"/>
      <c r="G158" s="93"/>
      <c r="H158" s="94"/>
      <c r="J158" s="36"/>
    </row>
    <row r="159" spans="1:14" s="52" customFormat="1" ht="15.75" customHeight="1" x14ac:dyDescent="0.35">
      <c r="A159" s="104">
        <v>1</v>
      </c>
      <c r="B159" s="105"/>
      <c r="C159" s="51" t="s">
        <v>208</v>
      </c>
      <c r="D159" s="60">
        <f>(57.29)*(10.764)</f>
        <v>616.66955999999993</v>
      </c>
      <c r="E159" s="51">
        <v>0</v>
      </c>
      <c r="F159" s="51">
        <f>(D159+E159)*(($F$127)+1)</f>
        <v>986.67129599999998</v>
      </c>
      <c r="G159" s="106" t="str">
        <f>A158</f>
        <v>5th &amp; 6th Podium Floor For Commercial &amp; Parking</v>
      </c>
      <c r="H159" s="107"/>
      <c r="I159" s="36"/>
      <c r="L159" s="113"/>
      <c r="M159" s="113"/>
      <c r="N159" s="36"/>
    </row>
    <row r="160" spans="1:14" s="52" customFormat="1" ht="15.75" customHeight="1" x14ac:dyDescent="0.35">
      <c r="A160" s="104">
        <v>2</v>
      </c>
      <c r="B160" s="105"/>
      <c r="C160" s="51" t="s">
        <v>208</v>
      </c>
      <c r="D160" s="60">
        <f>(34.09)*(10.764)</f>
        <v>366.94476000000003</v>
      </c>
      <c r="E160" s="51">
        <v>0</v>
      </c>
      <c r="F160" s="51">
        <f t="shared" ref="F160:F163" si="9">(D160+E160)*(($F$127)+1)</f>
        <v>587.11161600000003</v>
      </c>
      <c r="G160" s="108"/>
      <c r="H160" s="109"/>
      <c r="I160" s="36"/>
      <c r="L160" s="113"/>
      <c r="M160" s="113"/>
      <c r="N160" s="36"/>
    </row>
    <row r="161" spans="1:14" s="52" customFormat="1" ht="15.75" customHeight="1" x14ac:dyDescent="0.35">
      <c r="A161" s="104">
        <v>3</v>
      </c>
      <c r="B161" s="105"/>
      <c r="C161" s="51" t="s">
        <v>208</v>
      </c>
      <c r="D161" s="60">
        <f>(82.67)*(10.764)</f>
        <v>889.85987999999998</v>
      </c>
      <c r="E161" s="51">
        <v>0</v>
      </c>
      <c r="F161" s="51">
        <f t="shared" si="9"/>
        <v>1423.7758080000001</v>
      </c>
      <c r="G161" s="108"/>
      <c r="H161" s="109"/>
      <c r="I161" s="36"/>
      <c r="L161" s="113"/>
      <c r="M161" s="113"/>
      <c r="N161" s="36"/>
    </row>
    <row r="162" spans="1:14" s="52" customFormat="1" ht="15.75" customHeight="1" x14ac:dyDescent="0.35">
      <c r="A162" s="104">
        <v>4</v>
      </c>
      <c r="B162" s="105"/>
      <c r="C162" s="51" t="s">
        <v>208</v>
      </c>
      <c r="D162" s="60">
        <f>(53.28)*(10.764)</f>
        <v>573.50591999999995</v>
      </c>
      <c r="E162" s="51">
        <v>0</v>
      </c>
      <c r="F162" s="51">
        <f t="shared" si="9"/>
        <v>917.60947199999998</v>
      </c>
      <c r="G162" s="108"/>
      <c r="H162" s="109"/>
      <c r="I162" s="36"/>
      <c r="L162" s="113"/>
      <c r="M162" s="113"/>
      <c r="N162" s="36"/>
    </row>
    <row r="163" spans="1:14" s="52" customFormat="1" ht="15.75" customHeight="1" x14ac:dyDescent="0.35">
      <c r="A163" s="104">
        <v>5</v>
      </c>
      <c r="B163" s="105"/>
      <c r="C163" s="51" t="s">
        <v>208</v>
      </c>
      <c r="D163" s="60">
        <f>(38.16)*(10.764)</f>
        <v>410.75423999999992</v>
      </c>
      <c r="E163" s="51">
        <v>0</v>
      </c>
      <c r="F163" s="51">
        <f t="shared" si="9"/>
        <v>657.20678399999997</v>
      </c>
      <c r="G163" s="108"/>
      <c r="H163" s="109"/>
      <c r="I163" s="36"/>
      <c r="L163" s="113"/>
      <c r="M163" s="113"/>
      <c r="N163" s="36"/>
    </row>
    <row r="164" spans="1:14" s="52" customFormat="1" x14ac:dyDescent="0.35">
      <c r="A164" s="92" t="s">
        <v>213</v>
      </c>
      <c r="B164" s="93"/>
      <c r="C164" s="93"/>
      <c r="D164" s="93"/>
      <c r="E164" s="93"/>
      <c r="F164" s="93"/>
      <c r="G164" s="93"/>
      <c r="H164" s="94"/>
      <c r="J164" s="36"/>
    </row>
    <row r="165" spans="1:14" s="52" customFormat="1" ht="15.75" customHeight="1" x14ac:dyDescent="0.35">
      <c r="A165" s="104">
        <v>1</v>
      </c>
      <c r="B165" s="105"/>
      <c r="C165" s="51" t="s">
        <v>208</v>
      </c>
      <c r="D165" s="60">
        <f>(57.29)*(10.764)</f>
        <v>616.66955999999993</v>
      </c>
      <c r="E165" s="51">
        <v>0</v>
      </c>
      <c r="F165" s="51">
        <f>(D165+E165)*(($F$127)+1)</f>
        <v>986.67129599999998</v>
      </c>
      <c r="G165" s="106" t="str">
        <f>A164</f>
        <v>7th Podium Floor For Commercial &amp; Parking</v>
      </c>
      <c r="H165" s="107"/>
      <c r="I165" s="36"/>
      <c r="L165" s="113"/>
      <c r="M165" s="113"/>
      <c r="N165" s="36"/>
    </row>
    <row r="166" spans="1:14" s="52" customFormat="1" ht="15.75" customHeight="1" x14ac:dyDescent="0.35">
      <c r="A166" s="104">
        <v>2</v>
      </c>
      <c r="B166" s="105"/>
      <c r="C166" s="51" t="s">
        <v>208</v>
      </c>
      <c r="D166" s="60">
        <f>(34.09)*(10.764)</f>
        <v>366.94476000000003</v>
      </c>
      <c r="E166" s="51">
        <v>0</v>
      </c>
      <c r="F166" s="51">
        <f t="shared" ref="F166:F169" si="10">(D166+E166)*(($F$127)+1)</f>
        <v>587.11161600000003</v>
      </c>
      <c r="G166" s="108"/>
      <c r="H166" s="109"/>
      <c r="I166" s="36"/>
      <c r="L166" s="113"/>
      <c r="M166" s="113"/>
      <c r="N166" s="36"/>
    </row>
    <row r="167" spans="1:14" s="52" customFormat="1" ht="15.75" customHeight="1" x14ac:dyDescent="0.35">
      <c r="A167" s="104">
        <v>3</v>
      </c>
      <c r="B167" s="105"/>
      <c r="C167" s="51" t="s">
        <v>208</v>
      </c>
      <c r="D167" s="60">
        <f>(82.67)*(10.764)</f>
        <v>889.85987999999998</v>
      </c>
      <c r="E167" s="51">
        <v>0</v>
      </c>
      <c r="F167" s="51">
        <f t="shared" si="10"/>
        <v>1423.7758080000001</v>
      </c>
      <c r="G167" s="108"/>
      <c r="H167" s="109"/>
      <c r="I167" s="36"/>
      <c r="L167" s="113"/>
      <c r="M167" s="113"/>
      <c r="N167" s="36"/>
    </row>
    <row r="168" spans="1:14" s="52" customFormat="1" ht="15.75" customHeight="1" x14ac:dyDescent="0.35">
      <c r="A168" s="104">
        <v>4</v>
      </c>
      <c r="B168" s="105"/>
      <c r="C168" s="51" t="s">
        <v>208</v>
      </c>
      <c r="D168" s="60">
        <f>(53.28)*(10.764)</f>
        <v>573.50591999999995</v>
      </c>
      <c r="E168" s="51">
        <v>0</v>
      </c>
      <c r="F168" s="51">
        <f t="shared" si="10"/>
        <v>917.60947199999998</v>
      </c>
      <c r="G168" s="108"/>
      <c r="H168" s="109"/>
      <c r="I168" s="36"/>
      <c r="L168" s="113"/>
      <c r="M168" s="113"/>
      <c r="N168" s="36"/>
    </row>
    <row r="169" spans="1:14" s="52" customFormat="1" ht="15.75" customHeight="1" x14ac:dyDescent="0.35">
      <c r="A169" s="104">
        <v>5</v>
      </c>
      <c r="B169" s="105"/>
      <c r="C169" s="51" t="s">
        <v>208</v>
      </c>
      <c r="D169" s="60">
        <f>(38.16)*(10.764)</f>
        <v>410.75423999999992</v>
      </c>
      <c r="E169" s="51">
        <v>0</v>
      </c>
      <c r="F169" s="51">
        <f t="shared" si="10"/>
        <v>657.20678399999997</v>
      </c>
      <c r="G169" s="108"/>
      <c r="H169" s="109"/>
      <c r="I169" s="36"/>
      <c r="L169" s="113"/>
      <c r="M169" s="113"/>
      <c r="N169" s="36"/>
    </row>
    <row r="170" spans="1:14" s="52" customFormat="1" x14ac:dyDescent="0.35">
      <c r="A170" s="92" t="s">
        <v>217</v>
      </c>
      <c r="B170" s="93"/>
      <c r="C170" s="93"/>
      <c r="D170" s="93"/>
      <c r="E170" s="93"/>
      <c r="F170" s="93"/>
      <c r="G170" s="93"/>
      <c r="H170" s="94"/>
      <c r="J170" s="36"/>
    </row>
    <row r="171" spans="1:14" s="52" customFormat="1" ht="15.75" customHeight="1" x14ac:dyDescent="0.35">
      <c r="A171" s="104">
        <v>1</v>
      </c>
      <c r="B171" s="105"/>
      <c r="C171" s="51" t="s">
        <v>208</v>
      </c>
      <c r="D171" s="60">
        <f>(57.29)*(10.764)</f>
        <v>616.66955999999993</v>
      </c>
      <c r="E171" s="51">
        <v>0</v>
      </c>
      <c r="F171" s="51">
        <f>(D171+E171)*(($F$127)+1)</f>
        <v>986.67129599999998</v>
      </c>
      <c r="G171" s="106" t="str">
        <f>A170</f>
        <v>8th Podium Floor For Commercial &amp; Parking</v>
      </c>
      <c r="H171" s="107"/>
      <c r="I171" s="36"/>
      <c r="L171" s="113"/>
      <c r="M171" s="113"/>
      <c r="N171" s="36"/>
    </row>
    <row r="172" spans="1:14" s="52" customFormat="1" ht="15.75" customHeight="1" x14ac:dyDescent="0.35">
      <c r="A172" s="104">
        <v>2</v>
      </c>
      <c r="B172" s="105"/>
      <c r="C172" s="51" t="s">
        <v>208</v>
      </c>
      <c r="D172" s="60">
        <f>(34.09)*(10.764)</f>
        <v>366.94476000000003</v>
      </c>
      <c r="E172" s="51">
        <v>0</v>
      </c>
      <c r="F172" s="51">
        <f t="shared" ref="F172:F175" si="11">(D172+E172)*(($F$127)+1)</f>
        <v>587.11161600000003</v>
      </c>
      <c r="G172" s="108"/>
      <c r="H172" s="109"/>
      <c r="I172" s="36"/>
      <c r="L172" s="113"/>
      <c r="M172" s="113"/>
      <c r="N172" s="36"/>
    </row>
    <row r="173" spans="1:14" s="52" customFormat="1" ht="15.75" customHeight="1" x14ac:dyDescent="0.35">
      <c r="A173" s="104">
        <v>3</v>
      </c>
      <c r="B173" s="105"/>
      <c r="C173" s="51" t="s">
        <v>208</v>
      </c>
      <c r="D173" s="60">
        <f>(82.67)*(10.764)</f>
        <v>889.85987999999998</v>
      </c>
      <c r="E173" s="51">
        <v>0</v>
      </c>
      <c r="F173" s="51">
        <f t="shared" si="11"/>
        <v>1423.7758080000001</v>
      </c>
      <c r="G173" s="108"/>
      <c r="H173" s="109"/>
      <c r="I173" s="36"/>
      <c r="L173" s="113"/>
      <c r="M173" s="113"/>
      <c r="N173" s="36"/>
    </row>
    <row r="174" spans="1:14" s="52" customFormat="1" ht="15.75" customHeight="1" x14ac:dyDescent="0.35">
      <c r="A174" s="104">
        <v>4</v>
      </c>
      <c r="B174" s="105"/>
      <c r="C174" s="51" t="s">
        <v>208</v>
      </c>
      <c r="D174" s="60">
        <f>(53.28)*(10.764)</f>
        <v>573.50591999999995</v>
      </c>
      <c r="E174" s="51">
        <v>0</v>
      </c>
      <c r="F174" s="51">
        <f t="shared" si="11"/>
        <v>917.60947199999998</v>
      </c>
      <c r="G174" s="108"/>
      <c r="H174" s="109"/>
      <c r="I174" s="36"/>
      <c r="L174" s="113"/>
      <c r="M174" s="113"/>
      <c r="N174" s="36"/>
    </row>
    <row r="175" spans="1:14" s="52" customFormat="1" ht="15.75" customHeight="1" x14ac:dyDescent="0.35">
      <c r="A175" s="104">
        <v>5</v>
      </c>
      <c r="B175" s="105"/>
      <c r="C175" s="51" t="s">
        <v>208</v>
      </c>
      <c r="D175" s="60">
        <f>(38.16)*(10.764)</f>
        <v>410.75423999999992</v>
      </c>
      <c r="E175" s="51">
        <v>0</v>
      </c>
      <c r="F175" s="51">
        <f t="shared" si="11"/>
        <v>657.20678399999997</v>
      </c>
      <c r="G175" s="108"/>
      <c r="H175" s="109"/>
      <c r="I175" s="36"/>
      <c r="L175" s="113"/>
      <c r="M175" s="113"/>
      <c r="N175" s="36"/>
    </row>
    <row r="176" spans="1:14" s="52" customFormat="1" x14ac:dyDescent="0.35">
      <c r="A176" s="92" t="s">
        <v>218</v>
      </c>
      <c r="B176" s="93"/>
      <c r="C176" s="93"/>
      <c r="D176" s="93"/>
      <c r="E176" s="93"/>
      <c r="F176" s="93"/>
      <c r="G176" s="93"/>
      <c r="H176" s="94"/>
      <c r="J176" s="36"/>
    </row>
    <row r="177" spans="1:14" s="52" customFormat="1" x14ac:dyDescent="0.35">
      <c r="A177" s="92" t="s">
        <v>219</v>
      </c>
      <c r="B177" s="93"/>
      <c r="C177" s="93"/>
      <c r="D177" s="93"/>
      <c r="E177" s="93"/>
      <c r="F177" s="93"/>
      <c r="G177" s="93"/>
      <c r="H177" s="94"/>
      <c r="J177" s="36"/>
    </row>
    <row r="178" spans="1:14" s="52" customFormat="1" x14ac:dyDescent="0.35">
      <c r="A178" s="114" t="s">
        <v>250</v>
      </c>
      <c r="B178" s="115"/>
      <c r="C178" s="115"/>
      <c r="D178" s="115"/>
      <c r="E178" s="115"/>
      <c r="F178" s="115"/>
      <c r="G178" s="115"/>
      <c r="H178" s="116"/>
      <c r="J178" s="36"/>
    </row>
    <row r="179" spans="1:14" s="52" customFormat="1" x14ac:dyDescent="0.35">
      <c r="A179" s="92" t="s">
        <v>204</v>
      </c>
      <c r="B179" s="93"/>
      <c r="C179" s="93"/>
      <c r="D179" s="93"/>
      <c r="E179" s="93"/>
      <c r="F179" s="93"/>
      <c r="G179" s="93"/>
      <c r="H179" s="94"/>
      <c r="J179" s="36"/>
    </row>
    <row r="180" spans="1:14" s="55" customFormat="1" x14ac:dyDescent="0.35">
      <c r="A180" s="92" t="s">
        <v>244</v>
      </c>
      <c r="B180" s="93"/>
      <c r="C180" s="93"/>
      <c r="D180" s="93"/>
      <c r="E180" s="93"/>
      <c r="F180" s="93"/>
      <c r="G180" s="93"/>
      <c r="H180" s="94"/>
      <c r="J180" s="36"/>
    </row>
    <row r="181" spans="1:14" s="55" customFormat="1" x14ac:dyDescent="0.35">
      <c r="A181" s="92" t="s">
        <v>243</v>
      </c>
      <c r="B181" s="93"/>
      <c r="C181" s="93"/>
      <c r="D181" s="93"/>
      <c r="E181" s="93"/>
      <c r="F181" s="93"/>
      <c r="G181" s="93"/>
      <c r="H181" s="94"/>
      <c r="J181" s="36"/>
    </row>
    <row r="182" spans="1:14" s="55" customFormat="1" x14ac:dyDescent="0.35">
      <c r="A182" s="92" t="s">
        <v>246</v>
      </c>
      <c r="B182" s="93"/>
      <c r="C182" s="93"/>
      <c r="D182" s="93"/>
      <c r="E182" s="93"/>
      <c r="F182" s="93"/>
      <c r="G182" s="93"/>
      <c r="H182" s="94"/>
      <c r="J182" s="36"/>
    </row>
    <row r="183" spans="1:14" s="52" customFormat="1" x14ac:dyDescent="0.35">
      <c r="A183" s="92" t="s">
        <v>247</v>
      </c>
      <c r="B183" s="93"/>
      <c r="C183" s="93"/>
      <c r="D183" s="93"/>
      <c r="E183" s="93"/>
      <c r="F183" s="93"/>
      <c r="G183" s="93"/>
      <c r="H183" s="94"/>
      <c r="J183" s="36"/>
    </row>
    <row r="184" spans="1:14" s="52" customFormat="1" ht="47.25" customHeight="1" x14ac:dyDescent="0.35">
      <c r="A184" s="104">
        <v>6</v>
      </c>
      <c r="B184" s="105"/>
      <c r="C184" s="51" t="s">
        <v>205</v>
      </c>
      <c r="D184" s="60">
        <f>(83.81+250.1)*(10.764)</f>
        <v>3594.2072399999993</v>
      </c>
      <c r="E184" s="51">
        <v>0</v>
      </c>
      <c r="F184" s="51">
        <f>(D184+E184)*(($F$127)+1)</f>
        <v>5750.7315839999992</v>
      </c>
      <c r="G184" s="106" t="str">
        <f>A183</f>
        <v>Upper Ground Floor For Entrance Lobby, Commercial &amp; Parking</v>
      </c>
      <c r="H184" s="107"/>
      <c r="I184" s="36"/>
      <c r="L184" s="113"/>
      <c r="M184" s="113"/>
      <c r="N184" s="36"/>
    </row>
    <row r="185" spans="1:14" s="52" customFormat="1" ht="15.75" customHeight="1" x14ac:dyDescent="0.35">
      <c r="A185" s="104">
        <v>7</v>
      </c>
      <c r="B185" s="105"/>
      <c r="C185" s="51" t="s">
        <v>201</v>
      </c>
      <c r="D185" s="60">
        <f>(29.05)*(10.764)</f>
        <v>312.69419999999997</v>
      </c>
      <c r="E185" s="51">
        <v>0</v>
      </c>
      <c r="F185" s="51">
        <f t="shared" ref="F185:F189" si="12">(D185+E185)*(($F$127)+1)</f>
        <v>500.31071999999995</v>
      </c>
      <c r="G185" s="108"/>
      <c r="H185" s="109"/>
      <c r="I185" s="36"/>
      <c r="L185" s="113"/>
      <c r="M185" s="113"/>
      <c r="N185" s="36"/>
    </row>
    <row r="186" spans="1:14" s="52" customFormat="1" ht="15.75" customHeight="1" x14ac:dyDescent="0.35">
      <c r="A186" s="104">
        <v>8</v>
      </c>
      <c r="B186" s="105"/>
      <c r="C186" s="51" t="s">
        <v>201</v>
      </c>
      <c r="D186" s="60">
        <f>(60.1)*(10.764)</f>
        <v>646.91639999999995</v>
      </c>
      <c r="E186" s="51">
        <v>0</v>
      </c>
      <c r="F186" s="51">
        <f t="shared" si="12"/>
        <v>1035.0662399999999</v>
      </c>
      <c r="G186" s="108"/>
      <c r="H186" s="109"/>
      <c r="I186" s="36"/>
      <c r="L186" s="113"/>
      <c r="M186" s="113"/>
      <c r="N186" s="36"/>
    </row>
    <row r="187" spans="1:14" s="52" customFormat="1" ht="15.75" customHeight="1" x14ac:dyDescent="0.35">
      <c r="A187" s="104">
        <v>9</v>
      </c>
      <c r="B187" s="105"/>
      <c r="C187" s="51" t="s">
        <v>201</v>
      </c>
      <c r="D187" s="60">
        <f>(69.48)*(10.764)</f>
        <v>747.88271999999995</v>
      </c>
      <c r="E187" s="51">
        <v>0</v>
      </c>
      <c r="F187" s="51">
        <f t="shared" si="12"/>
        <v>1196.6123519999999</v>
      </c>
      <c r="G187" s="108"/>
      <c r="H187" s="109"/>
      <c r="I187" s="36"/>
      <c r="L187" s="113"/>
      <c r="M187" s="113"/>
      <c r="N187" s="36"/>
    </row>
    <row r="188" spans="1:14" s="52" customFormat="1" ht="15.75" customHeight="1" x14ac:dyDescent="0.35">
      <c r="A188" s="104">
        <v>10</v>
      </c>
      <c r="B188" s="105"/>
      <c r="C188" s="51" t="s">
        <v>201</v>
      </c>
      <c r="D188" s="60">
        <f>(34.53)*(10.764)</f>
        <v>371.68092000000001</v>
      </c>
      <c r="E188" s="51">
        <v>0</v>
      </c>
      <c r="F188" s="51">
        <f t="shared" si="12"/>
        <v>594.68947200000002</v>
      </c>
      <c r="G188" s="108"/>
      <c r="H188" s="109"/>
      <c r="I188" s="36"/>
      <c r="L188" s="113"/>
      <c r="M188" s="113"/>
      <c r="N188" s="36"/>
    </row>
    <row r="189" spans="1:14" s="52" customFormat="1" ht="15.75" customHeight="1" x14ac:dyDescent="0.35">
      <c r="A189" s="104">
        <v>11</v>
      </c>
      <c r="B189" s="105"/>
      <c r="C189" s="51" t="s">
        <v>201</v>
      </c>
      <c r="D189" s="60">
        <f>(65.65)*(10.764)</f>
        <v>706.65660000000003</v>
      </c>
      <c r="E189" s="51">
        <v>0</v>
      </c>
      <c r="F189" s="51">
        <f t="shared" si="12"/>
        <v>1130.65056</v>
      </c>
      <c r="G189" s="108"/>
      <c r="H189" s="109"/>
      <c r="I189" s="36"/>
      <c r="L189" s="113"/>
      <c r="M189" s="113"/>
      <c r="N189" s="36"/>
    </row>
    <row r="190" spans="1:14" s="52" customFormat="1" ht="15.75" customHeight="1" x14ac:dyDescent="0.35">
      <c r="A190" s="104">
        <v>12</v>
      </c>
      <c r="B190" s="105"/>
      <c r="C190" s="51" t="s">
        <v>201</v>
      </c>
      <c r="D190" s="60">
        <f>(20.37)*(10.764)</f>
        <v>219.26267999999999</v>
      </c>
      <c r="E190" s="51">
        <v>0</v>
      </c>
      <c r="F190" s="51">
        <f t="shared" ref="F190" si="13">(D190+E190)*(($F$127)+1)</f>
        <v>350.82028800000001</v>
      </c>
      <c r="G190" s="110"/>
      <c r="H190" s="111"/>
      <c r="I190" s="36"/>
      <c r="L190" s="113"/>
      <c r="M190" s="113"/>
      <c r="N190" s="36"/>
    </row>
    <row r="191" spans="1:14" s="52" customFormat="1" x14ac:dyDescent="0.35">
      <c r="A191" s="92" t="s">
        <v>206</v>
      </c>
      <c r="B191" s="93"/>
      <c r="C191" s="93"/>
      <c r="D191" s="93"/>
      <c r="E191" s="93"/>
      <c r="F191" s="93"/>
      <c r="G191" s="93"/>
      <c r="H191" s="94"/>
      <c r="J191" s="36"/>
    </row>
    <row r="192" spans="1:14" s="52" customFormat="1" x14ac:dyDescent="0.35">
      <c r="A192" s="104">
        <v>6</v>
      </c>
      <c r="B192" s="105"/>
      <c r="C192" s="104" t="s">
        <v>205</v>
      </c>
      <c r="D192" s="112"/>
      <c r="E192" s="112"/>
      <c r="F192" s="105"/>
      <c r="G192" s="106" t="str">
        <f>A191</f>
        <v>1st Floor For Commercial &amp; Parking</v>
      </c>
      <c r="H192" s="107"/>
      <c r="I192" s="36"/>
      <c r="L192" s="113"/>
      <c r="M192" s="113"/>
      <c r="N192" s="36"/>
    </row>
    <row r="193" spans="1:14" s="52" customFormat="1" ht="15.75" customHeight="1" x14ac:dyDescent="0.35">
      <c r="A193" s="104">
        <v>7</v>
      </c>
      <c r="B193" s="105"/>
      <c r="C193" s="51" t="s">
        <v>207</v>
      </c>
      <c r="D193" s="60">
        <f>(343.02)*(10.764)</f>
        <v>3692.2672799999996</v>
      </c>
      <c r="E193" s="51">
        <v>0</v>
      </c>
      <c r="F193" s="51">
        <f t="shared" ref="F193" si="14">(D193+E193)*(($F$127)+1)</f>
        <v>5907.6276479999997</v>
      </c>
      <c r="G193" s="108"/>
      <c r="H193" s="109"/>
      <c r="I193" s="36"/>
      <c r="L193" s="113"/>
      <c r="M193" s="113"/>
      <c r="N193" s="36"/>
    </row>
    <row r="194" spans="1:14" s="52" customFormat="1" x14ac:dyDescent="0.35">
      <c r="A194" s="92" t="s">
        <v>210</v>
      </c>
      <c r="B194" s="93"/>
      <c r="C194" s="93"/>
      <c r="D194" s="93"/>
      <c r="E194" s="93"/>
      <c r="F194" s="93"/>
      <c r="G194" s="93"/>
      <c r="H194" s="94"/>
      <c r="J194" s="36"/>
    </row>
    <row r="195" spans="1:14" s="52" customFormat="1" ht="15.75" customHeight="1" x14ac:dyDescent="0.35">
      <c r="A195" s="104">
        <v>6</v>
      </c>
      <c r="B195" s="105"/>
      <c r="C195" s="51" t="s">
        <v>208</v>
      </c>
      <c r="D195" s="60">
        <f>(33.86)*(10.764)</f>
        <v>364.46903999999995</v>
      </c>
      <c r="E195" s="51">
        <v>0</v>
      </c>
      <c r="F195" s="51">
        <f>(D195+E195)*(($F$127)+1)</f>
        <v>583.15046399999994</v>
      </c>
      <c r="G195" s="106" t="str">
        <f>A194</f>
        <v>2nd Podium Floor For Commercial &amp; Parking</v>
      </c>
      <c r="H195" s="107"/>
      <c r="I195" s="36"/>
      <c r="L195" s="113"/>
      <c r="M195" s="113"/>
      <c r="N195" s="36"/>
    </row>
    <row r="196" spans="1:14" s="52" customFormat="1" ht="15.75" customHeight="1" x14ac:dyDescent="0.35">
      <c r="A196" s="104">
        <v>7</v>
      </c>
      <c r="B196" s="105"/>
      <c r="C196" s="51" t="s">
        <v>208</v>
      </c>
      <c r="D196" s="60">
        <f>(34.04)*(10.764)</f>
        <v>366.40655999999996</v>
      </c>
      <c r="E196" s="51">
        <v>0</v>
      </c>
      <c r="F196" s="51">
        <f t="shared" ref="F196:F199" si="15">(D196+E196)*(($F$127)+1)</f>
        <v>586.250496</v>
      </c>
      <c r="G196" s="108"/>
      <c r="H196" s="109"/>
      <c r="I196" s="36"/>
      <c r="L196" s="113"/>
      <c r="M196" s="113"/>
      <c r="N196" s="36"/>
    </row>
    <row r="197" spans="1:14" s="52" customFormat="1" ht="15.75" customHeight="1" x14ac:dyDescent="0.35">
      <c r="A197" s="104">
        <v>8</v>
      </c>
      <c r="B197" s="105"/>
      <c r="C197" s="51" t="s">
        <v>208</v>
      </c>
      <c r="D197" s="60">
        <f>(57.8)*(10.764)</f>
        <v>622.15919999999994</v>
      </c>
      <c r="E197" s="51">
        <v>0</v>
      </c>
      <c r="F197" s="51">
        <f t="shared" si="15"/>
        <v>995.45471999999995</v>
      </c>
      <c r="G197" s="108"/>
      <c r="H197" s="109"/>
      <c r="I197" s="36"/>
      <c r="L197" s="113"/>
      <c r="M197" s="113"/>
      <c r="N197" s="36"/>
    </row>
    <row r="198" spans="1:14" s="52" customFormat="1" ht="15.75" customHeight="1" x14ac:dyDescent="0.35">
      <c r="A198" s="104">
        <v>9</v>
      </c>
      <c r="B198" s="105"/>
      <c r="C198" s="51" t="s">
        <v>208</v>
      </c>
      <c r="D198" s="60">
        <f>(34.04)*(10.764)</f>
        <v>366.40655999999996</v>
      </c>
      <c r="E198" s="51">
        <v>0</v>
      </c>
      <c r="F198" s="51">
        <f t="shared" si="15"/>
        <v>586.250496</v>
      </c>
      <c r="G198" s="108"/>
      <c r="H198" s="109"/>
      <c r="I198" s="36"/>
      <c r="L198" s="113"/>
      <c r="M198" s="113"/>
      <c r="N198" s="36"/>
    </row>
    <row r="199" spans="1:14" s="52" customFormat="1" ht="15.75" customHeight="1" x14ac:dyDescent="0.35">
      <c r="A199" s="104">
        <v>10</v>
      </c>
      <c r="B199" s="105"/>
      <c r="C199" s="51" t="s">
        <v>208</v>
      </c>
      <c r="D199" s="60">
        <f>(33.85)*(10.764)</f>
        <v>364.3614</v>
      </c>
      <c r="E199" s="51">
        <v>0</v>
      </c>
      <c r="F199" s="51">
        <f t="shared" si="15"/>
        <v>582.97824000000003</v>
      </c>
      <c r="G199" s="108"/>
      <c r="H199" s="109"/>
      <c r="I199" s="36"/>
      <c r="L199" s="113"/>
      <c r="M199" s="113"/>
      <c r="N199" s="36"/>
    </row>
    <row r="200" spans="1:14" s="52" customFormat="1" ht="15.75" customHeight="1" x14ac:dyDescent="0.35">
      <c r="A200" s="104">
        <v>11</v>
      </c>
      <c r="B200" s="105"/>
      <c r="C200" s="51" t="s">
        <v>207</v>
      </c>
      <c r="D200" s="60">
        <f>(343.02)*(10.764)</f>
        <v>3692.2672799999996</v>
      </c>
      <c r="E200" s="51">
        <v>0</v>
      </c>
      <c r="F200" s="51">
        <f t="shared" ref="F200" si="16">(D200+E200)*(($F$127)+1)</f>
        <v>5907.6276479999997</v>
      </c>
      <c r="G200" s="110"/>
      <c r="H200" s="111"/>
      <c r="I200" s="36"/>
      <c r="L200" s="113"/>
      <c r="M200" s="113"/>
      <c r="N200" s="36"/>
    </row>
    <row r="201" spans="1:14" s="52" customFormat="1" x14ac:dyDescent="0.35">
      <c r="A201" s="92" t="s">
        <v>211</v>
      </c>
      <c r="B201" s="93"/>
      <c r="C201" s="93"/>
      <c r="D201" s="93"/>
      <c r="E201" s="93"/>
      <c r="F201" s="93"/>
      <c r="G201" s="93"/>
      <c r="H201" s="94"/>
      <c r="J201" s="36"/>
    </row>
    <row r="202" spans="1:14" s="52" customFormat="1" ht="15.75" customHeight="1" x14ac:dyDescent="0.35">
      <c r="A202" s="104">
        <v>6</v>
      </c>
      <c r="B202" s="105"/>
      <c r="C202" s="51" t="s">
        <v>208</v>
      </c>
      <c r="D202" s="60">
        <f>(33.86)*(10.764)</f>
        <v>364.46903999999995</v>
      </c>
      <c r="E202" s="51">
        <v>0</v>
      </c>
      <c r="F202" s="51">
        <f>(D202+E202)*(($F$127)+1)</f>
        <v>583.15046399999994</v>
      </c>
      <c r="G202" s="106" t="str">
        <f>A201</f>
        <v>3rd &amp; 4th Podium Floor For Commercial &amp; Parking</v>
      </c>
      <c r="H202" s="107"/>
      <c r="I202" s="36"/>
      <c r="L202" s="113"/>
      <c r="M202" s="113"/>
      <c r="N202" s="36"/>
    </row>
    <row r="203" spans="1:14" s="52" customFormat="1" ht="15.75" customHeight="1" x14ac:dyDescent="0.35">
      <c r="A203" s="104">
        <v>7</v>
      </c>
      <c r="B203" s="105"/>
      <c r="C203" s="51" t="s">
        <v>208</v>
      </c>
      <c r="D203" s="60">
        <f>(34.04)*(10.764)</f>
        <v>366.40655999999996</v>
      </c>
      <c r="E203" s="51">
        <v>0</v>
      </c>
      <c r="F203" s="51">
        <f t="shared" ref="F203:F207" si="17">(D203+E203)*(($F$127)+1)</f>
        <v>586.250496</v>
      </c>
      <c r="G203" s="108"/>
      <c r="H203" s="109"/>
      <c r="I203" s="36"/>
      <c r="L203" s="113"/>
      <c r="M203" s="113"/>
      <c r="N203" s="36"/>
    </row>
    <row r="204" spans="1:14" s="52" customFormat="1" ht="15.75" customHeight="1" x14ac:dyDescent="0.35">
      <c r="A204" s="104">
        <v>8</v>
      </c>
      <c r="B204" s="105"/>
      <c r="C204" s="51" t="s">
        <v>208</v>
      </c>
      <c r="D204" s="60">
        <f>(57.8)*(10.764)</f>
        <v>622.15919999999994</v>
      </c>
      <c r="E204" s="51">
        <v>0</v>
      </c>
      <c r="F204" s="51">
        <f t="shared" si="17"/>
        <v>995.45471999999995</v>
      </c>
      <c r="G204" s="108"/>
      <c r="H204" s="109"/>
      <c r="I204" s="60">
        <f>10.764</f>
        <v>10.763999999999999</v>
      </c>
      <c r="L204" s="113"/>
      <c r="M204" s="113"/>
      <c r="N204" s="36"/>
    </row>
    <row r="205" spans="1:14" s="52" customFormat="1" ht="15.75" customHeight="1" x14ac:dyDescent="0.35">
      <c r="A205" s="104">
        <v>9</v>
      </c>
      <c r="B205" s="105"/>
      <c r="C205" s="51" t="s">
        <v>208</v>
      </c>
      <c r="D205" s="60">
        <f>(34.04)*(10.764)</f>
        <v>366.40655999999996</v>
      </c>
      <c r="E205" s="51">
        <v>0</v>
      </c>
      <c r="F205" s="51">
        <f t="shared" si="17"/>
        <v>586.250496</v>
      </c>
      <c r="G205" s="108"/>
      <c r="H205" s="109"/>
      <c r="I205" s="36"/>
      <c r="L205" s="113"/>
      <c r="M205" s="113"/>
      <c r="N205" s="36"/>
    </row>
    <row r="206" spans="1:14" s="52" customFormat="1" ht="15.75" customHeight="1" x14ac:dyDescent="0.35">
      <c r="A206" s="104">
        <v>10</v>
      </c>
      <c r="B206" s="105"/>
      <c r="C206" s="51" t="s">
        <v>208</v>
      </c>
      <c r="D206" s="60">
        <f>(33.85)*(10.764)</f>
        <v>364.3614</v>
      </c>
      <c r="E206" s="51">
        <v>0</v>
      </c>
      <c r="F206" s="51">
        <f t="shared" si="17"/>
        <v>582.97824000000003</v>
      </c>
      <c r="G206" s="108"/>
      <c r="H206" s="109"/>
      <c r="I206" s="36"/>
      <c r="L206" s="113"/>
      <c r="M206" s="113"/>
      <c r="N206" s="36"/>
    </row>
    <row r="207" spans="1:14" s="52" customFormat="1" ht="15.75" customHeight="1" x14ac:dyDescent="0.35">
      <c r="A207" s="104">
        <v>11</v>
      </c>
      <c r="B207" s="105"/>
      <c r="C207" s="51" t="s">
        <v>207</v>
      </c>
      <c r="D207" s="60">
        <f>(343.5)*(10.764)</f>
        <v>3697.4339999999997</v>
      </c>
      <c r="E207" s="51">
        <v>0</v>
      </c>
      <c r="F207" s="51">
        <f t="shared" si="17"/>
        <v>5915.8944000000001</v>
      </c>
      <c r="G207" s="110"/>
      <c r="H207" s="111"/>
      <c r="I207" s="36"/>
      <c r="L207" s="113"/>
      <c r="M207" s="113"/>
      <c r="N207" s="36"/>
    </row>
    <row r="208" spans="1:14" s="52" customFormat="1" x14ac:dyDescent="0.35">
      <c r="A208" s="92" t="s">
        <v>212</v>
      </c>
      <c r="B208" s="93"/>
      <c r="C208" s="93"/>
      <c r="D208" s="93"/>
      <c r="E208" s="93"/>
      <c r="F208" s="93"/>
      <c r="G208" s="93"/>
      <c r="H208" s="94"/>
      <c r="J208" s="36"/>
    </row>
    <row r="209" spans="1:14" s="52" customFormat="1" ht="15.75" customHeight="1" x14ac:dyDescent="0.35">
      <c r="A209" s="104">
        <v>6</v>
      </c>
      <c r="B209" s="105"/>
      <c r="C209" s="51" t="s">
        <v>208</v>
      </c>
      <c r="D209" s="60">
        <f>(33.86)*(10.764)</f>
        <v>364.46903999999995</v>
      </c>
      <c r="E209" s="51">
        <v>0</v>
      </c>
      <c r="F209" s="51">
        <f>(D209+E209)*(($F$127)+1)</f>
        <v>583.15046399999994</v>
      </c>
      <c r="G209" s="106" t="str">
        <f>A208</f>
        <v>5th &amp; 6th Podium Floor For Commercial &amp; Parking</v>
      </c>
      <c r="H209" s="107"/>
      <c r="I209" s="36"/>
      <c r="L209" s="113"/>
      <c r="M209" s="113"/>
      <c r="N209" s="36"/>
    </row>
    <row r="210" spans="1:14" s="52" customFormat="1" ht="15.75" customHeight="1" x14ac:dyDescent="0.35">
      <c r="A210" s="104">
        <v>7</v>
      </c>
      <c r="B210" s="105"/>
      <c r="C210" s="51" t="s">
        <v>208</v>
      </c>
      <c r="D210" s="60">
        <f>(34.04)*(10.764)</f>
        <v>366.40655999999996</v>
      </c>
      <c r="E210" s="51">
        <v>0</v>
      </c>
      <c r="F210" s="51">
        <f t="shared" ref="F210:F214" si="18">(D210+E210)*(($F$127)+1)</f>
        <v>586.250496</v>
      </c>
      <c r="G210" s="108"/>
      <c r="H210" s="109"/>
      <c r="I210" s="36"/>
      <c r="L210" s="113"/>
      <c r="M210" s="113"/>
      <c r="N210" s="36"/>
    </row>
    <row r="211" spans="1:14" s="52" customFormat="1" ht="15.75" customHeight="1" x14ac:dyDescent="0.35">
      <c r="A211" s="104">
        <v>8</v>
      </c>
      <c r="B211" s="105"/>
      <c r="C211" s="51" t="s">
        <v>208</v>
      </c>
      <c r="D211" s="60">
        <f>(57.8)*(10.764)</f>
        <v>622.15919999999994</v>
      </c>
      <c r="E211" s="51">
        <v>0</v>
      </c>
      <c r="F211" s="51">
        <f t="shared" si="18"/>
        <v>995.45471999999995</v>
      </c>
      <c r="G211" s="108"/>
      <c r="H211" s="109"/>
      <c r="I211" s="36"/>
      <c r="L211" s="113"/>
      <c r="M211" s="113"/>
      <c r="N211" s="36"/>
    </row>
    <row r="212" spans="1:14" s="52" customFormat="1" ht="15.75" customHeight="1" x14ac:dyDescent="0.35">
      <c r="A212" s="104">
        <v>9</v>
      </c>
      <c r="B212" s="105"/>
      <c r="C212" s="51" t="s">
        <v>208</v>
      </c>
      <c r="D212" s="60">
        <f>(34.04)*(10.764)</f>
        <v>366.40655999999996</v>
      </c>
      <c r="E212" s="51">
        <v>0</v>
      </c>
      <c r="F212" s="51">
        <f t="shared" si="18"/>
        <v>586.250496</v>
      </c>
      <c r="G212" s="108"/>
      <c r="H212" s="109"/>
      <c r="I212" s="36"/>
      <c r="L212" s="113"/>
      <c r="M212" s="113"/>
      <c r="N212" s="36"/>
    </row>
    <row r="213" spans="1:14" s="52" customFormat="1" ht="15.75" customHeight="1" x14ac:dyDescent="0.35">
      <c r="A213" s="104">
        <v>10</v>
      </c>
      <c r="B213" s="105"/>
      <c r="C213" s="51" t="s">
        <v>208</v>
      </c>
      <c r="D213" s="60">
        <f>(33.85)*(10.764)</f>
        <v>364.3614</v>
      </c>
      <c r="E213" s="51">
        <v>0</v>
      </c>
      <c r="F213" s="51">
        <f t="shared" si="18"/>
        <v>582.97824000000003</v>
      </c>
      <c r="G213" s="108"/>
      <c r="H213" s="109"/>
      <c r="I213" s="36"/>
      <c r="L213" s="113"/>
      <c r="M213" s="113"/>
      <c r="N213" s="36"/>
    </row>
    <row r="214" spans="1:14" s="52" customFormat="1" ht="15.75" customHeight="1" x14ac:dyDescent="0.35">
      <c r="A214" s="104">
        <v>11</v>
      </c>
      <c r="B214" s="105"/>
      <c r="C214" s="51" t="s">
        <v>208</v>
      </c>
      <c r="D214" s="60">
        <f>(343.5)*(10.764)</f>
        <v>3697.4339999999997</v>
      </c>
      <c r="E214" s="51">
        <v>0</v>
      </c>
      <c r="F214" s="51">
        <f t="shared" si="18"/>
        <v>5915.8944000000001</v>
      </c>
      <c r="G214" s="110"/>
      <c r="H214" s="111"/>
      <c r="I214" s="36"/>
      <c r="L214" s="113"/>
      <c r="M214" s="113"/>
      <c r="N214" s="36"/>
    </row>
    <row r="215" spans="1:14" s="52" customFormat="1" x14ac:dyDescent="0.35">
      <c r="A215" s="92" t="s">
        <v>214</v>
      </c>
      <c r="B215" s="93"/>
      <c r="C215" s="93"/>
      <c r="D215" s="93"/>
      <c r="E215" s="93"/>
      <c r="F215" s="93"/>
      <c r="G215" s="93"/>
      <c r="H215" s="94"/>
      <c r="J215" s="36"/>
    </row>
    <row r="216" spans="1:14" s="52" customFormat="1" ht="15.75" customHeight="1" x14ac:dyDescent="0.35">
      <c r="A216" s="104">
        <v>6</v>
      </c>
      <c r="B216" s="105"/>
      <c r="C216" s="106" t="s">
        <v>215</v>
      </c>
      <c r="D216" s="117"/>
      <c r="E216" s="117"/>
      <c r="F216" s="107"/>
      <c r="G216" s="106" t="str">
        <f>A215</f>
        <v>7th Podium Floor For Commercial &amp; Parking (Part Refuge Area)</v>
      </c>
      <c r="H216" s="107"/>
      <c r="I216" s="36"/>
      <c r="L216" s="113"/>
      <c r="M216" s="113"/>
      <c r="N216" s="36"/>
    </row>
    <row r="217" spans="1:14" s="52" customFormat="1" ht="15.75" customHeight="1" x14ac:dyDescent="0.35">
      <c r="A217" s="104">
        <v>7</v>
      </c>
      <c r="B217" s="105"/>
      <c r="C217" s="108"/>
      <c r="D217" s="118"/>
      <c r="E217" s="118"/>
      <c r="F217" s="109"/>
      <c r="G217" s="108"/>
      <c r="H217" s="109"/>
      <c r="I217" s="36"/>
      <c r="L217" s="113"/>
      <c r="M217" s="113"/>
      <c r="N217" s="36"/>
    </row>
    <row r="218" spans="1:14" s="52" customFormat="1" ht="15.75" customHeight="1" x14ac:dyDescent="0.35">
      <c r="A218" s="104">
        <v>8</v>
      </c>
      <c r="B218" s="105"/>
      <c r="C218" s="108"/>
      <c r="D218" s="118"/>
      <c r="E218" s="118"/>
      <c r="F218" s="109"/>
      <c r="G218" s="108"/>
      <c r="H218" s="109"/>
      <c r="I218" s="36"/>
      <c r="L218" s="113"/>
      <c r="M218" s="113"/>
      <c r="N218" s="36"/>
    </row>
    <row r="219" spans="1:14" s="52" customFormat="1" ht="15.75" customHeight="1" x14ac:dyDescent="0.35">
      <c r="A219" s="104">
        <v>9</v>
      </c>
      <c r="B219" s="105"/>
      <c r="C219" s="110"/>
      <c r="D219" s="119"/>
      <c r="E219" s="119"/>
      <c r="F219" s="111"/>
      <c r="G219" s="108"/>
      <c r="H219" s="109"/>
      <c r="I219" s="36"/>
      <c r="L219" s="113"/>
      <c r="M219" s="113"/>
      <c r="N219" s="36"/>
    </row>
    <row r="220" spans="1:14" s="52" customFormat="1" ht="15.75" customHeight="1" x14ac:dyDescent="0.35">
      <c r="A220" s="104">
        <v>10</v>
      </c>
      <c r="B220" s="105"/>
      <c r="C220" s="51" t="s">
        <v>208</v>
      </c>
      <c r="D220" s="60">
        <f>(30.58)*(10.764)</f>
        <v>329.16311999999994</v>
      </c>
      <c r="E220" s="51">
        <v>0</v>
      </c>
      <c r="F220" s="51">
        <f t="shared" ref="F220:F221" si="19">(D220+E220)*(($F$127)+1)</f>
        <v>526.66099199999996</v>
      </c>
      <c r="G220" s="108"/>
      <c r="H220" s="109"/>
      <c r="I220" s="36"/>
      <c r="L220" s="113"/>
      <c r="M220" s="113"/>
      <c r="N220" s="36"/>
    </row>
    <row r="221" spans="1:14" s="52" customFormat="1" ht="15.75" customHeight="1" x14ac:dyDescent="0.35">
      <c r="A221" s="104">
        <v>11</v>
      </c>
      <c r="B221" s="105"/>
      <c r="C221" s="51" t="s">
        <v>208</v>
      </c>
      <c r="D221" s="60">
        <f>(38.16)*(10.764)</f>
        <v>410.75423999999992</v>
      </c>
      <c r="E221" s="51">
        <v>0</v>
      </c>
      <c r="F221" s="51">
        <f t="shared" si="19"/>
        <v>657.20678399999997</v>
      </c>
      <c r="G221" s="108"/>
      <c r="H221" s="109"/>
      <c r="I221" s="36"/>
      <c r="L221" s="113"/>
      <c r="M221" s="113"/>
      <c r="N221" s="36"/>
    </row>
    <row r="222" spans="1:14" s="52" customFormat="1" ht="15.75" customHeight="1" x14ac:dyDescent="0.35">
      <c r="A222" s="104">
        <v>12</v>
      </c>
      <c r="B222" s="105"/>
      <c r="C222" s="51" t="s">
        <v>208</v>
      </c>
      <c r="D222" s="60">
        <f>(53.28)*(10.764)</f>
        <v>573.50591999999995</v>
      </c>
      <c r="E222" s="51">
        <v>0</v>
      </c>
      <c r="F222" s="51">
        <f t="shared" ref="F222:F223" si="20">(D222+E222)*(($F$127)+1)</f>
        <v>917.60947199999998</v>
      </c>
      <c r="G222" s="108"/>
      <c r="H222" s="109"/>
      <c r="I222" s="36"/>
      <c r="L222" s="113"/>
      <c r="M222" s="113"/>
      <c r="N222" s="36"/>
    </row>
    <row r="223" spans="1:14" s="52" customFormat="1" ht="15.75" customHeight="1" x14ac:dyDescent="0.35">
      <c r="A223" s="104" t="s">
        <v>249</v>
      </c>
      <c r="B223" s="105"/>
      <c r="C223" s="51" t="s">
        <v>208</v>
      </c>
      <c r="D223" s="60">
        <f>(79.76)*(10.764)</f>
        <v>858.53664000000003</v>
      </c>
      <c r="E223" s="51">
        <v>0</v>
      </c>
      <c r="F223" s="51">
        <f t="shared" si="20"/>
        <v>1373.6586240000001</v>
      </c>
      <c r="G223" s="108"/>
      <c r="H223" s="109"/>
      <c r="I223" s="36"/>
      <c r="L223" s="113"/>
      <c r="M223" s="113"/>
      <c r="N223" s="36"/>
    </row>
    <row r="224" spans="1:14" s="52" customFormat="1" ht="15.75" customHeight="1" x14ac:dyDescent="0.35">
      <c r="A224" s="104">
        <v>14</v>
      </c>
      <c r="B224" s="105"/>
      <c r="C224" s="51" t="s">
        <v>208</v>
      </c>
      <c r="D224" s="60">
        <f>(41.5)*(10.764)</f>
        <v>446.70599999999996</v>
      </c>
      <c r="E224" s="51">
        <v>0</v>
      </c>
      <c r="F224" s="51">
        <f t="shared" ref="F224:F225" si="21">(D224+E224)*(($F$127)+1)</f>
        <v>714.7296</v>
      </c>
      <c r="G224" s="108"/>
      <c r="H224" s="109"/>
      <c r="I224" s="36"/>
      <c r="L224" s="113"/>
      <c r="M224" s="113"/>
      <c r="N224" s="36"/>
    </row>
    <row r="225" spans="1:14" s="52" customFormat="1" ht="15.75" customHeight="1" x14ac:dyDescent="0.35">
      <c r="A225" s="104">
        <v>15</v>
      </c>
      <c r="B225" s="105"/>
      <c r="C225" s="51" t="s">
        <v>208</v>
      </c>
      <c r="D225" s="60">
        <f>(52.16)*(10.764)</f>
        <v>561.45023999999989</v>
      </c>
      <c r="E225" s="51">
        <v>0</v>
      </c>
      <c r="F225" s="51">
        <f t="shared" si="21"/>
        <v>898.32038399999988</v>
      </c>
      <c r="G225" s="108"/>
      <c r="H225" s="109"/>
      <c r="I225" s="36"/>
      <c r="L225" s="113"/>
      <c r="M225" s="113"/>
      <c r="N225" s="36"/>
    </row>
    <row r="226" spans="1:14" s="52" customFormat="1" ht="15.75" customHeight="1" x14ac:dyDescent="0.35">
      <c r="A226" s="104">
        <v>16</v>
      </c>
      <c r="B226" s="105"/>
      <c r="C226" s="51" t="s">
        <v>208</v>
      </c>
      <c r="D226" s="60">
        <f>(26.44)*(10.764)</f>
        <v>284.60016000000002</v>
      </c>
      <c r="E226" s="51">
        <v>0</v>
      </c>
      <c r="F226" s="51">
        <f t="shared" ref="F226" si="22">(D226+E226)*(($F$127)+1)</f>
        <v>455.36025600000005</v>
      </c>
      <c r="G226" s="110"/>
      <c r="H226" s="111"/>
      <c r="I226" s="36"/>
      <c r="L226" s="113"/>
      <c r="M226" s="113"/>
      <c r="N226" s="36"/>
    </row>
    <row r="227" spans="1:14" s="52" customFormat="1" x14ac:dyDescent="0.35">
      <c r="A227" s="92" t="s">
        <v>217</v>
      </c>
      <c r="B227" s="93"/>
      <c r="C227" s="93"/>
      <c r="D227" s="93"/>
      <c r="E227" s="93"/>
      <c r="F227" s="93"/>
      <c r="G227" s="93"/>
      <c r="H227" s="94"/>
      <c r="J227" s="36"/>
    </row>
    <row r="228" spans="1:14" s="52" customFormat="1" ht="15.75" customHeight="1" x14ac:dyDescent="0.35">
      <c r="A228" s="104">
        <v>6</v>
      </c>
      <c r="B228" s="105"/>
      <c r="C228" s="51" t="s">
        <v>208</v>
      </c>
      <c r="D228" s="60">
        <f>(33.86)*(10.764)</f>
        <v>364.46903999999995</v>
      </c>
      <c r="E228" s="51">
        <v>0</v>
      </c>
      <c r="F228" s="51">
        <f>(D228+E228)*(($F$127)+1)</f>
        <v>583.15046399999994</v>
      </c>
      <c r="G228" s="106" t="str">
        <f>A227</f>
        <v>8th Podium Floor For Commercial &amp; Parking</v>
      </c>
      <c r="H228" s="107"/>
      <c r="I228" s="36"/>
      <c r="L228" s="113"/>
      <c r="M228" s="113"/>
      <c r="N228" s="36"/>
    </row>
    <row r="229" spans="1:14" s="52" customFormat="1" ht="15.75" customHeight="1" x14ac:dyDescent="0.35">
      <c r="A229" s="104">
        <v>7</v>
      </c>
      <c r="B229" s="105"/>
      <c r="C229" s="51" t="s">
        <v>208</v>
      </c>
      <c r="D229" s="60">
        <f>(34.04)*(10.764)</f>
        <v>366.40655999999996</v>
      </c>
      <c r="E229" s="51">
        <v>0</v>
      </c>
      <c r="F229" s="51">
        <f t="shared" ref="F229:F233" si="23">(D229+E229)*(($F$127)+1)</f>
        <v>586.250496</v>
      </c>
      <c r="G229" s="108"/>
      <c r="H229" s="109"/>
      <c r="I229" s="36"/>
      <c r="L229" s="113"/>
      <c r="M229" s="113"/>
      <c r="N229" s="36"/>
    </row>
    <row r="230" spans="1:14" s="52" customFormat="1" ht="15.75" customHeight="1" x14ac:dyDescent="0.35">
      <c r="A230" s="104">
        <v>8</v>
      </c>
      <c r="B230" s="105"/>
      <c r="C230" s="51" t="s">
        <v>208</v>
      </c>
      <c r="D230" s="60">
        <f>(57.8)*(10.764)</f>
        <v>622.15919999999994</v>
      </c>
      <c r="E230" s="51">
        <v>0</v>
      </c>
      <c r="F230" s="51">
        <f t="shared" si="23"/>
        <v>995.45471999999995</v>
      </c>
      <c r="G230" s="108"/>
      <c r="H230" s="109"/>
      <c r="I230" s="36"/>
      <c r="L230" s="113"/>
      <c r="M230" s="113"/>
      <c r="N230" s="36"/>
    </row>
    <row r="231" spans="1:14" s="52" customFormat="1" ht="15.75" customHeight="1" x14ac:dyDescent="0.35">
      <c r="A231" s="104">
        <v>9</v>
      </c>
      <c r="B231" s="105"/>
      <c r="C231" s="51" t="s">
        <v>208</v>
      </c>
      <c r="D231" s="60">
        <f>(34.04)*(10.764)</f>
        <v>366.40655999999996</v>
      </c>
      <c r="E231" s="51">
        <v>0</v>
      </c>
      <c r="F231" s="51">
        <f t="shared" si="23"/>
        <v>586.250496</v>
      </c>
      <c r="G231" s="108"/>
      <c r="H231" s="109"/>
      <c r="I231" s="36"/>
      <c r="L231" s="113"/>
      <c r="M231" s="113"/>
      <c r="N231" s="36"/>
    </row>
    <row r="232" spans="1:14" s="52" customFormat="1" ht="15.75" customHeight="1" x14ac:dyDescent="0.35">
      <c r="A232" s="104">
        <v>10</v>
      </c>
      <c r="B232" s="105"/>
      <c r="C232" s="51" t="s">
        <v>208</v>
      </c>
      <c r="D232" s="60">
        <f>(33.85)*(10.764)</f>
        <v>364.3614</v>
      </c>
      <c r="E232" s="51">
        <v>0</v>
      </c>
      <c r="F232" s="51">
        <f t="shared" si="23"/>
        <v>582.97824000000003</v>
      </c>
      <c r="G232" s="108"/>
      <c r="H232" s="109"/>
      <c r="I232" s="36"/>
      <c r="L232" s="113"/>
      <c r="M232" s="113"/>
      <c r="N232" s="36"/>
    </row>
    <row r="233" spans="1:14" s="52" customFormat="1" ht="15.75" customHeight="1" x14ac:dyDescent="0.35">
      <c r="A233" s="104">
        <v>11</v>
      </c>
      <c r="B233" s="105"/>
      <c r="C233" s="51" t="s">
        <v>208</v>
      </c>
      <c r="D233" s="60">
        <f>(38.16)*(10.764)</f>
        <v>410.75423999999992</v>
      </c>
      <c r="E233" s="51">
        <v>0</v>
      </c>
      <c r="F233" s="51">
        <f t="shared" si="23"/>
        <v>657.20678399999997</v>
      </c>
      <c r="G233" s="108"/>
      <c r="H233" s="109"/>
      <c r="I233" s="36"/>
      <c r="L233" s="113"/>
      <c r="M233" s="113"/>
      <c r="N233" s="36"/>
    </row>
    <row r="234" spans="1:14" s="52" customFormat="1" ht="15.75" customHeight="1" x14ac:dyDescent="0.35">
      <c r="A234" s="104">
        <v>12</v>
      </c>
      <c r="B234" s="105"/>
      <c r="C234" s="51" t="s">
        <v>208</v>
      </c>
      <c r="D234" s="60">
        <f>(53.28)*(10.764)</f>
        <v>573.50591999999995</v>
      </c>
      <c r="E234" s="51">
        <v>0</v>
      </c>
      <c r="F234" s="51">
        <f t="shared" ref="F234:F238" si="24">(D234+E234)*(($F$127)+1)</f>
        <v>917.60947199999998</v>
      </c>
      <c r="G234" s="108"/>
      <c r="H234" s="109"/>
      <c r="I234" s="36"/>
      <c r="L234" s="113"/>
      <c r="M234" s="113"/>
      <c r="N234" s="36"/>
    </row>
    <row r="235" spans="1:14" s="52" customFormat="1" ht="15.75" customHeight="1" x14ac:dyDescent="0.35">
      <c r="A235" s="104" t="s">
        <v>216</v>
      </c>
      <c r="B235" s="105"/>
      <c r="C235" s="51" t="s">
        <v>208</v>
      </c>
      <c r="D235" s="60">
        <f>(79.76)*(10.764)</f>
        <v>858.53664000000003</v>
      </c>
      <c r="E235" s="51">
        <v>0</v>
      </c>
      <c r="F235" s="51">
        <f t="shared" si="24"/>
        <v>1373.6586240000001</v>
      </c>
      <c r="G235" s="108"/>
      <c r="H235" s="109"/>
      <c r="I235" s="36"/>
      <c r="L235" s="113"/>
      <c r="M235" s="113"/>
      <c r="N235" s="36"/>
    </row>
    <row r="236" spans="1:14" s="52" customFormat="1" ht="15.75" customHeight="1" x14ac:dyDescent="0.35">
      <c r="A236" s="104">
        <v>14</v>
      </c>
      <c r="B236" s="105"/>
      <c r="C236" s="51" t="s">
        <v>208</v>
      </c>
      <c r="D236" s="60">
        <f>(41.5)*(10.764)</f>
        <v>446.70599999999996</v>
      </c>
      <c r="E236" s="51">
        <v>0</v>
      </c>
      <c r="F236" s="51">
        <f t="shared" si="24"/>
        <v>714.7296</v>
      </c>
      <c r="G236" s="108"/>
      <c r="H236" s="109"/>
      <c r="I236" s="36"/>
      <c r="L236" s="113"/>
      <c r="M236" s="113"/>
      <c r="N236" s="36"/>
    </row>
    <row r="237" spans="1:14" s="52" customFormat="1" ht="15.75" customHeight="1" x14ac:dyDescent="0.35">
      <c r="A237" s="104">
        <v>15</v>
      </c>
      <c r="B237" s="105"/>
      <c r="C237" s="51" t="s">
        <v>208</v>
      </c>
      <c r="D237" s="60">
        <f>(52.16)*(10.764)</f>
        <v>561.45023999999989</v>
      </c>
      <c r="E237" s="51">
        <v>0</v>
      </c>
      <c r="F237" s="51">
        <f t="shared" si="24"/>
        <v>898.32038399999988</v>
      </c>
      <c r="G237" s="108"/>
      <c r="H237" s="109"/>
      <c r="I237" s="36"/>
      <c r="L237" s="113"/>
      <c r="M237" s="113"/>
      <c r="N237" s="36"/>
    </row>
    <row r="238" spans="1:14" s="52" customFormat="1" ht="15.75" customHeight="1" x14ac:dyDescent="0.35">
      <c r="A238" s="104">
        <v>16</v>
      </c>
      <c r="B238" s="105"/>
      <c r="C238" s="51" t="s">
        <v>208</v>
      </c>
      <c r="D238" s="60">
        <f>(26.44)*(10.764)</f>
        <v>284.60016000000002</v>
      </c>
      <c r="E238" s="51">
        <v>0</v>
      </c>
      <c r="F238" s="51">
        <f t="shared" si="24"/>
        <v>455.36025600000005</v>
      </c>
      <c r="G238" s="110"/>
      <c r="H238" s="111"/>
      <c r="I238" s="36"/>
      <c r="L238" s="113"/>
      <c r="M238" s="113"/>
      <c r="N238" s="36"/>
    </row>
    <row r="239" spans="1:14" s="52" customFormat="1" x14ac:dyDescent="0.35">
      <c r="A239" s="92" t="s">
        <v>218</v>
      </c>
      <c r="B239" s="93"/>
      <c r="C239" s="93"/>
      <c r="D239" s="93"/>
      <c r="E239" s="93"/>
      <c r="F239" s="93"/>
      <c r="G239" s="93"/>
      <c r="H239" s="94"/>
      <c r="J239" s="36"/>
    </row>
    <row r="240" spans="1:14" s="52" customFormat="1" x14ac:dyDescent="0.35">
      <c r="A240" s="92" t="s">
        <v>220</v>
      </c>
      <c r="B240" s="93"/>
      <c r="C240" s="93"/>
      <c r="D240" s="93"/>
      <c r="E240" s="93"/>
      <c r="F240" s="93"/>
      <c r="G240" s="93"/>
      <c r="H240" s="94"/>
      <c r="J240" s="36"/>
    </row>
    <row r="241" spans="1:14" s="52" customFormat="1" x14ac:dyDescent="0.35">
      <c r="A241" s="92" t="s">
        <v>250</v>
      </c>
      <c r="B241" s="93"/>
      <c r="C241" s="93"/>
      <c r="D241" s="93"/>
      <c r="E241" s="93"/>
      <c r="F241" s="93"/>
      <c r="G241" s="93"/>
      <c r="H241" s="94"/>
      <c r="J241" s="36"/>
    </row>
    <row r="242" spans="1:14" s="37" customFormat="1" x14ac:dyDescent="0.35">
      <c r="A242" s="104"/>
      <c r="B242" s="112"/>
      <c r="C242" s="112"/>
      <c r="D242" s="112"/>
      <c r="E242" s="112"/>
      <c r="F242" s="112"/>
      <c r="G242" s="112"/>
      <c r="H242" s="105"/>
      <c r="I242" s="36"/>
      <c r="N242" s="36"/>
    </row>
    <row r="243" spans="1:14" ht="47.25" customHeight="1" x14ac:dyDescent="0.35">
      <c r="A243" s="125" t="s">
        <v>121</v>
      </c>
      <c r="B243" s="125" t="s">
        <v>122</v>
      </c>
      <c r="C243" s="141" t="s">
        <v>57</v>
      </c>
      <c r="D243" s="141" t="s">
        <v>58</v>
      </c>
      <c r="E243" s="123" t="s">
        <v>59</v>
      </c>
      <c r="F243" s="43" t="s">
        <v>149</v>
      </c>
      <c r="G243" s="125" t="s">
        <v>60</v>
      </c>
      <c r="H243" s="126"/>
      <c r="I243" s="36"/>
    </row>
    <row r="244" spans="1:14" s="37" customFormat="1" x14ac:dyDescent="0.35">
      <c r="A244" s="127"/>
      <c r="B244" s="127"/>
      <c r="C244" s="142"/>
      <c r="D244" s="142"/>
      <c r="E244" s="124"/>
      <c r="F244" s="13">
        <v>0.55000000000000004</v>
      </c>
      <c r="G244" s="127"/>
      <c r="H244" s="128"/>
      <c r="I244" s="36"/>
    </row>
    <row r="245" spans="1:14" s="52" customFormat="1" x14ac:dyDescent="0.35">
      <c r="A245" s="92" t="s">
        <v>200</v>
      </c>
      <c r="B245" s="93"/>
      <c r="C245" s="93"/>
      <c r="D245" s="93"/>
      <c r="E245" s="93"/>
      <c r="F245" s="93"/>
      <c r="G245" s="93"/>
      <c r="H245" s="94"/>
      <c r="J245" s="36"/>
    </row>
    <row r="246" spans="1:14" s="37" customFormat="1" x14ac:dyDescent="0.35">
      <c r="A246" s="92" t="s">
        <v>221</v>
      </c>
      <c r="B246" s="93"/>
      <c r="C246" s="93"/>
      <c r="D246" s="93"/>
      <c r="E246" s="93"/>
      <c r="F246" s="93"/>
      <c r="G246" s="93"/>
      <c r="H246" s="94"/>
      <c r="J246" s="36"/>
    </row>
    <row r="247" spans="1:14" s="37" customFormat="1" ht="15.75" customHeight="1" x14ac:dyDescent="0.35">
      <c r="A247" s="104">
        <v>1</v>
      </c>
      <c r="B247" s="105"/>
      <c r="C247" s="42" t="s">
        <v>222</v>
      </c>
      <c r="D247" s="60">
        <f>(64.6)*(10.764)</f>
        <v>695.35439999999994</v>
      </c>
      <c r="E247" s="42">
        <v>0</v>
      </c>
      <c r="F247" s="42">
        <f t="shared" ref="F247:F254" si="25">D247*(($F$244)+1)+(IF(E247&lt;101,E247,IF(E247&lt;201,E247/2,IF(E247&lt;=301,E247/3,E247/4))))</f>
        <v>1077.7993199999999</v>
      </c>
      <c r="G247" s="106" t="str">
        <f>A246</f>
        <v>1st to 3rd &amp; 5th to 10th Floor For Residential</v>
      </c>
      <c r="H247" s="107"/>
      <c r="I247" s="36">
        <f>1.2*2.68+3.05*2.38+1.58*0.23+1.27*0.65+3.05*5.15+2.07*1+2.2*1.35+1.43*1+2.2*1.35+3.05*3.95+2.92*3.65</f>
        <v>59.5169</v>
      </c>
      <c r="L247" s="113"/>
      <c r="M247" s="113"/>
      <c r="N247" s="36"/>
    </row>
    <row r="248" spans="1:14" s="37" customFormat="1" ht="15.75" customHeight="1" x14ac:dyDescent="0.35">
      <c r="A248" s="104">
        <f t="shared" ref="A248:A254" si="26">A247+1</f>
        <v>2</v>
      </c>
      <c r="B248" s="105"/>
      <c r="C248" s="51" t="s">
        <v>222</v>
      </c>
      <c r="D248" s="60">
        <f>(64.6)*(10.764)</f>
        <v>695.35439999999994</v>
      </c>
      <c r="E248" s="42">
        <v>0</v>
      </c>
      <c r="F248" s="42">
        <f t="shared" si="25"/>
        <v>1077.7993199999999</v>
      </c>
      <c r="G248" s="108"/>
      <c r="H248" s="109"/>
      <c r="I248" s="36"/>
      <c r="L248" s="113"/>
      <c r="M248" s="113"/>
      <c r="N248" s="36"/>
    </row>
    <row r="249" spans="1:14" s="37" customFormat="1" ht="15.75" customHeight="1" x14ac:dyDescent="0.35">
      <c r="A249" s="104">
        <f t="shared" si="26"/>
        <v>3</v>
      </c>
      <c r="B249" s="105"/>
      <c r="C249" s="51" t="s">
        <v>223</v>
      </c>
      <c r="D249" s="60">
        <f>(101.54)*(10.764)</f>
        <v>1092.9765600000001</v>
      </c>
      <c r="E249" s="42">
        <v>0</v>
      </c>
      <c r="F249" s="42">
        <f t="shared" si="25"/>
        <v>1694.1136680000002</v>
      </c>
      <c r="G249" s="108"/>
      <c r="H249" s="109"/>
      <c r="I249" s="36">
        <f>6.1*3.35+2.83*1.2+2.45*3.8+3.45*1.8+1.25*1.35+2.25*1.35+2.3*1.35+3.65*3.05+3.2*1+3.05*3.35+3.95*3.35+2.45*1.35+3.35*1.55</f>
        <v>93.463499999999996</v>
      </c>
      <c r="L249" s="113"/>
      <c r="M249" s="113"/>
      <c r="N249" s="36"/>
    </row>
    <row r="250" spans="1:14" s="37" customFormat="1" ht="15.75" customHeight="1" x14ac:dyDescent="0.35">
      <c r="A250" s="104">
        <f t="shared" si="26"/>
        <v>4</v>
      </c>
      <c r="B250" s="105"/>
      <c r="C250" s="51" t="s">
        <v>223</v>
      </c>
      <c r="D250" s="60">
        <f>(101.54)*(10.764)</f>
        <v>1092.9765600000001</v>
      </c>
      <c r="E250" s="42">
        <v>0</v>
      </c>
      <c r="F250" s="42">
        <f t="shared" si="25"/>
        <v>1694.1136680000002</v>
      </c>
      <c r="G250" s="108"/>
      <c r="H250" s="109"/>
      <c r="I250" s="36"/>
      <c r="L250" s="113"/>
      <c r="M250" s="113"/>
      <c r="N250" s="36"/>
    </row>
    <row r="251" spans="1:14" s="52" customFormat="1" x14ac:dyDescent="0.35">
      <c r="A251" s="104">
        <f t="shared" si="26"/>
        <v>5</v>
      </c>
      <c r="B251" s="105"/>
      <c r="C251" s="51" t="s">
        <v>222</v>
      </c>
      <c r="D251" s="60">
        <f>(59.18)*(10.764)</f>
        <v>637.01351999999997</v>
      </c>
      <c r="E251" s="51">
        <v>0</v>
      </c>
      <c r="F251" s="51">
        <f t="shared" si="25"/>
        <v>987.37095599999998</v>
      </c>
      <c r="G251" s="108"/>
      <c r="H251" s="109"/>
      <c r="I251" s="36"/>
      <c r="L251" s="113"/>
      <c r="M251" s="113"/>
      <c r="N251" s="36"/>
    </row>
    <row r="252" spans="1:14" s="52" customFormat="1" x14ac:dyDescent="0.35">
      <c r="A252" s="104">
        <f t="shared" si="26"/>
        <v>6</v>
      </c>
      <c r="B252" s="105"/>
      <c r="C252" s="51" t="s">
        <v>222</v>
      </c>
      <c r="D252" s="60">
        <f>(59.18)*(10.764)</f>
        <v>637.01351999999997</v>
      </c>
      <c r="E252" s="51">
        <v>0</v>
      </c>
      <c r="F252" s="51">
        <f t="shared" si="25"/>
        <v>987.37095599999998</v>
      </c>
      <c r="G252" s="108"/>
      <c r="H252" s="109"/>
      <c r="I252" s="36"/>
      <c r="L252" s="113"/>
      <c r="M252" s="113"/>
      <c r="N252" s="36"/>
    </row>
    <row r="253" spans="1:14" s="52" customFormat="1" x14ac:dyDescent="0.35">
      <c r="A253" s="104">
        <f t="shared" si="26"/>
        <v>7</v>
      </c>
      <c r="B253" s="105"/>
      <c r="C253" s="51" t="s">
        <v>222</v>
      </c>
      <c r="D253" s="60">
        <f>(57.9)*(10.764)</f>
        <v>623.23559999999998</v>
      </c>
      <c r="E253" s="51">
        <v>0</v>
      </c>
      <c r="F253" s="51">
        <f t="shared" si="25"/>
        <v>966.01517999999999</v>
      </c>
      <c r="G253" s="108"/>
      <c r="H253" s="109"/>
      <c r="I253" s="36"/>
      <c r="L253" s="113"/>
      <c r="M253" s="113"/>
      <c r="N253" s="36"/>
    </row>
    <row r="254" spans="1:14" s="52" customFormat="1" x14ac:dyDescent="0.35">
      <c r="A254" s="104">
        <f t="shared" si="26"/>
        <v>8</v>
      </c>
      <c r="B254" s="105"/>
      <c r="C254" s="51" t="s">
        <v>222</v>
      </c>
      <c r="D254" s="60">
        <f>(57.9)*(10.764)</f>
        <v>623.23559999999998</v>
      </c>
      <c r="E254" s="51">
        <v>0</v>
      </c>
      <c r="F254" s="51">
        <f t="shared" si="25"/>
        <v>966.01517999999999</v>
      </c>
      <c r="G254" s="110"/>
      <c r="H254" s="111"/>
      <c r="I254" s="36">
        <f>2.63*1.2+2.25*3.2+3.05*4.55+2.15*1.35+2.3*1+2.95*3.05+2.03*1.4+2.04*1.4+3.09*3.05</f>
        <v>53.555999999999997</v>
      </c>
      <c r="L254" s="113"/>
      <c r="M254" s="113"/>
      <c r="N254" s="36"/>
    </row>
    <row r="255" spans="1:14" s="54" customFormat="1" x14ac:dyDescent="0.35">
      <c r="A255" s="92" t="s">
        <v>224</v>
      </c>
      <c r="B255" s="93"/>
      <c r="C255" s="93"/>
      <c r="D255" s="93"/>
      <c r="E255" s="93"/>
      <c r="F255" s="93"/>
      <c r="G255" s="93"/>
      <c r="H255" s="94"/>
      <c r="J255" s="36"/>
    </row>
    <row r="256" spans="1:14" s="54" customFormat="1" ht="15.75" customHeight="1" x14ac:dyDescent="0.35">
      <c r="A256" s="104">
        <v>1</v>
      </c>
      <c r="B256" s="105"/>
      <c r="C256" s="53" t="s">
        <v>222</v>
      </c>
      <c r="D256" s="60">
        <f>(64.6)*(10.764)</f>
        <v>695.35439999999994</v>
      </c>
      <c r="E256" s="53">
        <v>0</v>
      </c>
      <c r="F256" s="53">
        <f t="shared" ref="F256:F263" si="27">D256*(($F$244)+1)+(IF(E256&lt;101,E256,IF(E256&lt;201,E256/2,IF(E256&lt;=301,E256/3,E256/4))))</f>
        <v>1077.7993199999999</v>
      </c>
      <c r="G256" s="106" t="str">
        <f>A255</f>
        <v>4th Floor (Part Refuge Area)</v>
      </c>
      <c r="H256" s="107"/>
      <c r="I256" s="36"/>
      <c r="L256" s="113"/>
      <c r="M256" s="113"/>
      <c r="N256" s="36"/>
    </row>
    <row r="257" spans="1:14" s="54" customFormat="1" ht="15.75" customHeight="1" x14ac:dyDescent="0.35">
      <c r="A257" s="104">
        <f t="shared" ref="A257:A263" si="28">A256+1</f>
        <v>2</v>
      </c>
      <c r="B257" s="105"/>
      <c r="C257" s="53" t="s">
        <v>222</v>
      </c>
      <c r="D257" s="60">
        <f>(64.6)*(10.764)</f>
        <v>695.35439999999994</v>
      </c>
      <c r="E257" s="53">
        <v>0</v>
      </c>
      <c r="F257" s="53">
        <f t="shared" si="27"/>
        <v>1077.7993199999999</v>
      </c>
      <c r="G257" s="108"/>
      <c r="H257" s="109"/>
      <c r="I257" s="36"/>
      <c r="L257" s="113"/>
      <c r="M257" s="113"/>
      <c r="N257" s="36"/>
    </row>
    <row r="258" spans="1:14" s="54" customFormat="1" ht="15.75" customHeight="1" x14ac:dyDescent="0.35">
      <c r="A258" s="104">
        <f t="shared" si="28"/>
        <v>3</v>
      </c>
      <c r="B258" s="105"/>
      <c r="C258" s="53" t="s">
        <v>223</v>
      </c>
      <c r="D258" s="60">
        <f>(101.54)*(10.764)</f>
        <v>1092.9765600000001</v>
      </c>
      <c r="E258" s="53">
        <v>0</v>
      </c>
      <c r="F258" s="53">
        <f t="shared" si="27"/>
        <v>1694.1136680000002</v>
      </c>
      <c r="G258" s="108"/>
      <c r="H258" s="109"/>
      <c r="I258" s="36"/>
      <c r="L258" s="113"/>
      <c r="M258" s="113"/>
      <c r="N258" s="36"/>
    </row>
    <row r="259" spans="1:14" s="54" customFormat="1" ht="15.75" customHeight="1" x14ac:dyDescent="0.35">
      <c r="A259" s="104">
        <f t="shared" si="28"/>
        <v>4</v>
      </c>
      <c r="B259" s="105"/>
      <c r="C259" s="104" t="s">
        <v>215</v>
      </c>
      <c r="D259" s="112"/>
      <c r="E259" s="112"/>
      <c r="F259" s="105"/>
      <c r="G259" s="108"/>
      <c r="H259" s="109"/>
      <c r="I259" s="36"/>
      <c r="L259" s="113"/>
      <c r="M259" s="113"/>
      <c r="N259" s="36"/>
    </row>
    <row r="260" spans="1:14" s="54" customFormat="1" x14ac:dyDescent="0.35">
      <c r="A260" s="104">
        <f t="shared" si="28"/>
        <v>5</v>
      </c>
      <c r="B260" s="105"/>
      <c r="C260" s="104" t="s">
        <v>215</v>
      </c>
      <c r="D260" s="112"/>
      <c r="E260" s="112">
        <v>0</v>
      </c>
      <c r="F260" s="105">
        <f t="shared" si="27"/>
        <v>0</v>
      </c>
      <c r="G260" s="108"/>
      <c r="H260" s="109"/>
      <c r="I260" s="36"/>
      <c r="L260" s="113"/>
      <c r="M260" s="113"/>
      <c r="N260" s="36"/>
    </row>
    <row r="261" spans="1:14" s="54" customFormat="1" x14ac:dyDescent="0.35">
      <c r="A261" s="104">
        <f t="shared" si="28"/>
        <v>6</v>
      </c>
      <c r="B261" s="105"/>
      <c r="C261" s="53" t="s">
        <v>222</v>
      </c>
      <c r="D261" s="60">
        <f>(59.18)*(10.764)</f>
        <v>637.01351999999997</v>
      </c>
      <c r="E261" s="53">
        <v>0</v>
      </c>
      <c r="F261" s="53">
        <f t="shared" si="27"/>
        <v>987.37095599999998</v>
      </c>
      <c r="G261" s="108"/>
      <c r="H261" s="109"/>
      <c r="I261" s="36"/>
      <c r="L261" s="113"/>
      <c r="M261" s="113"/>
      <c r="N261" s="36"/>
    </row>
    <row r="262" spans="1:14" s="54" customFormat="1" x14ac:dyDescent="0.35">
      <c r="A262" s="104">
        <f t="shared" si="28"/>
        <v>7</v>
      </c>
      <c r="B262" s="105"/>
      <c r="C262" s="53" t="s">
        <v>222</v>
      </c>
      <c r="D262" s="60">
        <f>(57.9)*(10.764)</f>
        <v>623.23559999999998</v>
      </c>
      <c r="E262" s="53">
        <v>0</v>
      </c>
      <c r="F262" s="53">
        <f t="shared" si="27"/>
        <v>966.01517999999999</v>
      </c>
      <c r="G262" s="108"/>
      <c r="H262" s="109"/>
      <c r="I262" s="36"/>
      <c r="L262" s="113"/>
      <c r="M262" s="113"/>
      <c r="N262" s="36"/>
    </row>
    <row r="263" spans="1:14" s="54" customFormat="1" x14ac:dyDescent="0.35">
      <c r="A263" s="104">
        <f t="shared" si="28"/>
        <v>8</v>
      </c>
      <c r="B263" s="105"/>
      <c r="C263" s="53" t="s">
        <v>222</v>
      </c>
      <c r="D263" s="60">
        <f>(57.9)*(10.764)</f>
        <v>623.23559999999998</v>
      </c>
      <c r="E263" s="53">
        <v>0</v>
      </c>
      <c r="F263" s="53">
        <f t="shared" si="27"/>
        <v>966.01517999999999</v>
      </c>
      <c r="G263" s="110"/>
      <c r="H263" s="111"/>
      <c r="I263" s="36"/>
      <c r="L263" s="113"/>
      <c r="M263" s="113"/>
      <c r="N263" s="36"/>
    </row>
    <row r="264" spans="1:14" s="54" customFormat="1" x14ac:dyDescent="0.35">
      <c r="A264" s="92" t="s">
        <v>225</v>
      </c>
      <c r="B264" s="93"/>
      <c r="C264" s="93"/>
      <c r="D264" s="93"/>
      <c r="E264" s="93"/>
      <c r="F264" s="93"/>
      <c r="G264" s="93"/>
      <c r="H264" s="94"/>
      <c r="J264" s="36"/>
    </row>
    <row r="265" spans="1:14" s="54" customFormat="1" ht="15.75" customHeight="1" x14ac:dyDescent="0.35">
      <c r="A265" s="104">
        <v>1</v>
      </c>
      <c r="B265" s="105"/>
      <c r="C265" s="53" t="s">
        <v>222</v>
      </c>
      <c r="D265" s="60">
        <f>(64.6)*(10.764)</f>
        <v>695.35439999999994</v>
      </c>
      <c r="E265" s="53">
        <v>0</v>
      </c>
      <c r="F265" s="53">
        <f t="shared" ref="F265:F272" si="29">D265*(($F$244)+1)+(IF(E265&lt;101,E265,IF(E265&lt;201,E265/2,IF(E265&lt;=301,E265/3,E265/4))))</f>
        <v>1077.7993199999999</v>
      </c>
      <c r="G265" s="106" t="str">
        <f>A264</f>
        <v>12th to 17th, 19th &amp; 20th Floor</v>
      </c>
      <c r="H265" s="107"/>
      <c r="I265" s="36">
        <f>1.2*2.68+3.05*2.38+1.58*0.23+1.27*0.65+3.05*5.15+2.07*1+2.2*1.35+1.43*1+2.2*1.35+3.05*3.95+2.92*3.65</f>
        <v>59.5169</v>
      </c>
      <c r="L265" s="113"/>
      <c r="M265" s="113"/>
      <c r="N265" s="36"/>
    </row>
    <row r="266" spans="1:14" s="54" customFormat="1" ht="15.75" customHeight="1" x14ac:dyDescent="0.35">
      <c r="A266" s="104">
        <f t="shared" ref="A266:A272" si="30">A265+1</f>
        <v>2</v>
      </c>
      <c r="B266" s="105"/>
      <c r="C266" s="53" t="s">
        <v>222</v>
      </c>
      <c r="D266" s="60">
        <f>(64.6)*(10.764)</f>
        <v>695.35439999999994</v>
      </c>
      <c r="E266" s="53">
        <v>0</v>
      </c>
      <c r="F266" s="53">
        <f t="shared" si="29"/>
        <v>1077.7993199999999</v>
      </c>
      <c r="G266" s="108"/>
      <c r="H266" s="109"/>
      <c r="I266" s="36"/>
      <c r="L266" s="113"/>
      <c r="M266" s="113"/>
      <c r="N266" s="36"/>
    </row>
    <row r="267" spans="1:14" s="54" customFormat="1" ht="15.75" customHeight="1" x14ac:dyDescent="0.35">
      <c r="A267" s="104">
        <f t="shared" si="30"/>
        <v>3</v>
      </c>
      <c r="B267" s="105"/>
      <c r="C267" s="53" t="s">
        <v>223</v>
      </c>
      <c r="D267" s="60">
        <f>(101.79)*(10.764)</f>
        <v>1095.6675600000001</v>
      </c>
      <c r="E267" s="53">
        <v>0</v>
      </c>
      <c r="F267" s="53">
        <f t="shared" si="29"/>
        <v>1698.2847180000001</v>
      </c>
      <c r="G267" s="108"/>
      <c r="H267" s="109"/>
      <c r="I267" s="36">
        <f>6.1*3.35+2.83*1.2+2.45*3.8+3.45*1.8+1.25*1.35+2.25*1.35+2.3*1.35+3.65*3.05+3.2*1+3.05*3.35+3.95*3.35+2.45*1.35+3.35*1.55</f>
        <v>93.463499999999996</v>
      </c>
      <c r="L267" s="113"/>
      <c r="M267" s="113"/>
      <c r="N267" s="36"/>
    </row>
    <row r="268" spans="1:14" s="54" customFormat="1" ht="15.75" customHeight="1" x14ac:dyDescent="0.35">
      <c r="A268" s="104">
        <f t="shared" si="30"/>
        <v>4</v>
      </c>
      <c r="B268" s="105"/>
      <c r="C268" s="53" t="s">
        <v>223</v>
      </c>
      <c r="D268" s="60">
        <f>(101.79)*(10.764)</f>
        <v>1095.6675600000001</v>
      </c>
      <c r="E268" s="53">
        <v>0</v>
      </c>
      <c r="F268" s="53">
        <f t="shared" si="29"/>
        <v>1698.2847180000001</v>
      </c>
      <c r="G268" s="108"/>
      <c r="H268" s="109"/>
      <c r="I268" s="36"/>
      <c r="K268" s="54" t="s">
        <v>227</v>
      </c>
      <c r="L268" s="113"/>
      <c r="M268" s="113"/>
      <c r="N268" s="36"/>
    </row>
    <row r="269" spans="1:14" s="54" customFormat="1" x14ac:dyDescent="0.35">
      <c r="A269" s="104">
        <f t="shared" si="30"/>
        <v>5</v>
      </c>
      <c r="B269" s="105"/>
      <c r="C269" s="53" t="s">
        <v>222</v>
      </c>
      <c r="D269" s="60">
        <f>(59.3)*(10.764)</f>
        <v>638.3051999999999</v>
      </c>
      <c r="E269" s="53">
        <v>0</v>
      </c>
      <c r="F269" s="53">
        <f t="shared" si="29"/>
        <v>989.3730599999999</v>
      </c>
      <c r="G269" s="108"/>
      <c r="H269" s="109"/>
      <c r="I269" s="36"/>
      <c r="L269" s="113"/>
      <c r="M269" s="113"/>
      <c r="N269" s="36"/>
    </row>
    <row r="270" spans="1:14" s="54" customFormat="1" x14ac:dyDescent="0.35">
      <c r="A270" s="104">
        <f t="shared" si="30"/>
        <v>6</v>
      </c>
      <c r="B270" s="105"/>
      <c r="C270" s="53" t="s">
        <v>222</v>
      </c>
      <c r="D270" s="60">
        <f>(59.3)*(10.764)</f>
        <v>638.3051999999999</v>
      </c>
      <c r="E270" s="53">
        <v>0</v>
      </c>
      <c r="F270" s="53">
        <f t="shared" si="29"/>
        <v>989.3730599999999</v>
      </c>
      <c r="G270" s="108"/>
      <c r="H270" s="109"/>
      <c r="I270" s="36"/>
      <c r="L270" s="113"/>
      <c r="M270" s="113"/>
      <c r="N270" s="36"/>
    </row>
    <row r="271" spans="1:14" s="54" customFormat="1" x14ac:dyDescent="0.35">
      <c r="A271" s="104">
        <f t="shared" si="30"/>
        <v>7</v>
      </c>
      <c r="B271" s="105"/>
      <c r="C271" s="53" t="s">
        <v>222</v>
      </c>
      <c r="D271" s="60">
        <f>(57.9)*(10.764)</f>
        <v>623.23559999999998</v>
      </c>
      <c r="E271" s="53">
        <v>0</v>
      </c>
      <c r="F271" s="53">
        <f t="shared" si="29"/>
        <v>966.01517999999999</v>
      </c>
      <c r="G271" s="108"/>
      <c r="H271" s="109"/>
      <c r="I271" s="36"/>
      <c r="L271" s="113"/>
      <c r="M271" s="113"/>
      <c r="N271" s="36"/>
    </row>
    <row r="272" spans="1:14" s="54" customFormat="1" x14ac:dyDescent="0.35">
      <c r="A272" s="104">
        <f t="shared" si="30"/>
        <v>8</v>
      </c>
      <c r="B272" s="105"/>
      <c r="C272" s="53" t="s">
        <v>222</v>
      </c>
      <c r="D272" s="60">
        <f>(57.9)*(10.764)</f>
        <v>623.23559999999998</v>
      </c>
      <c r="E272" s="53">
        <v>0</v>
      </c>
      <c r="F272" s="53">
        <f t="shared" si="29"/>
        <v>966.01517999999999</v>
      </c>
      <c r="G272" s="110"/>
      <c r="H272" s="111"/>
      <c r="I272" s="36">
        <f>2.63*1.2+2.25*3.2+3.05*4.55+2.15*1.35+2.3*1+2.95*3.05+2.03*1.4+2.04*1.4+3.09*3.05</f>
        <v>53.555999999999997</v>
      </c>
      <c r="L272" s="113"/>
      <c r="M272" s="113"/>
      <c r="N272" s="36"/>
    </row>
    <row r="273" spans="1:14" s="55" customFormat="1" x14ac:dyDescent="0.35">
      <c r="A273" s="92" t="s">
        <v>226</v>
      </c>
      <c r="B273" s="93"/>
      <c r="C273" s="93"/>
      <c r="D273" s="93"/>
      <c r="E273" s="93"/>
      <c r="F273" s="93"/>
      <c r="G273" s="93"/>
      <c r="H273" s="94"/>
      <c r="J273" s="36"/>
    </row>
    <row r="274" spans="1:14" s="55" customFormat="1" ht="15.75" customHeight="1" x14ac:dyDescent="0.35">
      <c r="A274" s="104">
        <v>1</v>
      </c>
      <c r="B274" s="105"/>
      <c r="C274" s="56" t="s">
        <v>222</v>
      </c>
      <c r="D274" s="60">
        <f>(64.6)*(10.764)</f>
        <v>695.35439999999994</v>
      </c>
      <c r="E274" s="56">
        <v>0</v>
      </c>
      <c r="F274" s="56">
        <f t="shared" ref="F274:F281" si="31">D274*(($F$244)+1)+(IF(E274&lt;101,E274,IF(E274&lt;201,E274/2,IF(E274&lt;=301,E274/3,E274/4))))</f>
        <v>1077.7993199999999</v>
      </c>
      <c r="G274" s="106" t="str">
        <f>A273</f>
        <v>11th &amp; 18th Floor (Part Refuge Area)</v>
      </c>
      <c r="H274" s="107"/>
      <c r="I274" s="36">
        <f>1.2*2.68+3.05*2.38+1.58*0.23+1.27*0.65+3.05*5.15+2.07*1+2.2*1.35+1.43*1+2.2*1.35+3.05*3.95+2.92*3.65</f>
        <v>59.5169</v>
      </c>
      <c r="L274" s="113"/>
      <c r="M274" s="113"/>
      <c r="N274" s="36"/>
    </row>
    <row r="275" spans="1:14" s="55" customFormat="1" ht="15.75" customHeight="1" x14ac:dyDescent="0.35">
      <c r="A275" s="104">
        <f t="shared" ref="A275:A281" si="32">A274+1</f>
        <v>2</v>
      </c>
      <c r="B275" s="105"/>
      <c r="C275" s="56" t="s">
        <v>222</v>
      </c>
      <c r="D275" s="60">
        <f>(64.6)*(10.764)</f>
        <v>695.35439999999994</v>
      </c>
      <c r="E275" s="56">
        <v>0</v>
      </c>
      <c r="F275" s="56">
        <f t="shared" si="31"/>
        <v>1077.7993199999999</v>
      </c>
      <c r="G275" s="108"/>
      <c r="H275" s="109"/>
      <c r="I275" s="36"/>
      <c r="L275" s="113"/>
      <c r="M275" s="113"/>
      <c r="N275" s="36"/>
    </row>
    <row r="276" spans="1:14" s="55" customFormat="1" ht="15.75" customHeight="1" x14ac:dyDescent="0.35">
      <c r="A276" s="104">
        <f t="shared" si="32"/>
        <v>3</v>
      </c>
      <c r="B276" s="105"/>
      <c r="C276" s="56" t="s">
        <v>223</v>
      </c>
      <c r="D276" s="60">
        <f>(101.79)*(10.764)</f>
        <v>1095.6675600000001</v>
      </c>
      <c r="E276" s="56">
        <v>0</v>
      </c>
      <c r="F276" s="56">
        <f t="shared" si="31"/>
        <v>1698.2847180000001</v>
      </c>
      <c r="G276" s="108"/>
      <c r="H276" s="109"/>
      <c r="I276" s="36">
        <f>6.1*3.35+2.83*1.2+2.45*3.8+3.45*1.8+1.25*1.35+2.25*1.35+2.3*1.35+3.65*3.05+3.2*1+3.05*3.35+3.95*3.35+2.45*1.35+3.35*1.55</f>
        <v>93.463499999999996</v>
      </c>
      <c r="L276" s="113"/>
      <c r="M276" s="113"/>
      <c r="N276" s="36"/>
    </row>
    <row r="277" spans="1:14" s="55" customFormat="1" ht="15.75" customHeight="1" x14ac:dyDescent="0.35">
      <c r="A277" s="104">
        <f t="shared" si="32"/>
        <v>4</v>
      </c>
      <c r="B277" s="105"/>
      <c r="C277" s="104" t="s">
        <v>215</v>
      </c>
      <c r="D277" s="112"/>
      <c r="E277" s="112"/>
      <c r="F277" s="105"/>
      <c r="G277" s="108"/>
      <c r="H277" s="109"/>
      <c r="I277" s="36"/>
      <c r="L277" s="113"/>
      <c r="M277" s="113"/>
      <c r="N277" s="36"/>
    </row>
    <row r="278" spans="1:14" s="55" customFormat="1" x14ac:dyDescent="0.35">
      <c r="A278" s="104">
        <f t="shared" si="32"/>
        <v>5</v>
      </c>
      <c r="B278" s="105"/>
      <c r="C278" s="104" t="s">
        <v>215</v>
      </c>
      <c r="D278" s="112"/>
      <c r="E278" s="112">
        <v>0</v>
      </c>
      <c r="F278" s="105">
        <f t="shared" si="31"/>
        <v>0</v>
      </c>
      <c r="G278" s="108"/>
      <c r="H278" s="109"/>
      <c r="I278" s="36"/>
      <c r="L278" s="113"/>
      <c r="M278" s="113"/>
      <c r="N278" s="36"/>
    </row>
    <row r="279" spans="1:14" s="55" customFormat="1" x14ac:dyDescent="0.35">
      <c r="A279" s="104">
        <f t="shared" si="32"/>
        <v>6</v>
      </c>
      <c r="B279" s="105"/>
      <c r="C279" s="56" t="s">
        <v>222</v>
      </c>
      <c r="D279" s="60">
        <f>(59.3)*(10.764)</f>
        <v>638.3051999999999</v>
      </c>
      <c r="E279" s="56">
        <v>0</v>
      </c>
      <c r="F279" s="56">
        <f t="shared" si="31"/>
        <v>989.3730599999999</v>
      </c>
      <c r="G279" s="108"/>
      <c r="H279" s="109"/>
      <c r="I279" s="36"/>
      <c r="L279" s="113"/>
      <c r="M279" s="113"/>
      <c r="N279" s="36"/>
    </row>
    <row r="280" spans="1:14" s="55" customFormat="1" x14ac:dyDescent="0.35">
      <c r="A280" s="104">
        <f t="shared" si="32"/>
        <v>7</v>
      </c>
      <c r="B280" s="105"/>
      <c r="C280" s="56" t="s">
        <v>222</v>
      </c>
      <c r="D280" s="60">
        <f>(57.9)*(10.764)</f>
        <v>623.23559999999998</v>
      </c>
      <c r="E280" s="56">
        <v>0</v>
      </c>
      <c r="F280" s="56">
        <f t="shared" si="31"/>
        <v>966.01517999999999</v>
      </c>
      <c r="G280" s="108"/>
      <c r="H280" s="109"/>
      <c r="I280" s="36"/>
      <c r="L280" s="113"/>
      <c r="M280" s="113"/>
      <c r="N280" s="36"/>
    </row>
    <row r="281" spans="1:14" s="55" customFormat="1" x14ac:dyDescent="0.35">
      <c r="A281" s="104">
        <f t="shared" si="32"/>
        <v>8</v>
      </c>
      <c r="B281" s="105"/>
      <c r="C281" s="56" t="s">
        <v>222</v>
      </c>
      <c r="D281" s="60">
        <f>(57.9)*(10.764)</f>
        <v>623.23559999999998</v>
      </c>
      <c r="E281" s="56">
        <v>0</v>
      </c>
      <c r="F281" s="56">
        <f t="shared" si="31"/>
        <v>966.01517999999999</v>
      </c>
      <c r="G281" s="110"/>
      <c r="H281" s="111"/>
      <c r="I281" s="36">
        <f>2.63*1.2+2.25*3.2+3.05*4.55+2.15*1.35+2.3*1+2.95*3.05+2.03*1.4+2.04*1.4+3.09*3.05</f>
        <v>53.555999999999997</v>
      </c>
      <c r="L281" s="113"/>
      <c r="M281" s="113"/>
      <c r="N281" s="36"/>
    </row>
    <row r="282" spans="1:14" s="55" customFormat="1" x14ac:dyDescent="0.35">
      <c r="A282" s="92" t="s">
        <v>228</v>
      </c>
      <c r="B282" s="93"/>
      <c r="C282" s="93"/>
      <c r="D282" s="93"/>
      <c r="E282" s="93"/>
      <c r="F282" s="93"/>
      <c r="G282" s="93"/>
      <c r="H282" s="94"/>
      <c r="J282" s="36"/>
    </row>
    <row r="283" spans="1:14" s="55" customFormat="1" ht="15.75" customHeight="1" x14ac:dyDescent="0.35">
      <c r="A283" s="104">
        <v>1</v>
      </c>
      <c r="B283" s="105"/>
      <c r="C283" s="56" t="s">
        <v>222</v>
      </c>
      <c r="D283" s="60">
        <f>(64.71)*(10.764)</f>
        <v>696.53843999999992</v>
      </c>
      <c r="E283" s="56">
        <v>0</v>
      </c>
      <c r="F283" s="56">
        <f t="shared" ref="F283:F290" si="33">D283*(($F$244)+1)+(IF(E283&lt;101,E283,IF(E283&lt;201,E283/2,IF(E283&lt;=301,E283/3,E283/4))))</f>
        <v>1079.6345819999999</v>
      </c>
      <c r="G283" s="106" t="str">
        <f>A282</f>
        <v>21st to 24th Floor</v>
      </c>
      <c r="H283" s="107"/>
      <c r="I283" s="36"/>
      <c r="L283" s="113"/>
      <c r="M283" s="113"/>
      <c r="N283" s="36"/>
    </row>
    <row r="284" spans="1:14" s="55" customFormat="1" ht="15.75" customHeight="1" x14ac:dyDescent="0.35">
      <c r="A284" s="104">
        <f t="shared" ref="A284:A290" si="34">A283+1</f>
        <v>2</v>
      </c>
      <c r="B284" s="105"/>
      <c r="C284" s="56" t="s">
        <v>222</v>
      </c>
      <c r="D284" s="60">
        <f>(64.71)*(10.764)</f>
        <v>696.53843999999992</v>
      </c>
      <c r="E284" s="56">
        <v>0</v>
      </c>
      <c r="F284" s="56">
        <f t="shared" si="33"/>
        <v>1079.6345819999999</v>
      </c>
      <c r="G284" s="108"/>
      <c r="H284" s="109"/>
      <c r="I284" s="36"/>
      <c r="L284" s="113"/>
      <c r="M284" s="113"/>
      <c r="N284" s="36"/>
    </row>
    <row r="285" spans="1:14" s="55" customFormat="1" ht="15.75" customHeight="1" x14ac:dyDescent="0.35">
      <c r="A285" s="104">
        <f t="shared" si="34"/>
        <v>3</v>
      </c>
      <c r="B285" s="105"/>
      <c r="C285" s="56" t="s">
        <v>223</v>
      </c>
      <c r="D285" s="60">
        <f>(102.24)*(10.764)</f>
        <v>1100.51136</v>
      </c>
      <c r="E285" s="56">
        <v>0</v>
      </c>
      <c r="F285" s="56">
        <f t="shared" si="33"/>
        <v>1705.792608</v>
      </c>
      <c r="G285" s="108"/>
      <c r="H285" s="109"/>
      <c r="I285" s="36"/>
      <c r="L285" s="113"/>
      <c r="M285" s="113"/>
      <c r="N285" s="36"/>
    </row>
    <row r="286" spans="1:14" s="55" customFormat="1" ht="15.75" customHeight="1" x14ac:dyDescent="0.35">
      <c r="A286" s="104">
        <f t="shared" si="34"/>
        <v>4</v>
      </c>
      <c r="B286" s="105"/>
      <c r="C286" s="56" t="s">
        <v>223</v>
      </c>
      <c r="D286" s="60">
        <f>(102.24)*(10.764)</f>
        <v>1100.51136</v>
      </c>
      <c r="E286" s="56">
        <v>0</v>
      </c>
      <c r="F286" s="56">
        <f t="shared" si="33"/>
        <v>1705.792608</v>
      </c>
      <c r="G286" s="108"/>
      <c r="H286" s="109"/>
      <c r="I286" s="36"/>
      <c r="L286" s="113"/>
      <c r="M286" s="113"/>
      <c r="N286" s="36"/>
    </row>
    <row r="287" spans="1:14" s="55" customFormat="1" x14ac:dyDescent="0.35">
      <c r="A287" s="104">
        <f t="shared" si="34"/>
        <v>5</v>
      </c>
      <c r="B287" s="105"/>
      <c r="C287" s="56" t="s">
        <v>222</v>
      </c>
      <c r="D287" s="60">
        <f>(60.02)*(10.764)</f>
        <v>646.05528000000004</v>
      </c>
      <c r="E287" s="56">
        <v>0</v>
      </c>
      <c r="F287" s="56">
        <f t="shared" si="33"/>
        <v>1001.3856840000001</v>
      </c>
      <c r="G287" s="108"/>
      <c r="H287" s="109"/>
      <c r="I287" s="36"/>
      <c r="L287" s="113"/>
      <c r="M287" s="113"/>
      <c r="N287" s="36"/>
    </row>
    <row r="288" spans="1:14" s="55" customFormat="1" x14ac:dyDescent="0.35">
      <c r="A288" s="104">
        <f t="shared" si="34"/>
        <v>6</v>
      </c>
      <c r="B288" s="105"/>
      <c r="C288" s="56" t="s">
        <v>222</v>
      </c>
      <c r="D288" s="60">
        <f>(60.02)*(10.764)</f>
        <v>646.05528000000004</v>
      </c>
      <c r="E288" s="56">
        <v>0</v>
      </c>
      <c r="F288" s="56">
        <f t="shared" si="33"/>
        <v>1001.3856840000001</v>
      </c>
      <c r="G288" s="108"/>
      <c r="H288" s="109"/>
      <c r="I288" s="36"/>
      <c r="L288" s="113"/>
      <c r="M288" s="113"/>
      <c r="N288" s="36"/>
    </row>
    <row r="289" spans="1:14" s="55" customFormat="1" x14ac:dyDescent="0.35">
      <c r="A289" s="104">
        <f t="shared" si="34"/>
        <v>7</v>
      </c>
      <c r="B289" s="105"/>
      <c r="C289" s="56" t="s">
        <v>222</v>
      </c>
      <c r="D289" s="60">
        <f>(57.9)*(10.764)</f>
        <v>623.23559999999998</v>
      </c>
      <c r="E289" s="56">
        <v>0</v>
      </c>
      <c r="F289" s="56">
        <f t="shared" si="33"/>
        <v>966.01517999999999</v>
      </c>
      <c r="G289" s="108"/>
      <c r="H289" s="109"/>
      <c r="I289" s="36"/>
      <c r="L289" s="113"/>
      <c r="M289" s="113"/>
      <c r="N289" s="36"/>
    </row>
    <row r="290" spans="1:14" s="55" customFormat="1" x14ac:dyDescent="0.35">
      <c r="A290" s="104">
        <f t="shared" si="34"/>
        <v>8</v>
      </c>
      <c r="B290" s="105"/>
      <c r="C290" s="56" t="s">
        <v>222</v>
      </c>
      <c r="D290" s="60">
        <f>(57.9)*(10.764)</f>
        <v>623.23559999999998</v>
      </c>
      <c r="E290" s="56">
        <v>0</v>
      </c>
      <c r="F290" s="56">
        <f t="shared" si="33"/>
        <v>966.01517999999999</v>
      </c>
      <c r="G290" s="110"/>
      <c r="H290" s="111"/>
      <c r="I290" s="36"/>
      <c r="L290" s="113"/>
      <c r="M290" s="113"/>
      <c r="N290" s="36"/>
    </row>
    <row r="291" spans="1:14" s="55" customFormat="1" x14ac:dyDescent="0.35">
      <c r="A291" s="92" t="s">
        <v>229</v>
      </c>
      <c r="B291" s="93"/>
      <c r="C291" s="93"/>
      <c r="D291" s="93"/>
      <c r="E291" s="93"/>
      <c r="F291" s="93"/>
      <c r="G291" s="93"/>
      <c r="H291" s="94"/>
      <c r="J291" s="36"/>
    </row>
    <row r="292" spans="1:14" s="55" customFormat="1" ht="15.75" customHeight="1" x14ac:dyDescent="0.35">
      <c r="A292" s="104">
        <v>1</v>
      </c>
      <c r="B292" s="105"/>
      <c r="C292" s="56" t="s">
        <v>222</v>
      </c>
      <c r="D292" s="60">
        <f>(65.15)*(10.764)</f>
        <v>701.27459999999996</v>
      </c>
      <c r="E292" s="56">
        <v>0</v>
      </c>
      <c r="F292" s="56">
        <f>D292*(($F$244)+1)+(IF(E292&lt;101,E292,IF(E292&lt;201,E292/2,IF(E292&lt;=301,E292/3,E292/4))))</f>
        <v>1086.9756299999999</v>
      </c>
      <c r="G292" s="106" t="str">
        <f>A291</f>
        <v>25th Floor (Part Refuge Area)</v>
      </c>
      <c r="H292" s="107"/>
      <c r="I292" s="36"/>
      <c r="L292" s="113"/>
      <c r="M292" s="113"/>
      <c r="N292" s="36"/>
    </row>
    <row r="293" spans="1:14" s="55" customFormat="1" ht="15.75" customHeight="1" x14ac:dyDescent="0.35">
      <c r="A293" s="104">
        <f t="shared" ref="A293:A299" si="35">A292+1</f>
        <v>2</v>
      </c>
      <c r="B293" s="105"/>
      <c r="C293" s="56" t="s">
        <v>222</v>
      </c>
      <c r="D293" s="60">
        <f>(65.15)*(10.764)</f>
        <v>701.27459999999996</v>
      </c>
      <c r="E293" s="56">
        <v>0</v>
      </c>
      <c r="F293" s="56">
        <f>D293*(($F$244)+1)+(IF(E293&lt;101,E293,IF(E293&lt;201,E293/2,IF(E293&lt;=301,E293/3,E293/4))))</f>
        <v>1086.9756299999999</v>
      </c>
      <c r="G293" s="108"/>
      <c r="H293" s="109"/>
      <c r="I293" s="36"/>
      <c r="L293" s="113"/>
      <c r="M293" s="113"/>
      <c r="N293" s="36"/>
    </row>
    <row r="294" spans="1:14" s="55" customFormat="1" ht="15.75" customHeight="1" x14ac:dyDescent="0.35">
      <c r="A294" s="104">
        <f t="shared" si="35"/>
        <v>3</v>
      </c>
      <c r="B294" s="105"/>
      <c r="C294" s="56" t="s">
        <v>223</v>
      </c>
      <c r="D294" s="60">
        <f>(102.24)*(10.764)</f>
        <v>1100.51136</v>
      </c>
      <c r="E294" s="56">
        <v>0</v>
      </c>
      <c r="F294" s="56">
        <f>D294*(($F$244)+1)+(IF(E294&lt;101,E294,IF(E294&lt;201,E294/2,IF(E294&lt;=301,E294/3,E294/4))))</f>
        <v>1705.792608</v>
      </c>
      <c r="G294" s="108"/>
      <c r="H294" s="109"/>
      <c r="I294" s="36"/>
      <c r="L294" s="113"/>
      <c r="M294" s="113"/>
      <c r="N294" s="36"/>
    </row>
    <row r="295" spans="1:14" s="55" customFormat="1" ht="15.75" customHeight="1" x14ac:dyDescent="0.35">
      <c r="A295" s="104">
        <f t="shared" si="35"/>
        <v>4</v>
      </c>
      <c r="B295" s="105"/>
      <c r="C295" s="104" t="s">
        <v>215</v>
      </c>
      <c r="D295" s="112"/>
      <c r="E295" s="112"/>
      <c r="F295" s="105"/>
      <c r="G295" s="108"/>
      <c r="H295" s="109"/>
      <c r="I295" s="36"/>
      <c r="L295" s="113"/>
      <c r="M295" s="113"/>
      <c r="N295" s="36"/>
    </row>
    <row r="296" spans="1:14" s="55" customFormat="1" x14ac:dyDescent="0.35">
      <c r="A296" s="104">
        <f t="shared" si="35"/>
        <v>5</v>
      </c>
      <c r="B296" s="105"/>
      <c r="C296" s="104" t="s">
        <v>215</v>
      </c>
      <c r="D296" s="112"/>
      <c r="E296" s="112">
        <v>0</v>
      </c>
      <c r="F296" s="105">
        <f>D296*(($F$244)+1)+(IF(E296&lt;101,E296,IF(E296&lt;201,E296/2,IF(E296&lt;=301,E296/3,E296/4))))</f>
        <v>0</v>
      </c>
      <c r="G296" s="108"/>
      <c r="H296" s="109"/>
      <c r="I296" s="36"/>
      <c r="L296" s="113"/>
      <c r="M296" s="113"/>
      <c r="N296" s="36"/>
    </row>
    <row r="297" spans="1:14" s="55" customFormat="1" x14ac:dyDescent="0.35">
      <c r="A297" s="104">
        <f t="shared" si="35"/>
        <v>6</v>
      </c>
      <c r="B297" s="105"/>
      <c r="C297" s="56" t="s">
        <v>222</v>
      </c>
      <c r="D297" s="60">
        <f>(60.02)*(10.764)</f>
        <v>646.05528000000004</v>
      </c>
      <c r="E297" s="56">
        <v>0</v>
      </c>
      <c r="F297" s="56">
        <f>D297*(($F$244)+1)+(IF(E297&lt;101,E297,IF(E297&lt;201,E297/2,IF(E297&lt;=301,E297/3,E297/4))))</f>
        <v>1001.3856840000001</v>
      </c>
      <c r="G297" s="108"/>
      <c r="H297" s="109"/>
      <c r="I297" s="36"/>
      <c r="L297" s="113"/>
      <c r="M297" s="113"/>
      <c r="N297" s="36"/>
    </row>
    <row r="298" spans="1:14" s="55" customFormat="1" x14ac:dyDescent="0.35">
      <c r="A298" s="104">
        <f t="shared" si="35"/>
        <v>7</v>
      </c>
      <c r="B298" s="105"/>
      <c r="C298" s="56" t="s">
        <v>222</v>
      </c>
      <c r="D298" s="60">
        <f>(58.01)*(10.764)</f>
        <v>624.41963999999996</v>
      </c>
      <c r="E298" s="56">
        <v>0</v>
      </c>
      <c r="F298" s="56">
        <f>D298*(($F$244)+1)+(IF(E298&lt;101,E298,IF(E298&lt;201,E298/2,IF(E298&lt;=301,E298/3,E298/4))))</f>
        <v>967.85044199999993</v>
      </c>
      <c r="G298" s="108"/>
      <c r="H298" s="109"/>
      <c r="I298" s="36"/>
      <c r="L298" s="113"/>
      <c r="M298" s="113"/>
      <c r="N298" s="36"/>
    </row>
    <row r="299" spans="1:14" s="55" customFormat="1" x14ac:dyDescent="0.35">
      <c r="A299" s="104">
        <f t="shared" si="35"/>
        <v>8</v>
      </c>
      <c r="B299" s="105"/>
      <c r="C299" s="56" t="s">
        <v>222</v>
      </c>
      <c r="D299" s="60">
        <f>(58.01)*(10.764)</f>
        <v>624.41963999999996</v>
      </c>
      <c r="E299" s="56">
        <v>0</v>
      </c>
      <c r="F299" s="56">
        <f>D299*(($F$244)+1)+(IF(E299&lt;101,E299,IF(E299&lt;201,E299/2,IF(E299&lt;=301,E299/3,E299/4))))</f>
        <v>967.85044199999993</v>
      </c>
      <c r="G299" s="110"/>
      <c r="H299" s="111"/>
      <c r="I299" s="36"/>
      <c r="L299" s="113"/>
      <c r="M299" s="113"/>
      <c r="N299" s="36"/>
    </row>
    <row r="300" spans="1:14" s="55" customFormat="1" x14ac:dyDescent="0.35">
      <c r="A300" s="92" t="s">
        <v>230</v>
      </c>
      <c r="B300" s="93"/>
      <c r="C300" s="93"/>
      <c r="D300" s="93"/>
      <c r="E300" s="93"/>
      <c r="F300" s="93"/>
      <c r="G300" s="93"/>
      <c r="H300" s="94"/>
      <c r="J300" s="36"/>
    </row>
    <row r="301" spans="1:14" s="55" customFormat="1" ht="15.75" customHeight="1" x14ac:dyDescent="0.35">
      <c r="A301" s="104">
        <v>1</v>
      </c>
      <c r="B301" s="105"/>
      <c r="C301" s="56" t="s">
        <v>222</v>
      </c>
      <c r="D301" s="60">
        <f>(65.15)*(10.764)</f>
        <v>701.27459999999996</v>
      </c>
      <c r="E301" s="56">
        <v>0</v>
      </c>
      <c r="F301" s="56">
        <f t="shared" ref="F301:F308" si="36">D301*(($F$244)+1)+(IF(E301&lt;101,E301,IF(E301&lt;201,E301/2,IF(E301&lt;=301,E301/3,E301/4))))</f>
        <v>1086.9756299999999</v>
      </c>
      <c r="G301" s="106" t="str">
        <f>A300</f>
        <v>26th to 30th Floor</v>
      </c>
      <c r="H301" s="107"/>
      <c r="I301" s="36"/>
      <c r="L301" s="113"/>
      <c r="M301" s="113"/>
      <c r="N301" s="36"/>
    </row>
    <row r="302" spans="1:14" s="55" customFormat="1" ht="15.75" customHeight="1" x14ac:dyDescent="0.35">
      <c r="A302" s="104">
        <f t="shared" ref="A302:A308" si="37">A301+1</f>
        <v>2</v>
      </c>
      <c r="B302" s="105"/>
      <c r="C302" s="56" t="s">
        <v>222</v>
      </c>
      <c r="D302" s="60">
        <f>(65.15)*(10.764)</f>
        <v>701.27459999999996</v>
      </c>
      <c r="E302" s="56">
        <v>0</v>
      </c>
      <c r="F302" s="56">
        <f t="shared" si="36"/>
        <v>1086.9756299999999</v>
      </c>
      <c r="G302" s="108"/>
      <c r="H302" s="109"/>
      <c r="I302" s="36"/>
      <c r="L302" s="113"/>
      <c r="M302" s="113"/>
      <c r="N302" s="36"/>
    </row>
    <row r="303" spans="1:14" s="55" customFormat="1" ht="15.75" customHeight="1" x14ac:dyDescent="0.35">
      <c r="A303" s="104">
        <f t="shared" si="37"/>
        <v>3</v>
      </c>
      <c r="B303" s="105"/>
      <c r="C303" s="56" t="s">
        <v>223</v>
      </c>
      <c r="D303" s="60">
        <f>(102.24)*(10.764)</f>
        <v>1100.51136</v>
      </c>
      <c r="E303" s="56">
        <v>0</v>
      </c>
      <c r="F303" s="56">
        <f t="shared" si="36"/>
        <v>1705.792608</v>
      </c>
      <c r="G303" s="108"/>
      <c r="H303" s="109"/>
      <c r="I303" s="36"/>
      <c r="L303" s="113"/>
      <c r="M303" s="113"/>
      <c r="N303" s="36"/>
    </row>
    <row r="304" spans="1:14" s="55" customFormat="1" ht="15.75" customHeight="1" x14ac:dyDescent="0.35">
      <c r="A304" s="104">
        <f t="shared" si="37"/>
        <v>4</v>
      </c>
      <c r="B304" s="105"/>
      <c r="C304" s="56" t="s">
        <v>223</v>
      </c>
      <c r="D304" s="60">
        <f>(102.24)*(10.764)</f>
        <v>1100.51136</v>
      </c>
      <c r="E304" s="56">
        <v>0</v>
      </c>
      <c r="F304" s="56">
        <f t="shared" si="36"/>
        <v>1705.792608</v>
      </c>
      <c r="G304" s="108"/>
      <c r="H304" s="109"/>
      <c r="I304" s="36"/>
      <c r="L304" s="113"/>
      <c r="M304" s="113"/>
      <c r="N304" s="36"/>
    </row>
    <row r="305" spans="1:14" s="55" customFormat="1" x14ac:dyDescent="0.35">
      <c r="A305" s="104">
        <f t="shared" si="37"/>
        <v>5</v>
      </c>
      <c r="B305" s="105"/>
      <c r="C305" s="56" t="s">
        <v>222</v>
      </c>
      <c r="D305" s="60">
        <f>(60.02)*(10.764)</f>
        <v>646.05528000000004</v>
      </c>
      <c r="E305" s="56">
        <v>0</v>
      </c>
      <c r="F305" s="56">
        <f t="shared" si="36"/>
        <v>1001.3856840000001</v>
      </c>
      <c r="G305" s="108"/>
      <c r="H305" s="109"/>
      <c r="I305" s="36"/>
      <c r="L305" s="113"/>
      <c r="M305" s="113"/>
      <c r="N305" s="36"/>
    </row>
    <row r="306" spans="1:14" s="55" customFormat="1" x14ac:dyDescent="0.35">
      <c r="A306" s="104">
        <f t="shared" si="37"/>
        <v>6</v>
      </c>
      <c r="B306" s="105"/>
      <c r="C306" s="56" t="s">
        <v>222</v>
      </c>
      <c r="D306" s="60">
        <f>(60.02)*(10.764)</f>
        <v>646.05528000000004</v>
      </c>
      <c r="E306" s="56">
        <v>0</v>
      </c>
      <c r="F306" s="56">
        <f t="shared" si="36"/>
        <v>1001.3856840000001</v>
      </c>
      <c r="G306" s="108"/>
      <c r="H306" s="109"/>
      <c r="I306" s="36"/>
      <c r="L306" s="113"/>
      <c r="M306" s="113"/>
      <c r="N306" s="36"/>
    </row>
    <row r="307" spans="1:14" s="55" customFormat="1" x14ac:dyDescent="0.35">
      <c r="A307" s="104">
        <f t="shared" si="37"/>
        <v>7</v>
      </c>
      <c r="B307" s="105"/>
      <c r="C307" s="56" t="s">
        <v>222</v>
      </c>
      <c r="D307" s="60">
        <f>(58.01)*(10.764)</f>
        <v>624.41963999999996</v>
      </c>
      <c r="E307" s="56">
        <v>0</v>
      </c>
      <c r="F307" s="56">
        <f t="shared" si="36"/>
        <v>967.85044199999993</v>
      </c>
      <c r="G307" s="108"/>
      <c r="H307" s="109"/>
      <c r="I307" s="36"/>
      <c r="L307" s="113"/>
      <c r="M307" s="113"/>
      <c r="N307" s="36"/>
    </row>
    <row r="308" spans="1:14" s="55" customFormat="1" x14ac:dyDescent="0.35">
      <c r="A308" s="104">
        <f t="shared" si="37"/>
        <v>8</v>
      </c>
      <c r="B308" s="105"/>
      <c r="C308" s="56" t="s">
        <v>222</v>
      </c>
      <c r="D308" s="60">
        <f>(58.01)*(10.764)</f>
        <v>624.41963999999996</v>
      </c>
      <c r="E308" s="56">
        <v>0</v>
      </c>
      <c r="F308" s="56">
        <f t="shared" si="36"/>
        <v>967.85044199999993</v>
      </c>
      <c r="G308" s="110"/>
      <c r="H308" s="111"/>
      <c r="I308" s="36"/>
      <c r="L308" s="113"/>
      <c r="M308" s="113"/>
      <c r="N308" s="36"/>
    </row>
    <row r="309" spans="1:14" s="58" customFormat="1" x14ac:dyDescent="0.35">
      <c r="A309" s="95" t="s">
        <v>251</v>
      </c>
      <c r="B309" s="96"/>
      <c r="C309" s="96"/>
      <c r="D309" s="96"/>
      <c r="E309" s="96"/>
      <c r="F309" s="96"/>
      <c r="G309" s="96"/>
      <c r="H309" s="97"/>
      <c r="J309" s="59"/>
    </row>
    <row r="310" spans="1:14" s="55" customFormat="1" x14ac:dyDescent="0.35">
      <c r="A310" s="92" t="s">
        <v>231</v>
      </c>
      <c r="B310" s="93"/>
      <c r="C310" s="93"/>
      <c r="D310" s="93"/>
      <c r="E310" s="93"/>
      <c r="F310" s="93"/>
      <c r="G310" s="93"/>
      <c r="H310" s="94"/>
      <c r="J310" s="36"/>
    </row>
    <row r="311" spans="1:14" s="55" customFormat="1" ht="15.75" customHeight="1" x14ac:dyDescent="0.35">
      <c r="A311" s="104">
        <v>1</v>
      </c>
      <c r="B311" s="105"/>
      <c r="C311" s="56" t="s">
        <v>222</v>
      </c>
      <c r="D311" s="60">
        <f>(65.15)*(10.764)</f>
        <v>701.27459999999996</v>
      </c>
      <c r="E311" s="56">
        <v>0</v>
      </c>
      <c r="F311" s="56">
        <f t="shared" ref="F311:F318" si="38">D311*(($F$244)+1)+(IF(E311&lt;101,E311,IF(E311&lt;201,E311/2,IF(E311&lt;=301,E311/3,E311/4))))</f>
        <v>1086.9756299999999</v>
      </c>
      <c r="G311" s="106" t="str">
        <f>A310</f>
        <v>31st, 33rd to 38th, 40th to 45th &amp; 47th to 52nd Floor</v>
      </c>
      <c r="H311" s="107"/>
      <c r="I311" s="36"/>
      <c r="L311" s="113"/>
      <c r="M311" s="113"/>
      <c r="N311" s="36"/>
    </row>
    <row r="312" spans="1:14" s="55" customFormat="1" ht="15.75" customHeight="1" x14ac:dyDescent="0.35">
      <c r="A312" s="104">
        <f t="shared" ref="A312:A318" si="39">A311+1</f>
        <v>2</v>
      </c>
      <c r="B312" s="105"/>
      <c r="C312" s="56" t="s">
        <v>222</v>
      </c>
      <c r="D312" s="60">
        <f>(65.15)*(10.764)</f>
        <v>701.27459999999996</v>
      </c>
      <c r="E312" s="56">
        <v>0</v>
      </c>
      <c r="F312" s="56">
        <f t="shared" si="38"/>
        <v>1086.9756299999999</v>
      </c>
      <c r="G312" s="108"/>
      <c r="H312" s="109"/>
      <c r="I312" s="36"/>
      <c r="L312" s="113"/>
      <c r="M312" s="113"/>
      <c r="N312" s="36"/>
    </row>
    <row r="313" spans="1:14" s="55" customFormat="1" ht="15.75" customHeight="1" x14ac:dyDescent="0.35">
      <c r="A313" s="104">
        <f t="shared" si="39"/>
        <v>3</v>
      </c>
      <c r="B313" s="105"/>
      <c r="C313" s="56" t="s">
        <v>223</v>
      </c>
      <c r="D313" s="60">
        <f>(102.24)*(10.764)</f>
        <v>1100.51136</v>
      </c>
      <c r="E313" s="56">
        <v>0</v>
      </c>
      <c r="F313" s="56">
        <f t="shared" si="38"/>
        <v>1705.792608</v>
      </c>
      <c r="G313" s="108"/>
      <c r="H313" s="109"/>
      <c r="I313" s="36"/>
      <c r="L313" s="113"/>
      <c r="M313" s="113"/>
      <c r="N313" s="36"/>
    </row>
    <row r="314" spans="1:14" s="55" customFormat="1" ht="15.75" customHeight="1" x14ac:dyDescent="0.35">
      <c r="A314" s="104">
        <f t="shared" si="39"/>
        <v>4</v>
      </c>
      <c r="B314" s="105"/>
      <c r="C314" s="56" t="s">
        <v>223</v>
      </c>
      <c r="D314" s="60">
        <f>(102.24)*(10.764)</f>
        <v>1100.51136</v>
      </c>
      <c r="E314" s="56">
        <v>0</v>
      </c>
      <c r="F314" s="56">
        <f t="shared" si="38"/>
        <v>1705.792608</v>
      </c>
      <c r="G314" s="108"/>
      <c r="H314" s="109"/>
      <c r="I314" s="36"/>
      <c r="L314" s="113"/>
      <c r="M314" s="113"/>
      <c r="N314" s="36"/>
    </row>
    <row r="315" spans="1:14" s="55" customFormat="1" x14ac:dyDescent="0.35">
      <c r="A315" s="104">
        <f t="shared" si="39"/>
        <v>5</v>
      </c>
      <c r="B315" s="105"/>
      <c r="C315" s="56" t="s">
        <v>222</v>
      </c>
      <c r="D315" s="60">
        <f>(60.15)*(10.764)</f>
        <v>647.45459999999991</v>
      </c>
      <c r="E315" s="56">
        <v>0</v>
      </c>
      <c r="F315" s="56">
        <f t="shared" si="38"/>
        <v>1003.5546299999999</v>
      </c>
      <c r="G315" s="108"/>
      <c r="H315" s="109"/>
      <c r="I315" s="36"/>
      <c r="J315" s="55" t="s">
        <v>232</v>
      </c>
      <c r="L315" s="113"/>
      <c r="M315" s="113"/>
      <c r="N315" s="36"/>
    </row>
    <row r="316" spans="1:14" s="55" customFormat="1" x14ac:dyDescent="0.35">
      <c r="A316" s="104">
        <f t="shared" si="39"/>
        <v>6</v>
      </c>
      <c r="B316" s="105"/>
      <c r="C316" s="56" t="s">
        <v>222</v>
      </c>
      <c r="D316" s="60">
        <f>(60.15)*(10.764)</f>
        <v>647.45459999999991</v>
      </c>
      <c r="E316" s="56">
        <v>0</v>
      </c>
      <c r="F316" s="56">
        <f t="shared" si="38"/>
        <v>1003.5546299999999</v>
      </c>
      <c r="G316" s="108"/>
      <c r="H316" s="109"/>
      <c r="I316" s="36"/>
      <c r="L316" s="113"/>
      <c r="M316" s="113"/>
      <c r="N316" s="36"/>
    </row>
    <row r="317" spans="1:14" s="55" customFormat="1" x14ac:dyDescent="0.35">
      <c r="A317" s="104">
        <f t="shared" si="39"/>
        <v>7</v>
      </c>
      <c r="B317" s="105"/>
      <c r="C317" s="56" t="s">
        <v>222</v>
      </c>
      <c r="D317" s="60">
        <f>(58.01)*(10.764)</f>
        <v>624.41963999999996</v>
      </c>
      <c r="E317" s="56">
        <v>0</v>
      </c>
      <c r="F317" s="56">
        <f t="shared" si="38"/>
        <v>967.85044199999993</v>
      </c>
      <c r="G317" s="108"/>
      <c r="H317" s="109"/>
      <c r="I317" s="36"/>
      <c r="L317" s="113"/>
      <c r="M317" s="113"/>
      <c r="N317" s="36"/>
    </row>
    <row r="318" spans="1:14" s="55" customFormat="1" x14ac:dyDescent="0.35">
      <c r="A318" s="104">
        <f t="shared" si="39"/>
        <v>8</v>
      </c>
      <c r="B318" s="105"/>
      <c r="C318" s="56" t="s">
        <v>222</v>
      </c>
      <c r="D318" s="60">
        <f>(58.01)*(10.764)</f>
        <v>624.41963999999996</v>
      </c>
      <c r="E318" s="56">
        <v>0</v>
      </c>
      <c r="F318" s="56">
        <f t="shared" si="38"/>
        <v>967.85044199999993</v>
      </c>
      <c r="G318" s="110"/>
      <c r="H318" s="111"/>
      <c r="I318" s="36"/>
      <c r="L318" s="113"/>
      <c r="M318" s="113"/>
      <c r="N318" s="36"/>
    </row>
    <row r="319" spans="1:14" s="55" customFormat="1" x14ac:dyDescent="0.35">
      <c r="A319" s="92" t="s">
        <v>233</v>
      </c>
      <c r="B319" s="93"/>
      <c r="C319" s="93"/>
      <c r="D319" s="93"/>
      <c r="E319" s="93"/>
      <c r="F319" s="93"/>
      <c r="G319" s="93"/>
      <c r="H319" s="94"/>
      <c r="J319" s="36"/>
    </row>
    <row r="320" spans="1:14" s="55" customFormat="1" ht="15.75" customHeight="1" x14ac:dyDescent="0.35">
      <c r="A320" s="104">
        <v>1</v>
      </c>
      <c r="B320" s="105"/>
      <c r="C320" s="56" t="s">
        <v>222</v>
      </c>
      <c r="D320" s="60">
        <f>(65.15)*(10.764)</f>
        <v>701.27459999999996</v>
      </c>
      <c r="E320" s="56">
        <v>0</v>
      </c>
      <c r="F320" s="56">
        <f>D320*(($F$244)+1)+(IF(E320&lt;101,E320,IF(E320&lt;201,E320/2,IF(E320&lt;=301,E320/3,E320/4))))</f>
        <v>1086.9756299999999</v>
      </c>
      <c r="G320" s="106" t="str">
        <f>A319</f>
        <v>32nd, 39th &amp; 46th Floor (Part Refuge Area)</v>
      </c>
      <c r="H320" s="107"/>
      <c r="I320" s="36"/>
      <c r="L320" s="113"/>
      <c r="M320" s="113"/>
      <c r="N320" s="36"/>
    </row>
    <row r="321" spans="1:14" s="55" customFormat="1" ht="15.75" customHeight="1" x14ac:dyDescent="0.35">
      <c r="A321" s="104">
        <f t="shared" ref="A321:A327" si="40">A320+1</f>
        <v>2</v>
      </c>
      <c r="B321" s="105"/>
      <c r="C321" s="56" t="s">
        <v>222</v>
      </c>
      <c r="D321" s="60">
        <f>(65.15)*(10.764)</f>
        <v>701.27459999999996</v>
      </c>
      <c r="E321" s="56">
        <v>0</v>
      </c>
      <c r="F321" s="56">
        <f>D321*(($F$244)+1)+(IF(E321&lt;101,E321,IF(E321&lt;201,E321/2,IF(E321&lt;=301,E321/3,E321/4))))</f>
        <v>1086.9756299999999</v>
      </c>
      <c r="G321" s="108"/>
      <c r="H321" s="109"/>
      <c r="I321" s="36"/>
      <c r="L321" s="113"/>
      <c r="M321" s="113"/>
      <c r="N321" s="36"/>
    </row>
    <row r="322" spans="1:14" s="55" customFormat="1" ht="15.75" customHeight="1" x14ac:dyDescent="0.35">
      <c r="A322" s="104">
        <f t="shared" si="40"/>
        <v>3</v>
      </c>
      <c r="B322" s="105"/>
      <c r="C322" s="56" t="s">
        <v>223</v>
      </c>
      <c r="D322" s="60">
        <f>(102.24)*(10.764)</f>
        <v>1100.51136</v>
      </c>
      <c r="E322" s="56">
        <v>0</v>
      </c>
      <c r="F322" s="56">
        <f>D322*(($F$244)+1)+(IF(E322&lt;101,E322,IF(E322&lt;201,E322/2,IF(E322&lt;=301,E322/3,E322/4))))</f>
        <v>1705.792608</v>
      </c>
      <c r="G322" s="108"/>
      <c r="H322" s="109"/>
      <c r="I322" s="36"/>
      <c r="L322" s="113"/>
      <c r="M322" s="113"/>
      <c r="N322" s="36"/>
    </row>
    <row r="323" spans="1:14" s="55" customFormat="1" ht="15.75" customHeight="1" x14ac:dyDescent="0.35">
      <c r="A323" s="104">
        <f t="shared" si="40"/>
        <v>4</v>
      </c>
      <c r="B323" s="105"/>
      <c r="C323" s="104" t="s">
        <v>215</v>
      </c>
      <c r="D323" s="112"/>
      <c r="E323" s="112"/>
      <c r="F323" s="105"/>
      <c r="G323" s="108"/>
      <c r="H323" s="109"/>
      <c r="I323" s="36"/>
      <c r="L323" s="113"/>
      <c r="M323" s="113"/>
      <c r="N323" s="36"/>
    </row>
    <row r="324" spans="1:14" s="55" customFormat="1" x14ac:dyDescent="0.35">
      <c r="A324" s="104">
        <f t="shared" si="40"/>
        <v>5</v>
      </c>
      <c r="B324" s="105"/>
      <c r="C324" s="104" t="s">
        <v>215</v>
      </c>
      <c r="D324" s="112"/>
      <c r="E324" s="112">
        <v>0</v>
      </c>
      <c r="F324" s="105">
        <f>D324*(($F$244)+1)+(IF(E324&lt;101,E324,IF(E324&lt;201,E324/2,IF(E324&lt;=301,E324/3,E324/4))))</f>
        <v>0</v>
      </c>
      <c r="G324" s="108"/>
      <c r="H324" s="109"/>
      <c r="I324" s="36"/>
      <c r="L324" s="113"/>
      <c r="M324" s="113"/>
      <c r="N324" s="36"/>
    </row>
    <row r="325" spans="1:14" s="55" customFormat="1" x14ac:dyDescent="0.35">
      <c r="A325" s="104">
        <f t="shared" si="40"/>
        <v>6</v>
      </c>
      <c r="B325" s="105"/>
      <c r="C325" s="56" t="s">
        <v>222</v>
      </c>
      <c r="D325" s="60">
        <f>(60.15)*(10.764)</f>
        <v>647.45459999999991</v>
      </c>
      <c r="E325" s="56">
        <v>0</v>
      </c>
      <c r="F325" s="56">
        <f>D325*(($F$244)+1)+(IF(E325&lt;101,E325,IF(E325&lt;201,E325/2,IF(E325&lt;=301,E325/3,E325/4))))</f>
        <v>1003.5546299999999</v>
      </c>
      <c r="G325" s="108"/>
      <c r="H325" s="109"/>
      <c r="I325" s="36"/>
      <c r="L325" s="113"/>
      <c r="M325" s="113"/>
      <c r="N325" s="36"/>
    </row>
    <row r="326" spans="1:14" s="55" customFormat="1" x14ac:dyDescent="0.35">
      <c r="A326" s="104">
        <f t="shared" si="40"/>
        <v>7</v>
      </c>
      <c r="B326" s="105"/>
      <c r="C326" s="56" t="s">
        <v>222</v>
      </c>
      <c r="D326" s="60">
        <f>(58.01)*(10.764)</f>
        <v>624.41963999999996</v>
      </c>
      <c r="E326" s="56">
        <v>0</v>
      </c>
      <c r="F326" s="56">
        <f>D326*(($F$244)+1)+(IF(E326&lt;101,E326,IF(E326&lt;201,E326/2,IF(E326&lt;=301,E326/3,E326/4))))</f>
        <v>967.85044199999993</v>
      </c>
      <c r="G326" s="108"/>
      <c r="H326" s="109"/>
      <c r="I326" s="36"/>
      <c r="L326" s="113"/>
      <c r="M326" s="113"/>
      <c r="N326" s="36"/>
    </row>
    <row r="327" spans="1:14" s="55" customFormat="1" x14ac:dyDescent="0.35">
      <c r="A327" s="104">
        <f t="shared" si="40"/>
        <v>8</v>
      </c>
      <c r="B327" s="105"/>
      <c r="C327" s="56" t="s">
        <v>222</v>
      </c>
      <c r="D327" s="60">
        <f>(58.01)*(10.764)</f>
        <v>624.41963999999996</v>
      </c>
      <c r="E327" s="56">
        <v>0</v>
      </c>
      <c r="F327" s="56">
        <f>D327*(($F$244)+1)+(IF(E327&lt;101,E327,IF(E327&lt;201,E327/2,IF(E327&lt;=301,E327/3,E327/4))))</f>
        <v>967.85044199999993</v>
      </c>
      <c r="G327" s="110"/>
      <c r="H327" s="111"/>
      <c r="I327" s="36"/>
      <c r="L327" s="113"/>
      <c r="M327" s="113"/>
      <c r="N327" s="36"/>
    </row>
    <row r="328" spans="1:14" s="55" customFormat="1" x14ac:dyDescent="0.35">
      <c r="A328" s="95" t="s">
        <v>235</v>
      </c>
      <c r="B328" s="96"/>
      <c r="C328" s="96"/>
      <c r="D328" s="96"/>
      <c r="E328" s="96"/>
      <c r="F328" s="96"/>
      <c r="G328" s="96"/>
      <c r="H328" s="97"/>
      <c r="J328" s="36"/>
    </row>
    <row r="329" spans="1:14" s="55" customFormat="1" ht="15.75" customHeight="1" x14ac:dyDescent="0.35">
      <c r="A329" s="104">
        <v>1</v>
      </c>
      <c r="B329" s="105"/>
      <c r="C329" s="56" t="s">
        <v>222</v>
      </c>
      <c r="D329" s="60">
        <f>(65.15)*(10.764)</f>
        <v>701.27459999999996</v>
      </c>
      <c r="E329" s="56">
        <v>0</v>
      </c>
      <c r="F329" s="56">
        <f t="shared" ref="F329:F331" si="41">D329*(($F$244)+1)+(IF(E329&lt;101,E329,IF(E329&lt;201,E329/2,IF(E329&lt;=301,E329/3,E329/4))))</f>
        <v>1086.9756299999999</v>
      </c>
      <c r="G329" s="106" t="str">
        <f>A328</f>
        <v>53rd Floor (Part Refuge Area)</v>
      </c>
      <c r="H329" s="107"/>
      <c r="I329" s="36"/>
      <c r="L329" s="113"/>
      <c r="M329" s="113"/>
      <c r="N329" s="36"/>
    </row>
    <row r="330" spans="1:14" s="55" customFormat="1" ht="15.75" customHeight="1" x14ac:dyDescent="0.35">
      <c r="A330" s="104">
        <f t="shared" ref="A330:A336" si="42">A329+1</f>
        <v>2</v>
      </c>
      <c r="B330" s="105"/>
      <c r="C330" s="56" t="s">
        <v>222</v>
      </c>
      <c r="D330" s="60">
        <f>(65.15)*(10.764)</f>
        <v>701.27459999999996</v>
      </c>
      <c r="E330" s="56">
        <v>0</v>
      </c>
      <c r="F330" s="56">
        <f t="shared" si="41"/>
        <v>1086.9756299999999</v>
      </c>
      <c r="G330" s="108"/>
      <c r="H330" s="109"/>
      <c r="I330" s="36"/>
      <c r="L330" s="113"/>
      <c r="M330" s="113"/>
      <c r="N330" s="36"/>
    </row>
    <row r="331" spans="1:14" s="55" customFormat="1" ht="15.75" customHeight="1" x14ac:dyDescent="0.35">
      <c r="A331" s="104">
        <f t="shared" si="42"/>
        <v>3</v>
      </c>
      <c r="B331" s="105"/>
      <c r="C331" s="56" t="s">
        <v>223</v>
      </c>
      <c r="D331" s="60">
        <f>(102.24)*(10.764)</f>
        <v>1100.51136</v>
      </c>
      <c r="E331" s="56">
        <v>0</v>
      </c>
      <c r="F331" s="56">
        <f t="shared" si="41"/>
        <v>1705.792608</v>
      </c>
      <c r="G331" s="108"/>
      <c r="H331" s="109"/>
      <c r="I331" s="36"/>
      <c r="L331" s="113"/>
      <c r="M331" s="113"/>
      <c r="N331" s="36"/>
    </row>
    <row r="332" spans="1:14" s="55" customFormat="1" ht="15.75" customHeight="1" x14ac:dyDescent="0.35">
      <c r="A332" s="104">
        <f t="shared" si="42"/>
        <v>4</v>
      </c>
      <c r="B332" s="105"/>
      <c r="C332" s="104" t="s">
        <v>215</v>
      </c>
      <c r="D332" s="112"/>
      <c r="E332" s="112"/>
      <c r="F332" s="105"/>
      <c r="G332" s="108"/>
      <c r="H332" s="109"/>
      <c r="I332" s="36"/>
      <c r="L332" s="113"/>
      <c r="M332" s="113"/>
      <c r="N332" s="36"/>
    </row>
    <row r="333" spans="1:14" s="55" customFormat="1" x14ac:dyDescent="0.35">
      <c r="A333" s="104">
        <f t="shared" si="42"/>
        <v>5</v>
      </c>
      <c r="B333" s="105"/>
      <c r="C333" s="56" t="s">
        <v>222</v>
      </c>
      <c r="D333" s="60">
        <f>(60.15)*(10.764)</f>
        <v>647.45459999999991</v>
      </c>
      <c r="E333" s="56">
        <v>0</v>
      </c>
      <c r="F333" s="56">
        <f t="shared" ref="F333:F336" si="43">D333*(($F$244)+1)+(IF(E333&lt;101,E333,IF(E333&lt;201,E333/2,IF(E333&lt;=301,E333/3,E333/4))))</f>
        <v>1003.5546299999999</v>
      </c>
      <c r="G333" s="108"/>
      <c r="H333" s="109"/>
      <c r="I333" s="36"/>
      <c r="L333" s="113"/>
      <c r="M333" s="113"/>
      <c r="N333" s="36"/>
    </row>
    <row r="334" spans="1:14" s="55" customFormat="1" x14ac:dyDescent="0.35">
      <c r="A334" s="104">
        <f t="shared" si="42"/>
        <v>6</v>
      </c>
      <c r="B334" s="105"/>
      <c r="C334" s="56" t="s">
        <v>222</v>
      </c>
      <c r="D334" s="60">
        <f>(60.15)*(10.764)</f>
        <v>647.45459999999991</v>
      </c>
      <c r="E334" s="56">
        <v>0</v>
      </c>
      <c r="F334" s="56">
        <f t="shared" si="43"/>
        <v>1003.5546299999999</v>
      </c>
      <c r="G334" s="108"/>
      <c r="H334" s="109"/>
      <c r="I334" s="36"/>
      <c r="L334" s="113"/>
      <c r="M334" s="113"/>
      <c r="N334" s="36"/>
    </row>
    <row r="335" spans="1:14" s="55" customFormat="1" x14ac:dyDescent="0.35">
      <c r="A335" s="104">
        <f t="shared" si="42"/>
        <v>7</v>
      </c>
      <c r="B335" s="105"/>
      <c r="C335" s="56" t="s">
        <v>222</v>
      </c>
      <c r="D335" s="60">
        <f>(58.01)*(10.764)</f>
        <v>624.41963999999996</v>
      </c>
      <c r="E335" s="56">
        <v>0</v>
      </c>
      <c r="F335" s="56">
        <f t="shared" si="43"/>
        <v>967.85044199999993</v>
      </c>
      <c r="G335" s="108"/>
      <c r="H335" s="109"/>
      <c r="I335" s="36"/>
      <c r="L335" s="113"/>
      <c r="M335" s="113"/>
      <c r="N335" s="36"/>
    </row>
    <row r="336" spans="1:14" s="55" customFormat="1" x14ac:dyDescent="0.35">
      <c r="A336" s="104">
        <f t="shared" si="42"/>
        <v>8</v>
      </c>
      <c r="B336" s="105"/>
      <c r="C336" s="56" t="s">
        <v>222</v>
      </c>
      <c r="D336" s="60">
        <f>(58.01)*(10.764)</f>
        <v>624.41963999999996</v>
      </c>
      <c r="E336" s="56">
        <v>0</v>
      </c>
      <c r="F336" s="56">
        <f t="shared" si="43"/>
        <v>967.85044199999993</v>
      </c>
      <c r="G336" s="110"/>
      <c r="H336" s="111"/>
      <c r="I336" s="36"/>
      <c r="L336" s="113"/>
      <c r="M336" s="113"/>
      <c r="N336" s="36"/>
    </row>
    <row r="337" spans="1:14" s="52" customFormat="1" x14ac:dyDescent="0.35">
      <c r="A337" s="92" t="s">
        <v>204</v>
      </c>
      <c r="B337" s="93"/>
      <c r="C337" s="93"/>
      <c r="D337" s="93"/>
      <c r="E337" s="93"/>
      <c r="F337" s="93"/>
      <c r="G337" s="93"/>
      <c r="H337" s="94"/>
      <c r="J337" s="36"/>
    </row>
    <row r="338" spans="1:14" s="52" customFormat="1" x14ac:dyDescent="0.35">
      <c r="A338" s="92" t="s">
        <v>221</v>
      </c>
      <c r="B338" s="93"/>
      <c r="C338" s="93"/>
      <c r="D338" s="93"/>
      <c r="E338" s="93"/>
      <c r="F338" s="93"/>
      <c r="G338" s="93"/>
      <c r="H338" s="94"/>
      <c r="J338" s="36"/>
    </row>
    <row r="339" spans="1:14" s="52" customFormat="1" ht="15.75" customHeight="1" x14ac:dyDescent="0.35">
      <c r="A339" s="104">
        <v>1</v>
      </c>
      <c r="B339" s="105"/>
      <c r="C339" s="51" t="s">
        <v>222</v>
      </c>
      <c r="D339" s="60">
        <f>(64.6)*(10.764)</f>
        <v>695.35439999999994</v>
      </c>
      <c r="E339" s="51">
        <v>0</v>
      </c>
      <c r="F339" s="51">
        <f t="shared" ref="F339:F346" si="44">D339*(($F$244)+1)+(IF(E339&lt;101,E339,IF(E339&lt;201,E339/2,IF(E339&lt;=301,E339/3,E339/4))))</f>
        <v>1077.7993199999999</v>
      </c>
      <c r="G339" s="106" t="str">
        <f>A338</f>
        <v>1st to 3rd &amp; 5th to 10th Floor For Residential</v>
      </c>
      <c r="H339" s="107"/>
      <c r="I339" s="36"/>
      <c r="L339" s="113"/>
      <c r="M339" s="113"/>
      <c r="N339" s="36"/>
    </row>
    <row r="340" spans="1:14" s="52" customFormat="1" ht="15.75" customHeight="1" x14ac:dyDescent="0.35">
      <c r="A340" s="104">
        <f t="shared" ref="A340:A346" si="45">A339+1</f>
        <v>2</v>
      </c>
      <c r="B340" s="105"/>
      <c r="C340" s="51" t="s">
        <v>222</v>
      </c>
      <c r="D340" s="60">
        <f>(64.6)*(10.764)</f>
        <v>695.35439999999994</v>
      </c>
      <c r="E340" s="51">
        <v>0</v>
      </c>
      <c r="F340" s="51">
        <f t="shared" si="44"/>
        <v>1077.7993199999999</v>
      </c>
      <c r="G340" s="108"/>
      <c r="H340" s="109"/>
      <c r="I340" s="36"/>
      <c r="L340" s="113"/>
      <c r="M340" s="113"/>
      <c r="N340" s="36"/>
    </row>
    <row r="341" spans="1:14" s="52" customFormat="1" ht="15.75" customHeight="1" x14ac:dyDescent="0.35">
      <c r="A341" s="104">
        <f t="shared" si="45"/>
        <v>3</v>
      </c>
      <c r="B341" s="105"/>
      <c r="C341" s="51" t="s">
        <v>222</v>
      </c>
      <c r="D341" s="60">
        <f>(57.9)*(10.764)</f>
        <v>623.23559999999998</v>
      </c>
      <c r="E341" s="51">
        <v>0</v>
      </c>
      <c r="F341" s="51">
        <f t="shared" si="44"/>
        <v>966.01517999999999</v>
      </c>
      <c r="G341" s="108"/>
      <c r="H341" s="109"/>
      <c r="I341" s="36"/>
      <c r="L341" s="113"/>
      <c r="M341" s="113"/>
      <c r="N341" s="36"/>
    </row>
    <row r="342" spans="1:14" s="52" customFormat="1" ht="15.75" customHeight="1" x14ac:dyDescent="0.35">
      <c r="A342" s="104">
        <f t="shared" si="45"/>
        <v>4</v>
      </c>
      <c r="B342" s="105"/>
      <c r="C342" s="51" t="s">
        <v>222</v>
      </c>
      <c r="D342" s="60">
        <f>(57.9)*(10.764)</f>
        <v>623.23559999999998</v>
      </c>
      <c r="E342" s="51">
        <v>0</v>
      </c>
      <c r="F342" s="51">
        <f t="shared" si="44"/>
        <v>966.01517999999999</v>
      </c>
      <c r="G342" s="108"/>
      <c r="H342" s="109"/>
      <c r="I342" s="36"/>
      <c r="L342" s="113"/>
      <c r="M342" s="113"/>
      <c r="N342" s="36"/>
    </row>
    <row r="343" spans="1:14" s="52" customFormat="1" x14ac:dyDescent="0.35">
      <c r="A343" s="104">
        <f t="shared" si="45"/>
        <v>5</v>
      </c>
      <c r="B343" s="105"/>
      <c r="C343" s="51" t="s">
        <v>222</v>
      </c>
      <c r="D343" s="60">
        <f>(59.18)*(10.764)</f>
        <v>637.01351999999997</v>
      </c>
      <c r="E343" s="51">
        <v>0</v>
      </c>
      <c r="F343" s="51">
        <f t="shared" si="44"/>
        <v>987.37095599999998</v>
      </c>
      <c r="G343" s="108"/>
      <c r="H343" s="109"/>
      <c r="I343" s="36"/>
      <c r="L343" s="113"/>
      <c r="M343" s="113"/>
      <c r="N343" s="36"/>
    </row>
    <row r="344" spans="1:14" s="52" customFormat="1" x14ac:dyDescent="0.35">
      <c r="A344" s="104">
        <f t="shared" si="45"/>
        <v>6</v>
      </c>
      <c r="B344" s="105"/>
      <c r="C344" s="51" t="s">
        <v>222</v>
      </c>
      <c r="D344" s="60">
        <f>(59.18)*(10.764)</f>
        <v>637.01351999999997</v>
      </c>
      <c r="E344" s="51">
        <v>0</v>
      </c>
      <c r="F344" s="51">
        <f t="shared" si="44"/>
        <v>987.37095599999998</v>
      </c>
      <c r="G344" s="108"/>
      <c r="H344" s="109"/>
      <c r="I344" s="36"/>
      <c r="L344" s="113"/>
      <c r="M344" s="113"/>
      <c r="N344" s="36"/>
    </row>
    <row r="345" spans="1:14" s="52" customFormat="1" x14ac:dyDescent="0.35">
      <c r="A345" s="104">
        <f t="shared" si="45"/>
        <v>7</v>
      </c>
      <c r="B345" s="105"/>
      <c r="C345" s="51" t="s">
        <v>223</v>
      </c>
      <c r="D345" s="60">
        <f>(101.54)*(10.764)</f>
        <v>1092.9765600000001</v>
      </c>
      <c r="E345" s="51">
        <v>0</v>
      </c>
      <c r="F345" s="51">
        <f t="shared" si="44"/>
        <v>1694.1136680000002</v>
      </c>
      <c r="G345" s="108"/>
      <c r="H345" s="109"/>
      <c r="I345" s="36"/>
      <c r="L345" s="113"/>
      <c r="M345" s="113"/>
      <c r="N345" s="36"/>
    </row>
    <row r="346" spans="1:14" s="52" customFormat="1" x14ac:dyDescent="0.35">
      <c r="A346" s="104">
        <f t="shared" si="45"/>
        <v>8</v>
      </c>
      <c r="B346" s="105"/>
      <c r="C346" s="51" t="s">
        <v>223</v>
      </c>
      <c r="D346" s="60">
        <f>(101.54)*(10.764)</f>
        <v>1092.9765600000001</v>
      </c>
      <c r="E346" s="51">
        <v>0</v>
      </c>
      <c r="F346" s="51">
        <f t="shared" si="44"/>
        <v>1694.1136680000002</v>
      </c>
      <c r="G346" s="110"/>
      <c r="H346" s="111"/>
      <c r="I346" s="36"/>
      <c r="L346" s="113"/>
      <c r="M346" s="113"/>
      <c r="N346" s="36"/>
    </row>
    <row r="347" spans="1:14" s="54" customFormat="1" x14ac:dyDescent="0.35">
      <c r="A347" s="92" t="s">
        <v>224</v>
      </c>
      <c r="B347" s="93"/>
      <c r="C347" s="93"/>
      <c r="D347" s="93"/>
      <c r="E347" s="93"/>
      <c r="F347" s="93"/>
      <c r="G347" s="93"/>
      <c r="H347" s="94"/>
      <c r="J347" s="36"/>
    </row>
    <row r="348" spans="1:14" s="54" customFormat="1" ht="15.75" customHeight="1" x14ac:dyDescent="0.35">
      <c r="A348" s="104">
        <v>1</v>
      </c>
      <c r="B348" s="105"/>
      <c r="C348" s="53" t="s">
        <v>222</v>
      </c>
      <c r="D348" s="60">
        <f>(64.6)*(10.764)</f>
        <v>695.35439999999994</v>
      </c>
      <c r="E348" s="53">
        <v>0</v>
      </c>
      <c r="F348" s="53">
        <f t="shared" ref="F348:F355" si="46">D348*(($F$244)+1)+(IF(E348&lt;101,E348,IF(E348&lt;201,E348/2,IF(E348&lt;=301,E348/3,E348/4))))</f>
        <v>1077.7993199999999</v>
      </c>
      <c r="G348" s="106" t="str">
        <f>A347</f>
        <v>4th Floor (Part Refuge Area)</v>
      </c>
      <c r="H348" s="107"/>
      <c r="I348" s="36"/>
      <c r="L348" s="113"/>
      <c r="M348" s="113"/>
      <c r="N348" s="36"/>
    </row>
    <row r="349" spans="1:14" s="54" customFormat="1" ht="15.75" customHeight="1" x14ac:dyDescent="0.35">
      <c r="A349" s="104">
        <f t="shared" ref="A349:A355" si="47">A348+1</f>
        <v>2</v>
      </c>
      <c r="B349" s="105"/>
      <c r="C349" s="53" t="s">
        <v>222</v>
      </c>
      <c r="D349" s="60">
        <f>(64.6)*(10.764)</f>
        <v>695.35439999999994</v>
      </c>
      <c r="E349" s="53">
        <v>0</v>
      </c>
      <c r="F349" s="53">
        <f t="shared" si="46"/>
        <v>1077.7993199999999</v>
      </c>
      <c r="G349" s="108"/>
      <c r="H349" s="109"/>
      <c r="I349" s="36"/>
      <c r="L349" s="113"/>
      <c r="M349" s="113"/>
      <c r="N349" s="36"/>
    </row>
    <row r="350" spans="1:14" s="54" customFormat="1" ht="15.75" customHeight="1" x14ac:dyDescent="0.35">
      <c r="A350" s="104">
        <f t="shared" si="47"/>
        <v>3</v>
      </c>
      <c r="B350" s="105"/>
      <c r="C350" s="53" t="s">
        <v>222</v>
      </c>
      <c r="D350" s="60">
        <f>(57.9)*(10.764)</f>
        <v>623.23559999999998</v>
      </c>
      <c r="E350" s="53">
        <v>0</v>
      </c>
      <c r="F350" s="53">
        <f t="shared" si="46"/>
        <v>966.01517999999999</v>
      </c>
      <c r="G350" s="108"/>
      <c r="H350" s="109"/>
      <c r="I350" s="36"/>
      <c r="L350" s="113"/>
      <c r="M350" s="113"/>
      <c r="N350" s="36"/>
    </row>
    <row r="351" spans="1:14" s="54" customFormat="1" ht="15.75" customHeight="1" x14ac:dyDescent="0.35">
      <c r="A351" s="104">
        <f t="shared" si="47"/>
        <v>4</v>
      </c>
      <c r="B351" s="105"/>
      <c r="C351" s="53" t="s">
        <v>222</v>
      </c>
      <c r="D351" s="60">
        <f>(57.9)*(10.764)</f>
        <v>623.23559999999998</v>
      </c>
      <c r="E351" s="53">
        <v>0</v>
      </c>
      <c r="F351" s="53">
        <f t="shared" si="46"/>
        <v>966.01517999999999</v>
      </c>
      <c r="G351" s="108"/>
      <c r="H351" s="109"/>
      <c r="I351" s="36"/>
      <c r="L351" s="113"/>
      <c r="M351" s="113"/>
      <c r="N351" s="36"/>
    </row>
    <row r="352" spans="1:14" s="54" customFormat="1" x14ac:dyDescent="0.35">
      <c r="A352" s="104">
        <f t="shared" si="47"/>
        <v>5</v>
      </c>
      <c r="B352" s="105"/>
      <c r="C352" s="53" t="s">
        <v>222</v>
      </c>
      <c r="D352" s="60">
        <f>(59.18)*(10.764)</f>
        <v>637.01351999999997</v>
      </c>
      <c r="E352" s="53">
        <v>0</v>
      </c>
      <c r="F352" s="53">
        <f t="shared" si="46"/>
        <v>987.37095599999998</v>
      </c>
      <c r="G352" s="108"/>
      <c r="H352" s="109"/>
      <c r="I352" s="36"/>
      <c r="L352" s="113"/>
      <c r="M352" s="113"/>
      <c r="N352" s="36"/>
    </row>
    <row r="353" spans="1:14" s="54" customFormat="1" x14ac:dyDescent="0.35">
      <c r="A353" s="104">
        <f t="shared" si="47"/>
        <v>6</v>
      </c>
      <c r="B353" s="105"/>
      <c r="C353" s="104" t="s">
        <v>215</v>
      </c>
      <c r="D353" s="112"/>
      <c r="E353" s="112"/>
      <c r="F353" s="105"/>
      <c r="G353" s="108"/>
      <c r="H353" s="109"/>
      <c r="I353" s="36"/>
      <c r="L353" s="113"/>
      <c r="M353" s="113"/>
      <c r="N353" s="36"/>
    </row>
    <row r="354" spans="1:14" s="54" customFormat="1" x14ac:dyDescent="0.35">
      <c r="A354" s="104">
        <f t="shared" si="47"/>
        <v>7</v>
      </c>
      <c r="B354" s="105"/>
      <c r="C354" s="104" t="s">
        <v>215</v>
      </c>
      <c r="D354" s="112"/>
      <c r="E354" s="112">
        <v>0</v>
      </c>
      <c r="F354" s="105">
        <f t="shared" si="46"/>
        <v>0</v>
      </c>
      <c r="G354" s="108"/>
      <c r="H354" s="109"/>
      <c r="I354" s="36"/>
      <c r="L354" s="113"/>
      <c r="M354" s="113"/>
      <c r="N354" s="36"/>
    </row>
    <row r="355" spans="1:14" s="54" customFormat="1" x14ac:dyDescent="0.35">
      <c r="A355" s="104">
        <f t="shared" si="47"/>
        <v>8</v>
      </c>
      <c r="B355" s="105"/>
      <c r="C355" s="53" t="s">
        <v>223</v>
      </c>
      <c r="D355" s="60">
        <f>(101.54)*(10.764)</f>
        <v>1092.9765600000001</v>
      </c>
      <c r="E355" s="53">
        <v>0</v>
      </c>
      <c r="F355" s="53">
        <f t="shared" si="46"/>
        <v>1694.1136680000002</v>
      </c>
      <c r="G355" s="110"/>
      <c r="H355" s="111"/>
      <c r="I355" s="36"/>
      <c r="L355" s="113"/>
      <c r="M355" s="113"/>
      <c r="N355" s="36"/>
    </row>
    <row r="356" spans="1:14" s="55" customFormat="1" x14ac:dyDescent="0.35">
      <c r="A356" s="92" t="s">
        <v>225</v>
      </c>
      <c r="B356" s="93"/>
      <c r="C356" s="93"/>
      <c r="D356" s="93"/>
      <c r="E356" s="93"/>
      <c r="F356" s="93"/>
      <c r="G356" s="93"/>
      <c r="H356" s="94"/>
      <c r="J356" s="36"/>
    </row>
    <row r="357" spans="1:14" s="55" customFormat="1" ht="15.75" customHeight="1" x14ac:dyDescent="0.35">
      <c r="A357" s="104">
        <v>1</v>
      </c>
      <c r="B357" s="105"/>
      <c r="C357" s="56" t="s">
        <v>222</v>
      </c>
      <c r="D357" s="60">
        <f>(64.6)*(10.764)</f>
        <v>695.35439999999994</v>
      </c>
      <c r="E357" s="56">
        <v>0</v>
      </c>
      <c r="F357" s="56">
        <f t="shared" ref="F357:F364" si="48">D357*(($F$244)+1)+(IF(E357&lt;101,E357,IF(E357&lt;201,E357/2,IF(E357&lt;=301,E357/3,E357/4))))</f>
        <v>1077.7993199999999</v>
      </c>
      <c r="G357" s="106" t="str">
        <f>A356</f>
        <v>12th to 17th, 19th &amp; 20th Floor</v>
      </c>
      <c r="H357" s="107"/>
      <c r="I357" s="36"/>
      <c r="L357" s="113"/>
      <c r="M357" s="113"/>
      <c r="N357" s="36"/>
    </row>
    <row r="358" spans="1:14" s="55" customFormat="1" ht="15.75" customHeight="1" x14ac:dyDescent="0.35">
      <c r="A358" s="104">
        <f t="shared" ref="A358:A364" si="49">A357+1</f>
        <v>2</v>
      </c>
      <c r="B358" s="105"/>
      <c r="C358" s="56" t="s">
        <v>222</v>
      </c>
      <c r="D358" s="60">
        <f>(64.6)*(10.764)</f>
        <v>695.35439999999994</v>
      </c>
      <c r="E358" s="56">
        <v>0</v>
      </c>
      <c r="F358" s="56">
        <f t="shared" si="48"/>
        <v>1077.7993199999999</v>
      </c>
      <c r="G358" s="108"/>
      <c r="H358" s="109"/>
      <c r="I358" s="36"/>
      <c r="L358" s="113"/>
      <c r="M358" s="113"/>
      <c r="N358" s="36"/>
    </row>
    <row r="359" spans="1:14" s="55" customFormat="1" ht="15.75" customHeight="1" x14ac:dyDescent="0.35">
      <c r="A359" s="104">
        <f t="shared" si="49"/>
        <v>3</v>
      </c>
      <c r="B359" s="105"/>
      <c r="C359" s="56" t="s">
        <v>222</v>
      </c>
      <c r="D359" s="60">
        <f>(57.9)*(10.764)</f>
        <v>623.23559999999998</v>
      </c>
      <c r="E359" s="56">
        <v>0</v>
      </c>
      <c r="F359" s="56">
        <f t="shared" si="48"/>
        <v>966.01517999999999</v>
      </c>
      <c r="G359" s="108"/>
      <c r="H359" s="109"/>
      <c r="I359" s="36"/>
      <c r="L359" s="113"/>
      <c r="M359" s="113"/>
      <c r="N359" s="36"/>
    </row>
    <row r="360" spans="1:14" s="55" customFormat="1" ht="15.75" customHeight="1" x14ac:dyDescent="0.35">
      <c r="A360" s="104">
        <f t="shared" si="49"/>
        <v>4</v>
      </c>
      <c r="B360" s="105"/>
      <c r="C360" s="56" t="s">
        <v>222</v>
      </c>
      <c r="D360" s="60">
        <f>(57.9)*(10.764)</f>
        <v>623.23559999999998</v>
      </c>
      <c r="E360" s="56">
        <v>0</v>
      </c>
      <c r="F360" s="56">
        <f t="shared" si="48"/>
        <v>966.01517999999999</v>
      </c>
      <c r="G360" s="108"/>
      <c r="H360" s="109"/>
      <c r="I360" s="36"/>
      <c r="L360" s="113"/>
      <c r="M360" s="113"/>
      <c r="N360" s="36"/>
    </row>
    <row r="361" spans="1:14" s="55" customFormat="1" x14ac:dyDescent="0.35">
      <c r="A361" s="104">
        <f t="shared" si="49"/>
        <v>5</v>
      </c>
      <c r="B361" s="105"/>
      <c r="C361" s="56" t="s">
        <v>222</v>
      </c>
      <c r="D361" s="60">
        <f>(59.3)*(10.764)</f>
        <v>638.3051999999999</v>
      </c>
      <c r="E361" s="56">
        <v>0</v>
      </c>
      <c r="F361" s="56">
        <f t="shared" si="48"/>
        <v>989.3730599999999</v>
      </c>
      <c r="G361" s="108"/>
      <c r="H361" s="109"/>
      <c r="I361" s="36"/>
      <c r="L361" s="113"/>
      <c r="M361" s="113"/>
      <c r="N361" s="36"/>
    </row>
    <row r="362" spans="1:14" s="55" customFormat="1" x14ac:dyDescent="0.35">
      <c r="A362" s="104">
        <f t="shared" si="49"/>
        <v>6</v>
      </c>
      <c r="B362" s="105"/>
      <c r="C362" s="56" t="s">
        <v>222</v>
      </c>
      <c r="D362" s="60">
        <f>(59.3)*(10.764)</f>
        <v>638.3051999999999</v>
      </c>
      <c r="E362" s="56">
        <v>0</v>
      </c>
      <c r="F362" s="56">
        <f t="shared" si="48"/>
        <v>989.3730599999999</v>
      </c>
      <c r="G362" s="108"/>
      <c r="H362" s="109"/>
      <c r="I362" s="36"/>
      <c r="L362" s="113"/>
      <c r="M362" s="113"/>
      <c r="N362" s="36"/>
    </row>
    <row r="363" spans="1:14" s="55" customFormat="1" x14ac:dyDescent="0.35">
      <c r="A363" s="104">
        <f t="shared" si="49"/>
        <v>7</v>
      </c>
      <c r="B363" s="105"/>
      <c r="C363" s="56" t="s">
        <v>223</v>
      </c>
      <c r="D363" s="60">
        <f>(101.79)*(10.764)</f>
        <v>1095.6675600000001</v>
      </c>
      <c r="E363" s="56">
        <v>0</v>
      </c>
      <c r="F363" s="56">
        <f t="shared" si="48"/>
        <v>1698.2847180000001</v>
      </c>
      <c r="G363" s="108"/>
      <c r="H363" s="109"/>
      <c r="I363" s="36"/>
      <c r="L363" s="113"/>
      <c r="M363" s="113"/>
      <c r="N363" s="36"/>
    </row>
    <row r="364" spans="1:14" s="55" customFormat="1" x14ac:dyDescent="0.35">
      <c r="A364" s="104">
        <f t="shared" si="49"/>
        <v>8</v>
      </c>
      <c r="B364" s="105"/>
      <c r="C364" s="56" t="s">
        <v>223</v>
      </c>
      <c r="D364" s="60">
        <f>(101.79)*(10.764)</f>
        <v>1095.6675600000001</v>
      </c>
      <c r="E364" s="56">
        <v>0</v>
      </c>
      <c r="F364" s="56">
        <f t="shared" si="48"/>
        <v>1698.2847180000001</v>
      </c>
      <c r="G364" s="110"/>
      <c r="H364" s="111"/>
      <c r="I364" s="36"/>
      <c r="L364" s="113"/>
      <c r="M364" s="113"/>
      <c r="N364" s="36"/>
    </row>
    <row r="365" spans="1:14" s="55" customFormat="1" x14ac:dyDescent="0.35">
      <c r="A365" s="92" t="s">
        <v>226</v>
      </c>
      <c r="B365" s="93"/>
      <c r="C365" s="93"/>
      <c r="D365" s="93"/>
      <c r="E365" s="93"/>
      <c r="F365" s="93"/>
      <c r="G365" s="93"/>
      <c r="H365" s="94"/>
      <c r="J365" s="36"/>
    </row>
    <row r="366" spans="1:14" s="55" customFormat="1" ht="15.75" customHeight="1" x14ac:dyDescent="0.35">
      <c r="A366" s="104">
        <v>1</v>
      </c>
      <c r="B366" s="105"/>
      <c r="C366" s="56" t="s">
        <v>222</v>
      </c>
      <c r="D366" s="60">
        <f>(64.6)*(10.764)</f>
        <v>695.35439999999994</v>
      </c>
      <c r="E366" s="56">
        <v>0</v>
      </c>
      <c r="F366" s="56">
        <f t="shared" ref="F366:F373" si="50">D366*(($F$244)+1)+(IF(E366&lt;101,E366,IF(E366&lt;201,E366/2,IF(E366&lt;=301,E366/3,E366/4))))</f>
        <v>1077.7993199999999</v>
      </c>
      <c r="G366" s="106" t="str">
        <f>A365</f>
        <v>11th &amp; 18th Floor (Part Refuge Area)</v>
      </c>
      <c r="H366" s="107"/>
      <c r="I366" s="36"/>
      <c r="L366" s="113"/>
      <c r="M366" s="113"/>
      <c r="N366" s="36"/>
    </row>
    <row r="367" spans="1:14" s="55" customFormat="1" ht="15.75" customHeight="1" x14ac:dyDescent="0.35">
      <c r="A367" s="104">
        <f t="shared" ref="A367:A373" si="51">A366+1</f>
        <v>2</v>
      </c>
      <c r="B367" s="105"/>
      <c r="C367" s="56" t="s">
        <v>222</v>
      </c>
      <c r="D367" s="60">
        <f>(64.6)*(10.764)</f>
        <v>695.35439999999994</v>
      </c>
      <c r="E367" s="56">
        <v>0</v>
      </c>
      <c r="F367" s="56">
        <f t="shared" si="50"/>
        <v>1077.7993199999999</v>
      </c>
      <c r="G367" s="108"/>
      <c r="H367" s="109"/>
      <c r="I367" s="36"/>
      <c r="L367" s="113"/>
      <c r="M367" s="113"/>
      <c r="N367" s="36"/>
    </row>
    <row r="368" spans="1:14" s="55" customFormat="1" ht="15.75" customHeight="1" x14ac:dyDescent="0.35">
      <c r="A368" s="104">
        <f t="shared" si="51"/>
        <v>3</v>
      </c>
      <c r="B368" s="105"/>
      <c r="C368" s="56" t="s">
        <v>222</v>
      </c>
      <c r="D368" s="60">
        <f>(57.9)*(10.764)</f>
        <v>623.23559999999998</v>
      </c>
      <c r="E368" s="56">
        <v>0</v>
      </c>
      <c r="F368" s="56">
        <f t="shared" si="50"/>
        <v>966.01517999999999</v>
      </c>
      <c r="G368" s="108"/>
      <c r="H368" s="109"/>
      <c r="I368" s="36"/>
      <c r="L368" s="113"/>
      <c r="M368" s="113"/>
      <c r="N368" s="36"/>
    </row>
    <row r="369" spans="1:14" s="55" customFormat="1" ht="15.75" customHeight="1" x14ac:dyDescent="0.35">
      <c r="A369" s="104">
        <f t="shared" si="51"/>
        <v>4</v>
      </c>
      <c r="B369" s="105"/>
      <c r="C369" s="56" t="s">
        <v>222</v>
      </c>
      <c r="D369" s="60">
        <f>(57.9)*(10.764)</f>
        <v>623.23559999999998</v>
      </c>
      <c r="E369" s="56">
        <v>0</v>
      </c>
      <c r="F369" s="56">
        <f t="shared" si="50"/>
        <v>966.01517999999999</v>
      </c>
      <c r="G369" s="108"/>
      <c r="H369" s="109"/>
      <c r="I369" s="36"/>
      <c r="L369" s="113"/>
      <c r="M369" s="113"/>
      <c r="N369" s="36"/>
    </row>
    <row r="370" spans="1:14" s="55" customFormat="1" x14ac:dyDescent="0.35">
      <c r="A370" s="104">
        <f t="shared" si="51"/>
        <v>5</v>
      </c>
      <c r="B370" s="105"/>
      <c r="C370" s="56" t="s">
        <v>222</v>
      </c>
      <c r="D370" s="60">
        <f>(59.3)*(10.764)</f>
        <v>638.3051999999999</v>
      </c>
      <c r="E370" s="56">
        <v>0</v>
      </c>
      <c r="F370" s="56">
        <f t="shared" si="50"/>
        <v>989.3730599999999</v>
      </c>
      <c r="G370" s="108"/>
      <c r="H370" s="109"/>
      <c r="I370" s="36"/>
      <c r="L370" s="113"/>
      <c r="M370" s="113"/>
      <c r="N370" s="36"/>
    </row>
    <row r="371" spans="1:14" s="55" customFormat="1" x14ac:dyDescent="0.35">
      <c r="A371" s="104">
        <f t="shared" si="51"/>
        <v>6</v>
      </c>
      <c r="B371" s="105"/>
      <c r="C371" s="104" t="s">
        <v>215</v>
      </c>
      <c r="D371" s="112"/>
      <c r="E371" s="112"/>
      <c r="F371" s="105"/>
      <c r="G371" s="108"/>
      <c r="H371" s="109"/>
      <c r="I371" s="36"/>
      <c r="L371" s="113"/>
      <c r="M371" s="113"/>
      <c r="N371" s="36"/>
    </row>
    <row r="372" spans="1:14" s="55" customFormat="1" x14ac:dyDescent="0.35">
      <c r="A372" s="104">
        <f t="shared" si="51"/>
        <v>7</v>
      </c>
      <c r="B372" s="105"/>
      <c r="C372" s="104" t="s">
        <v>215</v>
      </c>
      <c r="D372" s="112"/>
      <c r="E372" s="112">
        <v>0</v>
      </c>
      <c r="F372" s="105">
        <f t="shared" si="50"/>
        <v>0</v>
      </c>
      <c r="G372" s="108"/>
      <c r="H372" s="109"/>
      <c r="I372" s="36"/>
      <c r="L372" s="113"/>
      <c r="M372" s="113"/>
      <c r="N372" s="36"/>
    </row>
    <row r="373" spans="1:14" s="55" customFormat="1" x14ac:dyDescent="0.35">
      <c r="A373" s="104">
        <f t="shared" si="51"/>
        <v>8</v>
      </c>
      <c r="B373" s="105"/>
      <c r="C373" s="56" t="s">
        <v>223</v>
      </c>
      <c r="D373" s="60">
        <f>(101.79)*(10.764)</f>
        <v>1095.6675600000001</v>
      </c>
      <c r="E373" s="56">
        <v>0</v>
      </c>
      <c r="F373" s="56">
        <f t="shared" si="50"/>
        <v>1698.2847180000001</v>
      </c>
      <c r="G373" s="110"/>
      <c r="H373" s="111"/>
      <c r="I373" s="36"/>
      <c r="L373" s="113"/>
      <c r="M373" s="113"/>
      <c r="N373" s="36"/>
    </row>
    <row r="374" spans="1:14" s="55" customFormat="1" x14ac:dyDescent="0.35">
      <c r="A374" s="92" t="s">
        <v>228</v>
      </c>
      <c r="B374" s="93"/>
      <c r="C374" s="93"/>
      <c r="D374" s="93"/>
      <c r="E374" s="93"/>
      <c r="F374" s="93"/>
      <c r="G374" s="93"/>
      <c r="H374" s="94"/>
      <c r="J374" s="36"/>
    </row>
    <row r="375" spans="1:14" s="55" customFormat="1" ht="15.75" customHeight="1" x14ac:dyDescent="0.35">
      <c r="A375" s="104">
        <v>1</v>
      </c>
      <c r="B375" s="105"/>
      <c r="C375" s="56" t="s">
        <v>222</v>
      </c>
      <c r="D375" s="60">
        <f>(64.71)*(10.764)</f>
        <v>696.53843999999992</v>
      </c>
      <c r="E375" s="56">
        <v>0</v>
      </c>
      <c r="F375" s="56">
        <f t="shared" ref="F375:F382" si="52">D375*(($F$244)+1)+(IF(E375&lt;101,E375,IF(E375&lt;201,E375/2,IF(E375&lt;=301,E375/3,E375/4))))</f>
        <v>1079.6345819999999</v>
      </c>
      <c r="G375" s="106" t="str">
        <f>A374</f>
        <v>21st to 24th Floor</v>
      </c>
      <c r="H375" s="107"/>
      <c r="I375" s="36"/>
      <c r="L375" s="113"/>
      <c r="M375" s="113"/>
      <c r="N375" s="36"/>
    </row>
    <row r="376" spans="1:14" s="55" customFormat="1" ht="15.75" customHeight="1" x14ac:dyDescent="0.35">
      <c r="A376" s="104">
        <f t="shared" ref="A376:A382" si="53">A375+1</f>
        <v>2</v>
      </c>
      <c r="B376" s="105"/>
      <c r="C376" s="56" t="s">
        <v>222</v>
      </c>
      <c r="D376" s="60">
        <f>(64.71)*(10.764)</f>
        <v>696.53843999999992</v>
      </c>
      <c r="E376" s="56">
        <v>0</v>
      </c>
      <c r="F376" s="56">
        <f t="shared" si="52"/>
        <v>1079.6345819999999</v>
      </c>
      <c r="G376" s="108"/>
      <c r="H376" s="109"/>
      <c r="I376" s="36"/>
      <c r="L376" s="113"/>
      <c r="M376" s="113"/>
      <c r="N376" s="36"/>
    </row>
    <row r="377" spans="1:14" s="55" customFormat="1" ht="15.75" customHeight="1" x14ac:dyDescent="0.35">
      <c r="A377" s="104">
        <f t="shared" si="53"/>
        <v>3</v>
      </c>
      <c r="B377" s="105"/>
      <c r="C377" s="56" t="s">
        <v>222</v>
      </c>
      <c r="D377" s="60">
        <f>(57.9)*(10.764)</f>
        <v>623.23559999999998</v>
      </c>
      <c r="E377" s="56">
        <v>0</v>
      </c>
      <c r="F377" s="56">
        <f t="shared" si="52"/>
        <v>966.01517999999999</v>
      </c>
      <c r="G377" s="108"/>
      <c r="H377" s="109"/>
      <c r="I377" s="36"/>
      <c r="L377" s="113"/>
      <c r="M377" s="113"/>
      <c r="N377" s="36"/>
    </row>
    <row r="378" spans="1:14" s="55" customFormat="1" ht="15.75" customHeight="1" x14ac:dyDescent="0.35">
      <c r="A378" s="104">
        <f t="shared" si="53"/>
        <v>4</v>
      </c>
      <c r="B378" s="105"/>
      <c r="C378" s="56" t="s">
        <v>222</v>
      </c>
      <c r="D378" s="60">
        <f>(57.9)*(10.764)</f>
        <v>623.23559999999998</v>
      </c>
      <c r="E378" s="56">
        <v>0</v>
      </c>
      <c r="F378" s="56">
        <f t="shared" si="52"/>
        <v>966.01517999999999</v>
      </c>
      <c r="G378" s="108"/>
      <c r="H378" s="109"/>
      <c r="I378" s="36"/>
      <c r="L378" s="113"/>
      <c r="M378" s="113"/>
      <c r="N378" s="36"/>
    </row>
    <row r="379" spans="1:14" s="55" customFormat="1" x14ac:dyDescent="0.35">
      <c r="A379" s="104">
        <f t="shared" si="53"/>
        <v>5</v>
      </c>
      <c r="B379" s="105"/>
      <c r="C379" s="56" t="s">
        <v>222</v>
      </c>
      <c r="D379" s="60">
        <f>(60.02)*(10.764)</f>
        <v>646.05528000000004</v>
      </c>
      <c r="E379" s="56">
        <v>0</v>
      </c>
      <c r="F379" s="56">
        <f t="shared" si="52"/>
        <v>1001.3856840000001</v>
      </c>
      <c r="G379" s="108"/>
      <c r="H379" s="109"/>
      <c r="I379" s="36"/>
      <c r="L379" s="113"/>
      <c r="M379" s="113"/>
      <c r="N379" s="36"/>
    </row>
    <row r="380" spans="1:14" s="55" customFormat="1" x14ac:dyDescent="0.35">
      <c r="A380" s="104">
        <f t="shared" si="53"/>
        <v>6</v>
      </c>
      <c r="B380" s="105"/>
      <c r="C380" s="56" t="s">
        <v>222</v>
      </c>
      <c r="D380" s="60">
        <f>(60.02)*(10.764)</f>
        <v>646.05528000000004</v>
      </c>
      <c r="E380" s="56">
        <v>0</v>
      </c>
      <c r="F380" s="56">
        <f t="shared" si="52"/>
        <v>1001.3856840000001</v>
      </c>
      <c r="G380" s="108"/>
      <c r="H380" s="109"/>
      <c r="I380" s="36"/>
      <c r="L380" s="113"/>
      <c r="M380" s="113"/>
      <c r="N380" s="36"/>
    </row>
    <row r="381" spans="1:14" s="55" customFormat="1" x14ac:dyDescent="0.35">
      <c r="A381" s="104">
        <f t="shared" si="53"/>
        <v>7</v>
      </c>
      <c r="B381" s="105"/>
      <c r="C381" s="56" t="s">
        <v>223</v>
      </c>
      <c r="D381" s="60">
        <f>(102.24)*(10.764)</f>
        <v>1100.51136</v>
      </c>
      <c r="E381" s="56">
        <v>0</v>
      </c>
      <c r="F381" s="56">
        <f t="shared" si="52"/>
        <v>1705.792608</v>
      </c>
      <c r="G381" s="108"/>
      <c r="H381" s="109"/>
      <c r="I381" s="36"/>
      <c r="L381" s="113"/>
      <c r="M381" s="113"/>
      <c r="N381" s="36"/>
    </row>
    <row r="382" spans="1:14" s="55" customFormat="1" x14ac:dyDescent="0.35">
      <c r="A382" s="104">
        <f t="shared" si="53"/>
        <v>8</v>
      </c>
      <c r="B382" s="105"/>
      <c r="C382" s="56" t="s">
        <v>223</v>
      </c>
      <c r="D382" s="60">
        <f>(102.24)*(10.764)</f>
        <v>1100.51136</v>
      </c>
      <c r="E382" s="56">
        <v>0</v>
      </c>
      <c r="F382" s="56">
        <f t="shared" si="52"/>
        <v>1705.792608</v>
      </c>
      <c r="G382" s="110"/>
      <c r="H382" s="111"/>
      <c r="I382" s="36"/>
      <c r="L382" s="113"/>
      <c r="M382" s="113"/>
      <c r="N382" s="36"/>
    </row>
    <row r="383" spans="1:14" s="55" customFormat="1" x14ac:dyDescent="0.35">
      <c r="A383" s="92" t="s">
        <v>229</v>
      </c>
      <c r="B383" s="93"/>
      <c r="C383" s="93"/>
      <c r="D383" s="93"/>
      <c r="E383" s="93"/>
      <c r="F383" s="93"/>
      <c r="G383" s="93"/>
      <c r="H383" s="94"/>
      <c r="J383" s="36"/>
    </row>
    <row r="384" spans="1:14" s="55" customFormat="1" ht="15.75" customHeight="1" x14ac:dyDescent="0.35">
      <c r="A384" s="104">
        <v>1</v>
      </c>
      <c r="B384" s="105"/>
      <c r="C384" s="56" t="s">
        <v>222</v>
      </c>
      <c r="D384" s="60">
        <f>(65.15)*(10.764)</f>
        <v>701.27459999999996</v>
      </c>
      <c r="E384" s="56">
        <v>0</v>
      </c>
      <c r="F384" s="56">
        <f>D384*(($F$244)+1)+(IF(E384&lt;101,E384,IF(E384&lt;201,E384/2,IF(E384&lt;=301,E384/3,E384/4))))</f>
        <v>1086.9756299999999</v>
      </c>
      <c r="G384" s="106" t="str">
        <f>A383</f>
        <v>25th Floor (Part Refuge Area)</v>
      </c>
      <c r="H384" s="107"/>
      <c r="I384" s="36"/>
      <c r="L384" s="113"/>
      <c r="M384" s="113"/>
      <c r="N384" s="36"/>
    </row>
    <row r="385" spans="1:14" s="55" customFormat="1" ht="15.75" customHeight="1" x14ac:dyDescent="0.35">
      <c r="A385" s="104">
        <f t="shared" ref="A385:A391" si="54">A384+1</f>
        <v>2</v>
      </c>
      <c r="B385" s="105"/>
      <c r="C385" s="56" t="s">
        <v>222</v>
      </c>
      <c r="D385" s="60">
        <f>(65.15)*(10.764)</f>
        <v>701.27459999999996</v>
      </c>
      <c r="E385" s="56">
        <v>0</v>
      </c>
      <c r="F385" s="56">
        <f>D385*(($F$244)+1)+(IF(E385&lt;101,E385,IF(E385&lt;201,E385/2,IF(E385&lt;=301,E385/3,E385/4))))</f>
        <v>1086.9756299999999</v>
      </c>
      <c r="G385" s="108"/>
      <c r="H385" s="109"/>
      <c r="I385" s="36"/>
      <c r="L385" s="113"/>
      <c r="M385" s="113"/>
      <c r="N385" s="36"/>
    </row>
    <row r="386" spans="1:14" s="55" customFormat="1" ht="15.75" customHeight="1" x14ac:dyDescent="0.35">
      <c r="A386" s="104">
        <f t="shared" si="54"/>
        <v>3</v>
      </c>
      <c r="B386" s="105"/>
      <c r="C386" s="56" t="s">
        <v>222</v>
      </c>
      <c r="D386" s="60">
        <f>(58.01)*(10.764)</f>
        <v>624.41963999999996</v>
      </c>
      <c r="E386" s="56">
        <v>0</v>
      </c>
      <c r="F386" s="56">
        <f>D386*(($F$244)+1)+(IF(E386&lt;101,E386,IF(E386&lt;201,E386/2,IF(E386&lt;=301,E386/3,E386/4))))</f>
        <v>967.85044199999993</v>
      </c>
      <c r="G386" s="108"/>
      <c r="H386" s="109"/>
      <c r="I386" s="36"/>
      <c r="L386" s="113"/>
      <c r="M386" s="113"/>
      <c r="N386" s="36"/>
    </row>
    <row r="387" spans="1:14" s="55" customFormat="1" ht="15.75" customHeight="1" x14ac:dyDescent="0.35">
      <c r="A387" s="104">
        <f t="shared" si="54"/>
        <v>4</v>
      </c>
      <c r="B387" s="105"/>
      <c r="C387" s="56" t="s">
        <v>222</v>
      </c>
      <c r="D387" s="60">
        <f>(58.01)*(10.764)</f>
        <v>624.41963999999996</v>
      </c>
      <c r="E387" s="56">
        <v>0</v>
      </c>
      <c r="F387" s="56">
        <f>D387*(($F$244)+1)+(IF(E387&lt;101,E387,IF(E387&lt;201,E387/2,IF(E387&lt;=301,E387/3,E387/4))))</f>
        <v>967.85044199999993</v>
      </c>
      <c r="G387" s="108"/>
      <c r="H387" s="109"/>
      <c r="I387" s="36"/>
      <c r="L387" s="113"/>
      <c r="M387" s="113"/>
      <c r="N387" s="36"/>
    </row>
    <row r="388" spans="1:14" s="55" customFormat="1" x14ac:dyDescent="0.35">
      <c r="A388" s="104">
        <f t="shared" si="54"/>
        <v>5</v>
      </c>
      <c r="B388" s="105"/>
      <c r="C388" s="56" t="s">
        <v>222</v>
      </c>
      <c r="D388" s="60">
        <f>(60.02)*(10.764)</f>
        <v>646.05528000000004</v>
      </c>
      <c r="E388" s="56">
        <v>0</v>
      </c>
      <c r="F388" s="56">
        <f>D388*(($F$244)+1)+(IF(E388&lt;101,E388,IF(E388&lt;201,E388/2,IF(E388&lt;=301,E388/3,E388/4))))</f>
        <v>1001.3856840000001</v>
      </c>
      <c r="G388" s="108"/>
      <c r="H388" s="109"/>
      <c r="I388" s="36"/>
      <c r="L388" s="113"/>
      <c r="M388" s="113"/>
      <c r="N388" s="36"/>
    </row>
    <row r="389" spans="1:14" s="55" customFormat="1" x14ac:dyDescent="0.35">
      <c r="A389" s="104">
        <f t="shared" si="54"/>
        <v>6</v>
      </c>
      <c r="B389" s="105"/>
      <c r="C389" s="104" t="s">
        <v>215</v>
      </c>
      <c r="D389" s="112"/>
      <c r="E389" s="112"/>
      <c r="F389" s="105"/>
      <c r="G389" s="108"/>
      <c r="H389" s="109"/>
      <c r="I389" s="36"/>
      <c r="L389" s="113"/>
      <c r="M389" s="113"/>
      <c r="N389" s="36"/>
    </row>
    <row r="390" spans="1:14" s="55" customFormat="1" x14ac:dyDescent="0.35">
      <c r="A390" s="104">
        <f t="shared" si="54"/>
        <v>7</v>
      </c>
      <c r="B390" s="105"/>
      <c r="C390" s="104" t="s">
        <v>215</v>
      </c>
      <c r="D390" s="112"/>
      <c r="E390" s="112">
        <v>0</v>
      </c>
      <c r="F390" s="105">
        <f>D390*(($F$244)+1)+(IF(E390&lt;101,E390,IF(E390&lt;201,E390/2,IF(E390&lt;=301,E390/3,E390/4))))</f>
        <v>0</v>
      </c>
      <c r="G390" s="108"/>
      <c r="H390" s="109"/>
      <c r="I390" s="36"/>
      <c r="L390" s="113"/>
      <c r="M390" s="113"/>
      <c r="N390" s="36"/>
    </row>
    <row r="391" spans="1:14" s="55" customFormat="1" x14ac:dyDescent="0.35">
      <c r="A391" s="104">
        <f t="shared" si="54"/>
        <v>8</v>
      </c>
      <c r="B391" s="105"/>
      <c r="C391" s="56" t="s">
        <v>223</v>
      </c>
      <c r="D391" s="60">
        <f>(102.24)*(10.764)</f>
        <v>1100.51136</v>
      </c>
      <c r="E391" s="56">
        <v>0</v>
      </c>
      <c r="F391" s="56">
        <f>D391*(($F$244)+1)+(IF(E391&lt;101,E391,IF(E391&lt;201,E391/2,IF(E391&lt;=301,E391/3,E391/4))))</f>
        <v>1705.792608</v>
      </c>
      <c r="G391" s="110"/>
      <c r="H391" s="111"/>
      <c r="I391" s="36"/>
      <c r="L391" s="113"/>
      <c r="M391" s="113"/>
      <c r="N391" s="36"/>
    </row>
    <row r="392" spans="1:14" s="55" customFormat="1" x14ac:dyDescent="0.35">
      <c r="A392" s="92" t="s">
        <v>230</v>
      </c>
      <c r="B392" s="93"/>
      <c r="C392" s="93"/>
      <c r="D392" s="93"/>
      <c r="E392" s="93"/>
      <c r="F392" s="93"/>
      <c r="G392" s="93"/>
      <c r="H392" s="94"/>
      <c r="J392" s="36"/>
    </row>
    <row r="393" spans="1:14" s="55" customFormat="1" ht="15.75" customHeight="1" x14ac:dyDescent="0.35">
      <c r="A393" s="104">
        <v>1</v>
      </c>
      <c r="B393" s="105"/>
      <c r="C393" s="56" t="s">
        <v>222</v>
      </c>
      <c r="D393" s="60">
        <f>(65.15)*(10.764)</f>
        <v>701.27459999999996</v>
      </c>
      <c r="E393" s="56">
        <v>0</v>
      </c>
      <c r="F393" s="56">
        <f t="shared" ref="F393:F400" si="55">D393*(($F$244)+1)+(IF(E393&lt;101,E393,IF(E393&lt;201,E393/2,IF(E393&lt;=301,E393/3,E393/4))))</f>
        <v>1086.9756299999999</v>
      </c>
      <c r="G393" s="106" t="str">
        <f>A392</f>
        <v>26th to 30th Floor</v>
      </c>
      <c r="H393" s="107"/>
      <c r="I393" s="36"/>
      <c r="L393" s="113"/>
      <c r="M393" s="113"/>
      <c r="N393" s="36"/>
    </row>
    <row r="394" spans="1:14" s="55" customFormat="1" ht="15.75" customHeight="1" x14ac:dyDescent="0.35">
      <c r="A394" s="104">
        <f t="shared" ref="A394:A400" si="56">A393+1</f>
        <v>2</v>
      </c>
      <c r="B394" s="105"/>
      <c r="C394" s="56" t="s">
        <v>222</v>
      </c>
      <c r="D394" s="60">
        <f>(65.15)*(10.764)</f>
        <v>701.27459999999996</v>
      </c>
      <c r="E394" s="56">
        <v>0</v>
      </c>
      <c r="F394" s="56">
        <f t="shared" si="55"/>
        <v>1086.9756299999999</v>
      </c>
      <c r="G394" s="108"/>
      <c r="H394" s="109"/>
      <c r="I394" s="36"/>
      <c r="L394" s="113"/>
      <c r="M394" s="113"/>
      <c r="N394" s="36"/>
    </row>
    <row r="395" spans="1:14" s="55" customFormat="1" ht="15.75" customHeight="1" x14ac:dyDescent="0.35">
      <c r="A395" s="104">
        <f t="shared" si="56"/>
        <v>3</v>
      </c>
      <c r="B395" s="105"/>
      <c r="C395" s="56" t="s">
        <v>222</v>
      </c>
      <c r="D395" s="60">
        <f>(58.01)*(10.764)</f>
        <v>624.41963999999996</v>
      </c>
      <c r="E395" s="56">
        <v>0</v>
      </c>
      <c r="F395" s="56">
        <f t="shared" si="55"/>
        <v>967.85044199999993</v>
      </c>
      <c r="G395" s="108"/>
      <c r="H395" s="109"/>
      <c r="I395" s="36"/>
      <c r="L395" s="113"/>
      <c r="M395" s="113"/>
      <c r="N395" s="36"/>
    </row>
    <row r="396" spans="1:14" s="55" customFormat="1" ht="15.75" customHeight="1" x14ac:dyDescent="0.35">
      <c r="A396" s="104">
        <f t="shared" si="56"/>
        <v>4</v>
      </c>
      <c r="B396" s="105"/>
      <c r="C396" s="56" t="s">
        <v>222</v>
      </c>
      <c r="D396" s="60">
        <f>(58.01)*(10.764)</f>
        <v>624.41963999999996</v>
      </c>
      <c r="E396" s="56">
        <v>0</v>
      </c>
      <c r="F396" s="56">
        <f t="shared" si="55"/>
        <v>967.85044199999993</v>
      </c>
      <c r="G396" s="108"/>
      <c r="H396" s="109"/>
      <c r="I396" s="36"/>
      <c r="L396" s="113"/>
      <c r="M396" s="113"/>
      <c r="N396" s="36"/>
    </row>
    <row r="397" spans="1:14" s="55" customFormat="1" x14ac:dyDescent="0.35">
      <c r="A397" s="104">
        <f t="shared" si="56"/>
        <v>5</v>
      </c>
      <c r="B397" s="105"/>
      <c r="C397" s="56" t="s">
        <v>222</v>
      </c>
      <c r="D397" s="60">
        <f>(60.02)*(10.764)</f>
        <v>646.05528000000004</v>
      </c>
      <c r="E397" s="56">
        <v>0</v>
      </c>
      <c r="F397" s="56">
        <f t="shared" si="55"/>
        <v>1001.3856840000001</v>
      </c>
      <c r="G397" s="108"/>
      <c r="H397" s="109"/>
      <c r="I397" s="36"/>
      <c r="L397" s="113"/>
      <c r="M397" s="113"/>
      <c r="N397" s="36"/>
    </row>
    <row r="398" spans="1:14" s="55" customFormat="1" x14ac:dyDescent="0.35">
      <c r="A398" s="104">
        <f t="shared" si="56"/>
        <v>6</v>
      </c>
      <c r="B398" s="105"/>
      <c r="C398" s="56" t="s">
        <v>222</v>
      </c>
      <c r="D398" s="60">
        <f>(60.02)*(10.764)</f>
        <v>646.05528000000004</v>
      </c>
      <c r="E398" s="56">
        <v>0</v>
      </c>
      <c r="F398" s="56">
        <f t="shared" si="55"/>
        <v>1001.3856840000001</v>
      </c>
      <c r="G398" s="108"/>
      <c r="H398" s="109"/>
      <c r="I398" s="36"/>
      <c r="L398" s="113"/>
      <c r="M398" s="113"/>
      <c r="N398" s="36"/>
    </row>
    <row r="399" spans="1:14" s="55" customFormat="1" x14ac:dyDescent="0.35">
      <c r="A399" s="104">
        <f t="shared" si="56"/>
        <v>7</v>
      </c>
      <c r="B399" s="105"/>
      <c r="C399" s="56" t="s">
        <v>223</v>
      </c>
      <c r="D399" s="60">
        <f>(102.24)*(10.764)</f>
        <v>1100.51136</v>
      </c>
      <c r="E399" s="56">
        <v>0</v>
      </c>
      <c r="F399" s="56">
        <f t="shared" si="55"/>
        <v>1705.792608</v>
      </c>
      <c r="G399" s="108"/>
      <c r="H399" s="109"/>
      <c r="I399" s="36"/>
      <c r="L399" s="113"/>
      <c r="M399" s="113"/>
      <c r="N399" s="36"/>
    </row>
    <row r="400" spans="1:14" s="55" customFormat="1" x14ac:dyDescent="0.35">
      <c r="A400" s="104">
        <f t="shared" si="56"/>
        <v>8</v>
      </c>
      <c r="B400" s="105"/>
      <c r="C400" s="56" t="s">
        <v>223</v>
      </c>
      <c r="D400" s="60">
        <f>(102.24)*(10.764)</f>
        <v>1100.51136</v>
      </c>
      <c r="E400" s="56">
        <v>0</v>
      </c>
      <c r="F400" s="56">
        <f t="shared" si="55"/>
        <v>1705.792608</v>
      </c>
      <c r="G400" s="110"/>
      <c r="H400" s="111"/>
      <c r="I400" s="36"/>
      <c r="L400" s="113"/>
      <c r="M400" s="113"/>
      <c r="N400" s="36"/>
    </row>
    <row r="401" spans="1:14" s="55" customFormat="1" ht="15.75" customHeight="1" x14ac:dyDescent="0.35">
      <c r="A401" s="95" t="s">
        <v>251</v>
      </c>
      <c r="B401" s="96"/>
      <c r="C401" s="96"/>
      <c r="D401" s="96"/>
      <c r="E401" s="96"/>
      <c r="F401" s="96"/>
      <c r="G401" s="96"/>
      <c r="H401" s="97"/>
      <c r="J401" s="36"/>
    </row>
    <row r="402" spans="1:14" s="55" customFormat="1" x14ac:dyDescent="0.35">
      <c r="A402" s="92" t="s">
        <v>231</v>
      </c>
      <c r="B402" s="93"/>
      <c r="C402" s="93"/>
      <c r="D402" s="93"/>
      <c r="E402" s="93"/>
      <c r="F402" s="93"/>
      <c r="G402" s="93"/>
      <c r="H402" s="94"/>
      <c r="J402" s="36"/>
    </row>
    <row r="403" spans="1:14" s="55" customFormat="1" ht="15.75" customHeight="1" x14ac:dyDescent="0.35">
      <c r="A403" s="104">
        <v>1</v>
      </c>
      <c r="B403" s="105"/>
      <c r="C403" s="56" t="s">
        <v>222</v>
      </c>
      <c r="D403" s="60">
        <f>(65.15)*(10.764)</f>
        <v>701.27459999999996</v>
      </c>
      <c r="E403" s="56">
        <v>0</v>
      </c>
      <c r="F403" s="56">
        <f t="shared" ref="F403:F410" si="57">D403*(($F$244)+1)+(IF(E403&lt;101,E403,IF(E403&lt;201,E403/2,IF(E403&lt;=301,E403/3,E403/4))))</f>
        <v>1086.9756299999999</v>
      </c>
      <c r="G403" s="106" t="str">
        <f>A402</f>
        <v>31st, 33rd to 38th, 40th to 45th &amp; 47th to 52nd Floor</v>
      </c>
      <c r="H403" s="107"/>
      <c r="I403" s="36"/>
      <c r="L403" s="113"/>
      <c r="M403" s="113"/>
      <c r="N403" s="36"/>
    </row>
    <row r="404" spans="1:14" s="55" customFormat="1" ht="15.75" customHeight="1" x14ac:dyDescent="0.35">
      <c r="A404" s="104">
        <f t="shared" ref="A404:A410" si="58">A403+1</f>
        <v>2</v>
      </c>
      <c r="B404" s="105"/>
      <c r="C404" s="56" t="s">
        <v>222</v>
      </c>
      <c r="D404" s="60">
        <f>(65.15)*(10.764)</f>
        <v>701.27459999999996</v>
      </c>
      <c r="E404" s="56">
        <v>0</v>
      </c>
      <c r="F404" s="56">
        <f t="shared" si="57"/>
        <v>1086.9756299999999</v>
      </c>
      <c r="G404" s="108"/>
      <c r="H404" s="109"/>
      <c r="I404" s="36"/>
      <c r="L404" s="113"/>
      <c r="M404" s="113"/>
      <c r="N404" s="36"/>
    </row>
    <row r="405" spans="1:14" s="55" customFormat="1" ht="15.75" customHeight="1" x14ac:dyDescent="0.35">
      <c r="A405" s="104">
        <f t="shared" si="58"/>
        <v>3</v>
      </c>
      <c r="B405" s="105"/>
      <c r="C405" s="56" t="s">
        <v>222</v>
      </c>
      <c r="D405" s="60">
        <f>(58.01)*(10.764)</f>
        <v>624.41963999999996</v>
      </c>
      <c r="E405" s="56">
        <v>0</v>
      </c>
      <c r="F405" s="56">
        <f t="shared" si="57"/>
        <v>967.85044199999993</v>
      </c>
      <c r="G405" s="108"/>
      <c r="H405" s="109"/>
      <c r="I405" s="36"/>
      <c r="L405" s="113"/>
      <c r="M405" s="113"/>
      <c r="N405" s="36"/>
    </row>
    <row r="406" spans="1:14" s="55" customFormat="1" ht="15.75" customHeight="1" x14ac:dyDescent="0.35">
      <c r="A406" s="104">
        <f t="shared" si="58"/>
        <v>4</v>
      </c>
      <c r="B406" s="105"/>
      <c r="C406" s="56" t="s">
        <v>222</v>
      </c>
      <c r="D406" s="60">
        <f>(58.01)*(10.764)</f>
        <v>624.41963999999996</v>
      </c>
      <c r="E406" s="56">
        <v>0</v>
      </c>
      <c r="F406" s="56">
        <f t="shared" si="57"/>
        <v>967.85044199999993</v>
      </c>
      <c r="G406" s="108"/>
      <c r="H406" s="109"/>
      <c r="I406" s="36"/>
      <c r="L406" s="113"/>
      <c r="M406" s="113"/>
      <c r="N406" s="36"/>
    </row>
    <row r="407" spans="1:14" s="55" customFormat="1" x14ac:dyDescent="0.35">
      <c r="A407" s="104">
        <f t="shared" si="58"/>
        <v>5</v>
      </c>
      <c r="B407" s="105"/>
      <c r="C407" s="56" t="s">
        <v>222</v>
      </c>
      <c r="D407" s="60">
        <f>(60.15)*(10.764)</f>
        <v>647.45459999999991</v>
      </c>
      <c r="E407" s="56">
        <v>0</v>
      </c>
      <c r="F407" s="56">
        <f t="shared" si="57"/>
        <v>1003.5546299999999</v>
      </c>
      <c r="G407" s="108"/>
      <c r="H407" s="109"/>
      <c r="I407" s="36"/>
      <c r="L407" s="113"/>
      <c r="M407" s="113"/>
      <c r="N407" s="36"/>
    </row>
    <row r="408" spans="1:14" s="55" customFormat="1" x14ac:dyDescent="0.35">
      <c r="A408" s="104">
        <f t="shared" si="58"/>
        <v>6</v>
      </c>
      <c r="B408" s="105"/>
      <c r="C408" s="56" t="s">
        <v>222</v>
      </c>
      <c r="D408" s="60">
        <f>(60.15)*(10.764)</f>
        <v>647.45459999999991</v>
      </c>
      <c r="E408" s="56">
        <v>0</v>
      </c>
      <c r="F408" s="56">
        <f t="shared" si="57"/>
        <v>1003.5546299999999</v>
      </c>
      <c r="G408" s="108"/>
      <c r="H408" s="109"/>
      <c r="I408" s="36"/>
      <c r="L408" s="113"/>
      <c r="M408" s="113"/>
      <c r="N408" s="36"/>
    </row>
    <row r="409" spans="1:14" s="55" customFormat="1" x14ac:dyDescent="0.35">
      <c r="A409" s="104">
        <f t="shared" si="58"/>
        <v>7</v>
      </c>
      <c r="B409" s="105"/>
      <c r="C409" s="56" t="s">
        <v>223</v>
      </c>
      <c r="D409" s="60">
        <f>(102.24)*(10.764)</f>
        <v>1100.51136</v>
      </c>
      <c r="E409" s="56">
        <v>0</v>
      </c>
      <c r="F409" s="56">
        <f t="shared" si="57"/>
        <v>1705.792608</v>
      </c>
      <c r="G409" s="108"/>
      <c r="H409" s="109"/>
      <c r="I409" s="36"/>
      <c r="L409" s="113"/>
      <c r="M409" s="113"/>
      <c r="N409" s="36"/>
    </row>
    <row r="410" spans="1:14" s="55" customFormat="1" x14ac:dyDescent="0.35">
      <c r="A410" s="104">
        <f t="shared" si="58"/>
        <v>8</v>
      </c>
      <c r="B410" s="105"/>
      <c r="C410" s="56" t="s">
        <v>223</v>
      </c>
      <c r="D410" s="60">
        <f>(102.24)*(10.764)</f>
        <v>1100.51136</v>
      </c>
      <c r="E410" s="56">
        <v>0</v>
      </c>
      <c r="F410" s="56">
        <f t="shared" si="57"/>
        <v>1705.792608</v>
      </c>
      <c r="G410" s="110"/>
      <c r="H410" s="111"/>
      <c r="I410" s="36"/>
      <c r="L410" s="113"/>
      <c r="M410" s="113"/>
      <c r="N410" s="36"/>
    </row>
    <row r="411" spans="1:14" s="55" customFormat="1" x14ac:dyDescent="0.35">
      <c r="A411" s="92" t="s">
        <v>233</v>
      </c>
      <c r="B411" s="93"/>
      <c r="C411" s="93"/>
      <c r="D411" s="93"/>
      <c r="E411" s="93"/>
      <c r="F411" s="93"/>
      <c r="G411" s="93"/>
      <c r="H411" s="94"/>
      <c r="J411" s="36"/>
    </row>
    <row r="412" spans="1:14" s="55" customFormat="1" ht="15.75" customHeight="1" x14ac:dyDescent="0.35">
      <c r="A412" s="104">
        <v>1</v>
      </c>
      <c r="B412" s="105"/>
      <c r="C412" s="56" t="s">
        <v>222</v>
      </c>
      <c r="D412" s="60">
        <f>(65.15)*(10.764)</f>
        <v>701.27459999999996</v>
      </c>
      <c r="E412" s="56">
        <v>0</v>
      </c>
      <c r="F412" s="56">
        <f>D412*(($F$244)+1)+(IF(E412&lt;101,E412,IF(E412&lt;201,E412/2,IF(E412&lt;=301,E412/3,E412/4))))</f>
        <v>1086.9756299999999</v>
      </c>
      <c r="G412" s="106" t="str">
        <f>A411</f>
        <v>32nd, 39th &amp; 46th Floor (Part Refuge Area)</v>
      </c>
      <c r="H412" s="107"/>
      <c r="I412" s="36"/>
      <c r="L412" s="113"/>
      <c r="M412" s="113"/>
      <c r="N412" s="36"/>
    </row>
    <row r="413" spans="1:14" s="55" customFormat="1" ht="15.75" customHeight="1" x14ac:dyDescent="0.35">
      <c r="A413" s="104">
        <f t="shared" ref="A413:A419" si="59">A412+1</f>
        <v>2</v>
      </c>
      <c r="B413" s="105"/>
      <c r="C413" s="56" t="s">
        <v>222</v>
      </c>
      <c r="D413" s="60">
        <f>(65.15)*(10.764)</f>
        <v>701.27459999999996</v>
      </c>
      <c r="E413" s="56">
        <v>0</v>
      </c>
      <c r="F413" s="56">
        <f>D413*(($F$244)+1)+(IF(E413&lt;101,E413,IF(E413&lt;201,E413/2,IF(E413&lt;=301,E413/3,E413/4))))</f>
        <v>1086.9756299999999</v>
      </c>
      <c r="G413" s="108"/>
      <c r="H413" s="109"/>
      <c r="I413" s="36"/>
      <c r="L413" s="113"/>
      <c r="M413" s="113"/>
      <c r="N413" s="36"/>
    </row>
    <row r="414" spans="1:14" s="55" customFormat="1" ht="15.75" customHeight="1" x14ac:dyDescent="0.35">
      <c r="A414" s="104">
        <f t="shared" si="59"/>
        <v>3</v>
      </c>
      <c r="B414" s="105"/>
      <c r="C414" s="56" t="s">
        <v>222</v>
      </c>
      <c r="D414" s="60">
        <f>(58.01)*(10.764)</f>
        <v>624.41963999999996</v>
      </c>
      <c r="E414" s="56">
        <v>0</v>
      </c>
      <c r="F414" s="56">
        <f>D414*(($F$244)+1)+(IF(E414&lt;101,E414,IF(E414&lt;201,E414/2,IF(E414&lt;=301,E414/3,E414/4))))</f>
        <v>967.85044199999993</v>
      </c>
      <c r="G414" s="108"/>
      <c r="H414" s="109"/>
      <c r="I414" s="36"/>
      <c r="L414" s="113"/>
      <c r="M414" s="113"/>
      <c r="N414" s="36"/>
    </row>
    <row r="415" spans="1:14" s="55" customFormat="1" ht="15.75" customHeight="1" x14ac:dyDescent="0.35">
      <c r="A415" s="104">
        <f t="shared" si="59"/>
        <v>4</v>
      </c>
      <c r="B415" s="105"/>
      <c r="C415" s="56" t="s">
        <v>222</v>
      </c>
      <c r="D415" s="60">
        <f>(58.01)*(10.764)</f>
        <v>624.41963999999996</v>
      </c>
      <c r="E415" s="56">
        <v>0</v>
      </c>
      <c r="F415" s="56">
        <f>D415*(($F$244)+1)+(IF(E415&lt;101,E415,IF(E415&lt;201,E415/2,IF(E415&lt;=301,E415/3,E415/4))))</f>
        <v>967.85044199999993</v>
      </c>
      <c r="G415" s="108"/>
      <c r="H415" s="109"/>
      <c r="I415" s="36"/>
      <c r="L415" s="113"/>
      <c r="M415" s="113"/>
      <c r="N415" s="36"/>
    </row>
    <row r="416" spans="1:14" s="55" customFormat="1" x14ac:dyDescent="0.35">
      <c r="A416" s="104">
        <f t="shared" si="59"/>
        <v>5</v>
      </c>
      <c r="B416" s="105"/>
      <c r="C416" s="56" t="s">
        <v>222</v>
      </c>
      <c r="D416" s="60">
        <f>(60.15)*(10.764)</f>
        <v>647.45459999999991</v>
      </c>
      <c r="E416" s="56">
        <v>0</v>
      </c>
      <c r="F416" s="56">
        <f>D416*(($F$244)+1)+(IF(E416&lt;101,E416,IF(E416&lt;201,E416/2,IF(E416&lt;=301,E416/3,E416/4))))</f>
        <v>1003.5546299999999</v>
      </c>
      <c r="G416" s="108"/>
      <c r="H416" s="109"/>
      <c r="I416" s="36"/>
      <c r="L416" s="113"/>
      <c r="M416" s="113"/>
      <c r="N416" s="36"/>
    </row>
    <row r="417" spans="1:14" s="55" customFormat="1" x14ac:dyDescent="0.35">
      <c r="A417" s="104">
        <f t="shared" si="59"/>
        <v>6</v>
      </c>
      <c r="B417" s="105"/>
      <c r="C417" s="104" t="s">
        <v>215</v>
      </c>
      <c r="D417" s="112"/>
      <c r="E417" s="112"/>
      <c r="F417" s="105"/>
      <c r="G417" s="108"/>
      <c r="H417" s="109"/>
      <c r="I417" s="36"/>
      <c r="L417" s="113"/>
      <c r="M417" s="113"/>
      <c r="N417" s="36"/>
    </row>
    <row r="418" spans="1:14" s="55" customFormat="1" x14ac:dyDescent="0.35">
      <c r="A418" s="104">
        <f t="shared" si="59"/>
        <v>7</v>
      </c>
      <c r="B418" s="105"/>
      <c r="C418" s="104" t="s">
        <v>215</v>
      </c>
      <c r="D418" s="112"/>
      <c r="E418" s="112">
        <v>0</v>
      </c>
      <c r="F418" s="105">
        <f>D418*(($F$244)+1)+(IF(E418&lt;101,E418,IF(E418&lt;201,E418/2,IF(E418&lt;=301,E418/3,E418/4))))</f>
        <v>0</v>
      </c>
      <c r="G418" s="108"/>
      <c r="H418" s="109"/>
      <c r="I418" s="36"/>
      <c r="L418" s="113"/>
      <c r="M418" s="113"/>
      <c r="N418" s="36"/>
    </row>
    <row r="419" spans="1:14" s="55" customFormat="1" x14ac:dyDescent="0.35">
      <c r="A419" s="104">
        <f t="shared" si="59"/>
        <v>8</v>
      </c>
      <c r="B419" s="105"/>
      <c r="C419" s="56" t="s">
        <v>223</v>
      </c>
      <c r="D419" s="60">
        <f>(102.24)*(10.764)</f>
        <v>1100.51136</v>
      </c>
      <c r="E419" s="56">
        <v>0</v>
      </c>
      <c r="F419" s="56">
        <f>D419*(($F$244)+1)+(IF(E419&lt;101,E419,IF(E419&lt;201,E419/2,IF(E419&lt;=301,E419/3,E419/4))))</f>
        <v>1705.792608</v>
      </c>
      <c r="G419" s="110"/>
      <c r="H419" s="111"/>
      <c r="I419" s="36"/>
      <c r="L419" s="113"/>
      <c r="M419" s="113"/>
      <c r="N419" s="36"/>
    </row>
    <row r="420" spans="1:14" s="55" customFormat="1" x14ac:dyDescent="0.35">
      <c r="A420" s="95" t="s">
        <v>235</v>
      </c>
      <c r="B420" s="96"/>
      <c r="C420" s="96"/>
      <c r="D420" s="96"/>
      <c r="E420" s="96"/>
      <c r="F420" s="96"/>
      <c r="G420" s="96"/>
      <c r="H420" s="97"/>
      <c r="J420" s="36"/>
    </row>
    <row r="421" spans="1:14" s="55" customFormat="1" ht="15.75" customHeight="1" x14ac:dyDescent="0.35">
      <c r="A421" s="104">
        <v>1</v>
      </c>
      <c r="B421" s="105"/>
      <c r="C421" s="56" t="s">
        <v>222</v>
      </c>
      <c r="D421" s="61">
        <f>(65.15)*(10.764)</f>
        <v>701.27459999999996</v>
      </c>
      <c r="E421" s="56">
        <v>0</v>
      </c>
      <c r="F421" s="56">
        <f t="shared" ref="F421:F426" si="60">D421*(($F$244)+1)+(IF(E421&lt;101,E421,IF(E421&lt;201,E421/2,IF(E421&lt;=301,E421/3,E421/4))))</f>
        <v>1086.9756299999999</v>
      </c>
      <c r="G421" s="106" t="str">
        <f>A420</f>
        <v>53rd Floor (Part Refuge Area)</v>
      </c>
      <c r="H421" s="107"/>
      <c r="I421" s="36"/>
      <c r="L421" s="113"/>
      <c r="M421" s="113"/>
      <c r="N421" s="36"/>
    </row>
    <row r="422" spans="1:14" s="55" customFormat="1" ht="15.75" customHeight="1" x14ac:dyDescent="0.35">
      <c r="A422" s="104">
        <f t="shared" ref="A422:A428" si="61">A421+1</f>
        <v>2</v>
      </c>
      <c r="B422" s="105"/>
      <c r="C422" s="56" t="s">
        <v>222</v>
      </c>
      <c r="D422" s="61">
        <f>(65.15)*(10.764)</f>
        <v>701.27459999999996</v>
      </c>
      <c r="E422" s="56">
        <v>0</v>
      </c>
      <c r="F422" s="56">
        <f t="shared" si="60"/>
        <v>1086.9756299999999</v>
      </c>
      <c r="G422" s="108"/>
      <c r="H422" s="109"/>
      <c r="I422" s="36"/>
      <c r="L422" s="113"/>
      <c r="M422" s="113"/>
      <c r="N422" s="36"/>
    </row>
    <row r="423" spans="1:14" s="55" customFormat="1" ht="15.75" customHeight="1" x14ac:dyDescent="0.35">
      <c r="A423" s="104">
        <f t="shared" si="61"/>
        <v>3</v>
      </c>
      <c r="B423" s="105"/>
      <c r="C423" s="56" t="s">
        <v>222</v>
      </c>
      <c r="D423" s="61">
        <f>(58.01)*(10.764)</f>
        <v>624.41963999999996</v>
      </c>
      <c r="E423" s="56">
        <v>0</v>
      </c>
      <c r="F423" s="56">
        <f t="shared" si="60"/>
        <v>967.85044199999993</v>
      </c>
      <c r="G423" s="108"/>
      <c r="H423" s="109"/>
      <c r="I423" s="36"/>
      <c r="L423" s="113"/>
      <c r="M423" s="113"/>
      <c r="N423" s="36"/>
    </row>
    <row r="424" spans="1:14" s="55" customFormat="1" ht="15.75" customHeight="1" x14ac:dyDescent="0.35">
      <c r="A424" s="104">
        <f t="shared" si="61"/>
        <v>4</v>
      </c>
      <c r="B424" s="105"/>
      <c r="C424" s="56" t="s">
        <v>222</v>
      </c>
      <c r="D424" s="61">
        <f>(58.01)*(10.764)</f>
        <v>624.41963999999996</v>
      </c>
      <c r="E424" s="56">
        <v>0</v>
      </c>
      <c r="F424" s="56">
        <f t="shared" si="60"/>
        <v>967.85044199999993</v>
      </c>
      <c r="G424" s="108"/>
      <c r="H424" s="109"/>
      <c r="I424" s="36"/>
      <c r="L424" s="113"/>
      <c r="M424" s="113"/>
      <c r="N424" s="36"/>
    </row>
    <row r="425" spans="1:14" s="55" customFormat="1" x14ac:dyDescent="0.35">
      <c r="A425" s="104">
        <f t="shared" si="61"/>
        <v>5</v>
      </c>
      <c r="B425" s="105"/>
      <c r="C425" s="56" t="s">
        <v>222</v>
      </c>
      <c r="D425" s="61">
        <f>(60.15)*(10.764)</f>
        <v>647.45459999999991</v>
      </c>
      <c r="E425" s="56">
        <v>0</v>
      </c>
      <c r="F425" s="56">
        <f t="shared" si="60"/>
        <v>1003.5546299999999</v>
      </c>
      <c r="G425" s="108"/>
      <c r="H425" s="109"/>
      <c r="I425" s="36"/>
      <c r="L425" s="113"/>
      <c r="M425" s="113"/>
      <c r="N425" s="36"/>
    </row>
    <row r="426" spans="1:14" s="55" customFormat="1" x14ac:dyDescent="0.35">
      <c r="A426" s="104">
        <f t="shared" si="61"/>
        <v>6</v>
      </c>
      <c r="B426" s="105"/>
      <c r="C426" s="56" t="s">
        <v>222</v>
      </c>
      <c r="D426" s="61">
        <f>(60.15)*(10.764)</f>
        <v>647.45459999999991</v>
      </c>
      <c r="E426" s="56">
        <v>0</v>
      </c>
      <c r="F426" s="56">
        <f t="shared" si="60"/>
        <v>1003.5546299999999</v>
      </c>
      <c r="G426" s="108"/>
      <c r="H426" s="109"/>
      <c r="I426" s="36"/>
      <c r="L426" s="113"/>
      <c r="M426" s="113"/>
      <c r="N426" s="36"/>
    </row>
    <row r="427" spans="1:14" s="55" customFormat="1" x14ac:dyDescent="0.35">
      <c r="A427" s="104">
        <f t="shared" si="61"/>
        <v>7</v>
      </c>
      <c r="B427" s="105"/>
      <c r="C427" s="104" t="s">
        <v>215</v>
      </c>
      <c r="D427" s="112"/>
      <c r="E427" s="112">
        <v>0</v>
      </c>
      <c r="F427" s="105">
        <f t="shared" ref="F427:F428" si="62">D427*(($F$244)+1)+(IF(E427&lt;101,E427,IF(E427&lt;201,E427/2,IF(E427&lt;=301,E427/3,E427/4))))</f>
        <v>0</v>
      </c>
      <c r="G427" s="108"/>
      <c r="H427" s="109"/>
      <c r="I427" s="36"/>
      <c r="L427" s="113"/>
      <c r="M427" s="113"/>
      <c r="N427" s="36"/>
    </row>
    <row r="428" spans="1:14" s="55" customFormat="1" x14ac:dyDescent="0.35">
      <c r="A428" s="104">
        <f t="shared" si="61"/>
        <v>8</v>
      </c>
      <c r="B428" s="105"/>
      <c r="C428" s="56" t="s">
        <v>223</v>
      </c>
      <c r="D428" s="61">
        <f>(102.24)*(10.764)</f>
        <v>1100.51136</v>
      </c>
      <c r="E428" s="56">
        <v>0</v>
      </c>
      <c r="F428" s="56">
        <f t="shared" si="62"/>
        <v>1705.792608</v>
      </c>
      <c r="G428" s="110"/>
      <c r="H428" s="111"/>
      <c r="I428" s="36"/>
      <c r="L428" s="113"/>
      <c r="M428" s="113"/>
      <c r="N428" s="36"/>
    </row>
    <row r="429" spans="1:14" s="35" customFormat="1" x14ac:dyDescent="0.35">
      <c r="A429" s="201" t="s">
        <v>68</v>
      </c>
      <c r="B429" s="201"/>
      <c r="C429" s="201"/>
      <c r="D429" s="201"/>
      <c r="E429" s="201"/>
      <c r="F429" s="201"/>
      <c r="G429" s="201"/>
      <c r="H429" s="201"/>
    </row>
    <row r="430" spans="1:14" s="35" customFormat="1" x14ac:dyDescent="0.35">
      <c r="A430" s="45" t="s">
        <v>152</v>
      </c>
      <c r="B430" s="173" t="s">
        <v>254</v>
      </c>
      <c r="C430" s="173"/>
      <c r="D430" s="173"/>
      <c r="E430" s="173"/>
      <c r="F430" s="173"/>
      <c r="G430" s="173"/>
      <c r="H430" s="173"/>
    </row>
    <row r="431" spans="1:14" s="35" customFormat="1" x14ac:dyDescent="0.35">
      <c r="A431" s="45" t="s">
        <v>152</v>
      </c>
      <c r="B431" s="173" t="str">
        <f>(IF(F243="Saleable area Loading :","We have considered Saleable area of Flats as per our Calculation.","We considered Saleable area of Flat as per Builder area Sheet."))</f>
        <v>We have considered Saleable area of Flats as per our Calculation.</v>
      </c>
      <c r="C431" s="173"/>
      <c r="D431" s="173"/>
      <c r="E431" s="173"/>
      <c r="F431" s="173"/>
      <c r="G431" s="173"/>
      <c r="H431" s="173"/>
    </row>
    <row r="432" spans="1:14" s="35" customFormat="1" x14ac:dyDescent="0.35">
      <c r="A432" s="45" t="s">
        <v>152</v>
      </c>
      <c r="B432" s="173" t="str">
        <f>(IF(F126="Saleable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432" s="173"/>
      <c r="D432" s="173"/>
      <c r="E432" s="173"/>
      <c r="F432" s="173"/>
      <c r="G432" s="173"/>
      <c r="H432" s="173"/>
    </row>
    <row r="433" spans="1:12" s="35" customFormat="1" x14ac:dyDescent="0.35">
      <c r="A433" s="45" t="s">
        <v>152</v>
      </c>
      <c r="B433" s="69" t="s">
        <v>124</v>
      </c>
      <c r="C433" s="69"/>
      <c r="D433" s="69"/>
      <c r="E433" s="69"/>
      <c r="F433" s="69"/>
      <c r="G433" s="69"/>
      <c r="H433" s="69"/>
    </row>
    <row r="434" spans="1:12" s="35" customFormat="1" x14ac:dyDescent="0.35">
      <c r="A434" s="45" t="s">
        <v>152</v>
      </c>
      <c r="B434" s="69" t="s">
        <v>234</v>
      </c>
      <c r="C434" s="69"/>
      <c r="D434" s="69"/>
      <c r="E434" s="69"/>
      <c r="F434" s="69"/>
      <c r="G434" s="69"/>
      <c r="H434" s="69"/>
      <c r="I434" s="62"/>
      <c r="J434" s="62"/>
      <c r="K434" s="62"/>
      <c r="L434" s="62"/>
    </row>
    <row r="435" spans="1:12" s="35" customFormat="1" x14ac:dyDescent="0.35">
      <c r="A435" s="45" t="s">
        <v>152</v>
      </c>
      <c r="B435" s="69" t="s">
        <v>125</v>
      </c>
      <c r="C435" s="69"/>
      <c r="D435" s="69"/>
      <c r="E435" s="69"/>
      <c r="F435" s="69"/>
      <c r="G435" s="69"/>
      <c r="H435" s="69"/>
      <c r="I435" s="62"/>
      <c r="J435" s="62"/>
      <c r="K435" s="62"/>
      <c r="L435" s="62"/>
    </row>
    <row r="436" spans="1:12" s="35" customFormat="1" ht="34.5" customHeight="1" x14ac:dyDescent="0.35">
      <c r="A436" s="45" t="s">
        <v>152</v>
      </c>
      <c r="B436" s="69" t="s">
        <v>153</v>
      </c>
      <c r="C436" s="69"/>
      <c r="D436" s="69"/>
      <c r="E436" s="69"/>
      <c r="F436" s="69"/>
      <c r="G436" s="69"/>
      <c r="H436" s="69"/>
      <c r="I436" s="200"/>
      <c r="J436" s="200"/>
      <c r="K436" s="200"/>
      <c r="L436" s="200"/>
    </row>
    <row r="437" spans="1:12" s="35" customFormat="1" x14ac:dyDescent="0.35">
      <c r="A437" s="45" t="s">
        <v>152</v>
      </c>
      <c r="B437" s="69" t="s">
        <v>126</v>
      </c>
      <c r="C437" s="69"/>
      <c r="D437" s="69"/>
      <c r="E437" s="69"/>
      <c r="F437" s="69"/>
      <c r="G437" s="69"/>
      <c r="H437" s="69"/>
      <c r="I437" s="62"/>
      <c r="J437" s="62"/>
      <c r="K437" s="62"/>
      <c r="L437" s="62"/>
    </row>
    <row r="438" spans="1:12" s="35" customFormat="1" ht="80.25" customHeight="1" x14ac:dyDescent="0.35">
      <c r="A438" s="57" t="s">
        <v>152</v>
      </c>
      <c r="B438" s="69" t="s">
        <v>252</v>
      </c>
      <c r="C438" s="69"/>
      <c r="D438" s="69"/>
      <c r="E438" s="69"/>
      <c r="F438" s="69"/>
      <c r="G438" s="69"/>
      <c r="H438" s="69"/>
      <c r="I438" s="62"/>
      <c r="J438" s="62"/>
      <c r="K438" s="62"/>
      <c r="L438" s="62"/>
    </row>
    <row r="439" spans="1:12" s="35" customFormat="1" ht="33.75" customHeight="1" x14ac:dyDescent="0.35">
      <c r="A439" s="57" t="s">
        <v>152</v>
      </c>
      <c r="B439" s="69" t="s">
        <v>259</v>
      </c>
      <c r="C439" s="69"/>
      <c r="D439" s="69"/>
      <c r="E439" s="69"/>
      <c r="F439" s="69"/>
      <c r="G439" s="69"/>
      <c r="H439" s="69"/>
      <c r="I439" s="62"/>
      <c r="J439" s="62"/>
      <c r="K439" s="62"/>
      <c r="L439" s="62"/>
    </row>
    <row r="440" spans="1:12" s="35" customFormat="1" x14ac:dyDescent="0.35">
      <c r="A440" s="57" t="s">
        <v>152</v>
      </c>
      <c r="B440" s="69" t="s">
        <v>262</v>
      </c>
      <c r="C440" s="69"/>
      <c r="D440" s="69"/>
      <c r="E440" s="69"/>
      <c r="F440" s="69"/>
      <c r="G440" s="69"/>
      <c r="H440" s="69"/>
      <c r="I440" s="62"/>
      <c r="J440" s="62"/>
      <c r="K440" s="62"/>
      <c r="L440" s="62"/>
    </row>
    <row r="441" spans="1:12" s="35" customFormat="1" ht="33.75" hidden="1" customHeight="1" x14ac:dyDescent="0.35">
      <c r="A441" s="57" t="s">
        <v>152</v>
      </c>
      <c r="B441" s="69" t="s">
        <v>260</v>
      </c>
      <c r="C441" s="69"/>
      <c r="D441" s="69"/>
      <c r="E441" s="69"/>
      <c r="F441" s="69"/>
      <c r="G441" s="69"/>
      <c r="H441" s="69"/>
      <c r="I441" s="62"/>
      <c r="J441" s="62"/>
      <c r="K441" s="62"/>
      <c r="L441" s="62"/>
    </row>
    <row r="442" spans="1:12" s="35" customFormat="1" x14ac:dyDescent="0.35">
      <c r="A442" s="57" t="s">
        <v>152</v>
      </c>
      <c r="B442" s="69" t="s">
        <v>265</v>
      </c>
      <c r="C442" s="69"/>
      <c r="D442" s="69"/>
      <c r="E442" s="69"/>
      <c r="F442" s="69"/>
      <c r="G442" s="69"/>
      <c r="H442" s="69"/>
      <c r="I442" s="62"/>
      <c r="J442" s="62"/>
      <c r="K442" s="62"/>
      <c r="L442" s="62"/>
    </row>
    <row r="443" spans="1:12" x14ac:dyDescent="0.35">
      <c r="A443" s="186" t="s">
        <v>61</v>
      </c>
      <c r="B443" s="186"/>
      <c r="C443" s="186"/>
      <c r="D443" s="186"/>
      <c r="E443" s="186"/>
      <c r="F443" s="186"/>
      <c r="G443" s="186"/>
      <c r="H443" s="186"/>
    </row>
    <row r="444" spans="1:12" x14ac:dyDescent="0.35">
      <c r="A444" s="120" t="s">
        <v>62</v>
      </c>
      <c r="B444" s="120"/>
      <c r="C444" s="120"/>
      <c r="D444" s="120"/>
      <c r="E444" s="120"/>
      <c r="F444" s="120"/>
      <c r="G444" s="120"/>
      <c r="H444" s="120"/>
    </row>
    <row r="445" spans="1:12" ht="15.75" customHeight="1" x14ac:dyDescent="0.35">
      <c r="A445" s="195" t="s">
        <v>63</v>
      </c>
      <c r="B445" s="195"/>
      <c r="C445" s="195"/>
      <c r="D445" s="195"/>
      <c r="E445" s="195"/>
      <c r="F445" s="195"/>
      <c r="G445" s="195"/>
      <c r="H445" s="195"/>
    </row>
    <row r="446" spans="1:12" x14ac:dyDescent="0.35">
      <c r="A446" s="120" t="s">
        <v>64</v>
      </c>
      <c r="B446" s="120"/>
      <c r="C446" s="120"/>
      <c r="D446" s="120"/>
      <c r="E446" s="120"/>
      <c r="F446" s="120"/>
      <c r="G446" s="120"/>
      <c r="H446" s="120"/>
    </row>
    <row r="447" spans="1:12" x14ac:dyDescent="0.35">
      <c r="A447" s="120" t="s">
        <v>65</v>
      </c>
      <c r="B447" s="120"/>
      <c r="C447" s="120"/>
      <c r="D447" s="120"/>
      <c r="E447" s="120"/>
      <c r="F447" s="120"/>
      <c r="G447" s="120"/>
      <c r="H447" s="120"/>
    </row>
    <row r="448" spans="1:12" x14ac:dyDescent="0.35">
      <c r="A448" s="120" t="s">
        <v>127</v>
      </c>
      <c r="B448" s="120"/>
      <c r="C448" s="120"/>
      <c r="D448" s="120"/>
      <c r="E448" s="120"/>
      <c r="F448" s="120"/>
      <c r="G448" s="120"/>
      <c r="H448" s="120"/>
    </row>
    <row r="449" spans="1:8" x14ac:dyDescent="0.35">
      <c r="A449" s="147" t="s">
        <v>128</v>
      </c>
      <c r="B449" s="147"/>
      <c r="C449" s="147"/>
      <c r="D449" s="147"/>
      <c r="E449" s="147"/>
      <c r="F449" s="147"/>
      <c r="G449" s="147"/>
      <c r="H449" s="147"/>
    </row>
    <row r="450" spans="1:8" x14ac:dyDescent="0.35">
      <c r="A450" s="184" t="s">
        <v>76</v>
      </c>
      <c r="B450" s="184"/>
      <c r="C450" s="185" t="s">
        <v>256</v>
      </c>
      <c r="D450" s="185"/>
      <c r="E450" s="184" t="s">
        <v>106</v>
      </c>
      <c r="F450" s="184"/>
      <c r="G450" s="184" t="s">
        <v>266</v>
      </c>
      <c r="H450" s="184"/>
    </row>
    <row r="451" spans="1:8" x14ac:dyDescent="0.35">
      <c r="A451" s="183" t="s">
        <v>78</v>
      </c>
      <c r="B451" s="183"/>
      <c r="C451" s="183"/>
      <c r="D451" s="183"/>
      <c r="E451" s="183"/>
      <c r="F451" s="183"/>
      <c r="G451" s="183"/>
      <c r="H451" s="183"/>
    </row>
    <row r="452" spans="1:8" x14ac:dyDescent="0.35">
      <c r="A452" s="183"/>
      <c r="B452" s="183"/>
      <c r="C452" s="183"/>
      <c r="D452" s="183"/>
      <c r="E452" s="183"/>
      <c r="F452" s="183"/>
      <c r="G452" s="183"/>
      <c r="H452" s="183"/>
    </row>
    <row r="453" spans="1:8" x14ac:dyDescent="0.35">
      <c r="A453" s="183"/>
      <c r="B453" s="183"/>
      <c r="C453" s="183"/>
      <c r="D453" s="183"/>
      <c r="E453" s="183"/>
      <c r="F453" s="183"/>
      <c r="G453" s="183"/>
      <c r="H453" s="183"/>
    </row>
    <row r="454" spans="1:8" x14ac:dyDescent="0.35">
      <c r="A454" s="183"/>
      <c r="B454" s="183"/>
      <c r="C454" s="183"/>
      <c r="D454" s="183"/>
      <c r="E454" s="183"/>
      <c r="F454" s="183"/>
      <c r="G454" s="183"/>
      <c r="H454" s="183"/>
    </row>
    <row r="455" spans="1:8" x14ac:dyDescent="0.35">
      <c r="A455" s="38" t="s">
        <v>66</v>
      </c>
      <c r="B455" s="39"/>
      <c r="C455" s="39"/>
      <c r="D455" s="38" t="str">
        <f>E8</f>
        <v>Northern Supremus &amp; Northern Hills</v>
      </c>
      <c r="F455" s="39"/>
      <c r="G455" s="39"/>
      <c r="H455" s="39"/>
    </row>
    <row r="456" spans="1:8" x14ac:dyDescent="0.35">
      <c r="A456" s="39"/>
      <c r="B456" s="39"/>
      <c r="C456" s="39"/>
      <c r="D456" s="39"/>
      <c r="E456" s="39"/>
      <c r="F456" s="39"/>
      <c r="G456" s="39"/>
      <c r="H456" s="39"/>
    </row>
    <row r="457" spans="1:8" x14ac:dyDescent="0.35">
      <c r="A457" s="39"/>
      <c r="B457" s="39"/>
      <c r="C457" s="39"/>
      <c r="D457" s="39"/>
      <c r="E457" s="39"/>
      <c r="F457" s="39"/>
      <c r="G457" s="39"/>
      <c r="H457" s="39"/>
    </row>
    <row r="458" spans="1:8" ht="15" customHeight="1" x14ac:dyDescent="0.35"/>
    <row r="499" spans="1:1" x14ac:dyDescent="0.35">
      <c r="A499" s="41" t="s">
        <v>165</v>
      </c>
    </row>
    <row r="540" spans="1:1" x14ac:dyDescent="0.35">
      <c r="A540" s="41" t="s">
        <v>67</v>
      </c>
    </row>
  </sheetData>
  <mergeCells count="893">
    <mergeCell ref="B442:H442"/>
    <mergeCell ref="I436:L436"/>
    <mergeCell ref="L355:M355"/>
    <mergeCell ref="C353:F353"/>
    <mergeCell ref="C354:F354"/>
    <mergeCell ref="A264:H264"/>
    <mergeCell ref="A265:B265"/>
    <mergeCell ref="G265:H272"/>
    <mergeCell ref="L265:M265"/>
    <mergeCell ref="A266:B266"/>
    <mergeCell ref="L266:M266"/>
    <mergeCell ref="A267:B267"/>
    <mergeCell ref="L267:M267"/>
    <mergeCell ref="A268:B268"/>
    <mergeCell ref="L268:M268"/>
    <mergeCell ref="A269:B269"/>
    <mergeCell ref="L269:M269"/>
    <mergeCell ref="A270:B270"/>
    <mergeCell ref="L270:M270"/>
    <mergeCell ref="A271:B271"/>
    <mergeCell ref="L271:M271"/>
    <mergeCell ref="A272:B272"/>
    <mergeCell ref="L272:M272"/>
    <mergeCell ref="B434:H434"/>
    <mergeCell ref="A429:H429"/>
    <mergeCell ref="L261:M261"/>
    <mergeCell ref="A262:B262"/>
    <mergeCell ref="L262:M262"/>
    <mergeCell ref="A263:B263"/>
    <mergeCell ref="L263:M263"/>
    <mergeCell ref="C259:F259"/>
    <mergeCell ref="C260:F260"/>
    <mergeCell ref="A347:H347"/>
    <mergeCell ref="A348:B348"/>
    <mergeCell ref="G348:H355"/>
    <mergeCell ref="L348:M348"/>
    <mergeCell ref="A349:B349"/>
    <mergeCell ref="L349:M349"/>
    <mergeCell ref="A350:B350"/>
    <mergeCell ref="L350:M350"/>
    <mergeCell ref="A351:B351"/>
    <mergeCell ref="L351:M351"/>
    <mergeCell ref="A352:B352"/>
    <mergeCell ref="L352:M352"/>
    <mergeCell ref="A353:B353"/>
    <mergeCell ref="L353:M353"/>
    <mergeCell ref="A354:B354"/>
    <mergeCell ref="L354:M354"/>
    <mergeCell ref="A355:B355"/>
    <mergeCell ref="L256:M256"/>
    <mergeCell ref="A257:B257"/>
    <mergeCell ref="L257:M257"/>
    <mergeCell ref="A258:B258"/>
    <mergeCell ref="L258:M258"/>
    <mergeCell ref="A259:B259"/>
    <mergeCell ref="L259:M259"/>
    <mergeCell ref="A260:B260"/>
    <mergeCell ref="L260:M260"/>
    <mergeCell ref="E43:H43"/>
    <mergeCell ref="A43:D43"/>
    <mergeCell ref="A448:H448"/>
    <mergeCell ref="A445:H445"/>
    <mergeCell ref="A119:B119"/>
    <mergeCell ref="D243:D244"/>
    <mergeCell ref="E243:E244"/>
    <mergeCell ref="G243:H244"/>
    <mergeCell ref="A76:B76"/>
    <mergeCell ref="F96:H96"/>
    <mergeCell ref="G111:H111"/>
    <mergeCell ref="A255:H255"/>
    <mergeCell ref="A256:B256"/>
    <mergeCell ref="G256:H263"/>
    <mergeCell ref="A261:B261"/>
    <mergeCell ref="C53:H53"/>
    <mergeCell ref="B438:H438"/>
    <mergeCell ref="A54:B54"/>
    <mergeCell ref="C54:E54"/>
    <mergeCell ref="A51:B51"/>
    <mergeCell ref="A55:H55"/>
    <mergeCell ref="A56:C56"/>
    <mergeCell ref="A57:C57"/>
    <mergeCell ref="D57:H57"/>
    <mergeCell ref="G54:H54"/>
    <mergeCell ref="A123:B123"/>
    <mergeCell ref="C123:D123"/>
    <mergeCell ref="E123:F123"/>
    <mergeCell ref="G123:H123"/>
    <mergeCell ref="B431:H431"/>
    <mergeCell ref="A421:B421"/>
    <mergeCell ref="F103:H103"/>
    <mergeCell ref="C110:D110"/>
    <mergeCell ref="F106:H106"/>
    <mergeCell ref="F104:H104"/>
    <mergeCell ref="A318:B318"/>
    <mergeCell ref="A125:H125"/>
    <mergeCell ref="G110:H110"/>
    <mergeCell ref="A105:E105"/>
    <mergeCell ref="C111:D111"/>
    <mergeCell ref="E111:F111"/>
    <mergeCell ref="B126:B127"/>
    <mergeCell ref="A126:A127"/>
    <mergeCell ref="C243:C244"/>
    <mergeCell ref="C122:D122"/>
    <mergeCell ref="A246:H246"/>
    <mergeCell ref="A320:B320"/>
    <mergeCell ref="A317:B317"/>
    <mergeCell ref="F105:H105"/>
    <mergeCell ref="E110:F110"/>
    <mergeCell ref="A110:B110"/>
    <mergeCell ref="A451:H454"/>
    <mergeCell ref="A450:B450"/>
    <mergeCell ref="E450:F450"/>
    <mergeCell ref="C450:D450"/>
    <mergeCell ref="G450:H450"/>
    <mergeCell ref="A109:H109"/>
    <mergeCell ref="A107:E107"/>
    <mergeCell ref="F107:H107"/>
    <mergeCell ref="A108:E108"/>
    <mergeCell ref="F108:H108"/>
    <mergeCell ref="A446:H446"/>
    <mergeCell ref="A118:H118"/>
    <mergeCell ref="A449:H449"/>
    <mergeCell ref="A447:H447"/>
    <mergeCell ref="A443:H443"/>
    <mergeCell ref="A444:H444"/>
    <mergeCell ref="E119:F119"/>
    <mergeCell ref="B437:H437"/>
    <mergeCell ref="B435:H435"/>
    <mergeCell ref="B432:H432"/>
    <mergeCell ref="B433:H433"/>
    <mergeCell ref="A124:H124"/>
    <mergeCell ref="B430:H430"/>
    <mergeCell ref="A1:H1"/>
    <mergeCell ref="A2:H2"/>
    <mergeCell ref="A3:D3"/>
    <mergeCell ref="E3:H3"/>
    <mergeCell ref="A4:D4"/>
    <mergeCell ref="A8:D8"/>
    <mergeCell ref="E8:H8"/>
    <mergeCell ref="A10:D10"/>
    <mergeCell ref="E10:H10"/>
    <mergeCell ref="E4:H4"/>
    <mergeCell ref="A9:D9"/>
    <mergeCell ref="E9:H9"/>
    <mergeCell ref="A5:D5"/>
    <mergeCell ref="E5:H5"/>
    <mergeCell ref="A6:D6"/>
    <mergeCell ref="E6:H6"/>
    <mergeCell ref="A7:D7"/>
    <mergeCell ref="E7:H7"/>
    <mergeCell ref="A17:B17"/>
    <mergeCell ref="A14:D14"/>
    <mergeCell ref="E14:H14"/>
    <mergeCell ref="A15:D15"/>
    <mergeCell ref="A11:D11"/>
    <mergeCell ref="E11:H11"/>
    <mergeCell ref="A23:D24"/>
    <mergeCell ref="E23:H24"/>
    <mergeCell ref="E15:H15"/>
    <mergeCell ref="A16:B16"/>
    <mergeCell ref="C16:H16"/>
    <mergeCell ref="C17:H17"/>
    <mergeCell ref="A18:B18"/>
    <mergeCell ref="C18:H18"/>
    <mergeCell ref="A13:D13"/>
    <mergeCell ref="E13:H13"/>
    <mergeCell ref="A12:D12"/>
    <mergeCell ref="E12:H12"/>
    <mergeCell ref="A25:D25"/>
    <mergeCell ref="E25:H25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A22:B22"/>
    <mergeCell ref="C22:D22"/>
    <mergeCell ref="E22:F22"/>
    <mergeCell ref="G22:H22"/>
    <mergeCell ref="E27:H27"/>
    <mergeCell ref="A29:D29"/>
    <mergeCell ref="E29:H29"/>
    <mergeCell ref="A26:D26"/>
    <mergeCell ref="E26:H26"/>
    <mergeCell ref="A30:D30"/>
    <mergeCell ref="E30:H30"/>
    <mergeCell ref="A27:D27"/>
    <mergeCell ref="A36:B36"/>
    <mergeCell ref="C36:E36"/>
    <mergeCell ref="A31:D31"/>
    <mergeCell ref="E31:H31"/>
    <mergeCell ref="A32:D32"/>
    <mergeCell ref="E32:H32"/>
    <mergeCell ref="A28:D28"/>
    <mergeCell ref="E28:H28"/>
    <mergeCell ref="C33:E33"/>
    <mergeCell ref="F36:H36"/>
    <mergeCell ref="F33:H33"/>
    <mergeCell ref="A34:B34"/>
    <mergeCell ref="A33:B33"/>
    <mergeCell ref="C34:E34"/>
    <mergeCell ref="A35:B35"/>
    <mergeCell ref="C35:E35"/>
    <mergeCell ref="F34:H34"/>
    <mergeCell ref="F35:H35"/>
    <mergeCell ref="A41:H41"/>
    <mergeCell ref="A60:C60"/>
    <mergeCell ref="A61:C61"/>
    <mergeCell ref="D60:H60"/>
    <mergeCell ref="E71:F80"/>
    <mergeCell ref="G71:H80"/>
    <mergeCell ref="A79:B79"/>
    <mergeCell ref="A80:B80"/>
    <mergeCell ref="D61:H61"/>
    <mergeCell ref="A44:D44"/>
    <mergeCell ref="E44:H44"/>
    <mergeCell ref="E45:H45"/>
    <mergeCell ref="E46:H46"/>
    <mergeCell ref="E47:H47"/>
    <mergeCell ref="A45:D45"/>
    <mergeCell ref="F37:H37"/>
    <mergeCell ref="A47:D47"/>
    <mergeCell ref="A48:H48"/>
    <mergeCell ref="D58:H58"/>
    <mergeCell ref="A58:C58"/>
    <mergeCell ref="G51:H51"/>
    <mergeCell ref="A52:B53"/>
    <mergeCell ref="A38:H38"/>
    <mergeCell ref="A37:B37"/>
    <mergeCell ref="C37:E37"/>
    <mergeCell ref="A42:D42"/>
    <mergeCell ref="E42:H42"/>
    <mergeCell ref="A77:B77"/>
    <mergeCell ref="A70:B70"/>
    <mergeCell ref="A73:B73"/>
    <mergeCell ref="A69:B69"/>
    <mergeCell ref="A67:B67"/>
    <mergeCell ref="C67:H67"/>
    <mergeCell ref="A75:B75"/>
    <mergeCell ref="A62:C62"/>
    <mergeCell ref="D62:H62"/>
    <mergeCell ref="C69:H69"/>
    <mergeCell ref="A72:B72"/>
    <mergeCell ref="A74:B74"/>
    <mergeCell ref="D65:H65"/>
    <mergeCell ref="A71:B71"/>
    <mergeCell ref="G70:H70"/>
    <mergeCell ref="A50:B50"/>
    <mergeCell ref="C50:E50"/>
    <mergeCell ref="A39:B39"/>
    <mergeCell ref="C39:H39"/>
    <mergeCell ref="A46:D46"/>
    <mergeCell ref="A78:B78"/>
    <mergeCell ref="C120:D120"/>
    <mergeCell ref="E120:F120"/>
    <mergeCell ref="G120:H120"/>
    <mergeCell ref="F102:H102"/>
    <mergeCell ref="A96:E96"/>
    <mergeCell ref="E70:F70"/>
    <mergeCell ref="A63:C63"/>
    <mergeCell ref="D63:H63"/>
    <mergeCell ref="A66:C66"/>
    <mergeCell ref="D66:H66"/>
    <mergeCell ref="A64:C64"/>
    <mergeCell ref="D64:H64"/>
    <mergeCell ref="A65:C65"/>
    <mergeCell ref="G50:H50"/>
    <mergeCell ref="G52:H52"/>
    <mergeCell ref="D56:H56"/>
    <mergeCell ref="C52:E52"/>
    <mergeCell ref="A59:C59"/>
    <mergeCell ref="D59:H59"/>
    <mergeCell ref="C51:E51"/>
    <mergeCell ref="F99:H99"/>
    <mergeCell ref="A100:E100"/>
    <mergeCell ref="L250:M250"/>
    <mergeCell ref="L247:M247"/>
    <mergeCell ref="A248:B248"/>
    <mergeCell ref="L248:M248"/>
    <mergeCell ref="A249:B249"/>
    <mergeCell ref="L249:M249"/>
    <mergeCell ref="A321:B321"/>
    <mergeCell ref="F95:H95"/>
    <mergeCell ref="F100:H100"/>
    <mergeCell ref="A242:H242"/>
    <mergeCell ref="A243:A244"/>
    <mergeCell ref="A106:E106"/>
    <mergeCell ref="G122:H122"/>
    <mergeCell ref="C112:D112"/>
    <mergeCell ref="E112:F112"/>
    <mergeCell ref="G112:H112"/>
    <mergeCell ref="A117:B117"/>
    <mergeCell ref="C117:D117"/>
    <mergeCell ref="E117:F117"/>
    <mergeCell ref="G117:H117"/>
    <mergeCell ref="C121:D121"/>
    <mergeCell ref="E121:F121"/>
    <mergeCell ref="G121:H121"/>
    <mergeCell ref="C119:D119"/>
    <mergeCell ref="B243:B244"/>
    <mergeCell ref="A420:H420"/>
    <mergeCell ref="A250:B250"/>
    <mergeCell ref="A247:B247"/>
    <mergeCell ref="A137:B137"/>
    <mergeCell ref="A422:B422"/>
    <mergeCell ref="A423:B423"/>
    <mergeCell ref="A133:H133"/>
    <mergeCell ref="A193:B193"/>
    <mergeCell ref="A198:B198"/>
    <mergeCell ref="A211:B211"/>
    <mergeCell ref="G192:H193"/>
    <mergeCell ref="A200:B200"/>
    <mergeCell ref="A220:B220"/>
    <mergeCell ref="A164:H164"/>
    <mergeCell ref="A165:B165"/>
    <mergeCell ref="G165:H169"/>
    <mergeCell ref="A170:H170"/>
    <mergeCell ref="A171:B171"/>
    <mergeCell ref="G171:H175"/>
    <mergeCell ref="A309:H309"/>
    <mergeCell ref="A245:H245"/>
    <mergeCell ref="A234:B234"/>
    <mergeCell ref="A252:B252"/>
    <mergeCell ref="G119:H119"/>
    <mergeCell ref="E126:E127"/>
    <mergeCell ref="G126:H127"/>
    <mergeCell ref="A122:B122"/>
    <mergeCell ref="E122:F122"/>
    <mergeCell ref="A40:B40"/>
    <mergeCell ref="C40:H40"/>
    <mergeCell ref="B436:H436"/>
    <mergeCell ref="A49:B49"/>
    <mergeCell ref="C49:H49"/>
    <mergeCell ref="F97:H97"/>
    <mergeCell ref="A97:E97"/>
    <mergeCell ref="D126:D127"/>
    <mergeCell ref="A99:E99"/>
    <mergeCell ref="A134:B134"/>
    <mergeCell ref="A135:B135"/>
    <mergeCell ref="A136:B136"/>
    <mergeCell ref="A188:B188"/>
    <mergeCell ref="A101:E101"/>
    <mergeCell ref="F101:H101"/>
    <mergeCell ref="A102:E102"/>
    <mergeCell ref="A104:E104"/>
    <mergeCell ref="F98:H98"/>
    <mergeCell ref="C126:C127"/>
    <mergeCell ref="A103:E103"/>
    <mergeCell ref="A98:E98"/>
    <mergeCell ref="A95:E95"/>
    <mergeCell ref="L188:M188"/>
    <mergeCell ref="A189:B189"/>
    <mergeCell ref="L189:M189"/>
    <mergeCell ref="A129:H129"/>
    <mergeCell ref="A128:H128"/>
    <mergeCell ref="A132:H132"/>
    <mergeCell ref="A131:H131"/>
    <mergeCell ref="A139:B139"/>
    <mergeCell ref="L139:M139"/>
    <mergeCell ref="A138:B138"/>
    <mergeCell ref="L138:M138"/>
    <mergeCell ref="G134:H139"/>
    <mergeCell ref="L137:M137"/>
    <mergeCell ref="L136:M136"/>
    <mergeCell ref="L135:M135"/>
    <mergeCell ref="L134:M134"/>
    <mergeCell ref="A179:H179"/>
    <mergeCell ref="A183:H183"/>
    <mergeCell ref="A184:B184"/>
    <mergeCell ref="L184:M184"/>
    <mergeCell ref="A185:B185"/>
    <mergeCell ref="L185:M185"/>
    <mergeCell ref="A186:B186"/>
    <mergeCell ref="L186:M186"/>
    <mergeCell ref="A187:B187"/>
    <mergeCell ref="L187:M187"/>
    <mergeCell ref="A140:H140"/>
    <mergeCell ref="A141:B141"/>
    <mergeCell ref="G141:H145"/>
    <mergeCell ref="L141:M141"/>
    <mergeCell ref="A142:B142"/>
    <mergeCell ref="L142:M142"/>
    <mergeCell ref="A143:B143"/>
    <mergeCell ref="L143:M143"/>
    <mergeCell ref="A144:B144"/>
    <mergeCell ref="L144:M144"/>
    <mergeCell ref="A145:B145"/>
    <mergeCell ref="L145:M145"/>
    <mergeCell ref="A146:H146"/>
    <mergeCell ref="A147:B147"/>
    <mergeCell ref="G147:H151"/>
    <mergeCell ref="L147:M147"/>
    <mergeCell ref="A148:B148"/>
    <mergeCell ref="L148:M148"/>
    <mergeCell ref="A149:B149"/>
    <mergeCell ref="L149:M149"/>
    <mergeCell ref="A150:B150"/>
    <mergeCell ref="L150:M150"/>
    <mergeCell ref="A151:B151"/>
    <mergeCell ref="L151:M151"/>
    <mergeCell ref="A199:B199"/>
    <mergeCell ref="L199:M199"/>
    <mergeCell ref="A152:H152"/>
    <mergeCell ref="A153:B153"/>
    <mergeCell ref="G153:H157"/>
    <mergeCell ref="L153:M153"/>
    <mergeCell ref="A154:B154"/>
    <mergeCell ref="L154:M154"/>
    <mergeCell ref="A155:B155"/>
    <mergeCell ref="L155:M155"/>
    <mergeCell ref="A156:B156"/>
    <mergeCell ref="L156:M156"/>
    <mergeCell ref="A157:B157"/>
    <mergeCell ref="L157:M157"/>
    <mergeCell ref="A190:B190"/>
    <mergeCell ref="L190:M190"/>
    <mergeCell ref="G184:H190"/>
    <mergeCell ref="A191:H191"/>
    <mergeCell ref="A192:B192"/>
    <mergeCell ref="L192:M192"/>
    <mergeCell ref="L193:M193"/>
    <mergeCell ref="C192:F192"/>
    <mergeCell ref="A194:H194"/>
    <mergeCell ref="A195:B195"/>
    <mergeCell ref="L195:M195"/>
    <mergeCell ref="A196:B196"/>
    <mergeCell ref="L196:M196"/>
    <mergeCell ref="A197:B197"/>
    <mergeCell ref="L197:M197"/>
    <mergeCell ref="L200:M200"/>
    <mergeCell ref="G195:H200"/>
    <mergeCell ref="A201:H201"/>
    <mergeCell ref="A202:B202"/>
    <mergeCell ref="G202:H207"/>
    <mergeCell ref="L202:M202"/>
    <mergeCell ref="A203:B203"/>
    <mergeCell ref="L203:M203"/>
    <mergeCell ref="A204:B204"/>
    <mergeCell ref="L204:M204"/>
    <mergeCell ref="A205:B205"/>
    <mergeCell ref="L205:M205"/>
    <mergeCell ref="A206:B206"/>
    <mergeCell ref="L206:M206"/>
    <mergeCell ref="A207:B207"/>
    <mergeCell ref="L220:M220"/>
    <mergeCell ref="A221:B221"/>
    <mergeCell ref="L221:M221"/>
    <mergeCell ref="C216:F219"/>
    <mergeCell ref="A158:H158"/>
    <mergeCell ref="A159:B159"/>
    <mergeCell ref="G159:H163"/>
    <mergeCell ref="L159:M159"/>
    <mergeCell ref="A160:B160"/>
    <mergeCell ref="L160:M160"/>
    <mergeCell ref="A161:B161"/>
    <mergeCell ref="L161:M161"/>
    <mergeCell ref="A162:B162"/>
    <mergeCell ref="L162:M162"/>
    <mergeCell ref="A163:B163"/>
    <mergeCell ref="L163:M163"/>
    <mergeCell ref="A208:H208"/>
    <mergeCell ref="A209:B209"/>
    <mergeCell ref="G209:H214"/>
    <mergeCell ref="L209:M209"/>
    <mergeCell ref="A210:B210"/>
    <mergeCell ref="L210:M210"/>
    <mergeCell ref="L198:M198"/>
    <mergeCell ref="A216:B216"/>
    <mergeCell ref="L216:M216"/>
    <mergeCell ref="A217:B217"/>
    <mergeCell ref="L217:M217"/>
    <mergeCell ref="A218:B218"/>
    <mergeCell ref="L218:M218"/>
    <mergeCell ref="A219:B219"/>
    <mergeCell ref="L219:M219"/>
    <mergeCell ref="L207:M207"/>
    <mergeCell ref="L211:M211"/>
    <mergeCell ref="A212:B212"/>
    <mergeCell ref="L212:M212"/>
    <mergeCell ref="A213:B213"/>
    <mergeCell ref="L213:M213"/>
    <mergeCell ref="A214:B214"/>
    <mergeCell ref="L214:M214"/>
    <mergeCell ref="L165:M165"/>
    <mergeCell ref="A166:B166"/>
    <mergeCell ref="L166:M166"/>
    <mergeCell ref="A167:B167"/>
    <mergeCell ref="L167:M167"/>
    <mergeCell ref="A168:B168"/>
    <mergeCell ref="L168:M168"/>
    <mergeCell ref="A169:B169"/>
    <mergeCell ref="L169:M169"/>
    <mergeCell ref="L171:M171"/>
    <mergeCell ref="A172:B172"/>
    <mergeCell ref="L172:M172"/>
    <mergeCell ref="A173:B173"/>
    <mergeCell ref="L173:M173"/>
    <mergeCell ref="A174:B174"/>
    <mergeCell ref="L174:M174"/>
    <mergeCell ref="A175:B175"/>
    <mergeCell ref="L175:M175"/>
    <mergeCell ref="A235:B235"/>
    <mergeCell ref="L235:M235"/>
    <mergeCell ref="A236:B236"/>
    <mergeCell ref="L236:M236"/>
    <mergeCell ref="A237:B237"/>
    <mergeCell ref="L237:M237"/>
    <mergeCell ref="A238:B238"/>
    <mergeCell ref="L238:M238"/>
    <mergeCell ref="G228:H238"/>
    <mergeCell ref="A228:B228"/>
    <mergeCell ref="L228:M228"/>
    <mergeCell ref="A229:B229"/>
    <mergeCell ref="L229:M229"/>
    <mergeCell ref="A230:B230"/>
    <mergeCell ref="L230:M230"/>
    <mergeCell ref="A231:B231"/>
    <mergeCell ref="L231:M231"/>
    <mergeCell ref="A232:B232"/>
    <mergeCell ref="L232:M232"/>
    <mergeCell ref="A233:B233"/>
    <mergeCell ref="L252:M252"/>
    <mergeCell ref="A253:B253"/>
    <mergeCell ref="L253:M253"/>
    <mergeCell ref="A239:H239"/>
    <mergeCell ref="A176:H176"/>
    <mergeCell ref="A177:H177"/>
    <mergeCell ref="A240:H240"/>
    <mergeCell ref="A178:H178"/>
    <mergeCell ref="A241:H241"/>
    <mergeCell ref="A227:H227"/>
    <mergeCell ref="L233:M233"/>
    <mergeCell ref="A222:B222"/>
    <mergeCell ref="L222:M222"/>
    <mergeCell ref="A223:B223"/>
    <mergeCell ref="L223:M223"/>
    <mergeCell ref="A224:B224"/>
    <mergeCell ref="L224:M224"/>
    <mergeCell ref="A225:B225"/>
    <mergeCell ref="L225:M225"/>
    <mergeCell ref="A226:B226"/>
    <mergeCell ref="L226:M226"/>
    <mergeCell ref="G216:H226"/>
    <mergeCell ref="A215:H215"/>
    <mergeCell ref="L234:M234"/>
    <mergeCell ref="A254:B254"/>
    <mergeCell ref="L254:M254"/>
    <mergeCell ref="G247:H254"/>
    <mergeCell ref="A337:H337"/>
    <mergeCell ref="A338:H338"/>
    <mergeCell ref="A339:B339"/>
    <mergeCell ref="G339:H346"/>
    <mergeCell ref="L339:M339"/>
    <mergeCell ref="A340:B340"/>
    <mergeCell ref="L340:M340"/>
    <mergeCell ref="A341:B341"/>
    <mergeCell ref="L341:M341"/>
    <mergeCell ref="A342:B342"/>
    <mergeCell ref="L342:M342"/>
    <mergeCell ref="A343:B343"/>
    <mergeCell ref="L343:M343"/>
    <mergeCell ref="A344:B344"/>
    <mergeCell ref="L344:M344"/>
    <mergeCell ref="A345:B345"/>
    <mergeCell ref="L345:M345"/>
    <mergeCell ref="A346:B346"/>
    <mergeCell ref="L346:M346"/>
    <mergeCell ref="A251:B251"/>
    <mergeCell ref="L251:M251"/>
    <mergeCell ref="A356:H356"/>
    <mergeCell ref="A357:B357"/>
    <mergeCell ref="G357:H364"/>
    <mergeCell ref="L357:M357"/>
    <mergeCell ref="A358:B358"/>
    <mergeCell ref="L358:M358"/>
    <mergeCell ref="A359:B359"/>
    <mergeCell ref="L359:M359"/>
    <mergeCell ref="A360:B360"/>
    <mergeCell ref="L360:M360"/>
    <mergeCell ref="A361:B361"/>
    <mergeCell ref="L361:M361"/>
    <mergeCell ref="A362:B362"/>
    <mergeCell ref="L362:M362"/>
    <mergeCell ref="A363:B363"/>
    <mergeCell ref="L363:M363"/>
    <mergeCell ref="A364:B364"/>
    <mergeCell ref="L364:M364"/>
    <mergeCell ref="A273:H273"/>
    <mergeCell ref="A274:B274"/>
    <mergeCell ref="G274:H281"/>
    <mergeCell ref="L274:M274"/>
    <mergeCell ref="A275:B275"/>
    <mergeCell ref="L275:M275"/>
    <mergeCell ref="A276:B276"/>
    <mergeCell ref="L276:M276"/>
    <mergeCell ref="A277:B277"/>
    <mergeCell ref="L277:M277"/>
    <mergeCell ref="A278:B278"/>
    <mergeCell ref="L278:M278"/>
    <mergeCell ref="A279:B279"/>
    <mergeCell ref="L279:M279"/>
    <mergeCell ref="A280:B280"/>
    <mergeCell ref="L280:M280"/>
    <mergeCell ref="A281:B281"/>
    <mergeCell ref="L281:M281"/>
    <mergeCell ref="C277:F277"/>
    <mergeCell ref="C278:F278"/>
    <mergeCell ref="A365:H365"/>
    <mergeCell ref="A366:B366"/>
    <mergeCell ref="G366:H373"/>
    <mergeCell ref="L366:M366"/>
    <mergeCell ref="A367:B367"/>
    <mergeCell ref="L367:M367"/>
    <mergeCell ref="A368:B368"/>
    <mergeCell ref="L368:M368"/>
    <mergeCell ref="A369:B369"/>
    <mergeCell ref="L369:M369"/>
    <mergeCell ref="A370:B370"/>
    <mergeCell ref="L370:M370"/>
    <mergeCell ref="A371:B371"/>
    <mergeCell ref="L371:M371"/>
    <mergeCell ref="A372:B372"/>
    <mergeCell ref="L372:M372"/>
    <mergeCell ref="A373:B373"/>
    <mergeCell ref="L373:M373"/>
    <mergeCell ref="C371:F371"/>
    <mergeCell ref="C372:F372"/>
    <mergeCell ref="A282:H282"/>
    <mergeCell ref="A283:B283"/>
    <mergeCell ref="G283:H290"/>
    <mergeCell ref="L283:M283"/>
    <mergeCell ref="A284:B284"/>
    <mergeCell ref="L284:M284"/>
    <mergeCell ref="A285:B285"/>
    <mergeCell ref="L285:M285"/>
    <mergeCell ref="A286:B286"/>
    <mergeCell ref="L286:M286"/>
    <mergeCell ref="A287:B287"/>
    <mergeCell ref="L287:M287"/>
    <mergeCell ref="A288:B288"/>
    <mergeCell ref="L288:M288"/>
    <mergeCell ref="A289:B289"/>
    <mergeCell ref="L289:M289"/>
    <mergeCell ref="A290:B290"/>
    <mergeCell ref="L290:M290"/>
    <mergeCell ref="A374:H374"/>
    <mergeCell ref="A375:B375"/>
    <mergeCell ref="G375:H382"/>
    <mergeCell ref="L375:M375"/>
    <mergeCell ref="A376:B376"/>
    <mergeCell ref="L376:M376"/>
    <mergeCell ref="A377:B377"/>
    <mergeCell ref="L377:M377"/>
    <mergeCell ref="A378:B378"/>
    <mergeCell ref="L378:M378"/>
    <mergeCell ref="A379:B379"/>
    <mergeCell ref="L379:M379"/>
    <mergeCell ref="A380:B380"/>
    <mergeCell ref="L380:M380"/>
    <mergeCell ref="A381:B381"/>
    <mergeCell ref="L381:M381"/>
    <mergeCell ref="A382:B382"/>
    <mergeCell ref="L382:M382"/>
    <mergeCell ref="A383:H383"/>
    <mergeCell ref="A384:B384"/>
    <mergeCell ref="G384:H391"/>
    <mergeCell ref="L384:M384"/>
    <mergeCell ref="A385:B385"/>
    <mergeCell ref="L385:M385"/>
    <mergeCell ref="A386:B386"/>
    <mergeCell ref="L386:M386"/>
    <mergeCell ref="A387:B387"/>
    <mergeCell ref="L387:M387"/>
    <mergeCell ref="A388:B388"/>
    <mergeCell ref="L388:M388"/>
    <mergeCell ref="A389:B389"/>
    <mergeCell ref="L389:M389"/>
    <mergeCell ref="A390:B390"/>
    <mergeCell ref="L390:M390"/>
    <mergeCell ref="A391:B391"/>
    <mergeCell ref="L391:M391"/>
    <mergeCell ref="C389:F389"/>
    <mergeCell ref="C390:F390"/>
    <mergeCell ref="A291:H291"/>
    <mergeCell ref="A292:B292"/>
    <mergeCell ref="G292:H299"/>
    <mergeCell ref="L292:M292"/>
    <mergeCell ref="A293:B293"/>
    <mergeCell ref="L293:M293"/>
    <mergeCell ref="A294:B294"/>
    <mergeCell ref="L294:M294"/>
    <mergeCell ref="A295:B295"/>
    <mergeCell ref="L295:M295"/>
    <mergeCell ref="A296:B296"/>
    <mergeCell ref="L296:M296"/>
    <mergeCell ref="A297:B297"/>
    <mergeCell ref="L297:M297"/>
    <mergeCell ref="A298:B298"/>
    <mergeCell ref="L298:M298"/>
    <mergeCell ref="A299:B299"/>
    <mergeCell ref="L299:M299"/>
    <mergeCell ref="C295:F295"/>
    <mergeCell ref="C296:F296"/>
    <mergeCell ref="A300:H300"/>
    <mergeCell ref="A301:B301"/>
    <mergeCell ref="G301:H308"/>
    <mergeCell ref="L301:M301"/>
    <mergeCell ref="A302:B302"/>
    <mergeCell ref="L302:M302"/>
    <mergeCell ref="A303:B303"/>
    <mergeCell ref="L303:M303"/>
    <mergeCell ref="A304:B304"/>
    <mergeCell ref="L304:M304"/>
    <mergeCell ref="A305:B305"/>
    <mergeCell ref="L305:M305"/>
    <mergeCell ref="A306:B306"/>
    <mergeCell ref="L306:M306"/>
    <mergeCell ref="A307:B307"/>
    <mergeCell ref="L307:M307"/>
    <mergeCell ref="A308:B308"/>
    <mergeCell ref="L308:M308"/>
    <mergeCell ref="A392:H392"/>
    <mergeCell ref="A393:B393"/>
    <mergeCell ref="G393:H400"/>
    <mergeCell ref="L393:M393"/>
    <mergeCell ref="A394:B394"/>
    <mergeCell ref="L394:M394"/>
    <mergeCell ref="A395:B395"/>
    <mergeCell ref="L395:M395"/>
    <mergeCell ref="A396:B396"/>
    <mergeCell ref="L396:M396"/>
    <mergeCell ref="A397:B397"/>
    <mergeCell ref="L397:M397"/>
    <mergeCell ref="A398:B398"/>
    <mergeCell ref="L398:M398"/>
    <mergeCell ref="A399:B399"/>
    <mergeCell ref="L399:M399"/>
    <mergeCell ref="A400:B400"/>
    <mergeCell ref="L400:M400"/>
    <mergeCell ref="G311:H318"/>
    <mergeCell ref="L311:M311"/>
    <mergeCell ref="A312:B312"/>
    <mergeCell ref="L312:M312"/>
    <mergeCell ref="A313:B313"/>
    <mergeCell ref="L313:M313"/>
    <mergeCell ref="A314:B314"/>
    <mergeCell ref="L314:M314"/>
    <mergeCell ref="A315:B315"/>
    <mergeCell ref="L315:M315"/>
    <mergeCell ref="A316:B316"/>
    <mergeCell ref="L316:M316"/>
    <mergeCell ref="L317:M317"/>
    <mergeCell ref="L318:M318"/>
    <mergeCell ref="A311:B311"/>
    <mergeCell ref="A402:H402"/>
    <mergeCell ref="A403:B403"/>
    <mergeCell ref="G403:H410"/>
    <mergeCell ref="L403:M403"/>
    <mergeCell ref="A404:B404"/>
    <mergeCell ref="L404:M404"/>
    <mergeCell ref="A405:B405"/>
    <mergeCell ref="L405:M405"/>
    <mergeCell ref="A406:B406"/>
    <mergeCell ref="L406:M406"/>
    <mergeCell ref="A407:B407"/>
    <mergeCell ref="L407:M407"/>
    <mergeCell ref="A408:B408"/>
    <mergeCell ref="L408:M408"/>
    <mergeCell ref="A409:B409"/>
    <mergeCell ref="L409:M409"/>
    <mergeCell ref="A410:B410"/>
    <mergeCell ref="L410:M410"/>
    <mergeCell ref="L329:M329"/>
    <mergeCell ref="L330:M330"/>
    <mergeCell ref="A331:B331"/>
    <mergeCell ref="L331:M331"/>
    <mergeCell ref="A332:B332"/>
    <mergeCell ref="A411:H411"/>
    <mergeCell ref="A412:B412"/>
    <mergeCell ref="G412:H419"/>
    <mergeCell ref="L412:M412"/>
    <mergeCell ref="A413:B413"/>
    <mergeCell ref="L413:M413"/>
    <mergeCell ref="A414:B414"/>
    <mergeCell ref="L414:M414"/>
    <mergeCell ref="A415:B415"/>
    <mergeCell ref="L415:M415"/>
    <mergeCell ref="A416:B416"/>
    <mergeCell ref="L416:M416"/>
    <mergeCell ref="A417:B417"/>
    <mergeCell ref="L417:M417"/>
    <mergeCell ref="A418:B418"/>
    <mergeCell ref="L418:M418"/>
    <mergeCell ref="A419:B419"/>
    <mergeCell ref="L419:M419"/>
    <mergeCell ref="C417:F417"/>
    <mergeCell ref="A319:H319"/>
    <mergeCell ref="G320:H327"/>
    <mergeCell ref="L320:M320"/>
    <mergeCell ref="L321:M321"/>
    <mergeCell ref="A322:B322"/>
    <mergeCell ref="L322:M322"/>
    <mergeCell ref="A323:B323"/>
    <mergeCell ref="L323:M323"/>
    <mergeCell ref="A324:B324"/>
    <mergeCell ref="L324:M324"/>
    <mergeCell ref="A325:B325"/>
    <mergeCell ref="L325:M325"/>
    <mergeCell ref="A326:B326"/>
    <mergeCell ref="L326:M326"/>
    <mergeCell ref="A327:B327"/>
    <mergeCell ref="L327:M327"/>
    <mergeCell ref="C323:F323"/>
    <mergeCell ref="C324:F324"/>
    <mergeCell ref="C332:F332"/>
    <mergeCell ref="L332:M332"/>
    <mergeCell ref="A333:B333"/>
    <mergeCell ref="L333:M333"/>
    <mergeCell ref="L334:M334"/>
    <mergeCell ref="G421:H428"/>
    <mergeCell ref="L421:M421"/>
    <mergeCell ref="L422:M422"/>
    <mergeCell ref="L423:M423"/>
    <mergeCell ref="L424:M424"/>
    <mergeCell ref="L425:M425"/>
    <mergeCell ref="A426:B426"/>
    <mergeCell ref="L426:M426"/>
    <mergeCell ref="A427:B427"/>
    <mergeCell ref="C427:F427"/>
    <mergeCell ref="L427:M427"/>
    <mergeCell ref="A428:B428"/>
    <mergeCell ref="L428:M428"/>
    <mergeCell ref="A424:B424"/>
    <mergeCell ref="A425:B425"/>
    <mergeCell ref="L335:M335"/>
    <mergeCell ref="A336:B336"/>
    <mergeCell ref="L336:M336"/>
    <mergeCell ref="C418:F418"/>
    <mergeCell ref="A181:H181"/>
    <mergeCell ref="A130:H130"/>
    <mergeCell ref="A182:H182"/>
    <mergeCell ref="A401:H401"/>
    <mergeCell ref="C113:D113"/>
    <mergeCell ref="E113:F113"/>
    <mergeCell ref="G113:H113"/>
    <mergeCell ref="C114:D114"/>
    <mergeCell ref="E114:F114"/>
    <mergeCell ref="G114:H114"/>
    <mergeCell ref="C115:D115"/>
    <mergeCell ref="E115:F115"/>
    <mergeCell ref="G115:H115"/>
    <mergeCell ref="C116:D116"/>
    <mergeCell ref="E116:F116"/>
    <mergeCell ref="G116:H116"/>
    <mergeCell ref="A113:A116"/>
    <mergeCell ref="A328:H328"/>
    <mergeCell ref="A329:B329"/>
    <mergeCell ref="G329:H336"/>
    <mergeCell ref="A334:B334"/>
    <mergeCell ref="A310:H310"/>
    <mergeCell ref="A330:B330"/>
    <mergeCell ref="A335:B335"/>
    <mergeCell ref="B439:H439"/>
    <mergeCell ref="B440:H440"/>
    <mergeCell ref="B441:H441"/>
    <mergeCell ref="A81:B81"/>
    <mergeCell ref="C81:H81"/>
    <mergeCell ref="A83:B83"/>
    <mergeCell ref="C83:H83"/>
    <mergeCell ref="A84:B84"/>
    <mergeCell ref="E84:F84"/>
    <mergeCell ref="G84:H84"/>
    <mergeCell ref="A85:B85"/>
    <mergeCell ref="E85:F94"/>
    <mergeCell ref="G85:H94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A111:A112"/>
    <mergeCell ref="A180:H180"/>
  </mergeCells>
  <hyperlinks>
    <hyperlink ref="C40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scale="94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6" max="16383" man="1"/>
    <brk id="454" max="16383" man="1"/>
    <brk id="498" max="16383" man="1"/>
    <brk id="539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265625" defaultRowHeight="14.5" x14ac:dyDescent="0.35"/>
  <cols>
    <col min="1" max="1" width="8.7265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202" t="s">
        <v>107</v>
      </c>
      <c r="C3" s="202"/>
      <c r="D3" s="202"/>
      <c r="E3" s="202"/>
      <c r="F3" s="202"/>
      <c r="G3" s="202"/>
      <c r="H3" s="202"/>
    </row>
    <row r="4" spans="1:9" x14ac:dyDescent="0.35">
      <c r="A4" s="2"/>
      <c r="B4" s="3" t="s">
        <v>108</v>
      </c>
      <c r="C4" s="3" t="s">
        <v>109</v>
      </c>
      <c r="D4" s="3" t="s">
        <v>69</v>
      </c>
      <c r="E4" s="3" t="s">
        <v>110</v>
      </c>
      <c r="F4" s="3" t="s">
        <v>116</v>
      </c>
      <c r="G4" s="3" t="s">
        <v>117</v>
      </c>
      <c r="H4" s="3" t="s">
        <v>111</v>
      </c>
    </row>
    <row r="5" spans="1:9" ht="15" customHeight="1" x14ac:dyDescent="0.35">
      <c r="A5" s="2"/>
      <c r="B5" s="5" t="s">
        <v>112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112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112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112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112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113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113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114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115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2025-08-14T12:44:53Z</cp:lastPrinted>
  <dcterms:created xsi:type="dcterms:W3CDTF">2019-07-16T09:29:46Z</dcterms:created>
  <dcterms:modified xsi:type="dcterms:W3CDTF">2025-08-14T12:46:20Z</dcterms:modified>
</cp:coreProperties>
</file>