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13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5" i="1" l="1"/>
  <c r="A239" i="1" l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G178" i="1"/>
  <c r="J135" i="1" l="1"/>
  <c r="J134" i="1"/>
  <c r="J133" i="1"/>
  <c r="J132" i="1"/>
  <c r="E196" i="1" l="1"/>
  <c r="D200" i="1"/>
  <c r="F200" i="1" s="1"/>
  <c r="I199" i="1"/>
  <c r="D199" i="1"/>
  <c r="F199" i="1" s="1"/>
  <c r="A199" i="1"/>
  <c r="A200" i="1" s="1"/>
  <c r="J198" i="1"/>
  <c r="I198" i="1"/>
  <c r="G198" i="1"/>
  <c r="G199" i="1" s="1"/>
  <c r="G200" i="1" s="1"/>
  <c r="D198" i="1"/>
  <c r="F198" i="1" s="1"/>
  <c r="C14" i="1" l="1"/>
  <c r="J121" i="1" l="1"/>
  <c r="J120" i="1"/>
  <c r="J119" i="1"/>
  <c r="J118" i="1"/>
  <c r="C96" i="1"/>
  <c r="D236" i="1"/>
  <c r="F236" i="1" s="1"/>
  <c r="D235" i="1"/>
  <c r="F235" i="1" s="1"/>
  <c r="D234" i="1"/>
  <c r="G234" i="1"/>
  <c r="D230" i="1"/>
  <c r="F230" i="1" s="1"/>
  <c r="D229" i="1"/>
  <c r="F229" i="1" s="1"/>
  <c r="D228" i="1"/>
  <c r="F228" i="1" s="1"/>
  <c r="D227" i="1"/>
  <c r="D226" i="1"/>
  <c r="D225" i="1"/>
  <c r="D224" i="1"/>
  <c r="H111" i="1"/>
  <c r="C157" i="1" l="1"/>
  <c r="F234" i="1"/>
  <c r="G157" i="1" s="1"/>
  <c r="E157" i="1"/>
  <c r="J115" i="1"/>
  <c r="C114" i="1" s="1"/>
  <c r="D123" i="1"/>
  <c r="D119" i="1"/>
  <c r="J114" i="1"/>
  <c r="D122" i="1"/>
  <c r="D118" i="1"/>
  <c r="D117" i="1"/>
  <c r="D121" i="1"/>
  <c r="J116" i="1"/>
  <c r="J110" i="1"/>
  <c r="J112" i="1" s="1"/>
  <c r="D120" i="1"/>
  <c r="D116" i="1"/>
  <c r="J113" i="1"/>
  <c r="F227" i="1"/>
  <c r="F226" i="1"/>
  <c r="F225" i="1"/>
  <c r="A225" i="1"/>
  <c r="A226" i="1" s="1"/>
  <c r="A227" i="1" s="1"/>
  <c r="A228" i="1" s="1"/>
  <c r="A229" i="1" s="1"/>
  <c r="A230" i="1" s="1"/>
  <c r="G224" i="1"/>
  <c r="F224" i="1"/>
  <c r="D216" i="1"/>
  <c r="F216" i="1" s="1"/>
  <c r="D215" i="1"/>
  <c r="F215" i="1" s="1"/>
  <c r="D214" i="1"/>
  <c r="F214" i="1" s="1"/>
  <c r="D213" i="1"/>
  <c r="I214" i="1"/>
  <c r="A214" i="1"/>
  <c r="A215" i="1" s="1"/>
  <c r="A216" i="1" s="1"/>
  <c r="G213" i="1"/>
  <c r="D210" i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D204" i="1"/>
  <c r="F204" i="1" s="1"/>
  <c r="D203" i="1"/>
  <c r="A204" i="1"/>
  <c r="A205" i="1" s="1"/>
  <c r="A206" i="1" s="1"/>
  <c r="A207" i="1" s="1"/>
  <c r="A208" i="1" s="1"/>
  <c r="A209" i="1" s="1"/>
  <c r="A210" i="1" s="1"/>
  <c r="G203" i="1"/>
  <c r="D222" i="1"/>
  <c r="F222" i="1" s="1"/>
  <c r="D221" i="1"/>
  <c r="F221" i="1" s="1"/>
  <c r="D220" i="1"/>
  <c r="F220" i="1" s="1"/>
  <c r="D219" i="1"/>
  <c r="F219" i="1" s="1"/>
  <c r="I219" i="1"/>
  <c r="I218" i="1"/>
  <c r="A220" i="1"/>
  <c r="A221" i="1" s="1"/>
  <c r="A222" i="1" s="1"/>
  <c r="G219" i="1"/>
  <c r="G220" i="1" s="1"/>
  <c r="G221" i="1" s="1"/>
  <c r="G222" i="1" s="1"/>
  <c r="D188" i="1"/>
  <c r="F188" i="1" s="1"/>
  <c r="D187" i="1"/>
  <c r="F187" i="1" s="1"/>
  <c r="D186" i="1"/>
  <c r="D185" i="1"/>
  <c r="F185" i="1" s="1"/>
  <c r="D184" i="1"/>
  <c r="F184" i="1" s="1"/>
  <c r="D183" i="1"/>
  <c r="F183" i="1" s="1"/>
  <c r="D182" i="1"/>
  <c r="F182" i="1" s="1"/>
  <c r="D181" i="1"/>
  <c r="F181" i="1" s="1"/>
  <c r="D180" i="1"/>
  <c r="F180" i="1" s="1"/>
  <c r="D179" i="1"/>
  <c r="D178" i="1"/>
  <c r="D196" i="1"/>
  <c r="D195" i="1"/>
  <c r="D194" i="1"/>
  <c r="I195" i="1"/>
  <c r="I194" i="1"/>
  <c r="J194" i="1"/>
  <c r="D174" i="1"/>
  <c r="F174" i="1" s="1"/>
  <c r="D173" i="1"/>
  <c r="F173" i="1" s="1"/>
  <c r="D172" i="1"/>
  <c r="F172" i="1" s="1"/>
  <c r="D171" i="1"/>
  <c r="F171" i="1" s="1"/>
  <c r="D170" i="1"/>
  <c r="F170" i="1" s="1"/>
  <c r="D169" i="1"/>
  <c r="D168" i="1"/>
  <c r="D167" i="1"/>
  <c r="D166" i="1"/>
  <c r="J166" i="1"/>
  <c r="I166" i="1"/>
  <c r="C149" i="1" l="1"/>
  <c r="F179" i="1"/>
  <c r="F213" i="1"/>
  <c r="G155" i="1" s="1"/>
  <c r="C155" i="1"/>
  <c r="C154" i="1"/>
  <c r="E153" i="1"/>
  <c r="C153" i="1"/>
  <c r="F178" i="1"/>
  <c r="F186" i="1"/>
  <c r="G156" i="1"/>
  <c r="E155" i="1"/>
  <c r="C148" i="1"/>
  <c r="E148" i="1"/>
  <c r="E149" i="1"/>
  <c r="E156" i="1"/>
  <c r="C156" i="1"/>
  <c r="F203" i="1"/>
  <c r="G154" i="1" s="1"/>
  <c r="E154" i="1"/>
  <c r="D114" i="1"/>
  <c r="J117" i="1"/>
  <c r="J122" i="1" s="1"/>
  <c r="G149" i="1" l="1"/>
  <c r="E150" i="1"/>
  <c r="C158" i="1"/>
  <c r="C150" i="1"/>
  <c r="E158" i="1"/>
  <c r="J123" i="1"/>
  <c r="C115" i="1" s="1"/>
  <c r="E29" i="1"/>
  <c r="D115" i="1" l="1"/>
  <c r="I111" i="1" s="1"/>
  <c r="I112" i="1" s="1"/>
  <c r="G114" i="1"/>
  <c r="E114" i="1"/>
  <c r="J111" i="1"/>
  <c r="F195" i="1"/>
  <c r="F196" i="1"/>
  <c r="F194" i="1"/>
  <c r="A195" i="1"/>
  <c r="A196" i="1" s="1"/>
  <c r="G194" i="1"/>
  <c r="G153" i="1" l="1"/>
  <c r="G158" i="1" s="1"/>
  <c r="I110" i="1"/>
  <c r="C112" i="1" s="1"/>
  <c r="F145" i="1"/>
  <c r="F167" i="1" l="1"/>
  <c r="F168" i="1"/>
  <c r="F169" i="1"/>
  <c r="F166" i="1"/>
  <c r="G148" i="1" l="1"/>
  <c r="G150" i="1" s="1"/>
  <c r="B239" i="1"/>
  <c r="B240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62" i="1"/>
  <c r="A167" i="1"/>
  <c r="A168" i="1" s="1"/>
  <c r="A169" i="1" s="1"/>
  <c r="A170" i="1" s="1"/>
  <c r="A171" i="1" s="1"/>
  <c r="A172" i="1" s="1"/>
  <c r="A173" i="1" s="1"/>
  <c r="A174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G166" i="1"/>
  <c r="J107" i="1"/>
  <c r="J106" i="1"/>
  <c r="J105" i="1"/>
  <c r="J104" i="1"/>
  <c r="J93" i="1"/>
  <c r="J92" i="1"/>
  <c r="J91" i="1"/>
  <c r="J90" i="1"/>
  <c r="C82" i="1"/>
  <c r="J79" i="1"/>
  <c r="J78" i="1"/>
  <c r="J77" i="1"/>
  <c r="J76" i="1"/>
  <c r="C68" i="1"/>
  <c r="E42" i="1"/>
  <c r="E43" i="1" s="1"/>
  <c r="E26" i="1"/>
  <c r="E24" i="1"/>
  <c r="E3" i="1"/>
  <c r="H97" i="1"/>
  <c r="H69" i="1"/>
  <c r="H83" i="1"/>
  <c r="D62" i="1" l="1"/>
  <c r="D93" i="1"/>
  <c r="D94" i="1"/>
  <c r="D95" i="1"/>
  <c r="D89" i="1"/>
  <c r="D90" i="1"/>
  <c r="D91" i="1"/>
  <c r="D92" i="1"/>
  <c r="J82" i="1"/>
  <c r="J84" i="1" s="1"/>
  <c r="D81" i="1"/>
  <c r="D79" i="1"/>
  <c r="D78" i="1"/>
  <c r="D77" i="1"/>
  <c r="D75" i="1"/>
  <c r="J68" i="1"/>
  <c r="D80" i="1"/>
  <c r="D76" i="1"/>
  <c r="J72" i="1"/>
  <c r="J73" i="1"/>
  <c r="C72" i="1" s="1"/>
  <c r="J71" i="1"/>
  <c r="J74" i="1"/>
  <c r="J75" i="1" s="1"/>
  <c r="J96" i="1"/>
  <c r="J98" i="1" s="1"/>
  <c r="J100" i="1"/>
  <c r="D109" i="1"/>
  <c r="D107" i="1"/>
  <c r="D105" i="1"/>
  <c r="D103" i="1"/>
  <c r="J101" i="1"/>
  <c r="C100" i="1" s="1"/>
  <c r="J99" i="1"/>
  <c r="J102" i="1"/>
  <c r="J103" i="1" s="1"/>
  <c r="D108" i="1"/>
  <c r="D106" i="1"/>
  <c r="D104" i="1"/>
  <c r="J88" i="1"/>
  <c r="J89" i="1" s="1"/>
  <c r="J94" i="1" s="1"/>
  <c r="J86" i="1"/>
  <c r="J87" i="1"/>
  <c r="C86" i="1" s="1"/>
  <c r="J85" i="1"/>
  <c r="J80" i="1" l="1"/>
  <c r="J81" i="1" s="1"/>
  <c r="C73" i="1" s="1"/>
  <c r="E72" i="1" s="1"/>
  <c r="J108" i="1"/>
  <c r="J95" i="1"/>
  <c r="C87" i="1" s="1"/>
  <c r="E86" i="1" s="1"/>
  <c r="D102" i="1"/>
  <c r="D100" i="1"/>
  <c r="D88" i="1"/>
  <c r="D74" i="1"/>
  <c r="J70" i="1"/>
  <c r="D72" i="1"/>
  <c r="D86" i="1"/>
  <c r="H125" i="1"/>
  <c r="D137" i="1" l="1"/>
  <c r="D135" i="1"/>
  <c r="D133" i="1"/>
  <c r="D131" i="1"/>
  <c r="D136" i="1"/>
  <c r="D134" i="1"/>
  <c r="D130" i="1"/>
  <c r="J124" i="1"/>
  <c r="J126" i="1" s="1"/>
  <c r="J129" i="1"/>
  <c r="C128" i="1" s="1"/>
  <c r="D128" i="1" s="1"/>
  <c r="J127" i="1"/>
  <c r="J130" i="1"/>
  <c r="J131" i="1" s="1"/>
  <c r="J136" i="1" s="1"/>
  <c r="J137" i="1" s="1"/>
  <c r="C129" i="1" s="1"/>
  <c r="D132" i="1"/>
  <c r="J128" i="1"/>
  <c r="J109" i="1"/>
  <c r="G100" i="1"/>
  <c r="G72" i="1"/>
  <c r="D66" i="1" s="1"/>
  <c r="D67" i="1" s="1"/>
  <c r="D73" i="1"/>
  <c r="I69" i="1" s="1"/>
  <c r="J83" i="1"/>
  <c r="G86" i="1"/>
  <c r="D87" i="1"/>
  <c r="I83" i="1" s="1"/>
  <c r="J69" i="1"/>
  <c r="E128" i="1" l="1"/>
  <c r="D129" i="1"/>
  <c r="I125" i="1" s="1"/>
  <c r="J125" i="1"/>
  <c r="G128" i="1"/>
  <c r="J97" i="1"/>
  <c r="E100" i="1"/>
  <c r="D101" i="1"/>
  <c r="I97" i="1" s="1"/>
  <c r="I98" i="1" s="1"/>
  <c r="F67" i="1"/>
  <c r="I70" i="1"/>
  <c r="I68" i="1" s="1"/>
  <c r="C70" i="1" s="1"/>
  <c r="I84" i="1"/>
  <c r="I82" i="1" s="1"/>
  <c r="C84" i="1" s="1"/>
  <c r="I126" i="1" l="1"/>
  <c r="I124" i="1" s="1"/>
  <c r="C126" i="1" s="1"/>
  <c r="I96" i="1"/>
  <c r="C98" i="1" s="1"/>
</calcChain>
</file>

<file path=xl/sharedStrings.xml><?xml version="1.0" encoding="utf-8"?>
<sst xmlns="http://schemas.openxmlformats.org/spreadsheetml/2006/main" count="485" uniqueCount="237">
  <si>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</si>
  <si>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</si>
  <si>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</si>
  <si>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</si>
  <si>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</si>
  <si>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</si>
  <si>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</si>
  <si>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</si>
  <si>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</si>
  <si>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</si>
  <si>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</si>
  <si>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</si>
  <si>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</si>
  <si>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</si>
  <si>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</si>
  <si>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</si>
  <si>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</si>
  <si>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</si>
  <si>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</si>
  <si>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</si>
  <si>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</si>
  <si>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</si>
  <si>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</si>
  <si>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</si>
  <si>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</si>
  <si>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</si>
  <si>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</si>
  <si>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</si>
  <si>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</si>
  <si>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</si>
  <si>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</si>
  <si>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</si>
  <si>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</si>
  <si>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</si>
  <si>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</si>
  <si>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</si>
  <si>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</si>
  <si>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</si>
  <si>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</si>
  <si>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</si>
  <si>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</si>
  <si>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</si>
  <si>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</si>
  <si>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</si>
  <si>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</si>
  <si>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</si>
  <si>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</si>
  <si>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</si>
  <si>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</si>
  <si>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</si>
  <si>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</si>
  <si>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</si>
  <si>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</si>
  <si>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</si>
  <si>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</si>
  <si>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</si>
  <si>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</si>
  <si>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</si>
  <si>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</si>
  <si>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</si>
  <si>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</si>
  <si>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</si>
  <si>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</si>
  <si>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</si>
  <si>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</si>
  <si>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</si>
  <si>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</si>
  <si>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</si>
  <si>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</si>
  <si>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</si>
  <si>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</si>
  <si>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</si>
  <si>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</si>
  <si>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</si>
  <si>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</si>
  <si>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</si>
  <si>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</si>
  <si>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</si>
  <si>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</si>
  <si>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</si>
  <si>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</si>
  <si>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</si>
  <si>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</si>
  <si>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</si>
  <si>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</si>
  <si>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</si>
  <si>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</si>
  <si>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</si>
  <si>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</si>
  <si>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</si>
  <si>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</si>
  <si>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</si>
  <si>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</si>
  <si>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</si>
  <si>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</si>
  <si>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</si>
  <si>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</si>
  <si>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</si>
  <si>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</si>
  <si>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</si>
  <si>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</si>
  <si>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</si>
  <si>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</si>
  <si>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</si>
  <si>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</si>
  <si>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</si>
  <si>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</si>
  <si>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</si>
  <si>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</si>
  <si>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</si>
  <si>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</si>
  <si>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</si>
  <si>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</si>
  <si>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</si>
  <si>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</si>
  <si>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</si>
  <si>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</si>
  <si>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</si>
  <si>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</si>
  <si>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</si>
  <si>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</si>
  <si>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</si>
  <si>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</si>
  <si>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</si>
  <si>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</si>
  <si>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</si>
  <si>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</si>
  <si>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</si>
  <si>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</si>
  <si>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</si>
  <si>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</si>
  <si>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</si>
  <si>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</si>
  <si>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</si>
  <si>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</si>
  <si>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</si>
  <si>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</si>
  <si>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</si>
  <si>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</si>
  <si>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</si>
  <si>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</si>
  <si>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</si>
  <si>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</si>
  <si>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</si>
  <si>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</si>
  <si>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</si>
  <si>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</si>
  <si>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</si>
  <si>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</si>
  <si>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</si>
  <si>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</si>
  <si>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</si>
  <si>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</si>
  <si>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</si>
  <si>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</si>
  <si>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</si>
  <si>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</si>
  <si>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</si>
  <si>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</si>
  <si>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</si>
  <si>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</si>
  <si>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</si>
  <si>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</si>
  <si>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</si>
  <si>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</si>
  <si>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</si>
  <si>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</si>
  <si>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Name of the builder</t>
  </si>
  <si>
    <t>Mr.Kamlesh Devidas Dhruv</t>
  </si>
  <si>
    <t>Dhruv Builders And Developers</t>
  </si>
  <si>
    <t xml:space="preserve">Mr. Ankit Zhaveri (9322216100)
</t>
  </si>
  <si>
    <t>Axis Badlapur</t>
  </si>
  <si>
    <t>Building No. 1 (A Wing)
Building No. 2 (B, C, D &amp; E Wing)</t>
  </si>
  <si>
    <t>P52000047179</t>
  </si>
  <si>
    <t>Survey No</t>
  </si>
  <si>
    <t>151/3, 151/6, 141/5</t>
  </si>
  <si>
    <t>Pashane</t>
  </si>
  <si>
    <t>Karjat</t>
  </si>
  <si>
    <t>Raigad</t>
  </si>
  <si>
    <t>Pashane Rd</t>
  </si>
  <si>
    <t>Vangani West</t>
  </si>
  <si>
    <t>Deep Jyoti City</t>
  </si>
  <si>
    <t>1.9KM from Vangani Railway Station</t>
  </si>
  <si>
    <t>Dhruv Residency Platinum</t>
  </si>
  <si>
    <t>Open Plot/Divine Tower</t>
  </si>
  <si>
    <t>https://goo.gl/maps/D6PmsQJ5dD4o2QNf7</t>
  </si>
  <si>
    <t>Collector Of Raigad</t>
  </si>
  <si>
    <t>Building No. 1 (A Wing) = Gr + 1st to 4th Floor
Building No. 2 (B, C, D &amp; E Wing) = Gr +1st to 4th Floor</t>
  </si>
  <si>
    <t>Building No. 1 (A Wing) = Gr + 1st to 4th Floor</t>
  </si>
  <si>
    <t>Building No. 1 (A Wing)</t>
  </si>
  <si>
    <t>Shop</t>
  </si>
  <si>
    <t>1BHK</t>
  </si>
  <si>
    <t>1RK</t>
  </si>
  <si>
    <t>1st to 4th Floor For Residential</t>
  </si>
  <si>
    <t>Building No. 2 (D Wing)</t>
  </si>
  <si>
    <t>Ground Floor For Residential, Parking &amp; Meter Room</t>
  </si>
  <si>
    <t>Building No. 2 (B Wing)</t>
  </si>
  <si>
    <t>Building No. 2 (C Wing)</t>
  </si>
  <si>
    <t>Building No. 2 (E Wing)</t>
  </si>
  <si>
    <t>Ground Floor For Meter Room &amp; Parking</t>
  </si>
  <si>
    <t>We considered Gross carpet area = Net carpet + Enclose balcony + C.B Area.</t>
  </si>
  <si>
    <t>Ground Floor For Commercial, Meter Room &amp; Parking</t>
  </si>
  <si>
    <t xml:space="preserve">As per RERA - 31/12/2025
</t>
  </si>
  <si>
    <t>05 Buildings</t>
  </si>
  <si>
    <t>Building No. 2 (C Wing) = Gr +1st to 4th Floor</t>
  </si>
  <si>
    <t>Building No. 2 (B Wing) = Gr +1st to 4th Floor</t>
  </si>
  <si>
    <t>MS/LNA-1/P.K.158/2018</t>
  </si>
  <si>
    <t>MS/L.N.A.1(A)(B)Tokan No. 14018/P.K. 158/2018</t>
  </si>
  <si>
    <t>Approved Plans, CC, Cost Sheet.</t>
  </si>
  <si>
    <t>Latitude, Longitude</t>
  </si>
  <si>
    <t>Building No. 2 (D &amp; E Wing) = Gr +1st to 4th Floor</t>
  </si>
  <si>
    <t>2nd to 4th Floor For Residential</t>
  </si>
  <si>
    <t>1st Floor For Residential (Part Terrace Area)</t>
  </si>
  <si>
    <t>Flats - 104, Shops - 20</t>
  </si>
  <si>
    <t xml:space="preserve">Survey No. mentioned in CC &amp; Rera is 151/3, 151/6, 141/5A
Survey No. mentioned in Approved Layout (Sheet No.1) is 151/3, 151/6, 141/5
As per approved layout plan, Building No. 8 is located on survey no. 141/5A.
As per discussion with bank officials, report is released for 151/3, 151/6, 141/5.
</t>
  </si>
  <si>
    <t>3200 to 3500</t>
  </si>
  <si>
    <t xml:space="preserve"> Rushikesh</t>
  </si>
  <si>
    <t xml:space="preserve"> cost sheet</t>
  </si>
  <si>
    <t>3500 to 3700</t>
  </si>
  <si>
    <t>cost sheet</t>
  </si>
  <si>
    <t>Office No. 1031, Wing J, Akshar Business Park, Plot No. 03 Sector 25, Near APMC Market,
Vashi, Navi Mumbai, Maharashtra 400703 TEL: 022-46090378/79/80                                                                                                     E mail : vsjcapf@gmail.com. Web site : www.vsjadon.com</t>
  </si>
  <si>
    <t>19.1021291,73.3138875</t>
  </si>
  <si>
    <t xml:space="preserve">1. Vitrified tiles flooring 2. Granite Kitchen Platform 3. Decorative Enternace etc.
</t>
  </si>
  <si>
    <t>Building No. 2 (D Wing) = Gr +1st to 4th Floor</t>
  </si>
  <si>
    <t>Building No. 2 (E Wing) = Gr +1st to 4th Floor</t>
  </si>
  <si>
    <t>Pooja</t>
  </si>
  <si>
    <t>Naynesh Sunil Lovanshi</t>
  </si>
  <si>
    <t>Mr. Pradip : 8898005777</t>
  </si>
  <si>
    <t>Wing A to E = Construction work is in process at the time of visit.</t>
  </si>
  <si>
    <t>Building No. 2 (B + C Wing)</t>
  </si>
  <si>
    <t>Remark No.11 :</t>
  </si>
  <si>
    <t>We have referred shop numbering as per builder nomenclature sheet provided to us on mail by bank officials. Please find the attachment below.</t>
  </si>
  <si>
    <t>Building No. 1 A Wing (As per Approved Plan)</t>
  </si>
  <si>
    <t>Building No. 1 (As per Builder)</t>
  </si>
  <si>
    <t>Building No. 2 (B + C Wing) (As per Approved Plan)</t>
  </si>
  <si>
    <t>Building No. 2 (As per Builder)</t>
  </si>
  <si>
    <t>As per visit dtd 13/08/2025, we have observed that construction work of Shop no. 1, 2, 3, 6, 7, 8 from Building No. 1 and Shop no. 11, 12, 13, 16, 17 from Building No. 2 are Completed.Therefore it can be considered as Progress 100% and Disbursement 100%.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</si>
</sst>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wrapText="1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24" fillId="2" borderId="14" xfId="0" applyFont="1" applyFill="1" applyBorder="1"/>
    <xf numFmtId="0" fontId="25" fillId="0" borderId="8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2" xfId="1" applyFont="1" applyBorder="1" applyAlignment="1" applyProtection="1">
      <alignment horizontal="center" vertical="top" wrapText="1"/>
      <protection locked="0"/>
    </xf>
    <xf numFmtId="9" fontId="7" fillId="0" borderId="2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 applyProtection="1">
      <alignment horizontal="left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0" fillId="0" borderId="21" xfId="1" applyFont="1" applyBorder="1" applyAlignment="1" applyProtection="1">
      <alignment horizontal="left" vertical="top" wrapText="1"/>
      <protection locked="0"/>
    </xf>
    <xf numFmtId="0" fontId="10" fillId="0" borderId="14" xfId="1" applyFont="1" applyBorder="1" applyAlignment="1" applyProtection="1">
      <alignment horizontal="left" vertical="top" wrapText="1"/>
      <protection locked="0"/>
    </xf>
    <xf numFmtId="0" fontId="10" fillId="0" borderId="12" xfId="1" applyFont="1" applyBorder="1" applyAlignment="1" applyProtection="1">
      <alignment horizontal="left" vertical="top" wrapText="1"/>
      <protection locked="0"/>
    </xf>
    <xf numFmtId="0" fontId="10" fillId="0" borderId="13" xfId="1" applyFont="1" applyBorder="1" applyAlignment="1" applyProtection="1">
      <alignment horizontal="left" vertical="top" wrapText="1"/>
      <protection locked="0"/>
    </xf>
    <xf numFmtId="0" fontId="10" fillId="0" borderId="22" xfId="1" applyFont="1" applyBorder="1" applyAlignment="1" applyProtection="1">
      <alignment horizontal="left" vertical="top" wrapText="1"/>
      <protection locked="0"/>
    </xf>
    <xf numFmtId="0" fontId="10" fillId="0" borderId="3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31" xfId="1" applyFont="1" applyBorder="1" applyAlignment="1" applyProtection="1">
      <alignment horizontal="center" vertical="top" wrapText="1"/>
      <protection locked="0"/>
    </xf>
    <xf numFmtId="0" fontId="7" fillId="0" borderId="2" xfId="1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0" fontId="10" fillId="0" borderId="20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colors>
    <mruColors>
      <color rgb="FFF32BBF"/>
      <color rgb="FF5EA9C0"/>
      <color rgb="FFF77439"/>
      <color rgb="FF0101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349</xdr:row>
      <xdr:rowOff>0</xdr:rowOff>
    </xdr:from>
    <xdr:to>
      <xdr:col>7</xdr:col>
      <xdr:colOff>331191</xdr:colOff>
      <xdr:row>377</xdr:row>
      <xdr:rowOff>159299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64322325"/>
          <a:ext cx="5874741" cy="57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5</xdr:col>
      <xdr:colOff>273072</xdr:colOff>
      <xdr:row>351</xdr:row>
      <xdr:rowOff>88478</xdr:rowOff>
    </xdr:from>
    <xdr:to>
      <xdr:col>5</xdr:col>
      <xdr:colOff>539596</xdr:colOff>
      <xdr:row>356</xdr:row>
      <xdr:rowOff>88652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20970777">
          <a:off x="4711722" y="64810853"/>
          <a:ext cx="266524" cy="1000299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5</xdr:col>
      <xdr:colOff>336507</xdr:colOff>
      <xdr:row>358</xdr:row>
      <xdr:rowOff>46931</xdr:rowOff>
    </xdr:from>
    <xdr:to>
      <xdr:col>5</xdr:col>
      <xdr:colOff>699095</xdr:colOff>
      <xdr:row>361</xdr:row>
      <xdr:rowOff>177037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21150767">
          <a:off x="4775157" y="66169481"/>
          <a:ext cx="362588" cy="730181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00B0F0"/>
            </a:solidFill>
          </a:endParaRPr>
        </a:p>
      </xdr:txBody>
    </xdr:sp>
    <xdr:clientData/>
  </xdr:twoCellAnchor>
  <xdr:twoCellAnchor>
    <xdr:from>
      <xdr:col>5</xdr:col>
      <xdr:colOff>502557</xdr:colOff>
      <xdr:row>362</xdr:row>
      <xdr:rowOff>14972</xdr:rowOff>
    </xdr:from>
    <xdr:to>
      <xdr:col>5</xdr:col>
      <xdr:colOff>803517</xdr:colOff>
      <xdr:row>364</xdr:row>
      <xdr:rowOff>197526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21150767">
          <a:off x="4941207" y="66937622"/>
          <a:ext cx="300960" cy="582604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00B0F0"/>
            </a:solidFill>
          </a:endParaRPr>
        </a:p>
      </xdr:txBody>
    </xdr:sp>
    <xdr:clientData/>
  </xdr:twoCellAnchor>
  <xdr:twoCellAnchor>
    <xdr:from>
      <xdr:col>5</xdr:col>
      <xdr:colOff>9525</xdr:colOff>
      <xdr:row>362</xdr:row>
      <xdr:rowOff>123825</xdr:rowOff>
    </xdr:from>
    <xdr:to>
      <xdr:col>5</xdr:col>
      <xdr:colOff>466725</xdr:colOff>
      <xdr:row>365</xdr:row>
      <xdr:rowOff>28576</xdr:rowOff>
    </xdr:to>
    <xdr:sp macro="" textlink="">
      <xdr:nvSpPr>
        <xdr:cNvPr id="15" name="L-Shap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448175" y="67046475"/>
          <a:ext cx="457200" cy="504826"/>
        </a:xfrm>
        <a:prstGeom prst="corner">
          <a:avLst>
            <a:gd name="adj1" fmla="val 50000"/>
            <a:gd name="adj2" fmla="val 70833"/>
          </a:avLst>
        </a:prstGeom>
        <a:noFill/>
        <a:ln w="28575">
          <a:solidFill>
            <a:srgbClr val="F32BB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IN" sz="1100">
            <a:solidFill>
              <a:srgbClr val="00B0F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828675</xdr:colOff>
      <xdr:row>360</xdr:row>
      <xdr:rowOff>28575</xdr:rowOff>
    </xdr:from>
    <xdr:to>
      <xdr:col>5</xdr:col>
      <xdr:colOff>276225</xdr:colOff>
      <xdr:row>362</xdr:row>
      <xdr:rowOff>77779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429125" y="66551175"/>
          <a:ext cx="285750" cy="449254"/>
        </a:xfrm>
        <a:prstGeom prst="rect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00B0F0"/>
            </a:solidFill>
          </a:endParaRPr>
        </a:p>
      </xdr:txBody>
    </xdr:sp>
    <xdr:clientData/>
  </xdr:twoCellAnchor>
  <xdr:twoCellAnchor>
    <xdr:from>
      <xdr:col>6</xdr:col>
      <xdr:colOff>142875</xdr:colOff>
      <xdr:row>348</xdr:row>
      <xdr:rowOff>133350</xdr:rowOff>
    </xdr:from>
    <xdr:to>
      <xdr:col>7</xdr:col>
      <xdr:colOff>314325</xdr:colOff>
      <xdr:row>351</xdr:row>
      <xdr:rowOff>47625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419725" y="64255650"/>
          <a:ext cx="1009650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ln>
                <a:noFill/>
              </a:ln>
              <a:solidFill>
                <a:srgbClr val="01015F"/>
              </a:solidFill>
            </a:rPr>
            <a:t>Building No. 1 (A Wing)</a:t>
          </a:r>
        </a:p>
      </xdr:txBody>
    </xdr:sp>
    <xdr:clientData/>
  </xdr:twoCellAnchor>
  <xdr:twoCellAnchor>
    <xdr:from>
      <xdr:col>6</xdr:col>
      <xdr:colOff>257175</xdr:colOff>
      <xdr:row>354</xdr:row>
      <xdr:rowOff>28575</xdr:rowOff>
    </xdr:from>
    <xdr:to>
      <xdr:col>7</xdr:col>
      <xdr:colOff>428625</xdr:colOff>
      <xdr:row>356</xdr:row>
      <xdr:rowOff>142875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534025" y="65351025"/>
          <a:ext cx="1009650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ln>
                <a:noFill/>
              </a:ln>
              <a:solidFill>
                <a:srgbClr val="0070C0"/>
              </a:solidFill>
            </a:rPr>
            <a:t>Building No. 2 (B Wing)</a:t>
          </a:r>
        </a:p>
      </xdr:txBody>
    </xdr:sp>
    <xdr:clientData/>
  </xdr:twoCellAnchor>
  <xdr:twoCellAnchor>
    <xdr:from>
      <xdr:col>6</xdr:col>
      <xdr:colOff>228600</xdr:colOff>
      <xdr:row>358</xdr:row>
      <xdr:rowOff>123825</xdr:rowOff>
    </xdr:from>
    <xdr:to>
      <xdr:col>7</xdr:col>
      <xdr:colOff>400050</xdr:colOff>
      <xdr:row>361</xdr:row>
      <xdr:rowOff>38100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505450" y="66246375"/>
          <a:ext cx="1009650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ln>
                <a:noFill/>
              </a:ln>
              <a:solidFill>
                <a:srgbClr val="FF0000"/>
              </a:solidFill>
            </a:rPr>
            <a:t>Building No. 2 (C Wing)</a:t>
          </a:r>
        </a:p>
      </xdr:txBody>
    </xdr:sp>
    <xdr:clientData/>
  </xdr:twoCellAnchor>
  <xdr:twoCellAnchor>
    <xdr:from>
      <xdr:col>4</xdr:col>
      <xdr:colOff>523875</xdr:colOff>
      <xdr:row>367</xdr:row>
      <xdr:rowOff>0</xdr:rowOff>
    </xdr:from>
    <xdr:to>
      <xdr:col>5</xdr:col>
      <xdr:colOff>695325</xdr:colOff>
      <xdr:row>369</xdr:row>
      <xdr:rowOff>114300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124325" y="67922775"/>
          <a:ext cx="1009650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ln>
                <a:noFill/>
              </a:ln>
              <a:solidFill>
                <a:srgbClr val="7030A0"/>
              </a:solidFill>
            </a:rPr>
            <a:t>Building No. 2 (D Wing)</a:t>
          </a:r>
        </a:p>
      </xdr:txBody>
    </xdr:sp>
    <xdr:clientData/>
  </xdr:twoCellAnchor>
  <xdr:twoCellAnchor>
    <xdr:from>
      <xdr:col>4</xdr:col>
      <xdr:colOff>85725</xdr:colOff>
      <xdr:row>356</xdr:row>
      <xdr:rowOff>152400</xdr:rowOff>
    </xdr:from>
    <xdr:to>
      <xdr:col>5</xdr:col>
      <xdr:colOff>257175</xdr:colOff>
      <xdr:row>359</xdr:row>
      <xdr:rowOff>66675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686175" y="65874900"/>
          <a:ext cx="1009650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ln>
                <a:noFill/>
              </a:ln>
              <a:solidFill>
                <a:schemeClr val="accent2"/>
              </a:solidFill>
            </a:rPr>
            <a:t>Building No. 2 (E Wing)</a:t>
          </a:r>
        </a:p>
      </xdr:txBody>
    </xdr:sp>
    <xdr:clientData/>
  </xdr:twoCellAnchor>
  <xdr:twoCellAnchor>
    <xdr:from>
      <xdr:col>5</xdr:col>
      <xdr:colOff>457200</xdr:colOff>
      <xdr:row>349</xdr:row>
      <xdr:rowOff>152400</xdr:rowOff>
    </xdr:from>
    <xdr:to>
      <xdr:col>6</xdr:col>
      <xdr:colOff>314325</xdr:colOff>
      <xdr:row>353</xdr:row>
      <xdr:rowOff>95250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H="1">
          <a:off x="4895850" y="64474725"/>
          <a:ext cx="695325" cy="742950"/>
        </a:xfrm>
        <a:prstGeom prst="straightConnector1">
          <a:avLst/>
        </a:prstGeom>
        <a:ln w="19050">
          <a:solidFill>
            <a:srgbClr val="F77439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355</xdr:row>
      <xdr:rowOff>28575</xdr:rowOff>
    </xdr:from>
    <xdr:to>
      <xdr:col>6</xdr:col>
      <xdr:colOff>428625</xdr:colOff>
      <xdr:row>358</xdr:row>
      <xdr:rowOff>161925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H="1">
          <a:off x="4943475" y="65551050"/>
          <a:ext cx="762000" cy="733425"/>
        </a:xfrm>
        <a:prstGeom prst="straightConnector1">
          <a:avLst/>
        </a:prstGeom>
        <a:ln w="19050">
          <a:solidFill>
            <a:srgbClr val="F32BB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723900</xdr:colOff>
      <xdr:row>360</xdr:row>
      <xdr:rowOff>85725</xdr:rowOff>
    </xdr:from>
    <xdr:to>
      <xdr:col>6</xdr:col>
      <xdr:colOff>466725</xdr:colOff>
      <xdr:row>363</xdr:row>
      <xdr:rowOff>47625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5162550" y="66608325"/>
          <a:ext cx="581025" cy="561975"/>
        </a:xfrm>
        <a:prstGeom prst="straightConnector1">
          <a:avLst/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66675</xdr:colOff>
      <xdr:row>365</xdr:row>
      <xdr:rowOff>28575</xdr:rowOff>
    </xdr:from>
    <xdr:to>
      <xdr:col>5</xdr:col>
      <xdr:colOff>180976</xdr:colOff>
      <xdr:row>367</xdr:row>
      <xdr:rowOff>123825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V="1">
          <a:off x="4505325" y="67551300"/>
          <a:ext cx="114301" cy="495300"/>
        </a:xfrm>
        <a:prstGeom prst="straightConnector1">
          <a:avLst/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466725</xdr:colOff>
      <xdr:row>358</xdr:row>
      <xdr:rowOff>85725</xdr:rowOff>
    </xdr:from>
    <xdr:to>
      <xdr:col>5</xdr:col>
      <xdr:colOff>114300</xdr:colOff>
      <xdr:row>360</xdr:row>
      <xdr:rowOff>85725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4067175" y="66208275"/>
          <a:ext cx="485775" cy="400050"/>
        </a:xfrm>
        <a:prstGeom prst="straightConnector1">
          <a:avLst/>
        </a:prstGeom>
        <a:ln w="1905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323850</xdr:colOff>
      <xdr:row>246</xdr:row>
      <xdr:rowOff>123825</xdr:rowOff>
    </xdr:from>
    <xdr:to>
      <xdr:col>13</xdr:col>
      <xdr:colOff>409575</xdr:colOff>
      <xdr:row>251</xdr:row>
      <xdr:rowOff>47625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9391650" y="53092350"/>
          <a:ext cx="2438400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0070C0"/>
              </a:solidFill>
            </a:rPr>
            <a:t>Building No. 2 (B Wing)</a:t>
          </a:r>
        </a:p>
      </xdr:txBody>
    </xdr:sp>
    <xdr:clientData/>
  </xdr:twoCellAnchor>
  <xdr:twoCellAnchor>
    <xdr:from>
      <xdr:col>13</xdr:col>
      <xdr:colOff>219075</xdr:colOff>
      <xdr:row>246</xdr:row>
      <xdr:rowOff>114300</xdr:rowOff>
    </xdr:from>
    <xdr:to>
      <xdr:col>16</xdr:col>
      <xdr:colOff>209550</xdr:colOff>
      <xdr:row>251</xdr:row>
      <xdr:rowOff>38100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1639550" y="53082825"/>
          <a:ext cx="2438400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FF0000"/>
              </a:solidFill>
            </a:rPr>
            <a:t>Building No. 2 (C Wing)</a:t>
          </a:r>
        </a:p>
      </xdr:txBody>
    </xdr:sp>
    <xdr:clientData/>
  </xdr:twoCellAnchor>
  <xdr:twoCellAnchor>
    <xdr:from>
      <xdr:col>8</xdr:col>
      <xdr:colOff>238125</xdr:colOff>
      <xdr:row>275</xdr:row>
      <xdr:rowOff>28575</xdr:rowOff>
    </xdr:from>
    <xdr:to>
      <xdr:col>10</xdr:col>
      <xdr:colOff>609600</xdr:colOff>
      <xdr:row>277</xdr:row>
      <xdr:rowOff>142875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7239000" y="55587900"/>
          <a:ext cx="2438400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7030A0"/>
              </a:solidFill>
            </a:rPr>
            <a:t>Building No. 2 (D Wing)</a:t>
          </a:r>
        </a:p>
      </xdr:txBody>
    </xdr:sp>
    <xdr:clientData/>
  </xdr:twoCellAnchor>
  <xdr:twoCellAnchor>
    <xdr:from>
      <xdr:col>7</xdr:col>
      <xdr:colOff>800100</xdr:colOff>
      <xdr:row>283</xdr:row>
      <xdr:rowOff>95250</xdr:rowOff>
    </xdr:from>
    <xdr:to>
      <xdr:col>10</xdr:col>
      <xdr:colOff>285750</xdr:colOff>
      <xdr:row>286</xdr:row>
      <xdr:rowOff>9525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915150" y="57254775"/>
          <a:ext cx="2438400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chemeClr val="accent2"/>
              </a:solidFill>
            </a:rPr>
            <a:t>Building No. 2 (E Wing)</a:t>
          </a:r>
        </a:p>
      </xdr:txBody>
    </xdr:sp>
    <xdr:clientData/>
  </xdr:twoCellAnchor>
  <xdr:twoCellAnchor editAs="oneCell">
    <xdr:from>
      <xdr:col>0</xdr:col>
      <xdr:colOff>542925</xdr:colOff>
      <xdr:row>434</xdr:row>
      <xdr:rowOff>0</xdr:rowOff>
    </xdr:from>
    <xdr:to>
      <xdr:col>7</xdr:col>
      <xdr:colOff>263254</xdr:colOff>
      <xdr:row>452</xdr:row>
      <xdr:rowOff>416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2925" y="73123425"/>
          <a:ext cx="583537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542925</xdr:colOff>
      <xdr:row>452</xdr:row>
      <xdr:rowOff>169770</xdr:rowOff>
    </xdr:from>
    <xdr:to>
      <xdr:col>7</xdr:col>
      <xdr:colOff>263254</xdr:colOff>
      <xdr:row>470</xdr:row>
      <xdr:rowOff>169320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2925" y="76893645"/>
          <a:ext cx="583537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552450</xdr:colOff>
      <xdr:row>462</xdr:row>
      <xdr:rowOff>85725</xdr:rowOff>
    </xdr:from>
    <xdr:to>
      <xdr:col>4</xdr:col>
      <xdr:colOff>200025</xdr:colOff>
      <xdr:row>465</xdr:row>
      <xdr:rowOff>28574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3143250" y="78809850"/>
          <a:ext cx="657225" cy="542924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361950</xdr:colOff>
      <xdr:row>462</xdr:row>
      <xdr:rowOff>57150</xdr:rowOff>
    </xdr:from>
    <xdr:to>
      <xdr:col>5</xdr:col>
      <xdr:colOff>400050</xdr:colOff>
      <xdr:row>462</xdr:row>
      <xdr:rowOff>76200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>
          <a:off x="3962400" y="78781275"/>
          <a:ext cx="876300" cy="19050"/>
        </a:xfrm>
        <a:prstGeom prst="line">
          <a:avLst/>
        </a:prstGeom>
        <a:ln w="190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370</xdr:row>
      <xdr:rowOff>47625</xdr:rowOff>
    </xdr:from>
    <xdr:to>
      <xdr:col>2</xdr:col>
      <xdr:colOff>628650</xdr:colOff>
      <xdr:row>375</xdr:row>
      <xdr:rowOff>95250</xdr:rowOff>
    </xdr:to>
    <xdr:sp macro="" textlink="">
      <xdr:nvSpPr>
        <xdr:cNvPr id="14" name="Freeform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71550" y="65989200"/>
          <a:ext cx="1333500" cy="1047750"/>
        </a:xfrm>
        <a:custGeom>
          <a:avLst/>
          <a:gdLst>
            <a:gd name="connsiteX0" fmla="*/ 1333500 w 1333500"/>
            <a:gd name="connsiteY0" fmla="*/ 0 h 1047750"/>
            <a:gd name="connsiteX1" fmla="*/ 1285875 w 1333500"/>
            <a:gd name="connsiteY1" fmla="*/ 962025 h 1047750"/>
            <a:gd name="connsiteX2" fmla="*/ 809625 w 1333500"/>
            <a:gd name="connsiteY2" fmla="*/ 1047750 h 1047750"/>
            <a:gd name="connsiteX3" fmla="*/ 28575 w 1333500"/>
            <a:gd name="connsiteY3" fmla="*/ 257175 h 1047750"/>
            <a:gd name="connsiteX4" fmla="*/ 0 w 1333500"/>
            <a:gd name="connsiteY4" fmla="*/ 228600 h 1047750"/>
            <a:gd name="connsiteX5" fmla="*/ 1333500 w 1333500"/>
            <a:gd name="connsiteY5" fmla="*/ 0 h 1047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333500" h="1047750">
              <a:moveTo>
                <a:pt x="1333500" y="0"/>
              </a:moveTo>
              <a:lnTo>
                <a:pt x="1285875" y="962025"/>
              </a:lnTo>
              <a:lnTo>
                <a:pt x="809625" y="1047750"/>
              </a:lnTo>
              <a:lnTo>
                <a:pt x="28575" y="257175"/>
              </a:lnTo>
              <a:lnTo>
                <a:pt x="0" y="228600"/>
              </a:lnTo>
              <a:lnTo>
                <a:pt x="1333500" y="0"/>
              </a:lnTo>
              <a:close/>
            </a:path>
          </a:pathLst>
        </a:cu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342900</xdr:colOff>
      <xdr:row>357</xdr:row>
      <xdr:rowOff>133350</xdr:rowOff>
    </xdr:from>
    <xdr:to>
      <xdr:col>1</xdr:col>
      <xdr:colOff>485775</xdr:colOff>
      <xdr:row>358</xdr:row>
      <xdr:rowOff>57150</xdr:rowOff>
    </xdr:to>
    <xdr:sp macro="" textlink="">
      <xdr:nvSpPr>
        <xdr:cNvPr id="22" name="Freeform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162050" y="63474600"/>
          <a:ext cx="142875" cy="123825"/>
        </a:xfrm>
        <a:custGeom>
          <a:avLst/>
          <a:gdLst>
            <a:gd name="connsiteX0" fmla="*/ 0 w 142875"/>
            <a:gd name="connsiteY0" fmla="*/ 9525 h 123825"/>
            <a:gd name="connsiteX1" fmla="*/ 142875 w 142875"/>
            <a:gd name="connsiteY1" fmla="*/ 0 h 123825"/>
            <a:gd name="connsiteX2" fmla="*/ 142875 w 142875"/>
            <a:gd name="connsiteY2" fmla="*/ 114300 h 123825"/>
            <a:gd name="connsiteX3" fmla="*/ 104775 w 142875"/>
            <a:gd name="connsiteY3" fmla="*/ 123825 h 123825"/>
            <a:gd name="connsiteX4" fmla="*/ 0 w 142875"/>
            <a:gd name="connsiteY4" fmla="*/ 9525 h 1238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2875" h="123825">
              <a:moveTo>
                <a:pt x="0" y="9525"/>
              </a:moveTo>
              <a:lnTo>
                <a:pt x="142875" y="0"/>
              </a:lnTo>
              <a:lnTo>
                <a:pt x="142875" y="114300"/>
              </a:lnTo>
              <a:lnTo>
                <a:pt x="104775" y="123825"/>
              </a:lnTo>
              <a:lnTo>
                <a:pt x="0" y="9525"/>
              </a:lnTo>
              <a:close/>
            </a:path>
          </a:pathLst>
        </a:cu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266700</xdr:colOff>
      <xdr:row>371</xdr:row>
      <xdr:rowOff>28575</xdr:rowOff>
    </xdr:from>
    <xdr:to>
      <xdr:col>2</xdr:col>
      <xdr:colOff>790575</xdr:colOff>
      <xdr:row>373</xdr:row>
      <xdr:rowOff>152400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085850" y="66170175"/>
          <a:ext cx="1381125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ln>
                <a:noFill/>
              </a:ln>
              <a:solidFill>
                <a:srgbClr val="0070C0"/>
              </a:solidFill>
            </a:rPr>
            <a:t>141/5A</a:t>
          </a:r>
        </a:p>
      </xdr:txBody>
    </xdr:sp>
    <xdr:clientData/>
  </xdr:twoCellAnchor>
  <xdr:twoCellAnchor>
    <xdr:from>
      <xdr:col>0</xdr:col>
      <xdr:colOff>552450</xdr:colOff>
      <xdr:row>358</xdr:row>
      <xdr:rowOff>95250</xdr:rowOff>
    </xdr:from>
    <xdr:to>
      <xdr:col>2</xdr:col>
      <xdr:colOff>257175</xdr:colOff>
      <xdr:row>361</xdr:row>
      <xdr:rowOff>19050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2450" y="63636525"/>
          <a:ext cx="1381125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ln>
                <a:noFill/>
              </a:ln>
              <a:solidFill>
                <a:srgbClr val="0070C0"/>
              </a:solidFill>
            </a:rPr>
            <a:t>141/5A</a:t>
          </a:r>
        </a:p>
      </xdr:txBody>
    </xdr:sp>
    <xdr:clientData/>
  </xdr:twoCellAnchor>
  <xdr:twoCellAnchor>
    <xdr:from>
      <xdr:col>1</xdr:col>
      <xdr:colOff>85725</xdr:colOff>
      <xdr:row>358</xdr:row>
      <xdr:rowOff>9525</xdr:rowOff>
    </xdr:from>
    <xdr:to>
      <xdr:col>1</xdr:col>
      <xdr:colOff>400050</xdr:colOff>
      <xdr:row>359</xdr:row>
      <xdr:rowOff>9525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904875" y="63550800"/>
          <a:ext cx="314325" cy="2000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9</xdr:col>
      <xdr:colOff>12700</xdr:colOff>
      <xdr:row>264</xdr:row>
      <xdr:rowOff>127000</xdr:rowOff>
    </xdr:from>
    <xdr:ext cx="596574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77200" y="5593715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oneCellAnchor>
  <xdr:twoCellAnchor editAs="oneCell">
    <xdr:from>
      <xdr:col>1</xdr:col>
      <xdr:colOff>196850</xdr:colOff>
      <xdr:row>391</xdr:row>
      <xdr:rowOff>114300</xdr:rowOff>
    </xdr:from>
    <xdr:to>
      <xdr:col>6</xdr:col>
      <xdr:colOff>708704</xdr:colOff>
      <xdr:row>426</xdr:row>
      <xdr:rowOff>26349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6950" y="72504300"/>
          <a:ext cx="4867954" cy="68017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238125</xdr:colOff>
      <xdr:row>318</xdr:row>
      <xdr:rowOff>28575</xdr:rowOff>
    </xdr:from>
    <xdr:to>
      <xdr:col>10</xdr:col>
      <xdr:colOff>609600</xdr:colOff>
      <xdr:row>320</xdr:row>
      <xdr:rowOff>142875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7083425" y="58245375"/>
          <a:ext cx="2390775" cy="50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7030A0"/>
              </a:solidFill>
            </a:rPr>
            <a:t>Building No. 2 (D Wing)</a:t>
          </a:r>
        </a:p>
      </xdr:txBody>
    </xdr:sp>
    <xdr:clientData/>
  </xdr:twoCellAnchor>
  <xdr:twoCellAnchor>
    <xdr:from>
      <xdr:col>7</xdr:col>
      <xdr:colOff>800100</xdr:colOff>
      <xdr:row>326</xdr:row>
      <xdr:rowOff>95250</xdr:rowOff>
    </xdr:from>
    <xdr:to>
      <xdr:col>10</xdr:col>
      <xdr:colOff>285750</xdr:colOff>
      <xdr:row>329</xdr:row>
      <xdr:rowOff>9525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775450" y="59886850"/>
          <a:ext cx="237490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chemeClr val="accent2"/>
              </a:solidFill>
            </a:rPr>
            <a:t>Building No. 2 (E Wing)</a:t>
          </a:r>
        </a:p>
      </xdr:txBody>
    </xdr:sp>
    <xdr:clientData/>
  </xdr:twoCellAnchor>
  <xdr:oneCellAnchor>
    <xdr:from>
      <xdr:col>9</xdr:col>
      <xdr:colOff>12700</xdr:colOff>
      <xdr:row>307</xdr:row>
      <xdr:rowOff>127000</xdr:rowOff>
    </xdr:from>
    <xdr:ext cx="596574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77200" y="5617845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oneCellAnchor>
  <xdr:twoCellAnchor>
    <xdr:from>
      <xdr:col>0</xdr:col>
      <xdr:colOff>171450</xdr:colOff>
      <xdr:row>262</xdr:row>
      <xdr:rowOff>114300</xdr:rowOff>
    </xdr:from>
    <xdr:to>
      <xdr:col>7</xdr:col>
      <xdr:colOff>619247</xdr:colOff>
      <xdr:row>302</xdr:row>
      <xdr:rowOff>100033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71450" y="56388000"/>
          <a:ext cx="6423147" cy="7859733"/>
          <a:chOff x="171450" y="55772050"/>
          <a:chExt cx="6423147" cy="7859733"/>
        </a:xfrm>
      </xdr:grpSpPr>
      <xdr:pic>
        <xdr:nvPicPr>
          <xdr:cNvPr id="58" name="Picture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58092" y="557720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44734" y="557720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2996" y="58619133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58091" y="586247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39250" y="58619133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2892" y="61471783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450" y="557720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5" name="TextBox 74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1104900" y="56267350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76" name="TextBox 75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5059084" y="56032400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77" name="TextBox 76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700046" y="58835033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  <xdr:sp macro="" textlink="">
        <xdr:nvSpPr>
          <xdr:cNvPr id="78" name="TextBox 77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2808941" y="59062850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</a:t>
            </a:r>
          </a:p>
        </xdr:txBody>
      </xdr:sp>
      <xdr:sp macro="" textlink="">
        <xdr:nvSpPr>
          <xdr:cNvPr id="79" name="TextBox 78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5510800" y="58720733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 Wing</a:t>
            </a:r>
          </a:p>
        </xdr:txBody>
      </xdr:sp>
      <xdr:pic>
        <xdr:nvPicPr>
          <xdr:cNvPr id="81" name="Picture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2650" y="6146800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254000</xdr:colOff>
      <xdr:row>306</xdr:row>
      <xdr:rowOff>6350</xdr:rowOff>
    </xdr:from>
    <xdr:to>
      <xdr:col>7</xdr:col>
      <xdr:colOff>653201</xdr:colOff>
      <xdr:row>340</xdr:row>
      <xdr:rowOff>40420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254000" y="64941450"/>
          <a:ext cx="6374551" cy="6726970"/>
          <a:chOff x="254000" y="64325500"/>
          <a:chExt cx="6374551" cy="6726970"/>
        </a:xfrm>
      </xdr:grpSpPr>
      <xdr:pic>
        <xdr:nvPicPr>
          <xdr:cNvPr id="82" name="Picture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38708" y="6889247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3" name="Picture 8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61629" y="66608985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4" name="Picture 8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10238" y="66608985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5" name="Picture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4000" y="66608985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6" name="Picture 8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38708" y="6432550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7" name="Picture 8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90099" y="6889247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8" name="Picture 8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0541" y="6432550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9" name="TextBox 88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3648979" y="67282085"/>
            <a:ext cx="1044004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Shop No.17</a:t>
            </a:r>
          </a:p>
        </xdr:txBody>
      </xdr:sp>
      <xdr:sp macro="" textlink="">
        <xdr:nvSpPr>
          <xdr:cNvPr id="90" name="TextBox 89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5061038" y="68177435"/>
            <a:ext cx="1044004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Shop No.17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6PmsQJ5dD4o2QNf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33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38" customWidth="1"/>
    <col min="2" max="2" width="12" style="38" customWidth="1"/>
    <col min="3" max="3" width="12.7265625" style="38" customWidth="1"/>
    <col min="4" max="4" width="14.1796875" style="38" customWidth="1"/>
    <col min="5" max="7" width="11.7265625" style="38" customWidth="1"/>
    <col min="8" max="8" width="12.453125" style="38" customWidth="1"/>
    <col min="9" max="9" width="17.453125" style="19" customWidth="1"/>
    <col min="10" max="10" width="11.453125" style="19" customWidth="1"/>
    <col min="11" max="11" width="10.54296875" style="19" bestFit="1" customWidth="1"/>
    <col min="12" max="12" width="10.54296875" style="19" customWidth="1"/>
    <col min="13" max="13" width="11.81640625" style="19" customWidth="1"/>
    <col min="14" max="14" width="12.54296875" style="19" customWidth="1"/>
    <col min="15" max="15" width="9.81640625" style="19" customWidth="1"/>
    <col min="16" max="16" width="11.7265625" style="19" customWidth="1"/>
    <col min="17" max="247" width="9.1796875" style="19"/>
    <col min="248" max="248" width="8.7265625" style="19" customWidth="1"/>
    <col min="249" max="249" width="9.81640625" style="19" customWidth="1"/>
    <col min="250" max="250" width="14.453125" style="19" customWidth="1"/>
    <col min="251" max="251" width="7.26953125" style="19" customWidth="1"/>
    <col min="252" max="252" width="5.54296875" style="19" customWidth="1"/>
    <col min="253" max="253" width="9" style="19" customWidth="1"/>
    <col min="254" max="255" width="9.81640625" style="19" customWidth="1"/>
    <col min="256" max="256" width="11.1796875" style="19" customWidth="1"/>
    <col min="257" max="257" width="2.81640625" style="19" customWidth="1"/>
    <col min="258" max="258" width="3.54296875" style="19" customWidth="1"/>
    <col min="259" max="503" width="9.1796875" style="19"/>
    <col min="504" max="504" width="8.7265625" style="19" customWidth="1"/>
    <col min="505" max="505" width="9.81640625" style="19" customWidth="1"/>
    <col min="506" max="506" width="14.453125" style="19" customWidth="1"/>
    <col min="507" max="507" width="7.26953125" style="19" customWidth="1"/>
    <col min="508" max="508" width="5.54296875" style="19" customWidth="1"/>
    <col min="509" max="509" width="9" style="19" customWidth="1"/>
    <col min="510" max="511" width="9.81640625" style="19" customWidth="1"/>
    <col min="512" max="512" width="11.1796875" style="19" customWidth="1"/>
    <col min="513" max="513" width="2.81640625" style="19" customWidth="1"/>
    <col min="514" max="514" width="3.54296875" style="19" customWidth="1"/>
    <col min="515" max="759" width="9.1796875" style="19"/>
    <col min="760" max="760" width="8.7265625" style="19" customWidth="1"/>
    <col min="761" max="761" width="9.81640625" style="19" customWidth="1"/>
    <col min="762" max="762" width="14.453125" style="19" customWidth="1"/>
    <col min="763" max="763" width="7.26953125" style="19" customWidth="1"/>
    <col min="764" max="764" width="5.54296875" style="19" customWidth="1"/>
    <col min="765" max="765" width="9" style="19" customWidth="1"/>
    <col min="766" max="767" width="9.81640625" style="19" customWidth="1"/>
    <col min="768" max="768" width="11.1796875" style="19" customWidth="1"/>
    <col min="769" max="769" width="2.81640625" style="19" customWidth="1"/>
    <col min="770" max="770" width="3.54296875" style="19" customWidth="1"/>
    <col min="771" max="1015" width="9.1796875" style="19"/>
    <col min="1016" max="1016" width="8.7265625" style="19" customWidth="1"/>
    <col min="1017" max="1017" width="9.81640625" style="19" customWidth="1"/>
    <col min="1018" max="1018" width="14.453125" style="19" customWidth="1"/>
    <col min="1019" max="1019" width="7.26953125" style="19" customWidth="1"/>
    <col min="1020" max="1020" width="5.54296875" style="19" customWidth="1"/>
    <col min="1021" max="1021" width="9" style="19" customWidth="1"/>
    <col min="1022" max="1023" width="9.81640625" style="19" customWidth="1"/>
    <col min="1024" max="1024" width="11.1796875" style="19" customWidth="1"/>
    <col min="1025" max="1025" width="2.81640625" style="19" customWidth="1"/>
    <col min="1026" max="1026" width="3.54296875" style="19" customWidth="1"/>
    <col min="1027" max="1271" width="9.1796875" style="19"/>
    <col min="1272" max="1272" width="8.7265625" style="19" customWidth="1"/>
    <col min="1273" max="1273" width="9.81640625" style="19" customWidth="1"/>
    <col min="1274" max="1274" width="14.453125" style="19" customWidth="1"/>
    <col min="1275" max="1275" width="7.26953125" style="19" customWidth="1"/>
    <col min="1276" max="1276" width="5.54296875" style="19" customWidth="1"/>
    <col min="1277" max="1277" width="9" style="19" customWidth="1"/>
    <col min="1278" max="1279" width="9.81640625" style="19" customWidth="1"/>
    <col min="1280" max="1280" width="11.1796875" style="19" customWidth="1"/>
    <col min="1281" max="1281" width="2.81640625" style="19" customWidth="1"/>
    <col min="1282" max="1282" width="3.54296875" style="19" customWidth="1"/>
    <col min="1283" max="1527" width="9.1796875" style="19"/>
    <col min="1528" max="1528" width="8.7265625" style="19" customWidth="1"/>
    <col min="1529" max="1529" width="9.81640625" style="19" customWidth="1"/>
    <col min="1530" max="1530" width="14.453125" style="19" customWidth="1"/>
    <col min="1531" max="1531" width="7.26953125" style="19" customWidth="1"/>
    <col min="1532" max="1532" width="5.54296875" style="19" customWidth="1"/>
    <col min="1533" max="1533" width="9" style="19" customWidth="1"/>
    <col min="1534" max="1535" width="9.81640625" style="19" customWidth="1"/>
    <col min="1536" max="1536" width="11.1796875" style="19" customWidth="1"/>
    <col min="1537" max="1537" width="2.81640625" style="19" customWidth="1"/>
    <col min="1538" max="1538" width="3.54296875" style="19" customWidth="1"/>
    <col min="1539" max="1783" width="9.1796875" style="19"/>
    <col min="1784" max="1784" width="8.7265625" style="19" customWidth="1"/>
    <col min="1785" max="1785" width="9.81640625" style="19" customWidth="1"/>
    <col min="1786" max="1786" width="14.453125" style="19" customWidth="1"/>
    <col min="1787" max="1787" width="7.26953125" style="19" customWidth="1"/>
    <col min="1788" max="1788" width="5.54296875" style="19" customWidth="1"/>
    <col min="1789" max="1789" width="9" style="19" customWidth="1"/>
    <col min="1790" max="1791" width="9.81640625" style="19" customWidth="1"/>
    <col min="1792" max="1792" width="11.1796875" style="19" customWidth="1"/>
    <col min="1793" max="1793" width="2.81640625" style="19" customWidth="1"/>
    <col min="1794" max="1794" width="3.54296875" style="19" customWidth="1"/>
    <col min="1795" max="2039" width="9.1796875" style="19"/>
    <col min="2040" max="2040" width="8.7265625" style="19" customWidth="1"/>
    <col min="2041" max="2041" width="9.81640625" style="19" customWidth="1"/>
    <col min="2042" max="2042" width="14.453125" style="19" customWidth="1"/>
    <col min="2043" max="2043" width="7.26953125" style="19" customWidth="1"/>
    <col min="2044" max="2044" width="5.54296875" style="19" customWidth="1"/>
    <col min="2045" max="2045" width="9" style="19" customWidth="1"/>
    <col min="2046" max="2047" width="9.81640625" style="19" customWidth="1"/>
    <col min="2048" max="2048" width="11.1796875" style="19" customWidth="1"/>
    <col min="2049" max="2049" width="2.81640625" style="19" customWidth="1"/>
    <col min="2050" max="2050" width="3.54296875" style="19" customWidth="1"/>
    <col min="2051" max="2295" width="9.1796875" style="19"/>
    <col min="2296" max="2296" width="8.7265625" style="19" customWidth="1"/>
    <col min="2297" max="2297" width="9.81640625" style="19" customWidth="1"/>
    <col min="2298" max="2298" width="14.453125" style="19" customWidth="1"/>
    <col min="2299" max="2299" width="7.26953125" style="19" customWidth="1"/>
    <col min="2300" max="2300" width="5.54296875" style="19" customWidth="1"/>
    <col min="2301" max="2301" width="9" style="19" customWidth="1"/>
    <col min="2302" max="2303" width="9.81640625" style="19" customWidth="1"/>
    <col min="2304" max="2304" width="11.1796875" style="19" customWidth="1"/>
    <col min="2305" max="2305" width="2.81640625" style="19" customWidth="1"/>
    <col min="2306" max="2306" width="3.54296875" style="19" customWidth="1"/>
    <col min="2307" max="2551" width="9.1796875" style="19"/>
    <col min="2552" max="2552" width="8.7265625" style="19" customWidth="1"/>
    <col min="2553" max="2553" width="9.81640625" style="19" customWidth="1"/>
    <col min="2554" max="2554" width="14.453125" style="19" customWidth="1"/>
    <col min="2555" max="2555" width="7.26953125" style="19" customWidth="1"/>
    <col min="2556" max="2556" width="5.54296875" style="19" customWidth="1"/>
    <col min="2557" max="2557" width="9" style="19" customWidth="1"/>
    <col min="2558" max="2559" width="9.81640625" style="19" customWidth="1"/>
    <col min="2560" max="2560" width="11.1796875" style="19" customWidth="1"/>
    <col min="2561" max="2561" width="2.81640625" style="19" customWidth="1"/>
    <col min="2562" max="2562" width="3.54296875" style="19" customWidth="1"/>
    <col min="2563" max="2807" width="9.1796875" style="19"/>
    <col min="2808" max="2808" width="8.7265625" style="19" customWidth="1"/>
    <col min="2809" max="2809" width="9.81640625" style="19" customWidth="1"/>
    <col min="2810" max="2810" width="14.453125" style="19" customWidth="1"/>
    <col min="2811" max="2811" width="7.26953125" style="19" customWidth="1"/>
    <col min="2812" max="2812" width="5.54296875" style="19" customWidth="1"/>
    <col min="2813" max="2813" width="9" style="19" customWidth="1"/>
    <col min="2814" max="2815" width="9.81640625" style="19" customWidth="1"/>
    <col min="2816" max="2816" width="11.1796875" style="19" customWidth="1"/>
    <col min="2817" max="2817" width="2.81640625" style="19" customWidth="1"/>
    <col min="2818" max="2818" width="3.54296875" style="19" customWidth="1"/>
    <col min="2819" max="3063" width="9.1796875" style="19"/>
    <col min="3064" max="3064" width="8.7265625" style="19" customWidth="1"/>
    <col min="3065" max="3065" width="9.81640625" style="19" customWidth="1"/>
    <col min="3066" max="3066" width="14.453125" style="19" customWidth="1"/>
    <col min="3067" max="3067" width="7.26953125" style="19" customWidth="1"/>
    <col min="3068" max="3068" width="5.54296875" style="19" customWidth="1"/>
    <col min="3069" max="3069" width="9" style="19" customWidth="1"/>
    <col min="3070" max="3071" width="9.81640625" style="19" customWidth="1"/>
    <col min="3072" max="3072" width="11.1796875" style="19" customWidth="1"/>
    <col min="3073" max="3073" width="2.81640625" style="19" customWidth="1"/>
    <col min="3074" max="3074" width="3.54296875" style="19" customWidth="1"/>
    <col min="3075" max="3319" width="9.1796875" style="19"/>
    <col min="3320" max="3320" width="8.7265625" style="19" customWidth="1"/>
    <col min="3321" max="3321" width="9.81640625" style="19" customWidth="1"/>
    <col min="3322" max="3322" width="14.453125" style="19" customWidth="1"/>
    <col min="3323" max="3323" width="7.26953125" style="19" customWidth="1"/>
    <col min="3324" max="3324" width="5.54296875" style="19" customWidth="1"/>
    <col min="3325" max="3325" width="9" style="19" customWidth="1"/>
    <col min="3326" max="3327" width="9.81640625" style="19" customWidth="1"/>
    <col min="3328" max="3328" width="11.1796875" style="19" customWidth="1"/>
    <col min="3329" max="3329" width="2.81640625" style="19" customWidth="1"/>
    <col min="3330" max="3330" width="3.54296875" style="19" customWidth="1"/>
    <col min="3331" max="3575" width="9.1796875" style="19"/>
    <col min="3576" max="3576" width="8.7265625" style="19" customWidth="1"/>
    <col min="3577" max="3577" width="9.81640625" style="19" customWidth="1"/>
    <col min="3578" max="3578" width="14.453125" style="19" customWidth="1"/>
    <col min="3579" max="3579" width="7.26953125" style="19" customWidth="1"/>
    <col min="3580" max="3580" width="5.54296875" style="19" customWidth="1"/>
    <col min="3581" max="3581" width="9" style="19" customWidth="1"/>
    <col min="3582" max="3583" width="9.81640625" style="19" customWidth="1"/>
    <col min="3584" max="3584" width="11.1796875" style="19" customWidth="1"/>
    <col min="3585" max="3585" width="2.81640625" style="19" customWidth="1"/>
    <col min="3586" max="3586" width="3.54296875" style="19" customWidth="1"/>
    <col min="3587" max="3831" width="9.1796875" style="19"/>
    <col min="3832" max="3832" width="8.7265625" style="19" customWidth="1"/>
    <col min="3833" max="3833" width="9.81640625" style="19" customWidth="1"/>
    <col min="3834" max="3834" width="14.453125" style="19" customWidth="1"/>
    <col min="3835" max="3835" width="7.26953125" style="19" customWidth="1"/>
    <col min="3836" max="3836" width="5.54296875" style="19" customWidth="1"/>
    <col min="3837" max="3837" width="9" style="19" customWidth="1"/>
    <col min="3838" max="3839" width="9.81640625" style="19" customWidth="1"/>
    <col min="3840" max="3840" width="11.1796875" style="19" customWidth="1"/>
    <col min="3841" max="3841" width="2.81640625" style="19" customWidth="1"/>
    <col min="3842" max="3842" width="3.54296875" style="19" customWidth="1"/>
    <col min="3843" max="4087" width="9.1796875" style="19"/>
    <col min="4088" max="4088" width="8.7265625" style="19" customWidth="1"/>
    <col min="4089" max="4089" width="9.81640625" style="19" customWidth="1"/>
    <col min="4090" max="4090" width="14.453125" style="19" customWidth="1"/>
    <col min="4091" max="4091" width="7.26953125" style="19" customWidth="1"/>
    <col min="4092" max="4092" width="5.54296875" style="19" customWidth="1"/>
    <col min="4093" max="4093" width="9" style="19" customWidth="1"/>
    <col min="4094" max="4095" width="9.81640625" style="19" customWidth="1"/>
    <col min="4096" max="4096" width="11.1796875" style="19" customWidth="1"/>
    <col min="4097" max="4097" width="2.81640625" style="19" customWidth="1"/>
    <col min="4098" max="4098" width="3.54296875" style="19" customWidth="1"/>
    <col min="4099" max="4343" width="9.1796875" style="19"/>
    <col min="4344" max="4344" width="8.7265625" style="19" customWidth="1"/>
    <col min="4345" max="4345" width="9.81640625" style="19" customWidth="1"/>
    <col min="4346" max="4346" width="14.453125" style="19" customWidth="1"/>
    <col min="4347" max="4347" width="7.26953125" style="19" customWidth="1"/>
    <col min="4348" max="4348" width="5.54296875" style="19" customWidth="1"/>
    <col min="4349" max="4349" width="9" style="19" customWidth="1"/>
    <col min="4350" max="4351" width="9.81640625" style="19" customWidth="1"/>
    <col min="4352" max="4352" width="11.1796875" style="19" customWidth="1"/>
    <col min="4353" max="4353" width="2.81640625" style="19" customWidth="1"/>
    <col min="4354" max="4354" width="3.54296875" style="19" customWidth="1"/>
    <col min="4355" max="4599" width="9.1796875" style="19"/>
    <col min="4600" max="4600" width="8.7265625" style="19" customWidth="1"/>
    <col min="4601" max="4601" width="9.81640625" style="19" customWidth="1"/>
    <col min="4602" max="4602" width="14.453125" style="19" customWidth="1"/>
    <col min="4603" max="4603" width="7.26953125" style="19" customWidth="1"/>
    <col min="4604" max="4604" width="5.54296875" style="19" customWidth="1"/>
    <col min="4605" max="4605" width="9" style="19" customWidth="1"/>
    <col min="4606" max="4607" width="9.81640625" style="19" customWidth="1"/>
    <col min="4608" max="4608" width="11.1796875" style="19" customWidth="1"/>
    <col min="4609" max="4609" width="2.81640625" style="19" customWidth="1"/>
    <col min="4610" max="4610" width="3.54296875" style="19" customWidth="1"/>
    <col min="4611" max="4855" width="9.1796875" style="19"/>
    <col min="4856" max="4856" width="8.7265625" style="19" customWidth="1"/>
    <col min="4857" max="4857" width="9.81640625" style="19" customWidth="1"/>
    <col min="4858" max="4858" width="14.453125" style="19" customWidth="1"/>
    <col min="4859" max="4859" width="7.26953125" style="19" customWidth="1"/>
    <col min="4860" max="4860" width="5.54296875" style="19" customWidth="1"/>
    <col min="4861" max="4861" width="9" style="19" customWidth="1"/>
    <col min="4862" max="4863" width="9.81640625" style="19" customWidth="1"/>
    <col min="4864" max="4864" width="11.1796875" style="19" customWidth="1"/>
    <col min="4865" max="4865" width="2.81640625" style="19" customWidth="1"/>
    <col min="4866" max="4866" width="3.54296875" style="19" customWidth="1"/>
    <col min="4867" max="5111" width="9.1796875" style="19"/>
    <col min="5112" max="5112" width="8.7265625" style="19" customWidth="1"/>
    <col min="5113" max="5113" width="9.81640625" style="19" customWidth="1"/>
    <col min="5114" max="5114" width="14.453125" style="19" customWidth="1"/>
    <col min="5115" max="5115" width="7.26953125" style="19" customWidth="1"/>
    <col min="5116" max="5116" width="5.54296875" style="19" customWidth="1"/>
    <col min="5117" max="5117" width="9" style="19" customWidth="1"/>
    <col min="5118" max="5119" width="9.81640625" style="19" customWidth="1"/>
    <col min="5120" max="5120" width="11.1796875" style="19" customWidth="1"/>
    <col min="5121" max="5121" width="2.81640625" style="19" customWidth="1"/>
    <col min="5122" max="5122" width="3.54296875" style="19" customWidth="1"/>
    <col min="5123" max="5367" width="9.1796875" style="19"/>
    <col min="5368" max="5368" width="8.7265625" style="19" customWidth="1"/>
    <col min="5369" max="5369" width="9.81640625" style="19" customWidth="1"/>
    <col min="5370" max="5370" width="14.453125" style="19" customWidth="1"/>
    <col min="5371" max="5371" width="7.26953125" style="19" customWidth="1"/>
    <col min="5372" max="5372" width="5.54296875" style="19" customWidth="1"/>
    <col min="5373" max="5373" width="9" style="19" customWidth="1"/>
    <col min="5374" max="5375" width="9.81640625" style="19" customWidth="1"/>
    <col min="5376" max="5376" width="11.1796875" style="19" customWidth="1"/>
    <col min="5377" max="5377" width="2.81640625" style="19" customWidth="1"/>
    <col min="5378" max="5378" width="3.54296875" style="19" customWidth="1"/>
    <col min="5379" max="5623" width="9.1796875" style="19"/>
    <col min="5624" max="5624" width="8.7265625" style="19" customWidth="1"/>
    <col min="5625" max="5625" width="9.81640625" style="19" customWidth="1"/>
    <col min="5626" max="5626" width="14.453125" style="19" customWidth="1"/>
    <col min="5627" max="5627" width="7.26953125" style="19" customWidth="1"/>
    <col min="5628" max="5628" width="5.54296875" style="19" customWidth="1"/>
    <col min="5629" max="5629" width="9" style="19" customWidth="1"/>
    <col min="5630" max="5631" width="9.81640625" style="19" customWidth="1"/>
    <col min="5632" max="5632" width="11.1796875" style="19" customWidth="1"/>
    <col min="5633" max="5633" width="2.81640625" style="19" customWidth="1"/>
    <col min="5634" max="5634" width="3.54296875" style="19" customWidth="1"/>
    <col min="5635" max="5879" width="9.1796875" style="19"/>
    <col min="5880" max="5880" width="8.7265625" style="19" customWidth="1"/>
    <col min="5881" max="5881" width="9.81640625" style="19" customWidth="1"/>
    <col min="5882" max="5882" width="14.453125" style="19" customWidth="1"/>
    <col min="5883" max="5883" width="7.26953125" style="19" customWidth="1"/>
    <col min="5884" max="5884" width="5.54296875" style="19" customWidth="1"/>
    <col min="5885" max="5885" width="9" style="19" customWidth="1"/>
    <col min="5886" max="5887" width="9.81640625" style="19" customWidth="1"/>
    <col min="5888" max="5888" width="11.1796875" style="19" customWidth="1"/>
    <col min="5889" max="5889" width="2.81640625" style="19" customWidth="1"/>
    <col min="5890" max="5890" width="3.54296875" style="19" customWidth="1"/>
    <col min="5891" max="6135" width="9.1796875" style="19"/>
    <col min="6136" max="6136" width="8.7265625" style="19" customWidth="1"/>
    <col min="6137" max="6137" width="9.81640625" style="19" customWidth="1"/>
    <col min="6138" max="6138" width="14.453125" style="19" customWidth="1"/>
    <col min="6139" max="6139" width="7.26953125" style="19" customWidth="1"/>
    <col min="6140" max="6140" width="5.54296875" style="19" customWidth="1"/>
    <col min="6141" max="6141" width="9" style="19" customWidth="1"/>
    <col min="6142" max="6143" width="9.81640625" style="19" customWidth="1"/>
    <col min="6144" max="6144" width="11.1796875" style="19" customWidth="1"/>
    <col min="6145" max="6145" width="2.81640625" style="19" customWidth="1"/>
    <col min="6146" max="6146" width="3.54296875" style="19" customWidth="1"/>
    <col min="6147" max="6391" width="9.1796875" style="19"/>
    <col min="6392" max="6392" width="8.7265625" style="19" customWidth="1"/>
    <col min="6393" max="6393" width="9.81640625" style="19" customWidth="1"/>
    <col min="6394" max="6394" width="14.453125" style="19" customWidth="1"/>
    <col min="6395" max="6395" width="7.26953125" style="19" customWidth="1"/>
    <col min="6396" max="6396" width="5.54296875" style="19" customWidth="1"/>
    <col min="6397" max="6397" width="9" style="19" customWidth="1"/>
    <col min="6398" max="6399" width="9.81640625" style="19" customWidth="1"/>
    <col min="6400" max="6400" width="11.1796875" style="19" customWidth="1"/>
    <col min="6401" max="6401" width="2.81640625" style="19" customWidth="1"/>
    <col min="6402" max="6402" width="3.54296875" style="19" customWidth="1"/>
    <col min="6403" max="6647" width="9.1796875" style="19"/>
    <col min="6648" max="6648" width="8.7265625" style="19" customWidth="1"/>
    <col min="6649" max="6649" width="9.81640625" style="19" customWidth="1"/>
    <col min="6650" max="6650" width="14.453125" style="19" customWidth="1"/>
    <col min="6651" max="6651" width="7.26953125" style="19" customWidth="1"/>
    <col min="6652" max="6652" width="5.54296875" style="19" customWidth="1"/>
    <col min="6653" max="6653" width="9" style="19" customWidth="1"/>
    <col min="6654" max="6655" width="9.81640625" style="19" customWidth="1"/>
    <col min="6656" max="6656" width="11.1796875" style="19" customWidth="1"/>
    <col min="6657" max="6657" width="2.81640625" style="19" customWidth="1"/>
    <col min="6658" max="6658" width="3.54296875" style="19" customWidth="1"/>
    <col min="6659" max="6903" width="9.1796875" style="19"/>
    <col min="6904" max="6904" width="8.7265625" style="19" customWidth="1"/>
    <col min="6905" max="6905" width="9.81640625" style="19" customWidth="1"/>
    <col min="6906" max="6906" width="14.453125" style="19" customWidth="1"/>
    <col min="6907" max="6907" width="7.26953125" style="19" customWidth="1"/>
    <col min="6908" max="6908" width="5.54296875" style="19" customWidth="1"/>
    <col min="6909" max="6909" width="9" style="19" customWidth="1"/>
    <col min="6910" max="6911" width="9.81640625" style="19" customWidth="1"/>
    <col min="6912" max="6912" width="11.1796875" style="19" customWidth="1"/>
    <col min="6913" max="6913" width="2.81640625" style="19" customWidth="1"/>
    <col min="6914" max="6914" width="3.54296875" style="19" customWidth="1"/>
    <col min="6915" max="7159" width="9.1796875" style="19"/>
    <col min="7160" max="7160" width="8.7265625" style="19" customWidth="1"/>
    <col min="7161" max="7161" width="9.81640625" style="19" customWidth="1"/>
    <col min="7162" max="7162" width="14.453125" style="19" customWidth="1"/>
    <col min="7163" max="7163" width="7.26953125" style="19" customWidth="1"/>
    <col min="7164" max="7164" width="5.54296875" style="19" customWidth="1"/>
    <col min="7165" max="7165" width="9" style="19" customWidth="1"/>
    <col min="7166" max="7167" width="9.81640625" style="19" customWidth="1"/>
    <col min="7168" max="7168" width="11.1796875" style="19" customWidth="1"/>
    <col min="7169" max="7169" width="2.81640625" style="19" customWidth="1"/>
    <col min="7170" max="7170" width="3.54296875" style="19" customWidth="1"/>
    <col min="7171" max="7415" width="9.1796875" style="19"/>
    <col min="7416" max="7416" width="8.7265625" style="19" customWidth="1"/>
    <col min="7417" max="7417" width="9.81640625" style="19" customWidth="1"/>
    <col min="7418" max="7418" width="14.453125" style="19" customWidth="1"/>
    <col min="7419" max="7419" width="7.26953125" style="19" customWidth="1"/>
    <col min="7420" max="7420" width="5.54296875" style="19" customWidth="1"/>
    <col min="7421" max="7421" width="9" style="19" customWidth="1"/>
    <col min="7422" max="7423" width="9.81640625" style="19" customWidth="1"/>
    <col min="7424" max="7424" width="11.1796875" style="19" customWidth="1"/>
    <col min="7425" max="7425" width="2.81640625" style="19" customWidth="1"/>
    <col min="7426" max="7426" width="3.54296875" style="19" customWidth="1"/>
    <col min="7427" max="7671" width="9.1796875" style="19"/>
    <col min="7672" max="7672" width="8.7265625" style="19" customWidth="1"/>
    <col min="7673" max="7673" width="9.81640625" style="19" customWidth="1"/>
    <col min="7674" max="7674" width="14.453125" style="19" customWidth="1"/>
    <col min="7675" max="7675" width="7.26953125" style="19" customWidth="1"/>
    <col min="7676" max="7676" width="5.54296875" style="19" customWidth="1"/>
    <col min="7677" max="7677" width="9" style="19" customWidth="1"/>
    <col min="7678" max="7679" width="9.81640625" style="19" customWidth="1"/>
    <col min="7680" max="7680" width="11.1796875" style="19" customWidth="1"/>
    <col min="7681" max="7681" width="2.81640625" style="19" customWidth="1"/>
    <col min="7682" max="7682" width="3.54296875" style="19" customWidth="1"/>
    <col min="7683" max="7927" width="9.1796875" style="19"/>
    <col min="7928" max="7928" width="8.7265625" style="19" customWidth="1"/>
    <col min="7929" max="7929" width="9.81640625" style="19" customWidth="1"/>
    <col min="7930" max="7930" width="14.453125" style="19" customWidth="1"/>
    <col min="7931" max="7931" width="7.26953125" style="19" customWidth="1"/>
    <col min="7932" max="7932" width="5.54296875" style="19" customWidth="1"/>
    <col min="7933" max="7933" width="9" style="19" customWidth="1"/>
    <col min="7934" max="7935" width="9.81640625" style="19" customWidth="1"/>
    <col min="7936" max="7936" width="11.1796875" style="19" customWidth="1"/>
    <col min="7937" max="7937" width="2.81640625" style="19" customWidth="1"/>
    <col min="7938" max="7938" width="3.54296875" style="19" customWidth="1"/>
    <col min="7939" max="8183" width="9.1796875" style="19"/>
    <col min="8184" max="8184" width="8.7265625" style="19" customWidth="1"/>
    <col min="8185" max="8185" width="9.81640625" style="19" customWidth="1"/>
    <col min="8186" max="8186" width="14.453125" style="19" customWidth="1"/>
    <col min="8187" max="8187" width="7.26953125" style="19" customWidth="1"/>
    <col min="8188" max="8188" width="5.54296875" style="19" customWidth="1"/>
    <col min="8189" max="8189" width="9" style="19" customWidth="1"/>
    <col min="8190" max="8191" width="9.81640625" style="19" customWidth="1"/>
    <col min="8192" max="8192" width="11.1796875" style="19" customWidth="1"/>
    <col min="8193" max="8193" width="2.81640625" style="19" customWidth="1"/>
    <col min="8194" max="8194" width="3.54296875" style="19" customWidth="1"/>
    <col min="8195" max="8439" width="9.1796875" style="19"/>
    <col min="8440" max="8440" width="8.7265625" style="19" customWidth="1"/>
    <col min="8441" max="8441" width="9.81640625" style="19" customWidth="1"/>
    <col min="8442" max="8442" width="14.453125" style="19" customWidth="1"/>
    <col min="8443" max="8443" width="7.26953125" style="19" customWidth="1"/>
    <col min="8444" max="8444" width="5.54296875" style="19" customWidth="1"/>
    <col min="8445" max="8445" width="9" style="19" customWidth="1"/>
    <col min="8446" max="8447" width="9.81640625" style="19" customWidth="1"/>
    <col min="8448" max="8448" width="11.1796875" style="19" customWidth="1"/>
    <col min="8449" max="8449" width="2.81640625" style="19" customWidth="1"/>
    <col min="8450" max="8450" width="3.54296875" style="19" customWidth="1"/>
    <col min="8451" max="8695" width="9.1796875" style="19"/>
    <col min="8696" max="8696" width="8.7265625" style="19" customWidth="1"/>
    <col min="8697" max="8697" width="9.81640625" style="19" customWidth="1"/>
    <col min="8698" max="8698" width="14.453125" style="19" customWidth="1"/>
    <col min="8699" max="8699" width="7.26953125" style="19" customWidth="1"/>
    <col min="8700" max="8700" width="5.54296875" style="19" customWidth="1"/>
    <col min="8701" max="8701" width="9" style="19" customWidth="1"/>
    <col min="8702" max="8703" width="9.81640625" style="19" customWidth="1"/>
    <col min="8704" max="8704" width="11.1796875" style="19" customWidth="1"/>
    <col min="8705" max="8705" width="2.81640625" style="19" customWidth="1"/>
    <col min="8706" max="8706" width="3.54296875" style="19" customWidth="1"/>
    <col min="8707" max="8951" width="9.1796875" style="19"/>
    <col min="8952" max="8952" width="8.7265625" style="19" customWidth="1"/>
    <col min="8953" max="8953" width="9.81640625" style="19" customWidth="1"/>
    <col min="8954" max="8954" width="14.453125" style="19" customWidth="1"/>
    <col min="8955" max="8955" width="7.26953125" style="19" customWidth="1"/>
    <col min="8956" max="8956" width="5.54296875" style="19" customWidth="1"/>
    <col min="8957" max="8957" width="9" style="19" customWidth="1"/>
    <col min="8958" max="8959" width="9.81640625" style="19" customWidth="1"/>
    <col min="8960" max="8960" width="11.1796875" style="19" customWidth="1"/>
    <col min="8961" max="8961" width="2.81640625" style="19" customWidth="1"/>
    <col min="8962" max="8962" width="3.54296875" style="19" customWidth="1"/>
    <col min="8963" max="9207" width="9.1796875" style="19"/>
    <col min="9208" max="9208" width="8.7265625" style="19" customWidth="1"/>
    <col min="9209" max="9209" width="9.81640625" style="19" customWidth="1"/>
    <col min="9210" max="9210" width="14.453125" style="19" customWidth="1"/>
    <col min="9211" max="9211" width="7.26953125" style="19" customWidth="1"/>
    <col min="9212" max="9212" width="5.54296875" style="19" customWidth="1"/>
    <col min="9213" max="9213" width="9" style="19" customWidth="1"/>
    <col min="9214" max="9215" width="9.81640625" style="19" customWidth="1"/>
    <col min="9216" max="9216" width="11.1796875" style="19" customWidth="1"/>
    <col min="9217" max="9217" width="2.81640625" style="19" customWidth="1"/>
    <col min="9218" max="9218" width="3.54296875" style="19" customWidth="1"/>
    <col min="9219" max="9463" width="9.1796875" style="19"/>
    <col min="9464" max="9464" width="8.7265625" style="19" customWidth="1"/>
    <col min="9465" max="9465" width="9.81640625" style="19" customWidth="1"/>
    <col min="9466" max="9466" width="14.453125" style="19" customWidth="1"/>
    <col min="9467" max="9467" width="7.26953125" style="19" customWidth="1"/>
    <col min="9468" max="9468" width="5.54296875" style="19" customWidth="1"/>
    <col min="9469" max="9469" width="9" style="19" customWidth="1"/>
    <col min="9470" max="9471" width="9.81640625" style="19" customWidth="1"/>
    <col min="9472" max="9472" width="11.1796875" style="19" customWidth="1"/>
    <col min="9473" max="9473" width="2.81640625" style="19" customWidth="1"/>
    <col min="9474" max="9474" width="3.54296875" style="19" customWidth="1"/>
    <col min="9475" max="9719" width="9.1796875" style="19"/>
    <col min="9720" max="9720" width="8.7265625" style="19" customWidth="1"/>
    <col min="9721" max="9721" width="9.81640625" style="19" customWidth="1"/>
    <col min="9722" max="9722" width="14.453125" style="19" customWidth="1"/>
    <col min="9723" max="9723" width="7.26953125" style="19" customWidth="1"/>
    <col min="9724" max="9724" width="5.54296875" style="19" customWidth="1"/>
    <col min="9725" max="9725" width="9" style="19" customWidth="1"/>
    <col min="9726" max="9727" width="9.81640625" style="19" customWidth="1"/>
    <col min="9728" max="9728" width="11.1796875" style="19" customWidth="1"/>
    <col min="9729" max="9729" width="2.81640625" style="19" customWidth="1"/>
    <col min="9730" max="9730" width="3.54296875" style="19" customWidth="1"/>
    <col min="9731" max="9975" width="9.1796875" style="19"/>
    <col min="9976" max="9976" width="8.7265625" style="19" customWidth="1"/>
    <col min="9977" max="9977" width="9.81640625" style="19" customWidth="1"/>
    <col min="9978" max="9978" width="14.453125" style="19" customWidth="1"/>
    <col min="9979" max="9979" width="7.26953125" style="19" customWidth="1"/>
    <col min="9980" max="9980" width="5.54296875" style="19" customWidth="1"/>
    <col min="9981" max="9981" width="9" style="19" customWidth="1"/>
    <col min="9982" max="9983" width="9.81640625" style="19" customWidth="1"/>
    <col min="9984" max="9984" width="11.1796875" style="19" customWidth="1"/>
    <col min="9985" max="9985" width="2.81640625" style="19" customWidth="1"/>
    <col min="9986" max="9986" width="3.54296875" style="19" customWidth="1"/>
    <col min="9987" max="10231" width="9.1796875" style="19"/>
    <col min="10232" max="10232" width="8.7265625" style="19" customWidth="1"/>
    <col min="10233" max="10233" width="9.81640625" style="19" customWidth="1"/>
    <col min="10234" max="10234" width="14.453125" style="19" customWidth="1"/>
    <col min="10235" max="10235" width="7.26953125" style="19" customWidth="1"/>
    <col min="10236" max="10236" width="5.54296875" style="19" customWidth="1"/>
    <col min="10237" max="10237" width="9" style="19" customWidth="1"/>
    <col min="10238" max="10239" width="9.81640625" style="19" customWidth="1"/>
    <col min="10240" max="10240" width="11.1796875" style="19" customWidth="1"/>
    <col min="10241" max="10241" width="2.81640625" style="19" customWidth="1"/>
    <col min="10242" max="10242" width="3.54296875" style="19" customWidth="1"/>
    <col min="10243" max="10487" width="9.1796875" style="19"/>
    <col min="10488" max="10488" width="8.7265625" style="19" customWidth="1"/>
    <col min="10489" max="10489" width="9.81640625" style="19" customWidth="1"/>
    <col min="10490" max="10490" width="14.453125" style="19" customWidth="1"/>
    <col min="10491" max="10491" width="7.26953125" style="19" customWidth="1"/>
    <col min="10492" max="10492" width="5.54296875" style="19" customWidth="1"/>
    <col min="10493" max="10493" width="9" style="19" customWidth="1"/>
    <col min="10494" max="10495" width="9.81640625" style="19" customWidth="1"/>
    <col min="10496" max="10496" width="11.1796875" style="19" customWidth="1"/>
    <col min="10497" max="10497" width="2.81640625" style="19" customWidth="1"/>
    <col min="10498" max="10498" width="3.54296875" style="19" customWidth="1"/>
    <col min="10499" max="10743" width="9.1796875" style="19"/>
    <col min="10744" max="10744" width="8.7265625" style="19" customWidth="1"/>
    <col min="10745" max="10745" width="9.81640625" style="19" customWidth="1"/>
    <col min="10746" max="10746" width="14.453125" style="19" customWidth="1"/>
    <col min="10747" max="10747" width="7.26953125" style="19" customWidth="1"/>
    <col min="10748" max="10748" width="5.54296875" style="19" customWidth="1"/>
    <col min="10749" max="10749" width="9" style="19" customWidth="1"/>
    <col min="10750" max="10751" width="9.81640625" style="19" customWidth="1"/>
    <col min="10752" max="10752" width="11.1796875" style="19" customWidth="1"/>
    <col min="10753" max="10753" width="2.81640625" style="19" customWidth="1"/>
    <col min="10754" max="10754" width="3.54296875" style="19" customWidth="1"/>
    <col min="10755" max="10999" width="9.1796875" style="19"/>
    <col min="11000" max="11000" width="8.7265625" style="19" customWidth="1"/>
    <col min="11001" max="11001" width="9.81640625" style="19" customWidth="1"/>
    <col min="11002" max="11002" width="14.453125" style="19" customWidth="1"/>
    <col min="11003" max="11003" width="7.26953125" style="19" customWidth="1"/>
    <col min="11004" max="11004" width="5.54296875" style="19" customWidth="1"/>
    <col min="11005" max="11005" width="9" style="19" customWidth="1"/>
    <col min="11006" max="11007" width="9.81640625" style="19" customWidth="1"/>
    <col min="11008" max="11008" width="11.1796875" style="19" customWidth="1"/>
    <col min="11009" max="11009" width="2.81640625" style="19" customWidth="1"/>
    <col min="11010" max="11010" width="3.54296875" style="19" customWidth="1"/>
    <col min="11011" max="11255" width="9.1796875" style="19"/>
    <col min="11256" max="11256" width="8.7265625" style="19" customWidth="1"/>
    <col min="11257" max="11257" width="9.81640625" style="19" customWidth="1"/>
    <col min="11258" max="11258" width="14.453125" style="19" customWidth="1"/>
    <col min="11259" max="11259" width="7.26953125" style="19" customWidth="1"/>
    <col min="11260" max="11260" width="5.54296875" style="19" customWidth="1"/>
    <col min="11261" max="11261" width="9" style="19" customWidth="1"/>
    <col min="11262" max="11263" width="9.81640625" style="19" customWidth="1"/>
    <col min="11264" max="11264" width="11.1796875" style="19" customWidth="1"/>
    <col min="11265" max="11265" width="2.81640625" style="19" customWidth="1"/>
    <col min="11266" max="11266" width="3.54296875" style="19" customWidth="1"/>
    <col min="11267" max="11511" width="9.1796875" style="19"/>
    <col min="11512" max="11512" width="8.7265625" style="19" customWidth="1"/>
    <col min="11513" max="11513" width="9.81640625" style="19" customWidth="1"/>
    <col min="11514" max="11514" width="14.453125" style="19" customWidth="1"/>
    <col min="11515" max="11515" width="7.26953125" style="19" customWidth="1"/>
    <col min="11516" max="11516" width="5.54296875" style="19" customWidth="1"/>
    <col min="11517" max="11517" width="9" style="19" customWidth="1"/>
    <col min="11518" max="11519" width="9.81640625" style="19" customWidth="1"/>
    <col min="11520" max="11520" width="11.1796875" style="19" customWidth="1"/>
    <col min="11521" max="11521" width="2.81640625" style="19" customWidth="1"/>
    <col min="11522" max="11522" width="3.54296875" style="19" customWidth="1"/>
    <col min="11523" max="11767" width="9.1796875" style="19"/>
    <col min="11768" max="11768" width="8.7265625" style="19" customWidth="1"/>
    <col min="11769" max="11769" width="9.81640625" style="19" customWidth="1"/>
    <col min="11770" max="11770" width="14.453125" style="19" customWidth="1"/>
    <col min="11771" max="11771" width="7.26953125" style="19" customWidth="1"/>
    <col min="11772" max="11772" width="5.54296875" style="19" customWidth="1"/>
    <col min="11773" max="11773" width="9" style="19" customWidth="1"/>
    <col min="11774" max="11775" width="9.81640625" style="19" customWidth="1"/>
    <col min="11776" max="11776" width="11.1796875" style="19" customWidth="1"/>
    <col min="11777" max="11777" width="2.81640625" style="19" customWidth="1"/>
    <col min="11778" max="11778" width="3.54296875" style="19" customWidth="1"/>
    <col min="11779" max="12023" width="9.1796875" style="19"/>
    <col min="12024" max="12024" width="8.7265625" style="19" customWidth="1"/>
    <col min="12025" max="12025" width="9.81640625" style="19" customWidth="1"/>
    <col min="12026" max="12026" width="14.453125" style="19" customWidth="1"/>
    <col min="12027" max="12027" width="7.26953125" style="19" customWidth="1"/>
    <col min="12028" max="12028" width="5.54296875" style="19" customWidth="1"/>
    <col min="12029" max="12029" width="9" style="19" customWidth="1"/>
    <col min="12030" max="12031" width="9.81640625" style="19" customWidth="1"/>
    <col min="12032" max="12032" width="11.1796875" style="19" customWidth="1"/>
    <col min="12033" max="12033" width="2.81640625" style="19" customWidth="1"/>
    <col min="12034" max="12034" width="3.54296875" style="19" customWidth="1"/>
    <col min="12035" max="12279" width="9.1796875" style="19"/>
    <col min="12280" max="12280" width="8.7265625" style="19" customWidth="1"/>
    <col min="12281" max="12281" width="9.81640625" style="19" customWidth="1"/>
    <col min="12282" max="12282" width="14.453125" style="19" customWidth="1"/>
    <col min="12283" max="12283" width="7.26953125" style="19" customWidth="1"/>
    <col min="12284" max="12284" width="5.54296875" style="19" customWidth="1"/>
    <col min="12285" max="12285" width="9" style="19" customWidth="1"/>
    <col min="12286" max="12287" width="9.81640625" style="19" customWidth="1"/>
    <col min="12288" max="12288" width="11.1796875" style="19" customWidth="1"/>
    <col min="12289" max="12289" width="2.81640625" style="19" customWidth="1"/>
    <col min="12290" max="12290" width="3.54296875" style="19" customWidth="1"/>
    <col min="12291" max="12535" width="9.1796875" style="19"/>
    <col min="12536" max="12536" width="8.7265625" style="19" customWidth="1"/>
    <col min="12537" max="12537" width="9.81640625" style="19" customWidth="1"/>
    <col min="12538" max="12538" width="14.453125" style="19" customWidth="1"/>
    <col min="12539" max="12539" width="7.26953125" style="19" customWidth="1"/>
    <col min="12540" max="12540" width="5.54296875" style="19" customWidth="1"/>
    <col min="12541" max="12541" width="9" style="19" customWidth="1"/>
    <col min="12542" max="12543" width="9.81640625" style="19" customWidth="1"/>
    <col min="12544" max="12544" width="11.1796875" style="19" customWidth="1"/>
    <col min="12545" max="12545" width="2.81640625" style="19" customWidth="1"/>
    <col min="12546" max="12546" width="3.54296875" style="19" customWidth="1"/>
    <col min="12547" max="12791" width="9.1796875" style="19"/>
    <col min="12792" max="12792" width="8.7265625" style="19" customWidth="1"/>
    <col min="12793" max="12793" width="9.81640625" style="19" customWidth="1"/>
    <col min="12794" max="12794" width="14.453125" style="19" customWidth="1"/>
    <col min="12795" max="12795" width="7.26953125" style="19" customWidth="1"/>
    <col min="12796" max="12796" width="5.54296875" style="19" customWidth="1"/>
    <col min="12797" max="12797" width="9" style="19" customWidth="1"/>
    <col min="12798" max="12799" width="9.81640625" style="19" customWidth="1"/>
    <col min="12800" max="12800" width="11.1796875" style="19" customWidth="1"/>
    <col min="12801" max="12801" width="2.81640625" style="19" customWidth="1"/>
    <col min="12802" max="12802" width="3.54296875" style="19" customWidth="1"/>
    <col min="12803" max="13047" width="9.1796875" style="19"/>
    <col min="13048" max="13048" width="8.7265625" style="19" customWidth="1"/>
    <col min="13049" max="13049" width="9.81640625" style="19" customWidth="1"/>
    <col min="13050" max="13050" width="14.453125" style="19" customWidth="1"/>
    <col min="13051" max="13051" width="7.26953125" style="19" customWidth="1"/>
    <col min="13052" max="13052" width="5.54296875" style="19" customWidth="1"/>
    <col min="13053" max="13053" width="9" style="19" customWidth="1"/>
    <col min="13054" max="13055" width="9.81640625" style="19" customWidth="1"/>
    <col min="13056" max="13056" width="11.1796875" style="19" customWidth="1"/>
    <col min="13057" max="13057" width="2.81640625" style="19" customWidth="1"/>
    <col min="13058" max="13058" width="3.54296875" style="19" customWidth="1"/>
    <col min="13059" max="13303" width="9.1796875" style="19"/>
    <col min="13304" max="13304" width="8.7265625" style="19" customWidth="1"/>
    <col min="13305" max="13305" width="9.81640625" style="19" customWidth="1"/>
    <col min="13306" max="13306" width="14.453125" style="19" customWidth="1"/>
    <col min="13307" max="13307" width="7.26953125" style="19" customWidth="1"/>
    <col min="13308" max="13308" width="5.54296875" style="19" customWidth="1"/>
    <col min="13309" max="13309" width="9" style="19" customWidth="1"/>
    <col min="13310" max="13311" width="9.81640625" style="19" customWidth="1"/>
    <col min="13312" max="13312" width="11.1796875" style="19" customWidth="1"/>
    <col min="13313" max="13313" width="2.81640625" style="19" customWidth="1"/>
    <col min="13314" max="13314" width="3.54296875" style="19" customWidth="1"/>
    <col min="13315" max="13559" width="9.1796875" style="19"/>
    <col min="13560" max="13560" width="8.7265625" style="19" customWidth="1"/>
    <col min="13561" max="13561" width="9.81640625" style="19" customWidth="1"/>
    <col min="13562" max="13562" width="14.453125" style="19" customWidth="1"/>
    <col min="13563" max="13563" width="7.26953125" style="19" customWidth="1"/>
    <col min="13564" max="13564" width="5.54296875" style="19" customWidth="1"/>
    <col min="13565" max="13565" width="9" style="19" customWidth="1"/>
    <col min="13566" max="13567" width="9.81640625" style="19" customWidth="1"/>
    <col min="13568" max="13568" width="11.1796875" style="19" customWidth="1"/>
    <col min="13569" max="13569" width="2.81640625" style="19" customWidth="1"/>
    <col min="13570" max="13570" width="3.54296875" style="19" customWidth="1"/>
    <col min="13571" max="13815" width="9.1796875" style="19"/>
    <col min="13816" max="13816" width="8.7265625" style="19" customWidth="1"/>
    <col min="13817" max="13817" width="9.81640625" style="19" customWidth="1"/>
    <col min="13818" max="13818" width="14.453125" style="19" customWidth="1"/>
    <col min="13819" max="13819" width="7.26953125" style="19" customWidth="1"/>
    <col min="13820" max="13820" width="5.54296875" style="19" customWidth="1"/>
    <col min="13821" max="13821" width="9" style="19" customWidth="1"/>
    <col min="13822" max="13823" width="9.81640625" style="19" customWidth="1"/>
    <col min="13824" max="13824" width="11.1796875" style="19" customWidth="1"/>
    <col min="13825" max="13825" width="2.81640625" style="19" customWidth="1"/>
    <col min="13826" max="13826" width="3.54296875" style="19" customWidth="1"/>
    <col min="13827" max="14071" width="9.1796875" style="19"/>
    <col min="14072" max="14072" width="8.7265625" style="19" customWidth="1"/>
    <col min="14073" max="14073" width="9.81640625" style="19" customWidth="1"/>
    <col min="14074" max="14074" width="14.453125" style="19" customWidth="1"/>
    <col min="14075" max="14075" width="7.26953125" style="19" customWidth="1"/>
    <col min="14076" max="14076" width="5.54296875" style="19" customWidth="1"/>
    <col min="14077" max="14077" width="9" style="19" customWidth="1"/>
    <col min="14078" max="14079" width="9.81640625" style="19" customWidth="1"/>
    <col min="14080" max="14080" width="11.1796875" style="19" customWidth="1"/>
    <col min="14081" max="14081" width="2.81640625" style="19" customWidth="1"/>
    <col min="14082" max="14082" width="3.54296875" style="19" customWidth="1"/>
    <col min="14083" max="14327" width="9.1796875" style="19"/>
    <col min="14328" max="14328" width="8.7265625" style="19" customWidth="1"/>
    <col min="14329" max="14329" width="9.81640625" style="19" customWidth="1"/>
    <col min="14330" max="14330" width="14.453125" style="19" customWidth="1"/>
    <col min="14331" max="14331" width="7.26953125" style="19" customWidth="1"/>
    <col min="14332" max="14332" width="5.54296875" style="19" customWidth="1"/>
    <col min="14333" max="14333" width="9" style="19" customWidth="1"/>
    <col min="14334" max="14335" width="9.81640625" style="19" customWidth="1"/>
    <col min="14336" max="14336" width="11.1796875" style="19" customWidth="1"/>
    <col min="14337" max="14337" width="2.81640625" style="19" customWidth="1"/>
    <col min="14338" max="14338" width="3.54296875" style="19" customWidth="1"/>
    <col min="14339" max="14583" width="9.1796875" style="19"/>
    <col min="14584" max="14584" width="8.7265625" style="19" customWidth="1"/>
    <col min="14585" max="14585" width="9.81640625" style="19" customWidth="1"/>
    <col min="14586" max="14586" width="14.453125" style="19" customWidth="1"/>
    <col min="14587" max="14587" width="7.26953125" style="19" customWidth="1"/>
    <col min="14588" max="14588" width="5.54296875" style="19" customWidth="1"/>
    <col min="14589" max="14589" width="9" style="19" customWidth="1"/>
    <col min="14590" max="14591" width="9.81640625" style="19" customWidth="1"/>
    <col min="14592" max="14592" width="11.1796875" style="19" customWidth="1"/>
    <col min="14593" max="14593" width="2.81640625" style="19" customWidth="1"/>
    <col min="14594" max="14594" width="3.54296875" style="19" customWidth="1"/>
    <col min="14595" max="14839" width="9.1796875" style="19"/>
    <col min="14840" max="14840" width="8.7265625" style="19" customWidth="1"/>
    <col min="14841" max="14841" width="9.81640625" style="19" customWidth="1"/>
    <col min="14842" max="14842" width="14.453125" style="19" customWidth="1"/>
    <col min="14843" max="14843" width="7.26953125" style="19" customWidth="1"/>
    <col min="14844" max="14844" width="5.54296875" style="19" customWidth="1"/>
    <col min="14845" max="14845" width="9" style="19" customWidth="1"/>
    <col min="14846" max="14847" width="9.81640625" style="19" customWidth="1"/>
    <col min="14848" max="14848" width="11.1796875" style="19" customWidth="1"/>
    <col min="14849" max="14849" width="2.81640625" style="19" customWidth="1"/>
    <col min="14850" max="14850" width="3.54296875" style="19" customWidth="1"/>
    <col min="14851" max="15095" width="9.1796875" style="19"/>
    <col min="15096" max="15096" width="8.7265625" style="19" customWidth="1"/>
    <col min="15097" max="15097" width="9.81640625" style="19" customWidth="1"/>
    <col min="15098" max="15098" width="14.453125" style="19" customWidth="1"/>
    <col min="15099" max="15099" width="7.26953125" style="19" customWidth="1"/>
    <col min="15100" max="15100" width="5.54296875" style="19" customWidth="1"/>
    <col min="15101" max="15101" width="9" style="19" customWidth="1"/>
    <col min="15102" max="15103" width="9.81640625" style="19" customWidth="1"/>
    <col min="15104" max="15104" width="11.1796875" style="19" customWidth="1"/>
    <col min="15105" max="15105" width="2.81640625" style="19" customWidth="1"/>
    <col min="15106" max="15106" width="3.54296875" style="19" customWidth="1"/>
    <col min="15107" max="15351" width="9.1796875" style="19"/>
    <col min="15352" max="15352" width="8.7265625" style="19" customWidth="1"/>
    <col min="15353" max="15353" width="9.81640625" style="19" customWidth="1"/>
    <col min="15354" max="15354" width="14.453125" style="19" customWidth="1"/>
    <col min="15355" max="15355" width="7.26953125" style="19" customWidth="1"/>
    <col min="15356" max="15356" width="5.54296875" style="19" customWidth="1"/>
    <col min="15357" max="15357" width="9" style="19" customWidth="1"/>
    <col min="15358" max="15359" width="9.81640625" style="19" customWidth="1"/>
    <col min="15360" max="15360" width="11.1796875" style="19" customWidth="1"/>
    <col min="15361" max="15361" width="2.81640625" style="19" customWidth="1"/>
    <col min="15362" max="15362" width="3.54296875" style="19" customWidth="1"/>
    <col min="15363" max="15607" width="9.1796875" style="19"/>
    <col min="15608" max="15608" width="8.7265625" style="19" customWidth="1"/>
    <col min="15609" max="15609" width="9.81640625" style="19" customWidth="1"/>
    <col min="15610" max="15610" width="14.453125" style="19" customWidth="1"/>
    <col min="15611" max="15611" width="7.26953125" style="19" customWidth="1"/>
    <col min="15612" max="15612" width="5.54296875" style="19" customWidth="1"/>
    <col min="15613" max="15613" width="9" style="19" customWidth="1"/>
    <col min="15614" max="15615" width="9.81640625" style="19" customWidth="1"/>
    <col min="15616" max="15616" width="11.1796875" style="19" customWidth="1"/>
    <col min="15617" max="15617" width="2.81640625" style="19" customWidth="1"/>
    <col min="15618" max="15618" width="3.54296875" style="19" customWidth="1"/>
    <col min="15619" max="15863" width="9.1796875" style="19"/>
    <col min="15864" max="15864" width="8.7265625" style="19" customWidth="1"/>
    <col min="15865" max="15865" width="9.81640625" style="19" customWidth="1"/>
    <col min="15866" max="15866" width="14.453125" style="19" customWidth="1"/>
    <col min="15867" max="15867" width="7.26953125" style="19" customWidth="1"/>
    <col min="15868" max="15868" width="5.54296875" style="19" customWidth="1"/>
    <col min="15869" max="15869" width="9" style="19" customWidth="1"/>
    <col min="15870" max="15871" width="9.81640625" style="19" customWidth="1"/>
    <col min="15872" max="15872" width="11.1796875" style="19" customWidth="1"/>
    <col min="15873" max="15873" width="2.81640625" style="19" customWidth="1"/>
    <col min="15874" max="15874" width="3.54296875" style="19" customWidth="1"/>
    <col min="15875" max="16119" width="9.1796875" style="19"/>
    <col min="16120" max="16120" width="8.7265625" style="19" customWidth="1"/>
    <col min="16121" max="16121" width="9.81640625" style="19" customWidth="1"/>
    <col min="16122" max="16122" width="14.453125" style="19" customWidth="1"/>
    <col min="16123" max="16123" width="7.26953125" style="19" customWidth="1"/>
    <col min="16124" max="16124" width="5.54296875" style="19" customWidth="1"/>
    <col min="16125" max="16125" width="9" style="19" customWidth="1"/>
    <col min="16126" max="16127" width="9.81640625" style="19" customWidth="1"/>
    <col min="16128" max="16128" width="11.1796875" style="19" customWidth="1"/>
    <col min="16129" max="16129" width="2.81640625" style="19" customWidth="1"/>
    <col min="16130" max="16130" width="3.54296875" style="19" customWidth="1"/>
    <col min="16131" max="16384" width="9.1796875" style="19"/>
  </cols>
  <sheetData>
    <row r="1" spans="1:12" ht="46.5" customHeight="1" x14ac:dyDescent="0.35">
      <c r="A1" s="154" t="s">
        <v>220</v>
      </c>
      <c r="B1" s="154"/>
      <c r="C1" s="154"/>
      <c r="D1" s="154"/>
      <c r="E1" s="154"/>
      <c r="F1" s="154"/>
      <c r="G1" s="154"/>
      <c r="H1" s="154"/>
    </row>
    <row r="2" spans="1:12" ht="16.5" customHeight="1" x14ac:dyDescent="0.35">
      <c r="A2" s="152" t="s">
        <v>0</v>
      </c>
      <c r="B2" s="152"/>
      <c r="C2" s="152"/>
      <c r="D2" s="152"/>
      <c r="E2" s="152"/>
      <c r="F2" s="152"/>
      <c r="G2" s="152"/>
      <c r="H2" s="152"/>
    </row>
    <row r="3" spans="1:12" x14ac:dyDescent="0.35">
      <c r="A3" s="70" t="s">
        <v>1</v>
      </c>
      <c r="B3" s="70"/>
      <c r="C3" s="70"/>
      <c r="D3" s="70"/>
      <c r="E3" s="70" t="str">
        <f ca="1">TEXT(TODAY(),"DD/MM/YYYY")</f>
        <v>14/08/2025</v>
      </c>
      <c r="F3" s="70"/>
      <c r="G3" s="70"/>
      <c r="H3" s="70"/>
    </row>
    <row r="4" spans="1:12" ht="15" customHeight="1" x14ac:dyDescent="0.35">
      <c r="A4" s="70" t="s">
        <v>2</v>
      </c>
      <c r="B4" s="70"/>
      <c r="C4" s="70"/>
      <c r="D4" s="70"/>
      <c r="E4" s="90" t="s">
        <v>171</v>
      </c>
      <c r="F4" s="90"/>
      <c r="G4" s="90"/>
      <c r="H4" s="90"/>
    </row>
    <row r="5" spans="1:12" x14ac:dyDescent="0.35">
      <c r="A5" s="70" t="s">
        <v>3</v>
      </c>
      <c r="B5" s="70"/>
      <c r="C5" s="70"/>
      <c r="D5" s="70"/>
      <c r="E5" s="157">
        <v>45882</v>
      </c>
      <c r="F5" s="70"/>
      <c r="G5" s="70"/>
      <c r="H5" s="70"/>
    </row>
    <row r="6" spans="1:12" ht="16.5" customHeight="1" x14ac:dyDescent="0.35">
      <c r="A6" s="70" t="s">
        <v>167</v>
      </c>
      <c r="B6" s="70"/>
      <c r="C6" s="70"/>
      <c r="D6" s="70"/>
      <c r="E6" s="70" t="s">
        <v>168</v>
      </c>
      <c r="F6" s="70"/>
      <c r="G6" s="70"/>
      <c r="H6" s="70"/>
    </row>
    <row r="7" spans="1:12" ht="15" customHeight="1" x14ac:dyDescent="0.35">
      <c r="A7" s="70" t="s">
        <v>4</v>
      </c>
      <c r="B7" s="70"/>
      <c r="C7" s="70"/>
      <c r="D7" s="70"/>
      <c r="E7" s="70" t="s">
        <v>169</v>
      </c>
      <c r="F7" s="70"/>
      <c r="G7" s="70"/>
      <c r="H7" s="70"/>
    </row>
    <row r="8" spans="1:12" x14ac:dyDescent="0.35">
      <c r="A8" s="70" t="s">
        <v>5</v>
      </c>
      <c r="B8" s="70"/>
      <c r="C8" s="70"/>
      <c r="D8" s="70"/>
      <c r="E8" s="155" t="s">
        <v>183</v>
      </c>
      <c r="F8" s="156"/>
      <c r="G8" s="156"/>
      <c r="H8" s="156"/>
    </row>
    <row r="9" spans="1:12" x14ac:dyDescent="0.35">
      <c r="A9" s="70" t="s">
        <v>164</v>
      </c>
      <c r="B9" s="70"/>
      <c r="C9" s="70"/>
      <c r="D9" s="70"/>
      <c r="E9" s="69" t="s">
        <v>170</v>
      </c>
      <c r="F9" s="70"/>
      <c r="G9" s="70"/>
      <c r="H9" s="70"/>
      <c r="I9" s="69" t="s">
        <v>170</v>
      </c>
      <c r="J9" s="70"/>
      <c r="K9" s="70"/>
      <c r="L9" s="70"/>
    </row>
    <row r="10" spans="1:12" x14ac:dyDescent="0.35">
      <c r="A10" s="70" t="s">
        <v>165</v>
      </c>
      <c r="B10" s="70"/>
      <c r="C10" s="70"/>
      <c r="D10" s="70"/>
      <c r="E10" s="70" t="s">
        <v>227</v>
      </c>
      <c r="F10" s="70"/>
      <c r="G10" s="70"/>
      <c r="H10" s="70"/>
    </row>
    <row r="11" spans="1:12" ht="32.25" customHeight="1" x14ac:dyDescent="0.35">
      <c r="A11" s="70" t="s">
        <v>6</v>
      </c>
      <c r="B11" s="70"/>
      <c r="C11" s="70"/>
      <c r="D11" s="70"/>
      <c r="E11" s="69" t="s">
        <v>172</v>
      </c>
      <c r="F11" s="70"/>
      <c r="G11" s="70"/>
      <c r="H11" s="70"/>
    </row>
    <row r="12" spans="1:12" x14ac:dyDescent="0.35">
      <c r="A12" s="90" t="s">
        <v>7</v>
      </c>
      <c r="B12" s="90"/>
      <c r="C12" s="90"/>
      <c r="D12" s="90"/>
      <c r="E12" s="123" t="s">
        <v>208</v>
      </c>
      <c r="F12" s="123"/>
      <c r="G12" s="123"/>
      <c r="H12" s="123"/>
    </row>
    <row r="13" spans="1:12" x14ac:dyDescent="0.35">
      <c r="A13" s="90" t="s">
        <v>8</v>
      </c>
      <c r="B13" s="90"/>
      <c r="C13" s="90"/>
      <c r="D13" s="90"/>
      <c r="E13" s="123" t="s">
        <v>173</v>
      </c>
      <c r="F13" s="90"/>
      <c r="G13" s="90"/>
      <c r="H13" s="90"/>
    </row>
    <row r="14" spans="1:12" ht="31.5" customHeight="1" x14ac:dyDescent="0.35">
      <c r="A14" s="123" t="s">
        <v>9</v>
      </c>
      <c r="B14" s="123"/>
      <c r="C14" s="12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Dhruv Residency Platinum, Survey No.151/3, 151/6, 141/5, near Deep Jyoti City, Pashane Rd, Pashane, Pashane, Vangani West, Karjat, Raigad - 410101.</v>
      </c>
      <c r="D14" s="123"/>
      <c r="E14" s="123"/>
      <c r="F14" s="123"/>
      <c r="G14" s="123"/>
      <c r="H14" s="123"/>
    </row>
    <row r="15" spans="1:12" x14ac:dyDescent="0.35">
      <c r="A15" s="123" t="s">
        <v>174</v>
      </c>
      <c r="B15" s="123"/>
      <c r="C15" s="123" t="s">
        <v>175</v>
      </c>
      <c r="D15" s="123"/>
      <c r="E15" s="123"/>
      <c r="F15" s="123"/>
      <c r="G15" s="123"/>
      <c r="H15" s="123"/>
    </row>
    <row r="16" spans="1:12" ht="15.75" customHeight="1" x14ac:dyDescent="0.35">
      <c r="A16" s="123" t="s">
        <v>163</v>
      </c>
      <c r="B16" s="123"/>
      <c r="C16" s="123" t="s">
        <v>176</v>
      </c>
      <c r="D16" s="123"/>
      <c r="E16" s="123"/>
      <c r="F16" s="123"/>
      <c r="G16" s="123"/>
      <c r="H16" s="123"/>
    </row>
    <row r="17" spans="1:8" ht="15.75" customHeight="1" x14ac:dyDescent="0.35">
      <c r="A17" s="93" t="s">
        <v>10</v>
      </c>
      <c r="B17" s="93"/>
      <c r="C17" s="70" t="s">
        <v>179</v>
      </c>
      <c r="D17" s="70"/>
      <c r="E17" s="93" t="s">
        <v>74</v>
      </c>
      <c r="F17" s="93"/>
      <c r="G17" s="69" t="s">
        <v>176</v>
      </c>
      <c r="H17" s="69"/>
    </row>
    <row r="18" spans="1:8" x14ac:dyDescent="0.35">
      <c r="A18" s="89" t="s">
        <v>12</v>
      </c>
      <c r="B18" s="89"/>
      <c r="C18" s="69" t="s">
        <v>180</v>
      </c>
      <c r="D18" s="69"/>
      <c r="E18" s="93" t="s">
        <v>11</v>
      </c>
      <c r="F18" s="93"/>
      <c r="G18" s="158" t="s">
        <v>178</v>
      </c>
      <c r="H18" s="158"/>
    </row>
    <row r="19" spans="1:8" x14ac:dyDescent="0.35">
      <c r="A19" s="89" t="s">
        <v>75</v>
      </c>
      <c r="B19" s="89"/>
      <c r="C19" s="69" t="s">
        <v>177</v>
      </c>
      <c r="D19" s="69"/>
      <c r="E19" s="93" t="s">
        <v>13</v>
      </c>
      <c r="F19" s="93"/>
      <c r="G19" s="69">
        <v>410101</v>
      </c>
      <c r="H19" s="69"/>
    </row>
    <row r="20" spans="1:8" ht="32.25" customHeight="1" x14ac:dyDescent="0.35">
      <c r="A20" s="89" t="s">
        <v>121</v>
      </c>
      <c r="B20" s="89"/>
      <c r="C20" s="69" t="s">
        <v>181</v>
      </c>
      <c r="D20" s="69"/>
      <c r="E20" s="93" t="s">
        <v>14</v>
      </c>
      <c r="F20" s="93"/>
      <c r="G20" s="123" t="s">
        <v>182</v>
      </c>
      <c r="H20" s="123"/>
    </row>
    <row r="21" spans="1:8" ht="15" customHeight="1" x14ac:dyDescent="0.35">
      <c r="A21" s="93" t="s">
        <v>78</v>
      </c>
      <c r="B21" s="93"/>
      <c r="C21" s="93"/>
      <c r="D21" s="93"/>
      <c r="E21" s="70" t="s">
        <v>15</v>
      </c>
      <c r="F21" s="70"/>
      <c r="G21" s="70"/>
      <c r="H21" s="70"/>
    </row>
    <row r="22" spans="1:8" ht="18.75" customHeight="1" x14ac:dyDescent="0.35">
      <c r="A22" s="93"/>
      <c r="B22" s="93"/>
      <c r="C22" s="93"/>
      <c r="D22" s="93"/>
      <c r="E22" s="70"/>
      <c r="F22" s="70"/>
      <c r="G22" s="70"/>
      <c r="H22" s="70"/>
    </row>
    <row r="23" spans="1:8" ht="15" customHeight="1" x14ac:dyDescent="0.35">
      <c r="A23" s="93" t="s">
        <v>16</v>
      </c>
      <c r="B23" s="93"/>
      <c r="C23" s="93"/>
      <c r="D23" s="93"/>
      <c r="E23" s="69" t="s">
        <v>17</v>
      </c>
      <c r="F23" s="69"/>
      <c r="G23" s="69"/>
      <c r="H23" s="69"/>
    </row>
    <row r="24" spans="1:8" ht="15" customHeight="1" x14ac:dyDescent="0.35">
      <c r="A24" s="89" t="s">
        <v>18</v>
      </c>
      <c r="B24" s="89"/>
      <c r="C24" s="89"/>
      <c r="D24" s="89"/>
      <c r="E24" s="69" t="str">
        <f>IF(AND(G18="Mumbai"),"Upper Class","Middle Class")</f>
        <v>Middle Class</v>
      </c>
      <c r="F24" s="69"/>
      <c r="G24" s="69"/>
      <c r="H24" s="69"/>
    </row>
    <row r="25" spans="1:8" x14ac:dyDescent="0.35">
      <c r="A25" s="89" t="s">
        <v>19</v>
      </c>
      <c r="B25" s="89"/>
      <c r="C25" s="89"/>
      <c r="D25" s="89"/>
      <c r="E25" s="69" t="s">
        <v>20</v>
      </c>
      <c r="F25" s="69"/>
      <c r="G25" s="69"/>
      <c r="H25" s="69"/>
    </row>
    <row r="26" spans="1:8" ht="15.75" customHeight="1" x14ac:dyDescent="0.35">
      <c r="A26" s="89" t="s">
        <v>21</v>
      </c>
      <c r="B26" s="89"/>
      <c r="C26" s="89"/>
      <c r="D26" s="89"/>
      <c r="E26" s="69" t="str">
        <f>IF(AND(G18="Mumbai"),"Developed","Developing")</f>
        <v>Developing</v>
      </c>
      <c r="F26" s="69"/>
      <c r="G26" s="69"/>
      <c r="H26" s="69"/>
    </row>
    <row r="27" spans="1:8" x14ac:dyDescent="0.35">
      <c r="A27" s="89" t="s">
        <v>22</v>
      </c>
      <c r="B27" s="89"/>
      <c r="C27" s="89"/>
      <c r="D27" s="89"/>
      <c r="E27" s="69" t="s">
        <v>23</v>
      </c>
      <c r="F27" s="69"/>
      <c r="G27" s="69"/>
      <c r="H27" s="69"/>
    </row>
    <row r="28" spans="1:8" ht="15.75" customHeight="1" x14ac:dyDescent="0.35">
      <c r="A28" s="89" t="s">
        <v>83</v>
      </c>
      <c r="B28" s="89"/>
      <c r="C28" s="89"/>
      <c r="D28" s="89"/>
      <c r="E28" s="69" t="s">
        <v>84</v>
      </c>
      <c r="F28" s="69"/>
      <c r="G28" s="69"/>
      <c r="H28" s="69"/>
    </row>
    <row r="29" spans="1:8" ht="15" customHeight="1" x14ac:dyDescent="0.35">
      <c r="A29" s="89" t="s">
        <v>32</v>
      </c>
      <c r="B29" s="89"/>
      <c r="C29" s="89"/>
      <c r="D29" s="89"/>
      <c r="E29" s="69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69"/>
      <c r="G29" s="69"/>
      <c r="H29" s="69"/>
    </row>
    <row r="30" spans="1:8" ht="15.75" customHeight="1" x14ac:dyDescent="0.35">
      <c r="A30" s="89" t="s">
        <v>95</v>
      </c>
      <c r="B30" s="89"/>
      <c r="C30" s="89"/>
      <c r="D30" s="89"/>
      <c r="E30" s="69" t="s">
        <v>33</v>
      </c>
      <c r="F30" s="69"/>
      <c r="G30" s="69"/>
      <c r="H30" s="69"/>
    </row>
    <row r="31" spans="1:8" s="20" customFormat="1" x14ac:dyDescent="0.35">
      <c r="A31" s="162" t="s">
        <v>96</v>
      </c>
      <c r="B31" s="162"/>
      <c r="C31" s="161" t="s">
        <v>28</v>
      </c>
      <c r="D31" s="161"/>
      <c r="E31" s="161"/>
      <c r="F31" s="161" t="s">
        <v>30</v>
      </c>
      <c r="G31" s="161"/>
      <c r="H31" s="161"/>
    </row>
    <row r="32" spans="1:8" s="20" customFormat="1" x14ac:dyDescent="0.35">
      <c r="A32" s="159" t="s">
        <v>24</v>
      </c>
      <c r="B32" s="159" t="s">
        <v>29</v>
      </c>
      <c r="C32" s="160" t="s">
        <v>29</v>
      </c>
      <c r="D32" s="160"/>
      <c r="E32" s="160"/>
      <c r="F32" s="160" t="s">
        <v>10</v>
      </c>
      <c r="G32" s="160"/>
      <c r="H32" s="160"/>
    </row>
    <row r="33" spans="1:8" x14ac:dyDescent="0.35">
      <c r="A33" s="159" t="s">
        <v>25</v>
      </c>
      <c r="B33" s="159" t="s">
        <v>29</v>
      </c>
      <c r="C33" s="160" t="s">
        <v>29</v>
      </c>
      <c r="D33" s="160"/>
      <c r="E33" s="160"/>
      <c r="F33" s="160" t="s">
        <v>184</v>
      </c>
      <c r="G33" s="160"/>
      <c r="H33" s="160"/>
    </row>
    <row r="34" spans="1:8" s="20" customFormat="1" x14ac:dyDescent="0.35">
      <c r="A34" s="159" t="s">
        <v>27</v>
      </c>
      <c r="B34" s="159" t="s">
        <v>29</v>
      </c>
      <c r="C34" s="160" t="s">
        <v>29</v>
      </c>
      <c r="D34" s="160"/>
      <c r="E34" s="160"/>
      <c r="F34" s="160" t="s">
        <v>179</v>
      </c>
      <c r="G34" s="160"/>
      <c r="H34" s="160"/>
    </row>
    <row r="35" spans="1:8" x14ac:dyDescent="0.35">
      <c r="A35" s="159" t="s">
        <v>26</v>
      </c>
      <c r="B35" s="159" t="s">
        <v>29</v>
      </c>
      <c r="C35" s="160" t="s">
        <v>29</v>
      </c>
      <c r="D35" s="160"/>
      <c r="E35" s="160"/>
      <c r="F35" s="160" t="s">
        <v>10</v>
      </c>
      <c r="G35" s="160"/>
      <c r="H35" s="160"/>
    </row>
    <row r="36" spans="1:8" x14ac:dyDescent="0.35">
      <c r="A36" s="89" t="s">
        <v>31</v>
      </c>
      <c r="B36" s="89"/>
      <c r="C36" s="89"/>
      <c r="D36" s="89"/>
      <c r="E36" s="89"/>
      <c r="F36" s="89"/>
      <c r="G36" s="89"/>
      <c r="H36" s="89"/>
    </row>
    <row r="37" spans="1:8" ht="15.75" customHeight="1" x14ac:dyDescent="0.35">
      <c r="A37" s="152" t="s">
        <v>209</v>
      </c>
      <c r="B37" s="152"/>
      <c r="C37" s="65" t="s">
        <v>221</v>
      </c>
      <c r="D37" s="65"/>
      <c r="E37" s="65"/>
      <c r="F37" s="65"/>
      <c r="G37" s="65"/>
      <c r="H37" s="65"/>
    </row>
    <row r="38" spans="1:8" x14ac:dyDescent="0.35">
      <c r="A38" s="152" t="s">
        <v>162</v>
      </c>
      <c r="B38" s="152"/>
      <c r="C38" s="164" t="s">
        <v>185</v>
      </c>
      <c r="D38" s="69"/>
      <c r="E38" s="69"/>
      <c r="F38" s="69"/>
      <c r="G38" s="69"/>
      <c r="H38" s="69"/>
    </row>
    <row r="39" spans="1:8" x14ac:dyDescent="0.35">
      <c r="A39" s="139" t="s">
        <v>34</v>
      </c>
      <c r="B39" s="139"/>
      <c r="C39" s="139"/>
      <c r="D39" s="139"/>
      <c r="E39" s="139"/>
      <c r="F39" s="139"/>
      <c r="G39" s="139"/>
      <c r="H39" s="139"/>
    </row>
    <row r="40" spans="1:8" x14ac:dyDescent="0.35">
      <c r="A40" s="89" t="s">
        <v>35</v>
      </c>
      <c r="B40" s="89"/>
      <c r="C40" s="89"/>
      <c r="D40" s="89"/>
      <c r="E40" s="163">
        <v>19994.36</v>
      </c>
      <c r="F40" s="163"/>
      <c r="G40" s="163"/>
      <c r="H40" s="163"/>
    </row>
    <row r="41" spans="1:8" x14ac:dyDescent="0.35">
      <c r="A41" s="89" t="s">
        <v>36</v>
      </c>
      <c r="B41" s="89"/>
      <c r="C41" s="89"/>
      <c r="D41" s="89"/>
      <c r="E41" s="124">
        <v>0.75</v>
      </c>
      <c r="F41" s="124"/>
      <c r="G41" s="124"/>
      <c r="H41" s="124"/>
    </row>
    <row r="42" spans="1:8" x14ac:dyDescent="0.35">
      <c r="A42" s="89" t="s">
        <v>37</v>
      </c>
      <c r="B42" s="89"/>
      <c r="C42" s="89"/>
      <c r="D42" s="89"/>
      <c r="E42" s="124">
        <f>E44/E40-E41</f>
        <v>0</v>
      </c>
      <c r="F42" s="124"/>
      <c r="G42" s="124"/>
      <c r="H42" s="124"/>
    </row>
    <row r="43" spans="1:8" x14ac:dyDescent="0.35">
      <c r="A43" s="89" t="s">
        <v>38</v>
      </c>
      <c r="B43" s="89"/>
      <c r="C43" s="89"/>
      <c r="D43" s="89"/>
      <c r="E43" s="124">
        <f>E41+E42</f>
        <v>0.75</v>
      </c>
      <c r="F43" s="124"/>
      <c r="G43" s="124"/>
      <c r="H43" s="124"/>
    </row>
    <row r="44" spans="1:8" x14ac:dyDescent="0.35">
      <c r="A44" s="89" t="s">
        <v>94</v>
      </c>
      <c r="B44" s="89"/>
      <c r="C44" s="89"/>
      <c r="D44" s="89"/>
      <c r="E44" s="181">
        <v>14995.77</v>
      </c>
      <c r="F44" s="181"/>
      <c r="G44" s="181"/>
      <c r="H44" s="181"/>
    </row>
    <row r="45" spans="1:8" x14ac:dyDescent="0.35">
      <c r="A45" s="90" t="s">
        <v>39</v>
      </c>
      <c r="B45" s="90"/>
      <c r="C45" s="90"/>
      <c r="D45" s="90"/>
      <c r="E45" s="90" t="s">
        <v>203</v>
      </c>
      <c r="F45" s="90"/>
      <c r="G45" s="90"/>
      <c r="H45" s="90"/>
    </row>
    <row r="46" spans="1:8" x14ac:dyDescent="0.35">
      <c r="A46" s="77" t="s">
        <v>40</v>
      </c>
      <c r="B46" s="77"/>
      <c r="C46" s="77"/>
      <c r="D46" s="77"/>
      <c r="E46" s="77"/>
      <c r="F46" s="77"/>
      <c r="G46" s="77"/>
      <c r="H46" s="77"/>
    </row>
    <row r="47" spans="1:8" ht="33.75" customHeight="1" x14ac:dyDescent="0.35">
      <c r="A47" s="165" t="s">
        <v>150</v>
      </c>
      <c r="B47" s="166"/>
      <c r="C47" s="167" t="s">
        <v>186</v>
      </c>
      <c r="D47" s="168"/>
      <c r="E47" s="168"/>
      <c r="F47" s="168"/>
      <c r="G47" s="168"/>
      <c r="H47" s="169"/>
    </row>
    <row r="48" spans="1:8" ht="15.75" customHeight="1" x14ac:dyDescent="0.35">
      <c r="A48" s="66" t="s">
        <v>41</v>
      </c>
      <c r="B48" s="68"/>
      <c r="C48" s="66" t="s">
        <v>206</v>
      </c>
      <c r="D48" s="67"/>
      <c r="E48" s="68"/>
      <c r="F48" s="16" t="s">
        <v>42</v>
      </c>
      <c r="G48" s="175">
        <v>44620</v>
      </c>
      <c r="H48" s="68"/>
    </row>
    <row r="49" spans="1:14" x14ac:dyDescent="0.35">
      <c r="A49" s="66" t="s">
        <v>43</v>
      </c>
      <c r="B49" s="68"/>
      <c r="C49" s="66" t="s">
        <v>206</v>
      </c>
      <c r="D49" s="67"/>
      <c r="E49" s="68"/>
      <c r="F49" s="16" t="s">
        <v>42</v>
      </c>
      <c r="G49" s="175">
        <v>44620</v>
      </c>
      <c r="H49" s="68"/>
    </row>
    <row r="50" spans="1:14" s="21" customFormat="1" ht="33" customHeight="1" x14ac:dyDescent="0.35">
      <c r="A50" s="176" t="s">
        <v>153</v>
      </c>
      <c r="B50" s="177"/>
      <c r="C50" s="66" t="s">
        <v>207</v>
      </c>
      <c r="D50" s="67"/>
      <c r="E50" s="68"/>
      <c r="F50" s="16" t="s">
        <v>42</v>
      </c>
      <c r="G50" s="175">
        <v>44620</v>
      </c>
      <c r="H50" s="68"/>
    </row>
    <row r="51" spans="1:14" s="21" customFormat="1" ht="33.75" customHeight="1" x14ac:dyDescent="0.35">
      <c r="A51" s="178"/>
      <c r="B51" s="179"/>
      <c r="C51" s="66" t="s">
        <v>187</v>
      </c>
      <c r="D51" s="67"/>
      <c r="E51" s="67"/>
      <c r="F51" s="67"/>
      <c r="G51" s="67"/>
      <c r="H51" s="68"/>
    </row>
    <row r="52" spans="1:14" x14ac:dyDescent="0.35">
      <c r="A52" s="125" t="s">
        <v>44</v>
      </c>
      <c r="B52" s="126"/>
      <c r="C52" s="125" t="s">
        <v>103</v>
      </c>
      <c r="D52" s="127"/>
      <c r="E52" s="126"/>
      <c r="F52" s="42" t="s">
        <v>42</v>
      </c>
      <c r="G52" s="135" t="s">
        <v>29</v>
      </c>
      <c r="H52" s="136"/>
    </row>
    <row r="53" spans="1:14" x14ac:dyDescent="0.35">
      <c r="A53" s="128" t="s">
        <v>46</v>
      </c>
      <c r="B53" s="128"/>
      <c r="C53" s="128"/>
      <c r="D53" s="128"/>
      <c r="E53" s="128"/>
      <c r="F53" s="128"/>
      <c r="G53" s="128"/>
      <c r="H53" s="128"/>
    </row>
    <row r="54" spans="1:14" x14ac:dyDescent="0.35">
      <c r="A54" s="93" t="s">
        <v>93</v>
      </c>
      <c r="B54" s="93"/>
      <c r="C54" s="93"/>
      <c r="D54" s="180">
        <v>3808.05</v>
      </c>
      <c r="E54" s="89"/>
      <c r="F54" s="89"/>
      <c r="G54" s="89"/>
      <c r="H54" s="89"/>
    </row>
    <row r="55" spans="1:14" x14ac:dyDescent="0.35">
      <c r="A55" s="69" t="s">
        <v>47</v>
      </c>
      <c r="B55" s="70"/>
      <c r="C55" s="70"/>
      <c r="D55" s="90" t="s">
        <v>213</v>
      </c>
      <c r="E55" s="90"/>
      <c r="F55" s="90"/>
      <c r="G55" s="90"/>
      <c r="H55" s="90"/>
      <c r="I55" s="22"/>
    </row>
    <row r="56" spans="1:14" ht="31.5" customHeight="1" x14ac:dyDescent="0.35">
      <c r="A56" s="172" t="s">
        <v>48</v>
      </c>
      <c r="B56" s="173"/>
      <c r="C56" s="174"/>
      <c r="D56" s="170" t="s">
        <v>187</v>
      </c>
      <c r="E56" s="171"/>
      <c r="F56" s="171"/>
      <c r="G56" s="171"/>
      <c r="H56" s="171"/>
    </row>
    <row r="57" spans="1:14" ht="15.75" customHeight="1" x14ac:dyDescent="0.35">
      <c r="A57" s="69" t="s">
        <v>91</v>
      </c>
      <c r="B57" s="69"/>
      <c r="C57" s="69"/>
      <c r="D57" s="90" t="s">
        <v>188</v>
      </c>
      <c r="E57" s="90"/>
      <c r="F57" s="90"/>
      <c r="G57" s="90"/>
      <c r="H57" s="90"/>
    </row>
    <row r="58" spans="1:14" ht="15.75" customHeight="1" x14ac:dyDescent="0.35">
      <c r="A58" s="69"/>
      <c r="B58" s="69"/>
      <c r="C58" s="69"/>
      <c r="D58" s="90" t="s">
        <v>205</v>
      </c>
      <c r="E58" s="90"/>
      <c r="F58" s="90"/>
      <c r="G58" s="90"/>
      <c r="H58" s="90"/>
    </row>
    <row r="59" spans="1:14" ht="15.75" customHeight="1" x14ac:dyDescent="0.35">
      <c r="A59" s="69"/>
      <c r="B59" s="69"/>
      <c r="C59" s="69"/>
      <c r="D59" s="90" t="s">
        <v>204</v>
      </c>
      <c r="E59" s="90"/>
      <c r="F59" s="90"/>
      <c r="G59" s="90"/>
      <c r="H59" s="90"/>
    </row>
    <row r="60" spans="1:14" ht="15.75" customHeight="1" x14ac:dyDescent="0.35">
      <c r="A60" s="69"/>
      <c r="B60" s="69"/>
      <c r="C60" s="69"/>
      <c r="D60" s="90" t="s">
        <v>210</v>
      </c>
      <c r="E60" s="90"/>
      <c r="F60" s="90"/>
      <c r="G60" s="90"/>
      <c r="H60" s="90"/>
    </row>
    <row r="61" spans="1:14" ht="15.75" customHeight="1" x14ac:dyDescent="0.35">
      <c r="A61" s="89" t="s">
        <v>45</v>
      </c>
      <c r="B61" s="89"/>
      <c r="C61" s="89"/>
      <c r="D61" s="93" t="s">
        <v>202</v>
      </c>
      <c r="E61" s="93"/>
      <c r="F61" s="93"/>
      <c r="G61" s="93"/>
      <c r="H61" s="93"/>
      <c r="J61" s="23"/>
      <c r="K61" s="22"/>
      <c r="N61" s="22"/>
    </row>
    <row r="62" spans="1:14" ht="15.75" customHeight="1" x14ac:dyDescent="0.35">
      <c r="A62" s="89" t="s">
        <v>89</v>
      </c>
      <c r="B62" s="89"/>
      <c r="C62" s="89"/>
      <c r="D62" s="106" t="str">
        <f>(IF(G52="NA","60 Years After Completion",IF(G52&lt;&gt;"NA",""&amp;60-ROUNDDOWN((E3-G52)/360,0)&amp;" Years"," ")))</f>
        <v>60 Years After Completion</v>
      </c>
      <c r="E62" s="106"/>
      <c r="F62" s="106"/>
      <c r="G62" s="106"/>
      <c r="H62" s="106"/>
      <c r="N62" s="22"/>
    </row>
    <row r="63" spans="1:14" ht="15.75" customHeight="1" x14ac:dyDescent="0.35">
      <c r="A63" s="89" t="s">
        <v>90</v>
      </c>
      <c r="B63" s="89"/>
      <c r="C63" s="89"/>
      <c r="D63" s="93" t="s">
        <v>23</v>
      </c>
      <c r="E63" s="93"/>
      <c r="F63" s="93"/>
      <c r="G63" s="93"/>
      <c r="H63" s="93"/>
      <c r="J63" s="24"/>
      <c r="K63" s="24"/>
    </row>
    <row r="64" spans="1:14" ht="30" customHeight="1" x14ac:dyDescent="0.35">
      <c r="A64" s="89" t="s">
        <v>76</v>
      </c>
      <c r="B64" s="89"/>
      <c r="C64" s="89"/>
      <c r="D64" s="69" t="s">
        <v>222</v>
      </c>
      <c r="E64" s="93"/>
      <c r="F64" s="93"/>
      <c r="G64" s="93"/>
      <c r="H64" s="93"/>
    </row>
    <row r="65" spans="1:14" x14ac:dyDescent="0.35">
      <c r="A65" s="93" t="s">
        <v>147</v>
      </c>
      <c r="B65" s="93"/>
      <c r="C65" s="93"/>
      <c r="D65" s="93" t="s">
        <v>29</v>
      </c>
      <c r="E65" s="93"/>
      <c r="F65" s="93"/>
      <c r="G65" s="93"/>
      <c r="H65" s="93"/>
      <c r="I65" s="25"/>
      <c r="J65" s="25"/>
      <c r="K65" s="25"/>
      <c r="L65" s="25"/>
      <c r="M65" s="25"/>
      <c r="N65" s="25"/>
    </row>
    <row r="66" spans="1:14" ht="15.75" customHeight="1" x14ac:dyDescent="0.35">
      <c r="A66" s="89" t="s">
        <v>88</v>
      </c>
      <c r="B66" s="89"/>
      <c r="C66" s="89"/>
      <c r="D66" s="69" t="str">
        <f ca="1">(IF(G72&gt;95%,"Nothing",IF(G72&gt;0%,"Cement, Aggregate, Steel, etc",IF(G72=0%,"Work not yet Started"))))</f>
        <v>Cement, Aggregate, Steel, etc</v>
      </c>
      <c r="E66" s="69"/>
      <c r="F66" s="69"/>
      <c r="G66" s="69"/>
      <c r="H66" s="69"/>
      <c r="J66" s="24"/>
    </row>
    <row r="67" spans="1:14" ht="33.75" customHeight="1" thickBot="1" x14ac:dyDescent="0.4">
      <c r="A67" s="93" t="s">
        <v>116</v>
      </c>
      <c r="B67" s="93"/>
      <c r="C67" s="93"/>
      <c r="D67" s="69" t="str">
        <f ca="1">(IF(D66="Nothing","Yes",IF(D66="Cement, Aggregate, Steel, etc","Under Construction",IF(D66="Work not yet Started","Work not yet Started"))))</f>
        <v>Under Construction</v>
      </c>
      <c r="E67" s="69"/>
      <c r="F67" s="69" t="str">
        <f ca="1">(IF(D66="Nothing","Yes",IF(D66="Cement, Aggregate, Steel, etc","Under Construction",IF(D66="Work not yet Started","Work not yet Started"))))</f>
        <v>Under Construction</v>
      </c>
      <c r="G67" s="69"/>
      <c r="H67" s="69"/>
    </row>
    <row r="68" spans="1:14" ht="15.75" customHeight="1" x14ac:dyDescent="0.35">
      <c r="A68" s="78" t="s">
        <v>139</v>
      </c>
      <c r="B68" s="78"/>
      <c r="C68" s="78" t="str">
        <f>D57</f>
        <v>Building No. 1 (A Wing) = Gr + 1st to 4th Floor</v>
      </c>
      <c r="D68" s="78"/>
      <c r="E68" s="78"/>
      <c r="F68" s="78"/>
      <c r="G68" s="78"/>
      <c r="H68" s="78"/>
      <c r="I68" s="58" t="str">
        <f ca="1">IF(D81=100%,"All work Completed. Possession granted to the Building.",IF(D80=100%,"All work Completed, Waiting for OC",I69&amp;""&amp;I70&amp;""&amp;J69&amp;""&amp;J68&amp;" "&amp;J70))</f>
        <v>Excavation, Plinth, RCC Slab, Brickwork, Internal Plaster, External Plaster Completed, Flooring upto 3.5 Floor, Painting upto 3 Floor Completed</v>
      </c>
      <c r="J68" s="45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Flooring upto 3.5 Floor, Painting upto 3 Floor</v>
      </c>
    </row>
    <row r="69" spans="1:14" x14ac:dyDescent="0.35">
      <c r="A69" s="54" t="s">
        <v>141</v>
      </c>
      <c r="B69" s="54">
        <v>0</v>
      </c>
      <c r="C69" s="54" t="s">
        <v>73</v>
      </c>
      <c r="D69" s="54">
        <v>1</v>
      </c>
      <c r="E69" s="54" t="s">
        <v>72</v>
      </c>
      <c r="F69" s="54">
        <v>0</v>
      </c>
      <c r="G69" s="54" t="s">
        <v>82</v>
      </c>
      <c r="H69" s="54">
        <f ca="1">--TRIM(RIGHT(SUBSTITUTE(LEFT(C68,_xlfn.AGGREGATE(16,6,FIND({0,1,2,3,4,5,6,7,8,9},C68,ROW(INDIRECT("1:"&amp;LEN(C68)))),1))," ",REPT(" ",LEN(C68))),LEN(C68)))</f>
        <v>4</v>
      </c>
      <c r="I69" s="59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Brickwork, Internal Plaster, External Plaster</v>
      </c>
      <c r="J69" s="47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4.5" customHeight="1" x14ac:dyDescent="0.35">
      <c r="A70" s="77" t="s">
        <v>92</v>
      </c>
      <c r="B70" s="77"/>
      <c r="C70" s="78" t="str">
        <f ca="1">I68</f>
        <v>Excavation, Plinth, RCC Slab, Brickwork, Internal Plaster, External Plaster Completed, Flooring upto 3.5 Floor, Painting upto 3 Floor Completed</v>
      </c>
      <c r="D70" s="78"/>
      <c r="E70" s="78"/>
      <c r="F70" s="78"/>
      <c r="G70" s="78"/>
      <c r="H70" s="78"/>
      <c r="I70" s="59" t="str">
        <f ca="1">IF(I69&lt;&gt;""," Completed","")</f>
        <v xml:space="preserve"> Completed</v>
      </c>
      <c r="J70" s="47" t="str">
        <f ca="1">IF(J68&lt;&gt;"","Completed","")</f>
        <v>Completed</v>
      </c>
    </row>
    <row r="71" spans="1:14" ht="15.75" customHeight="1" x14ac:dyDescent="0.35">
      <c r="A71" s="81" t="s">
        <v>49</v>
      </c>
      <c r="B71" s="81"/>
      <c r="C71" s="51" t="s">
        <v>138</v>
      </c>
      <c r="D71" s="51" t="s">
        <v>85</v>
      </c>
      <c r="E71" s="81" t="s">
        <v>87</v>
      </c>
      <c r="F71" s="81"/>
      <c r="G71" s="81" t="s">
        <v>86</v>
      </c>
      <c r="H71" s="81"/>
      <c r="I71" s="14" t="s">
        <v>140</v>
      </c>
      <c r="J71" s="26">
        <f ca="1">H69*25%</f>
        <v>1</v>
      </c>
    </row>
    <row r="72" spans="1:14" x14ac:dyDescent="0.35">
      <c r="A72" s="80" t="s">
        <v>127</v>
      </c>
      <c r="B72" s="81"/>
      <c r="C72" s="51">
        <f ca="1">J73</f>
        <v>4</v>
      </c>
      <c r="D72" s="17">
        <f ca="1">((100/H69)*C72)/100</f>
        <v>1</v>
      </c>
      <c r="E72" s="83">
        <f ca="1">(((C73/H69*10)+(40/(D69+F69+H69)*C74)+(7.5/(H69)*C75)+(7.5/(H69)*C76)+(10/H69*C77)+(10/H69*C78)+(5/H69*C79)+(5/H69*C80)+(5/H69*C81))/100)</f>
        <v>0.875</v>
      </c>
      <c r="F72" s="84"/>
      <c r="G72" s="83">
        <f ca="1">((((C72/H69)*20)+((C73/H69)*25)+(30/(H69+F69+D69)*C74)+(5/H69*C75)+(5/H69*C76)+(5/H69*C77)+(5/H69*C78)+(0/H69*C79)+(0/H69*C80)+(5/H69*C81))/100)</f>
        <v>0.94374999999999998</v>
      </c>
      <c r="H72" s="87"/>
      <c r="I72" s="14" t="s">
        <v>98</v>
      </c>
      <c r="J72" s="27">
        <f ca="1">H69*50%</f>
        <v>2</v>
      </c>
    </row>
    <row r="73" spans="1:14" x14ac:dyDescent="0.35">
      <c r="A73" s="80" t="s">
        <v>50</v>
      </c>
      <c r="B73" s="81"/>
      <c r="C73" s="49">
        <f ca="1">J81</f>
        <v>4</v>
      </c>
      <c r="D73" s="17">
        <f ca="1">((100/H69)*C73)/100</f>
        <v>1</v>
      </c>
      <c r="E73" s="85"/>
      <c r="F73" s="86"/>
      <c r="G73" s="85"/>
      <c r="H73" s="88"/>
      <c r="I73" s="14" t="s">
        <v>99</v>
      </c>
      <c r="J73" s="27">
        <f ca="1">H69</f>
        <v>4</v>
      </c>
    </row>
    <row r="74" spans="1:14" ht="15.75" customHeight="1" x14ac:dyDescent="0.35">
      <c r="A74" s="80" t="s">
        <v>128</v>
      </c>
      <c r="B74" s="81"/>
      <c r="C74" s="51">
        <v>5</v>
      </c>
      <c r="D74" s="17">
        <f ca="1">((100/(D69+F69+H69))*C74)/100</f>
        <v>1</v>
      </c>
      <c r="E74" s="85"/>
      <c r="F74" s="86"/>
      <c r="G74" s="85"/>
      <c r="H74" s="88"/>
      <c r="I74" s="14" t="s">
        <v>100</v>
      </c>
      <c r="J74" s="28">
        <f ca="1">(IF(B69&gt;1,(H69/(B69+2)),H69/4))</f>
        <v>1</v>
      </c>
    </row>
    <row r="75" spans="1:14" ht="15.75" customHeight="1" x14ac:dyDescent="0.35">
      <c r="A75" s="80" t="s">
        <v>135</v>
      </c>
      <c r="B75" s="81" t="s">
        <v>129</v>
      </c>
      <c r="C75" s="51">
        <v>4</v>
      </c>
      <c r="D75" s="17">
        <f ca="1">((100/H69)*C75)/100</f>
        <v>1</v>
      </c>
      <c r="E75" s="85"/>
      <c r="F75" s="86"/>
      <c r="G75" s="85"/>
      <c r="H75" s="88"/>
      <c r="I75" s="14" t="s">
        <v>101</v>
      </c>
      <c r="J75" s="28">
        <f ca="1">(IF(B69&gt;1,(H69/(B69+2)+J74),H69/4+J74))</f>
        <v>2</v>
      </c>
    </row>
    <row r="76" spans="1:14" ht="15.75" customHeight="1" x14ac:dyDescent="0.35">
      <c r="A76" s="80" t="s">
        <v>136</v>
      </c>
      <c r="B76" s="81" t="s">
        <v>129</v>
      </c>
      <c r="C76" s="51">
        <v>4</v>
      </c>
      <c r="D76" s="17">
        <f ca="1">((100/H69)*C76)/100</f>
        <v>1</v>
      </c>
      <c r="E76" s="85"/>
      <c r="F76" s="86"/>
      <c r="G76" s="85"/>
      <c r="H76" s="88"/>
      <c r="I76" s="14" t="s">
        <v>145</v>
      </c>
      <c r="J76" s="28">
        <f>(IF(B69&gt;1,(H69/(B69+2)+J75),0))</f>
        <v>0</v>
      </c>
    </row>
    <row r="77" spans="1:14" ht="15" customHeight="1" x14ac:dyDescent="0.35">
      <c r="A77" s="80" t="s">
        <v>134</v>
      </c>
      <c r="B77" s="81" t="s">
        <v>131</v>
      </c>
      <c r="C77" s="51">
        <v>4</v>
      </c>
      <c r="D77" s="17">
        <f ca="1">((100/(H69))*C77)/100</f>
        <v>1</v>
      </c>
      <c r="E77" s="85"/>
      <c r="F77" s="86"/>
      <c r="G77" s="85"/>
      <c r="H77" s="88"/>
      <c r="I77" s="14" t="s">
        <v>142</v>
      </c>
      <c r="J77" s="28">
        <f>(IF(B69&gt;2,(H69/(B69+2)+J76),0))</f>
        <v>0</v>
      </c>
    </row>
    <row r="78" spans="1:14" ht="15.75" customHeight="1" x14ac:dyDescent="0.35">
      <c r="A78" s="80" t="s">
        <v>130</v>
      </c>
      <c r="B78" s="81" t="s">
        <v>130</v>
      </c>
      <c r="C78" s="49">
        <v>3.5</v>
      </c>
      <c r="D78" s="17">
        <f ca="1">((100/H69)*C78)/100</f>
        <v>0.875</v>
      </c>
      <c r="E78" s="85"/>
      <c r="F78" s="86"/>
      <c r="G78" s="85"/>
      <c r="H78" s="88"/>
      <c r="I78" s="14" t="s">
        <v>143</v>
      </c>
      <c r="J78" s="29">
        <f>(IF(B69&gt;3,(H69/(B69+2)+J77),0))</f>
        <v>0</v>
      </c>
    </row>
    <row r="79" spans="1:14" ht="15.75" customHeight="1" x14ac:dyDescent="0.35">
      <c r="A79" s="80" t="s">
        <v>137</v>
      </c>
      <c r="B79" s="81"/>
      <c r="C79" s="51">
        <v>3</v>
      </c>
      <c r="D79" s="17">
        <f ca="1">((100/H69)*C79)/100</f>
        <v>0.75</v>
      </c>
      <c r="E79" s="85"/>
      <c r="F79" s="86"/>
      <c r="G79" s="85"/>
      <c r="H79" s="88"/>
      <c r="I79" s="14" t="s">
        <v>144</v>
      </c>
      <c r="J79" s="28">
        <f>(IF(B69&gt;4,(H69/(B69+2)+J78),0))</f>
        <v>0</v>
      </c>
    </row>
    <row r="80" spans="1:14" ht="15.75" customHeight="1" x14ac:dyDescent="0.35">
      <c r="A80" s="80" t="s">
        <v>132</v>
      </c>
      <c r="B80" s="81" t="s">
        <v>132</v>
      </c>
      <c r="C80" s="51">
        <v>0</v>
      </c>
      <c r="D80" s="17">
        <f ca="1">((100/(H69))*C80)/100</f>
        <v>0</v>
      </c>
      <c r="E80" s="85"/>
      <c r="F80" s="86"/>
      <c r="G80" s="85"/>
      <c r="H80" s="88"/>
      <c r="I80" s="14" t="s">
        <v>146</v>
      </c>
      <c r="J80" s="28">
        <f ca="1">(IF(B69=1,(H69/(B69+3)+J75),IF(B69=0,(H69/4+J75),IF(B69&gt;1,0))))</f>
        <v>3</v>
      </c>
    </row>
    <row r="81" spans="1:10" ht="16" thickBot="1" x14ac:dyDescent="0.4">
      <c r="A81" s="104" t="s">
        <v>133</v>
      </c>
      <c r="B81" s="105"/>
      <c r="C81" s="52">
        <v>0</v>
      </c>
      <c r="D81" s="18">
        <f ca="1">((100/(H69))*C81)/100</f>
        <v>0</v>
      </c>
      <c r="E81" s="101"/>
      <c r="F81" s="102"/>
      <c r="G81" s="101"/>
      <c r="H81" s="103"/>
      <c r="I81" s="15" t="s">
        <v>102</v>
      </c>
      <c r="J81" s="30">
        <f ca="1">(IF(B69&gt;1.5,(H69/(B69+2)+J75+MAX(0,J76-J75)+MAX(0,J77-J76)+MAX(0,J78-J77)+MAX(0,J79-J78)+MAX(0,J80-J79)),IF(B69=1,(H69/(B69+3)+J80),IF(B69=0,H69/4+J80))))</f>
        <v>4</v>
      </c>
    </row>
    <row r="82" spans="1:10" ht="15.75" customHeight="1" x14ac:dyDescent="0.35">
      <c r="A82" s="71" t="s">
        <v>139</v>
      </c>
      <c r="B82" s="72"/>
      <c r="C82" s="73" t="str">
        <f>D58</f>
        <v>Building No. 2 (B Wing) = Gr +1st to 4th Floor</v>
      </c>
      <c r="D82" s="74"/>
      <c r="E82" s="74"/>
      <c r="F82" s="74"/>
      <c r="G82" s="74"/>
      <c r="H82" s="75"/>
      <c r="I82" s="44" t="str">
        <f ca="1">IF(D95=100%,"All work Completed. Possession granted to the Building.",IF(D94=100%,"All work Completed, Waiting for OC",I83&amp;""&amp;I84&amp;""&amp;J83&amp;""&amp;J82&amp;" "&amp;J84))</f>
        <v>Excavation, Plinth, RCC Slab, Brickwork, Internal Plaster, External Plaster Completed, Flooring upto 2.5 Floor, Painting upto 2 Floor Completed</v>
      </c>
      <c r="J82" s="45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Flooring upto 2.5 Floor, Painting upto 2 Floor</v>
      </c>
    </row>
    <row r="83" spans="1:10" x14ac:dyDescent="0.35">
      <c r="A83" s="53" t="s">
        <v>141</v>
      </c>
      <c r="B83" s="54">
        <v>0</v>
      </c>
      <c r="C83" s="54" t="s">
        <v>73</v>
      </c>
      <c r="D83" s="54">
        <v>1</v>
      </c>
      <c r="E83" s="54" t="s">
        <v>72</v>
      </c>
      <c r="F83" s="54">
        <v>0</v>
      </c>
      <c r="G83" s="54" t="s">
        <v>82</v>
      </c>
      <c r="H83" s="55">
        <f ca="1">--TRIM(RIGHT(SUBSTITUTE(LEFT(C82,_xlfn.AGGREGATE(16,6,FIND({0,1,2,3,4,5,6,7,8,9},C82,ROW(INDIRECT("1:"&amp;LEN(C82)))),1))," ",REPT(" ",LEN(C82))),LEN(C82)))</f>
        <v>4</v>
      </c>
      <c r="I83" s="46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Slab, Brickwork, Internal Plaster, External Plaster</v>
      </c>
      <c r="J83" s="47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33.75" customHeight="1" x14ac:dyDescent="0.35">
      <c r="A84" s="76" t="s">
        <v>92</v>
      </c>
      <c r="B84" s="77"/>
      <c r="C84" s="78" t="str">
        <f ca="1">(IF($G$52="NA",I82,"All work Completed. OC Received."))</f>
        <v>Excavation, Plinth, RCC Slab, Brickwork, Internal Plaster, External Plaster Completed, Flooring upto 2.5 Floor, Painting upto 2 Floor Completed</v>
      </c>
      <c r="D84" s="78"/>
      <c r="E84" s="78"/>
      <c r="F84" s="78"/>
      <c r="G84" s="78"/>
      <c r="H84" s="79"/>
      <c r="I84" s="46" t="str">
        <f ca="1">IF(I83&lt;&gt;""," Completed","")</f>
        <v xml:space="preserve"> Completed</v>
      </c>
      <c r="J84" s="47" t="str">
        <f ca="1">IF(J82&lt;&gt;"","Completed","")</f>
        <v>Completed</v>
      </c>
    </row>
    <row r="85" spans="1:10" ht="15.75" customHeight="1" x14ac:dyDescent="0.35">
      <c r="A85" s="80" t="s">
        <v>49</v>
      </c>
      <c r="B85" s="81"/>
      <c r="C85" s="51" t="s">
        <v>138</v>
      </c>
      <c r="D85" s="51" t="s">
        <v>85</v>
      </c>
      <c r="E85" s="81" t="s">
        <v>87</v>
      </c>
      <c r="F85" s="81"/>
      <c r="G85" s="81" t="s">
        <v>86</v>
      </c>
      <c r="H85" s="82"/>
      <c r="I85" s="14" t="s">
        <v>140</v>
      </c>
      <c r="J85" s="26">
        <f ca="1">H83*25%</f>
        <v>1</v>
      </c>
    </row>
    <row r="86" spans="1:10" x14ac:dyDescent="0.35">
      <c r="A86" s="80" t="s">
        <v>127</v>
      </c>
      <c r="B86" s="81"/>
      <c r="C86" s="51">
        <f ca="1">J87</f>
        <v>4</v>
      </c>
      <c r="D86" s="17">
        <f ca="1">((100/H83)*C86)/100</f>
        <v>1</v>
      </c>
      <c r="E86" s="83">
        <f ca="1">(((C87/H83*10)+(40/(D83+F83+H83)*C88)+(7.5/(H83)*C89)+(7.5/(H83)*C90)+(10/H83*C91)+(10/H83*C92)+(5/H83*C93)+(5/H83*C94)+(5/H83*C95))/100)</f>
        <v>0.83750000000000002</v>
      </c>
      <c r="F86" s="84"/>
      <c r="G86" s="83">
        <f ca="1">((((C86/H83)*20)+((C87/H83)*25)+(30/(H83+F83+D83)*C88)+(5/H83*C89)+(5/H83*C90)+(5/H83*C91)+(5/H83*C92)+(0/H83*C93)+(0/H83*C94)+(5/H83*C95))/100)</f>
        <v>0.93125000000000002</v>
      </c>
      <c r="H86" s="87"/>
      <c r="I86" s="14" t="s">
        <v>98</v>
      </c>
      <c r="J86" s="27">
        <f ca="1">H83*50%</f>
        <v>2</v>
      </c>
    </row>
    <row r="87" spans="1:10" x14ac:dyDescent="0.35">
      <c r="A87" s="80" t="s">
        <v>50</v>
      </c>
      <c r="B87" s="81"/>
      <c r="C87" s="49">
        <f ca="1">J95</f>
        <v>4</v>
      </c>
      <c r="D87" s="17">
        <f ca="1">((100/H83)*C87)/100</f>
        <v>1</v>
      </c>
      <c r="E87" s="85"/>
      <c r="F87" s="86"/>
      <c r="G87" s="85"/>
      <c r="H87" s="88"/>
      <c r="I87" s="14" t="s">
        <v>99</v>
      </c>
      <c r="J87" s="27">
        <f ca="1">H83</f>
        <v>4</v>
      </c>
    </row>
    <row r="88" spans="1:10" ht="15.75" customHeight="1" x14ac:dyDescent="0.35">
      <c r="A88" s="80" t="s">
        <v>128</v>
      </c>
      <c r="B88" s="81"/>
      <c r="C88" s="51">
        <v>5</v>
      </c>
      <c r="D88" s="17">
        <f ca="1">((100/(D83+F83+H83))*C88)/100</f>
        <v>1</v>
      </c>
      <c r="E88" s="85"/>
      <c r="F88" s="86"/>
      <c r="G88" s="85"/>
      <c r="H88" s="88"/>
      <c r="I88" s="14" t="s">
        <v>100</v>
      </c>
      <c r="J88" s="28">
        <f ca="1">(IF(B83&gt;1,(H83/(B83+2)),H83/4))</f>
        <v>1</v>
      </c>
    </row>
    <row r="89" spans="1:10" ht="15.75" customHeight="1" x14ac:dyDescent="0.35">
      <c r="A89" s="80" t="s">
        <v>135</v>
      </c>
      <c r="B89" s="81" t="s">
        <v>129</v>
      </c>
      <c r="C89" s="51">
        <v>4</v>
      </c>
      <c r="D89" s="17">
        <f ca="1">((100/H83)*C89)/100</f>
        <v>1</v>
      </c>
      <c r="E89" s="85"/>
      <c r="F89" s="86"/>
      <c r="G89" s="85"/>
      <c r="H89" s="88"/>
      <c r="I89" s="14" t="s">
        <v>101</v>
      </c>
      <c r="J89" s="28">
        <f ca="1">(IF(B83&gt;1,(H83/(B83+2)+J88),H83/4+J88))</f>
        <v>2</v>
      </c>
    </row>
    <row r="90" spans="1:10" ht="15.75" customHeight="1" x14ac:dyDescent="0.35">
      <c r="A90" s="80" t="s">
        <v>136</v>
      </c>
      <c r="B90" s="81" t="s">
        <v>129</v>
      </c>
      <c r="C90" s="51">
        <v>4</v>
      </c>
      <c r="D90" s="17">
        <f ca="1">((100/H83)*C90)/100</f>
        <v>1</v>
      </c>
      <c r="E90" s="85"/>
      <c r="F90" s="86"/>
      <c r="G90" s="85"/>
      <c r="H90" s="88"/>
      <c r="I90" s="14" t="s">
        <v>145</v>
      </c>
      <c r="J90" s="28">
        <f>(IF(B83&gt;1,(H83/(B83+2)+J89),0))</f>
        <v>0</v>
      </c>
    </row>
    <row r="91" spans="1:10" ht="15" customHeight="1" x14ac:dyDescent="0.35">
      <c r="A91" s="80" t="s">
        <v>134</v>
      </c>
      <c r="B91" s="81" t="s">
        <v>131</v>
      </c>
      <c r="C91" s="51">
        <v>4</v>
      </c>
      <c r="D91" s="17">
        <f ca="1">((100/(H83))*C91)/100</f>
        <v>1</v>
      </c>
      <c r="E91" s="85"/>
      <c r="F91" s="86"/>
      <c r="G91" s="85"/>
      <c r="H91" s="88"/>
      <c r="I91" s="14" t="s">
        <v>142</v>
      </c>
      <c r="J91" s="28">
        <f>(IF(B83&gt;2,(H83/(B83+2)+J90),0))</f>
        <v>0</v>
      </c>
    </row>
    <row r="92" spans="1:10" ht="15.75" customHeight="1" x14ac:dyDescent="0.35">
      <c r="A92" s="80" t="s">
        <v>130</v>
      </c>
      <c r="B92" s="81" t="s">
        <v>130</v>
      </c>
      <c r="C92" s="49">
        <v>2.5</v>
      </c>
      <c r="D92" s="17">
        <f ca="1">((100/H83)*C92)/100</f>
        <v>0.625</v>
      </c>
      <c r="E92" s="85"/>
      <c r="F92" s="86"/>
      <c r="G92" s="85"/>
      <c r="H92" s="88"/>
      <c r="I92" s="14" t="s">
        <v>143</v>
      </c>
      <c r="J92" s="29">
        <f>(IF(B83&gt;3,(H83/(B83+2)+J91),0))</f>
        <v>0</v>
      </c>
    </row>
    <row r="93" spans="1:10" ht="15.75" customHeight="1" x14ac:dyDescent="0.35">
      <c r="A93" s="80" t="s">
        <v>137</v>
      </c>
      <c r="B93" s="81"/>
      <c r="C93" s="51">
        <v>2</v>
      </c>
      <c r="D93" s="17">
        <f ca="1">((100/H83)*C93)/100</f>
        <v>0.5</v>
      </c>
      <c r="E93" s="85"/>
      <c r="F93" s="86"/>
      <c r="G93" s="85"/>
      <c r="H93" s="88"/>
      <c r="I93" s="14" t="s">
        <v>144</v>
      </c>
      <c r="J93" s="28">
        <f>(IF(B83&gt;4,(H83/(B83+2)+J92),0))</f>
        <v>0</v>
      </c>
    </row>
    <row r="94" spans="1:10" ht="15.75" customHeight="1" x14ac:dyDescent="0.35">
      <c r="A94" s="80" t="s">
        <v>132</v>
      </c>
      <c r="B94" s="81" t="s">
        <v>132</v>
      </c>
      <c r="C94" s="51">
        <v>0</v>
      </c>
      <c r="D94" s="17">
        <f ca="1">((100/(H83))*C94)/100</f>
        <v>0</v>
      </c>
      <c r="E94" s="85"/>
      <c r="F94" s="86"/>
      <c r="G94" s="85"/>
      <c r="H94" s="88"/>
      <c r="I94" s="14" t="s">
        <v>146</v>
      </c>
      <c r="J94" s="28">
        <f ca="1">(IF(B83=1,(H83/(B83+3)+J89),IF(B83=0,(H83/4+J89),IF(B83&gt;1,0))))</f>
        <v>3</v>
      </c>
    </row>
    <row r="95" spans="1:10" ht="16" thickBot="1" x14ac:dyDescent="0.4">
      <c r="A95" s="115" t="s">
        <v>133</v>
      </c>
      <c r="B95" s="116"/>
      <c r="C95" s="62">
        <v>0</v>
      </c>
      <c r="D95" s="63">
        <f ca="1">((100/(H83))*C95)/100</f>
        <v>0</v>
      </c>
      <c r="E95" s="85"/>
      <c r="F95" s="86"/>
      <c r="G95" s="85"/>
      <c r="H95" s="88"/>
      <c r="I95" s="15" t="s">
        <v>102</v>
      </c>
      <c r="J95" s="30">
        <f ca="1">(IF(B83&gt;1.5,(H83/(B83+2)+J89+MAX(0,J90-J89)+MAX(0,J91-J90)+MAX(0,J92-J91)+MAX(0,J93-J92)+MAX(0,J94-J93)),IF(B83=1,(H83/(B83+3)+J94),IF(B83=0,H83/4+J94))))</f>
        <v>4</v>
      </c>
    </row>
    <row r="96" spans="1:10" ht="15.75" customHeight="1" x14ac:dyDescent="0.35">
      <c r="A96" s="78" t="s">
        <v>139</v>
      </c>
      <c r="B96" s="78"/>
      <c r="C96" s="78" t="str">
        <f>D59</f>
        <v>Building No. 2 (C Wing) = Gr +1st to 4th Floor</v>
      </c>
      <c r="D96" s="78"/>
      <c r="E96" s="78"/>
      <c r="F96" s="78"/>
      <c r="G96" s="78"/>
      <c r="H96" s="78"/>
      <c r="I96" s="58" t="str">
        <f ca="1">IF(D109=100%,"All work Completed. Possession granted to the Building.",IF(D108=100%,"All work Completed, Waiting for OC",I97&amp;""&amp;I98&amp;""&amp;J97&amp;""&amp;J96&amp;" "&amp;J98))</f>
        <v>Excavation, Plinth, RCC Slab, Brickwork, Internal Plaster, External Plaster Completed, Flooring upto 2 Floor, Painting upto 2 Floor Completed</v>
      </c>
      <c r="J96" s="45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>, Flooring upto 2 Floor, Painting upto 2 Floor</v>
      </c>
    </row>
    <row r="97" spans="1:10" x14ac:dyDescent="0.35">
      <c r="A97" s="54" t="s">
        <v>141</v>
      </c>
      <c r="B97" s="54">
        <v>0</v>
      </c>
      <c r="C97" s="54" t="s">
        <v>73</v>
      </c>
      <c r="D97" s="54">
        <v>1</v>
      </c>
      <c r="E97" s="54" t="s">
        <v>72</v>
      </c>
      <c r="F97" s="54">
        <v>0</v>
      </c>
      <c r="G97" s="54" t="s">
        <v>82</v>
      </c>
      <c r="H97" s="54">
        <f ca="1">--TRIM(RIGHT(SUBSTITUTE(LEFT(C96,_xlfn.AGGREGATE(16,6,FIND({0,1,2,3,4,5,6,7,8,9},C96,ROW(INDIRECT("1:"&amp;LEN(C96)))),1))," ",REPT(" ",LEN(C96))),LEN(C96)))</f>
        <v>4</v>
      </c>
      <c r="I97" s="59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Plinth, RCC Slab, Brickwork, Internal Plaster, External Plaster</v>
      </c>
      <c r="J97" s="47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ht="33" customHeight="1" x14ac:dyDescent="0.35">
      <c r="A98" s="77" t="s">
        <v>92</v>
      </c>
      <c r="B98" s="77"/>
      <c r="C98" s="78" t="str">
        <f ca="1">(IF($G$52="NA",I96,"All work Completed. OC Received."))</f>
        <v>Excavation, Plinth, RCC Slab, Brickwork, Internal Plaster, External Plaster Completed, Flooring upto 2 Floor, Painting upto 2 Floor Completed</v>
      </c>
      <c r="D98" s="78"/>
      <c r="E98" s="78"/>
      <c r="F98" s="78"/>
      <c r="G98" s="78"/>
      <c r="H98" s="78"/>
      <c r="I98" s="59" t="str">
        <f ca="1">IF(I97&lt;&gt;""," Completed","")</f>
        <v xml:space="preserve"> Completed</v>
      </c>
      <c r="J98" s="47" t="str">
        <f ca="1">IF(J96&lt;&gt;"","Completed","")</f>
        <v>Completed</v>
      </c>
    </row>
    <row r="99" spans="1:10" ht="15.75" customHeight="1" x14ac:dyDescent="0.35">
      <c r="A99" s="81" t="s">
        <v>49</v>
      </c>
      <c r="B99" s="81"/>
      <c r="C99" s="51" t="s">
        <v>138</v>
      </c>
      <c r="D99" s="51" t="s">
        <v>85</v>
      </c>
      <c r="E99" s="81" t="s">
        <v>87</v>
      </c>
      <c r="F99" s="81"/>
      <c r="G99" s="81" t="s">
        <v>86</v>
      </c>
      <c r="H99" s="81"/>
      <c r="I99" s="14" t="s">
        <v>140</v>
      </c>
      <c r="J99" s="26">
        <f ca="1">H97*25%</f>
        <v>1</v>
      </c>
    </row>
    <row r="100" spans="1:10" x14ac:dyDescent="0.35">
      <c r="A100" s="81" t="s">
        <v>127</v>
      </c>
      <c r="B100" s="81"/>
      <c r="C100" s="51">
        <f ca="1">J101</f>
        <v>4</v>
      </c>
      <c r="D100" s="17">
        <f ca="1">((100/H97)*C100)/100</f>
        <v>1</v>
      </c>
      <c r="E100" s="182">
        <f ca="1">(((C101/H97*10)+(40/(D97+F97+H97)*C102)+(7.5/(H97)*C103)+(7.5/(H97)*C104)+(10/H97*C105)+(10/H97*C106)+(5/H97*C107)+(5/H97*C108)+(5/H97*C109))/100)</f>
        <v>0.82499999999999996</v>
      </c>
      <c r="F100" s="182"/>
      <c r="G100" s="182">
        <f ca="1">((((C100/H97)*20)+((C101/H97)*25)+(30/(H97+F97+D97)*C102)+(5/H97*C103)+(5/H97*C104)+(5/H97*C105)+(5/H97*C106)+(0/H97*C107)+(0/H97*C108)+(5/H97*C109))/100)</f>
        <v>0.92500000000000004</v>
      </c>
      <c r="H100" s="182"/>
      <c r="I100" s="14" t="s">
        <v>98</v>
      </c>
      <c r="J100" s="27">
        <f ca="1">H97*50%</f>
        <v>2</v>
      </c>
    </row>
    <row r="101" spans="1:10" x14ac:dyDescent="0.35">
      <c r="A101" s="81" t="s">
        <v>50</v>
      </c>
      <c r="B101" s="81"/>
      <c r="C101" s="49">
        <v>4</v>
      </c>
      <c r="D101" s="17">
        <f ca="1">((100/H97)*C101)/100</f>
        <v>1</v>
      </c>
      <c r="E101" s="182"/>
      <c r="F101" s="182"/>
      <c r="G101" s="182"/>
      <c r="H101" s="182"/>
      <c r="I101" s="14" t="s">
        <v>99</v>
      </c>
      <c r="J101" s="27">
        <f ca="1">H97</f>
        <v>4</v>
      </c>
    </row>
    <row r="102" spans="1:10" ht="15.75" customHeight="1" x14ac:dyDescent="0.35">
      <c r="A102" s="81" t="s">
        <v>128</v>
      </c>
      <c r="B102" s="81"/>
      <c r="C102" s="51">
        <v>5</v>
      </c>
      <c r="D102" s="17">
        <f ca="1">((100/(D97+F97+H97))*C102)/100</f>
        <v>1</v>
      </c>
      <c r="E102" s="182"/>
      <c r="F102" s="182"/>
      <c r="G102" s="182"/>
      <c r="H102" s="182"/>
      <c r="I102" s="14" t="s">
        <v>100</v>
      </c>
      <c r="J102" s="28">
        <f ca="1">(IF(B97&gt;1,(H97/(B97+2)),H97/4))</f>
        <v>1</v>
      </c>
    </row>
    <row r="103" spans="1:10" ht="15.75" customHeight="1" x14ac:dyDescent="0.35">
      <c r="A103" s="81" t="s">
        <v>135</v>
      </c>
      <c r="B103" s="81" t="s">
        <v>129</v>
      </c>
      <c r="C103" s="51">
        <v>4</v>
      </c>
      <c r="D103" s="17">
        <f ca="1">((100/H97)*C103)/100</f>
        <v>1</v>
      </c>
      <c r="E103" s="182"/>
      <c r="F103" s="182"/>
      <c r="G103" s="182"/>
      <c r="H103" s="182"/>
      <c r="I103" s="14" t="s">
        <v>101</v>
      </c>
      <c r="J103" s="28">
        <f ca="1">(IF(B97&gt;1,(H97/(B97+2)+J102),H97/4+J102))</f>
        <v>2</v>
      </c>
    </row>
    <row r="104" spans="1:10" ht="15.75" customHeight="1" x14ac:dyDescent="0.35">
      <c r="A104" s="81" t="s">
        <v>136</v>
      </c>
      <c r="B104" s="81" t="s">
        <v>129</v>
      </c>
      <c r="C104" s="51">
        <v>4</v>
      </c>
      <c r="D104" s="17">
        <f ca="1">((100/H97)*C104)/100</f>
        <v>1</v>
      </c>
      <c r="E104" s="182"/>
      <c r="F104" s="182"/>
      <c r="G104" s="182"/>
      <c r="H104" s="182"/>
      <c r="I104" s="14" t="s">
        <v>145</v>
      </c>
      <c r="J104" s="28">
        <f>(IF(B97&gt;1,(H97/(B97+2)+J103),0))</f>
        <v>0</v>
      </c>
    </row>
    <row r="105" spans="1:10" ht="15" customHeight="1" x14ac:dyDescent="0.35">
      <c r="A105" s="81" t="s">
        <v>134</v>
      </c>
      <c r="B105" s="81" t="s">
        <v>131</v>
      </c>
      <c r="C105" s="51">
        <v>4</v>
      </c>
      <c r="D105" s="17">
        <f ca="1">((100/(H97))*C105)/100</f>
        <v>1</v>
      </c>
      <c r="E105" s="182"/>
      <c r="F105" s="182"/>
      <c r="G105" s="182"/>
      <c r="H105" s="182"/>
      <c r="I105" s="14" t="s">
        <v>142</v>
      </c>
      <c r="J105" s="28">
        <f>(IF(B97&gt;2,(H97/(B97+2)+J104),0))</f>
        <v>0</v>
      </c>
    </row>
    <row r="106" spans="1:10" ht="15.75" customHeight="1" x14ac:dyDescent="0.35">
      <c r="A106" s="81" t="s">
        <v>130</v>
      </c>
      <c r="B106" s="81" t="s">
        <v>130</v>
      </c>
      <c r="C106" s="51">
        <v>2</v>
      </c>
      <c r="D106" s="17">
        <f ca="1">((100/H97)*C106)/100</f>
        <v>0.5</v>
      </c>
      <c r="E106" s="182"/>
      <c r="F106" s="182"/>
      <c r="G106" s="182"/>
      <c r="H106" s="182"/>
      <c r="I106" s="14" t="s">
        <v>143</v>
      </c>
      <c r="J106" s="29">
        <f>(IF(B97&gt;3,(H97/(B97+2)+J105),0))</f>
        <v>0</v>
      </c>
    </row>
    <row r="107" spans="1:10" ht="15.75" customHeight="1" x14ac:dyDescent="0.35">
      <c r="A107" s="81" t="s">
        <v>137</v>
      </c>
      <c r="B107" s="81"/>
      <c r="C107" s="51">
        <v>2</v>
      </c>
      <c r="D107" s="17">
        <f ca="1">((100/H97)*C107)/100</f>
        <v>0.5</v>
      </c>
      <c r="E107" s="182"/>
      <c r="F107" s="182"/>
      <c r="G107" s="182"/>
      <c r="H107" s="182"/>
      <c r="I107" s="14" t="s">
        <v>144</v>
      </c>
      <c r="J107" s="28">
        <f>(IF(B97&gt;4,(H97/(B97+2)+J106),0))</f>
        <v>0</v>
      </c>
    </row>
    <row r="108" spans="1:10" ht="15.75" customHeight="1" x14ac:dyDescent="0.35">
      <c r="A108" s="81" t="s">
        <v>132</v>
      </c>
      <c r="B108" s="81" t="s">
        <v>132</v>
      </c>
      <c r="C108" s="51">
        <v>0</v>
      </c>
      <c r="D108" s="17">
        <f ca="1">((100/(H97))*C108)/100</f>
        <v>0</v>
      </c>
      <c r="E108" s="182"/>
      <c r="F108" s="182"/>
      <c r="G108" s="182"/>
      <c r="H108" s="182"/>
      <c r="I108" s="14" t="s">
        <v>146</v>
      </c>
      <c r="J108" s="28">
        <f ca="1">(IF(B97=1,(H97/(B97+3)+J103),IF(B97=0,(H97/4+J103),IF(B97&gt;1,0))))</f>
        <v>3</v>
      </c>
    </row>
    <row r="109" spans="1:10" ht="16" thickBot="1" x14ac:dyDescent="0.4">
      <c r="A109" s="81" t="s">
        <v>133</v>
      </c>
      <c r="B109" s="81"/>
      <c r="C109" s="51">
        <v>0</v>
      </c>
      <c r="D109" s="17">
        <f ca="1">((100/(H97))*C109)/100</f>
        <v>0</v>
      </c>
      <c r="E109" s="182"/>
      <c r="F109" s="182"/>
      <c r="G109" s="182"/>
      <c r="H109" s="182"/>
      <c r="I109" s="15" t="s">
        <v>102</v>
      </c>
      <c r="J109" s="30">
        <f ca="1">(IF(B97&gt;1.5,(H97/(B97+2)+J103+MAX(0,J104-J103)+MAX(0,J105-J104)+MAX(0,J106-J105)+MAX(0,J107-J106)+MAX(0,J108-J107)),IF(B97=1,(H97/(B97+3)+J108),IF(B97=0,H97/4+J108))))</f>
        <v>4</v>
      </c>
    </row>
    <row r="110" spans="1:10" ht="15.75" customHeight="1" x14ac:dyDescent="0.35">
      <c r="A110" s="78" t="s">
        <v>139</v>
      </c>
      <c r="B110" s="78"/>
      <c r="C110" s="78" t="s">
        <v>223</v>
      </c>
      <c r="D110" s="78"/>
      <c r="E110" s="78"/>
      <c r="F110" s="78"/>
      <c r="G110" s="78"/>
      <c r="H110" s="78"/>
      <c r="I110" s="58" t="str">
        <f ca="1">IF(D123=100%,"All work Completed. Possession granted to the Building.",IF(D122=100%,"All work Completed, Waiting for OC",I111&amp;""&amp;I112&amp;""&amp;J111&amp;""&amp;J110&amp;" "&amp;J112))</f>
        <v>Excavation, Plinth, RCC Slab, Brickwork Completed, Internal Plaster upto 3 Floor, External Plaster upto 2 Floor Completed</v>
      </c>
      <c r="J110" s="45" t="str">
        <f ca="1">(IF(C116=(D111+F111+H111),"",IF(C116&gt;0,", RCC upto "&amp;C116&amp;" Slab","")))&amp;(IF(C117=H111,"",IF(C117&gt;0,", Brickwork upto "&amp;C117&amp;" Floor","")))&amp;(IF(C118=H111,"",IF(C118&gt;0,", Internal Plaster upto "&amp;C118&amp;" Floor","")))&amp;(IF(C119=H111,"",IF(C119&gt;0,", External Plaster upto "&amp;C119&amp;" Floor","")))&amp;(IF(C120=H111,"",IF(C120&gt;0,", Flooring upto "&amp;C120&amp;" Floor","")))&amp;(IF(C121=H111,"",IF(C121&gt;0,", Painting upto "&amp;C121&amp;" Floor","")))&amp;(IF(C122=H111,"",IF(C122&gt;0,", Finishing upto "&amp;C122&amp;" Floor","")))&amp;(IF(C123=H111,"",IF(C123&gt;0,", Possession upto "&amp;C123&amp;" Floor","")))</f>
        <v>, Internal Plaster upto 3 Floor, External Plaster upto 2 Floor</v>
      </c>
    </row>
    <row r="111" spans="1:10" x14ac:dyDescent="0.35">
      <c r="A111" s="54" t="s">
        <v>141</v>
      </c>
      <c r="B111" s="54">
        <v>0</v>
      </c>
      <c r="C111" s="54" t="s">
        <v>73</v>
      </c>
      <c r="D111" s="54">
        <v>1</v>
      </c>
      <c r="E111" s="54" t="s">
        <v>72</v>
      </c>
      <c r="F111" s="54">
        <v>0</v>
      </c>
      <c r="G111" s="54" t="s">
        <v>82</v>
      </c>
      <c r="H111" s="54">
        <f ca="1">--TRIM(RIGHT(SUBSTITUTE(LEFT(C110,_xlfn.AGGREGATE(16,6,FIND({0,1,2,3,4,5,6,7,8,9},C110,ROW(INDIRECT("1:"&amp;LEN(C110)))),1))," ",REPT(" ",LEN(C110))),LEN(C110)))</f>
        <v>4</v>
      </c>
      <c r="I111" s="59" t="str">
        <f ca="1">IF(D114=100%,"Excavation","")&amp;IF(D115=100%,", Plinth","")&amp;IF(D116=100%,", RCC Slab","")&amp;IF(D117=100%,", Brickwork","")&amp;IF(D118=100%,", Internal Plaster","")&amp;IF(D119=100%,", External Plaster","")&amp;IF(D120=100%,", Flooring","")&amp;IF(D121=100%,", Painting","")&amp;IF(D122=100%,", Building common Amenities","")</f>
        <v>Excavation, Plinth, RCC Slab, Brickwork</v>
      </c>
      <c r="J111" s="47" t="str">
        <f ca="1">(IF(C114=0,"Work not yet Started.",IF(D114=25%,"Piling work in process",IF(D114=50%,"Excavation work in process",IF(D114=100%,"","0")))))&amp;(IF(C115=0%,"",IF(C115=J116,", Footing work is process",IF(C115=J117,", Footing work Completed",IF(C115=J118,", 1st Basement Completed",IF(C115=J119,", 1st &amp; 2nd Basement Completed",IF(C115=J120,", 1st to 3rd Basement Completed",IF(C115=J121,", 1st to 4th Basement Completed",IF(C115=J122,", Plinth work is process",IF(C115=J123,"","0"))))))))))</f>
        <v/>
      </c>
    </row>
    <row r="112" spans="1:10" ht="36.75" customHeight="1" x14ac:dyDescent="0.35">
      <c r="A112" s="77" t="s">
        <v>92</v>
      </c>
      <c r="B112" s="77"/>
      <c r="C112" s="78" t="str">
        <f ca="1">(IF($G$52="NA",I110,"All work Completed. OC Received."))</f>
        <v>Excavation, Plinth, RCC Slab, Brickwork Completed, Internal Plaster upto 3 Floor, External Plaster upto 2 Floor Completed</v>
      </c>
      <c r="D112" s="78"/>
      <c r="E112" s="78"/>
      <c r="F112" s="78"/>
      <c r="G112" s="78"/>
      <c r="H112" s="78"/>
      <c r="I112" s="59" t="str">
        <f ca="1">IF(I111&lt;&gt;""," Completed","")</f>
        <v xml:space="preserve"> Completed</v>
      </c>
      <c r="J112" s="47" t="str">
        <f ca="1">IF(J110&lt;&gt;"","Completed","")</f>
        <v>Completed</v>
      </c>
    </row>
    <row r="113" spans="1:13" ht="15.75" customHeight="1" x14ac:dyDescent="0.35">
      <c r="A113" s="80" t="s">
        <v>49</v>
      </c>
      <c r="B113" s="81"/>
      <c r="C113" s="51" t="s">
        <v>138</v>
      </c>
      <c r="D113" s="51" t="s">
        <v>85</v>
      </c>
      <c r="E113" s="81" t="s">
        <v>87</v>
      </c>
      <c r="F113" s="81"/>
      <c r="G113" s="81" t="s">
        <v>86</v>
      </c>
      <c r="H113" s="82"/>
      <c r="I113" s="14" t="s">
        <v>140</v>
      </c>
      <c r="J113" s="26">
        <f ca="1">H111*25%</f>
        <v>1</v>
      </c>
    </row>
    <row r="114" spans="1:13" x14ac:dyDescent="0.35">
      <c r="A114" s="80" t="s">
        <v>127</v>
      </c>
      <c r="B114" s="81"/>
      <c r="C114" s="51">
        <f ca="1">J115</f>
        <v>4</v>
      </c>
      <c r="D114" s="17">
        <f ca="1">((100/H111)*C114)/100</f>
        <v>1</v>
      </c>
      <c r="E114" s="83">
        <f ca="1">(((C115/H111*10)+(40/(D111+F111+H111)*C116)+(7.5/(H111)*C117)+(7.5/(H111)*C118)+(10/H111*C119)+(10/H111*C120)+(5/H111*C121)+(5/H111*C122)+(5/H111*C123))/100)</f>
        <v>0.68125000000000002</v>
      </c>
      <c r="F114" s="84"/>
      <c r="G114" s="83">
        <f ca="1">((((C114/H111)*20)+((C115/H111)*25)+(30/(H111+F111+D111)*C116)+(5/H111*C117)+(5/H111*C118)+(5/H111*C119)+(5/H111*C120)+(0/H111*C121)+(0/H111*C122)+(5/H111*C123))/100)</f>
        <v>0.86250000000000004</v>
      </c>
      <c r="H114" s="87"/>
      <c r="I114" s="14" t="s">
        <v>98</v>
      </c>
      <c r="J114" s="27">
        <f ca="1">H111*50%</f>
        <v>2</v>
      </c>
    </row>
    <row r="115" spans="1:13" x14ac:dyDescent="0.35">
      <c r="A115" s="80" t="s">
        <v>50</v>
      </c>
      <c r="B115" s="81"/>
      <c r="C115" s="49">
        <f ca="1">J123</f>
        <v>4</v>
      </c>
      <c r="D115" s="17">
        <f ca="1">((100/H111)*C115)/100</f>
        <v>1</v>
      </c>
      <c r="E115" s="85"/>
      <c r="F115" s="86"/>
      <c r="G115" s="85"/>
      <c r="H115" s="88"/>
      <c r="I115" s="14" t="s">
        <v>99</v>
      </c>
      <c r="J115" s="27">
        <f ca="1">H111</f>
        <v>4</v>
      </c>
    </row>
    <row r="116" spans="1:13" ht="15.75" customHeight="1" x14ac:dyDescent="0.35">
      <c r="A116" s="80" t="s">
        <v>128</v>
      </c>
      <c r="B116" s="81"/>
      <c r="C116" s="51">
        <v>5</v>
      </c>
      <c r="D116" s="17">
        <f ca="1">((100/(D111+F111+H111))*C116)/100</f>
        <v>1</v>
      </c>
      <c r="E116" s="85"/>
      <c r="F116" s="86"/>
      <c r="G116" s="85"/>
      <c r="H116" s="88"/>
      <c r="I116" s="14" t="s">
        <v>100</v>
      </c>
      <c r="J116" s="28">
        <f ca="1">(IF(B111&gt;1,(H111/(B111+2)),H111/4))</f>
        <v>1</v>
      </c>
    </row>
    <row r="117" spans="1:13" ht="15.75" customHeight="1" x14ac:dyDescent="0.35">
      <c r="A117" s="80" t="s">
        <v>135</v>
      </c>
      <c r="B117" s="81" t="s">
        <v>129</v>
      </c>
      <c r="C117" s="51">
        <v>4</v>
      </c>
      <c r="D117" s="17">
        <f ca="1">((100/H111)*C117)/100</f>
        <v>1</v>
      </c>
      <c r="E117" s="85"/>
      <c r="F117" s="86"/>
      <c r="G117" s="85"/>
      <c r="H117" s="88"/>
      <c r="I117" s="14" t="s">
        <v>101</v>
      </c>
      <c r="J117" s="28">
        <f ca="1">(IF(B111&gt;1,(H111/(B111+2)+J116),H111/4+J116))</f>
        <v>2</v>
      </c>
    </row>
    <row r="118" spans="1:13" ht="15.75" customHeight="1" x14ac:dyDescent="0.35">
      <c r="A118" s="80" t="s">
        <v>136</v>
      </c>
      <c r="B118" s="81" t="s">
        <v>129</v>
      </c>
      <c r="C118" s="51">
        <v>3</v>
      </c>
      <c r="D118" s="17">
        <f ca="1">((100/H111)*C118)/100</f>
        <v>0.75</v>
      </c>
      <c r="E118" s="85"/>
      <c r="F118" s="86"/>
      <c r="G118" s="85"/>
      <c r="H118" s="88"/>
      <c r="I118" s="14" t="s">
        <v>145</v>
      </c>
      <c r="J118" s="28">
        <f>(IF(B111&gt;1,(H111/(B111+2)+J117),0))</f>
        <v>0</v>
      </c>
    </row>
    <row r="119" spans="1:13" ht="15" customHeight="1" x14ac:dyDescent="0.35">
      <c r="A119" s="80" t="s">
        <v>134</v>
      </c>
      <c r="B119" s="81" t="s">
        <v>131</v>
      </c>
      <c r="C119" s="51">
        <v>2</v>
      </c>
      <c r="D119" s="17">
        <f ca="1">((100/(H111))*C119)/100</f>
        <v>0.5</v>
      </c>
      <c r="E119" s="85"/>
      <c r="F119" s="86"/>
      <c r="G119" s="85"/>
      <c r="H119" s="88"/>
      <c r="I119" s="14" t="s">
        <v>142</v>
      </c>
      <c r="J119" s="28">
        <f>(IF(B111&gt;2,(H111/(B111+2)+J118),0))</f>
        <v>0</v>
      </c>
    </row>
    <row r="120" spans="1:13" ht="15.75" customHeight="1" x14ac:dyDescent="0.35">
      <c r="A120" s="80" t="s">
        <v>130</v>
      </c>
      <c r="B120" s="81" t="s">
        <v>130</v>
      </c>
      <c r="C120" s="51">
        <v>0</v>
      </c>
      <c r="D120" s="17">
        <f ca="1">((100/H111)*C120)/100</f>
        <v>0</v>
      </c>
      <c r="E120" s="85"/>
      <c r="F120" s="86"/>
      <c r="G120" s="85"/>
      <c r="H120" s="88"/>
      <c r="I120" s="14" t="s">
        <v>143</v>
      </c>
      <c r="J120" s="29">
        <f>(IF(B111&gt;3,(H111/(B111+2)+J119),0))</f>
        <v>0</v>
      </c>
    </row>
    <row r="121" spans="1:13" ht="15.75" customHeight="1" x14ac:dyDescent="0.35">
      <c r="A121" s="80" t="s">
        <v>137</v>
      </c>
      <c r="B121" s="81"/>
      <c r="C121" s="51">
        <v>0</v>
      </c>
      <c r="D121" s="17">
        <f ca="1">((100/H111)*C121)/100</f>
        <v>0</v>
      </c>
      <c r="E121" s="85"/>
      <c r="F121" s="86"/>
      <c r="G121" s="85"/>
      <c r="H121" s="88"/>
      <c r="I121" s="14" t="s">
        <v>144</v>
      </c>
      <c r="J121" s="28">
        <f>(IF(B111&gt;4,(H111/(B111+2)+J120),0))</f>
        <v>0</v>
      </c>
    </row>
    <row r="122" spans="1:13" ht="15.75" customHeight="1" x14ac:dyDescent="0.35">
      <c r="A122" s="80" t="s">
        <v>132</v>
      </c>
      <c r="B122" s="81" t="s">
        <v>132</v>
      </c>
      <c r="C122" s="51">
        <v>0</v>
      </c>
      <c r="D122" s="17">
        <f ca="1">((100/(H111))*C122)/100</f>
        <v>0</v>
      </c>
      <c r="E122" s="85"/>
      <c r="F122" s="86"/>
      <c r="G122" s="85"/>
      <c r="H122" s="88"/>
      <c r="I122" s="14" t="s">
        <v>146</v>
      </c>
      <c r="J122" s="28">
        <f ca="1">(IF(B111=1,(H111/(B111+3)+J117),IF(B111=0,(H111/4+J117),IF(B111&gt;1,0))))</f>
        <v>3</v>
      </c>
    </row>
    <row r="123" spans="1:13" ht="16" thickBot="1" x14ac:dyDescent="0.4">
      <c r="A123" s="104" t="s">
        <v>133</v>
      </c>
      <c r="B123" s="105"/>
      <c r="C123" s="52">
        <v>0</v>
      </c>
      <c r="D123" s="18">
        <f ca="1">((100/(H111))*C123)/100</f>
        <v>0</v>
      </c>
      <c r="E123" s="101"/>
      <c r="F123" s="102"/>
      <c r="G123" s="101"/>
      <c r="H123" s="103"/>
      <c r="I123" s="15" t="s">
        <v>102</v>
      </c>
      <c r="J123" s="30">
        <f ca="1">(IF(B111&gt;1.5,(H111/(B111+2)+J117+MAX(0,J118-J117)+MAX(0,J119-J118)+MAX(0,J120-J119)+MAX(0,J121-J120)+MAX(0,J122-J121)),IF(B111=1,(H111/(B111+3)+J122),IF(B111=0,H111/4+J122))))</f>
        <v>4</v>
      </c>
    </row>
    <row r="124" spans="1:13" x14ac:dyDescent="0.35">
      <c r="A124" s="71" t="s">
        <v>139</v>
      </c>
      <c r="B124" s="72"/>
      <c r="C124" s="73" t="s">
        <v>224</v>
      </c>
      <c r="D124" s="74"/>
      <c r="E124" s="74"/>
      <c r="F124" s="74"/>
      <c r="G124" s="74"/>
      <c r="H124" s="75"/>
      <c r="I124" s="44" t="str">
        <f ca="1">IF(D137=100%,"All work Completed. Possession granted to the Building.",IF(D136=100%,"All work Completed, Waiting for OC",I125&amp;""&amp;I126&amp;""&amp;J125&amp;""&amp;J124&amp;" "&amp;J126))</f>
        <v>Excavation, Plinth, RCC Slab, Brickwork Completed, Internal Plaster upto 1 Floor, External Plaster upto 1 Floor, Flooring upto 0.5 Floor Completed</v>
      </c>
      <c r="J124" s="45" t="str">
        <f ca="1">(IF(C130=(D125+F125+H125),"",IF(C130&gt;0,", RCC upto "&amp;C130&amp;" Slab","")))&amp;(IF(C131=H125,"",IF(C131&gt;0,", Brickwork upto "&amp;C131&amp;" Floor","")))&amp;(IF(C132=H125,"",IF(C132&gt;0,", Internal Plaster upto "&amp;C132&amp;" Floor","")))&amp;(IF(C133=H125,"",IF(C133&gt;0,", External Plaster upto "&amp;C133&amp;" Floor","")))&amp;(IF(C134=H125,"",IF(C134&gt;0,", Flooring upto "&amp;C134&amp;" Floor","")))&amp;(IF(C135=H125,"",IF(C135&gt;0,", Painting upto "&amp;C135&amp;" Floor","")))&amp;(IF(C136=H125,"",IF(C136&gt;0,", Finishing upto "&amp;C136&amp;" Floor","")))&amp;(IF(C137=H125,"",IF(C137&gt;0,", Possession upto "&amp;C137&amp;" Floor","")))</f>
        <v>, Internal Plaster upto 1 Floor, External Plaster upto 1 Floor, Flooring upto 0.5 Floor</v>
      </c>
    </row>
    <row r="125" spans="1:13" x14ac:dyDescent="0.35">
      <c r="A125" s="53" t="s">
        <v>141</v>
      </c>
      <c r="B125" s="54">
        <v>0</v>
      </c>
      <c r="C125" s="54" t="s">
        <v>73</v>
      </c>
      <c r="D125" s="54">
        <v>1</v>
      </c>
      <c r="E125" s="54" t="s">
        <v>72</v>
      </c>
      <c r="F125" s="54">
        <v>0</v>
      </c>
      <c r="G125" s="54" t="s">
        <v>82</v>
      </c>
      <c r="H125" s="55">
        <f ca="1">--TRIM(RIGHT(SUBSTITUTE(LEFT(C124,_xlfn.AGGREGATE(16,6,FIND({0,1,2,3,4,5,6,7,8,9},C124,ROW(INDIRECT("1:"&amp;LEN(C124)))),1))," ",REPT(" ",LEN(C124))),LEN(C124)))</f>
        <v>4</v>
      </c>
      <c r="I125" s="46" t="str">
        <f ca="1">IF(D128=100%,"Excavation","")&amp;IF(D129=100%,", Plinth","")&amp;IF(D130=100%,", RCC Slab","")&amp;IF(D131=100%,", Brickwork","")&amp;IF(D132=100%,", Internal Plaster","")&amp;IF(D133=100%,", External Plaster","")&amp;IF(D134=100%,", Flooring","")&amp;IF(D135=100%,", Painting","")&amp;IF(D136=100%,", Building common Amenities","")</f>
        <v>Excavation, Plinth, RCC Slab, Brickwork</v>
      </c>
      <c r="J125" s="47" t="str">
        <f ca="1">(IF(C128=0,"Work not yet Started.",IF(D128=25%,"Piling work in process",IF(D128=50%,"Excavation work in process",IF(D128=100%,"","0")))))&amp;(IF(C129=0%,"",IF(C129=J130,", Footing work is process",IF(C129=J131,", Footing work Completed",IF(C129=J132,", 1st Basement Completed",IF(C129=J133,", 1st &amp; 2nd Basement Completed",IF(C129=J134,", 1st to 3rd Basement Completed",IF(C129=J135,", 1st to 4th Basement Completed",IF(C129=J136,", Plinth work is process",IF(C129=J137,"","0"))))))))))</f>
        <v/>
      </c>
      <c r="K125" s="56" t="s">
        <v>216</v>
      </c>
      <c r="L125" s="57">
        <v>45026</v>
      </c>
      <c r="M125" s="56" t="s">
        <v>217</v>
      </c>
    </row>
    <row r="126" spans="1:13" ht="31.5" customHeight="1" x14ac:dyDescent="0.35">
      <c r="A126" s="76" t="s">
        <v>92</v>
      </c>
      <c r="B126" s="77"/>
      <c r="C126" s="78" t="str">
        <f ca="1">(IF($G$52="NA",I124,"All work Completed. OC Received."))</f>
        <v>Excavation, Plinth, RCC Slab, Brickwork Completed, Internal Plaster upto 1 Floor, External Plaster upto 1 Floor, Flooring upto 0.5 Floor Completed</v>
      </c>
      <c r="D126" s="78"/>
      <c r="E126" s="78"/>
      <c r="F126" s="78"/>
      <c r="G126" s="78"/>
      <c r="H126" s="79"/>
      <c r="I126" s="46" t="str">
        <f ca="1">IF(I125&lt;&gt;""," Completed","")</f>
        <v xml:space="preserve"> Completed</v>
      </c>
      <c r="J126" s="47" t="str">
        <f ca="1">IF(J124&lt;&gt;"","Completed","")</f>
        <v>Completed</v>
      </c>
      <c r="K126" s="56" t="s">
        <v>216</v>
      </c>
      <c r="L126" s="57">
        <v>45146</v>
      </c>
      <c r="M126" s="56" t="s">
        <v>219</v>
      </c>
    </row>
    <row r="127" spans="1:13" x14ac:dyDescent="0.35">
      <c r="A127" s="80" t="s">
        <v>49</v>
      </c>
      <c r="B127" s="81"/>
      <c r="C127" s="51" t="s">
        <v>138</v>
      </c>
      <c r="D127" s="51" t="s">
        <v>85</v>
      </c>
      <c r="E127" s="81" t="s">
        <v>87</v>
      </c>
      <c r="F127" s="81"/>
      <c r="G127" s="81" t="s">
        <v>86</v>
      </c>
      <c r="H127" s="82"/>
      <c r="I127" s="14" t="s">
        <v>140</v>
      </c>
      <c r="J127" s="26">
        <f ca="1">H125*25%</f>
        <v>1</v>
      </c>
      <c r="K127" s="19" t="s">
        <v>216</v>
      </c>
    </row>
    <row r="128" spans="1:13" s="31" customFormat="1" x14ac:dyDescent="0.35">
      <c r="A128" s="80" t="s">
        <v>127</v>
      </c>
      <c r="B128" s="81"/>
      <c r="C128" s="51">
        <f ca="1">J129</f>
        <v>4</v>
      </c>
      <c r="D128" s="17">
        <f ca="1">((100/H125)*C128)/100</f>
        <v>1</v>
      </c>
      <c r="E128" s="83">
        <f ca="1">(((C129/H125*10)+(40/(D125+F125+H125)*C130)+(7.5/(H125)*C131)+(7.5/(H125)*C132)+(10/H125*C133)+(10/H125*C134)+(5/H125*C135)+(5/H125*C136)+(5/H125*C137))/100)</f>
        <v>0.63124999999999998</v>
      </c>
      <c r="F128" s="84"/>
      <c r="G128" s="83">
        <f ca="1">((((C128/H125)*20)+((C129/H125)*25)+(30/(H125+F125+D125)*C130)+(5/H125*C131)+(5/H125*C132)+(5/H125*C133)+(5/H125*C134)+(0/H125*C135)+(0/H125*C136)+(5/H125*C137))/100)</f>
        <v>0.83125000000000004</v>
      </c>
      <c r="H128" s="87"/>
      <c r="I128" s="14" t="s">
        <v>98</v>
      </c>
      <c r="J128" s="27">
        <f ca="1">H125*50%</f>
        <v>2</v>
      </c>
      <c r="K128" s="19" t="s">
        <v>216</v>
      </c>
    </row>
    <row r="129" spans="1:10" s="31" customFormat="1" x14ac:dyDescent="0.3">
      <c r="A129" s="80" t="s">
        <v>50</v>
      </c>
      <c r="B129" s="81"/>
      <c r="C129" s="49">
        <f ca="1">J137</f>
        <v>4</v>
      </c>
      <c r="D129" s="17">
        <f ca="1">((100/H125)*C129)/100</f>
        <v>1</v>
      </c>
      <c r="E129" s="85"/>
      <c r="F129" s="86"/>
      <c r="G129" s="85"/>
      <c r="H129" s="88"/>
      <c r="I129" s="14" t="s">
        <v>99</v>
      </c>
      <c r="J129" s="27">
        <f ca="1">H125</f>
        <v>4</v>
      </c>
    </row>
    <row r="130" spans="1:10" s="31" customFormat="1" x14ac:dyDescent="0.35">
      <c r="A130" s="80" t="s">
        <v>128</v>
      </c>
      <c r="B130" s="81"/>
      <c r="C130" s="51">
        <v>5</v>
      </c>
      <c r="D130" s="17">
        <f ca="1">((100/(D125+F125+H125))*C130)/100</f>
        <v>1</v>
      </c>
      <c r="E130" s="85"/>
      <c r="F130" s="86"/>
      <c r="G130" s="85"/>
      <c r="H130" s="88"/>
      <c r="I130" s="14" t="s">
        <v>100</v>
      </c>
      <c r="J130" s="28">
        <f ca="1">(IF(B125&gt;1,(H125/(B125+2)),H125/4))</f>
        <v>1</v>
      </c>
    </row>
    <row r="131" spans="1:10" x14ac:dyDescent="0.35">
      <c r="A131" s="80" t="s">
        <v>135</v>
      </c>
      <c r="B131" s="81" t="s">
        <v>129</v>
      </c>
      <c r="C131" s="51">
        <v>4</v>
      </c>
      <c r="D131" s="17">
        <f ca="1">((100/H125)*C131)/100</f>
        <v>1</v>
      </c>
      <c r="E131" s="85"/>
      <c r="F131" s="86"/>
      <c r="G131" s="85"/>
      <c r="H131" s="88"/>
      <c r="I131" s="14" t="s">
        <v>101</v>
      </c>
      <c r="J131" s="28">
        <f ca="1">(IF(B125&gt;1,(H125/(B125+2)+J130),H125/4+J130))</f>
        <v>2</v>
      </c>
    </row>
    <row r="132" spans="1:10" s="32" customFormat="1" x14ac:dyDescent="0.35">
      <c r="A132" s="80" t="s">
        <v>136</v>
      </c>
      <c r="B132" s="81" t="s">
        <v>129</v>
      </c>
      <c r="C132" s="51">
        <v>1</v>
      </c>
      <c r="D132" s="17">
        <f ca="1">((100/H125)*C132)/100</f>
        <v>0.25</v>
      </c>
      <c r="E132" s="85"/>
      <c r="F132" s="86"/>
      <c r="G132" s="85"/>
      <c r="H132" s="88"/>
      <c r="I132" s="14" t="s">
        <v>145</v>
      </c>
      <c r="J132" s="28">
        <f>(IF(B125&gt;1,(H125/(B125+2)+J131),0))</f>
        <v>0</v>
      </c>
    </row>
    <row r="133" spans="1:10" s="33" customFormat="1" ht="15.75" customHeight="1" x14ac:dyDescent="0.35">
      <c r="A133" s="80" t="s">
        <v>134</v>
      </c>
      <c r="B133" s="81" t="s">
        <v>131</v>
      </c>
      <c r="C133" s="51">
        <v>1</v>
      </c>
      <c r="D133" s="17">
        <f ca="1">((100/(H125))*C133)/100</f>
        <v>0.25</v>
      </c>
      <c r="E133" s="85"/>
      <c r="F133" s="86"/>
      <c r="G133" s="85"/>
      <c r="H133" s="88"/>
      <c r="I133" s="14" t="s">
        <v>142</v>
      </c>
      <c r="J133" s="28">
        <f>(IF(B125&gt;2,(H125/(B125+2)+J132),0))</f>
        <v>0</v>
      </c>
    </row>
    <row r="134" spans="1:10" s="33" customFormat="1" ht="15.75" customHeight="1" x14ac:dyDescent="0.35">
      <c r="A134" s="80" t="s">
        <v>130</v>
      </c>
      <c r="B134" s="81" t="s">
        <v>130</v>
      </c>
      <c r="C134" s="51">
        <v>0.5</v>
      </c>
      <c r="D134" s="17">
        <f ca="1">((100/H125)*C134)/100</f>
        <v>0.125</v>
      </c>
      <c r="E134" s="85"/>
      <c r="F134" s="86"/>
      <c r="G134" s="85"/>
      <c r="H134" s="88"/>
      <c r="I134" s="14" t="s">
        <v>143</v>
      </c>
      <c r="J134" s="29">
        <f>(IF(B125&gt;3,(H125/(B125+2)+J133),0))</f>
        <v>0</v>
      </c>
    </row>
    <row r="135" spans="1:10" s="33" customFormat="1" x14ac:dyDescent="0.35">
      <c r="A135" s="80" t="s">
        <v>137</v>
      </c>
      <c r="B135" s="81"/>
      <c r="C135" s="51">
        <v>0</v>
      </c>
      <c r="D135" s="17">
        <f ca="1">((100/H125)*C135)/100</f>
        <v>0</v>
      </c>
      <c r="E135" s="85"/>
      <c r="F135" s="86"/>
      <c r="G135" s="85"/>
      <c r="H135" s="88"/>
      <c r="I135" s="14" t="s">
        <v>144</v>
      </c>
      <c r="J135" s="28">
        <f>(IF(B125&gt;4,(H125/(B125+2)+J134),0))</f>
        <v>0</v>
      </c>
    </row>
    <row r="136" spans="1:10" s="33" customFormat="1" x14ac:dyDescent="0.35">
      <c r="A136" s="80" t="s">
        <v>132</v>
      </c>
      <c r="B136" s="81" t="s">
        <v>132</v>
      </c>
      <c r="C136" s="51">
        <v>0</v>
      </c>
      <c r="D136" s="17">
        <f ca="1">((100/(H125))*C136)/100</f>
        <v>0</v>
      </c>
      <c r="E136" s="85"/>
      <c r="F136" s="86"/>
      <c r="G136" s="85"/>
      <c r="H136" s="88"/>
      <c r="I136" s="14" t="s">
        <v>146</v>
      </c>
      <c r="J136" s="28">
        <f ca="1">(IF(B125=1,(H125/(B125+3)+J131),IF(B125=0,(H125/4+J131),IF(B125&gt;1,0))))</f>
        <v>3</v>
      </c>
    </row>
    <row r="137" spans="1:10" s="33" customFormat="1" ht="16" thickBot="1" x14ac:dyDescent="0.4">
      <c r="A137" s="115" t="s">
        <v>133</v>
      </c>
      <c r="B137" s="116"/>
      <c r="C137" s="62">
        <v>0</v>
      </c>
      <c r="D137" s="63">
        <f ca="1">((100/(H125))*C137)/100</f>
        <v>0</v>
      </c>
      <c r="E137" s="85"/>
      <c r="F137" s="86"/>
      <c r="G137" s="85"/>
      <c r="H137" s="88"/>
      <c r="I137" s="15" t="s">
        <v>102</v>
      </c>
      <c r="J137" s="30">
        <f ca="1">(IF(B125&gt;1.5,(H125/(B125+2)+J131+MAX(0,J132-J131)+MAX(0,J133-J132)+MAX(0,J134-J133)+MAX(0,J135-J134)+MAX(0,J136-J135)),IF(B125=1,(H125/(B125+3)+J136),IF(B125=0,H125/4+J136))))</f>
        <v>4</v>
      </c>
    </row>
    <row r="138" spans="1:10" s="33" customFormat="1" x14ac:dyDescent="0.35">
      <c r="A138" s="139" t="s">
        <v>155</v>
      </c>
      <c r="B138" s="139"/>
      <c r="C138" s="139"/>
      <c r="D138" s="139"/>
      <c r="E138" s="139"/>
      <c r="F138" s="152" t="s">
        <v>160</v>
      </c>
      <c r="G138" s="152"/>
      <c r="H138" s="152"/>
      <c r="I138" s="19"/>
      <c r="J138" s="19"/>
    </row>
    <row r="139" spans="1:10" s="33" customFormat="1" x14ac:dyDescent="0.35">
      <c r="A139" s="89" t="s">
        <v>158</v>
      </c>
      <c r="B139" s="89"/>
      <c r="C139" s="89"/>
      <c r="D139" s="89"/>
      <c r="E139" s="89"/>
      <c r="F139" s="107">
        <v>3700</v>
      </c>
      <c r="G139" s="107"/>
      <c r="H139" s="107"/>
      <c r="I139" s="19"/>
      <c r="J139" s="56" t="s">
        <v>215</v>
      </c>
    </row>
    <row r="140" spans="1:10" s="33" customFormat="1" ht="15.75" customHeight="1" x14ac:dyDescent="0.35">
      <c r="A140" s="89" t="s">
        <v>157</v>
      </c>
      <c r="B140" s="89"/>
      <c r="C140" s="89"/>
      <c r="D140" s="89"/>
      <c r="E140" s="89"/>
      <c r="F140" s="107">
        <v>7000</v>
      </c>
      <c r="G140" s="107"/>
      <c r="H140" s="107"/>
      <c r="I140" s="19"/>
      <c r="J140" s="56" t="s">
        <v>218</v>
      </c>
    </row>
    <row r="141" spans="1:10" s="33" customFormat="1" hidden="1" x14ac:dyDescent="0.35">
      <c r="A141" s="89" t="s">
        <v>159</v>
      </c>
      <c r="B141" s="89"/>
      <c r="C141" s="89"/>
      <c r="D141" s="89"/>
      <c r="E141" s="89"/>
      <c r="F141" s="107"/>
      <c r="G141" s="107"/>
      <c r="H141" s="107"/>
      <c r="I141" s="19"/>
      <c r="J141" s="19"/>
    </row>
    <row r="142" spans="1:10" s="33" customFormat="1" hidden="1" x14ac:dyDescent="0.3">
      <c r="A142" s="89" t="s">
        <v>156</v>
      </c>
      <c r="B142" s="89"/>
      <c r="C142" s="89"/>
      <c r="D142" s="89"/>
      <c r="E142" s="89"/>
      <c r="F142" s="107"/>
      <c r="G142" s="107"/>
      <c r="H142" s="107"/>
      <c r="I142" s="31"/>
      <c r="J142" s="31"/>
    </row>
    <row r="143" spans="1:10" s="33" customFormat="1" ht="15.75" customHeight="1" x14ac:dyDescent="0.3">
      <c r="A143" s="89" t="s">
        <v>97</v>
      </c>
      <c r="B143" s="89"/>
      <c r="C143" s="89"/>
      <c r="D143" s="89"/>
      <c r="E143" s="89"/>
      <c r="F143" s="107">
        <v>150000</v>
      </c>
      <c r="G143" s="107"/>
      <c r="H143" s="107"/>
      <c r="I143" s="31"/>
      <c r="J143" s="31"/>
    </row>
    <row r="144" spans="1:10" s="33" customFormat="1" x14ac:dyDescent="0.35">
      <c r="A144" s="89" t="s">
        <v>51</v>
      </c>
      <c r="B144" s="89"/>
      <c r="C144" s="89"/>
      <c r="D144" s="89"/>
      <c r="E144" s="89"/>
      <c r="F144" s="107">
        <v>100000</v>
      </c>
      <c r="G144" s="107"/>
      <c r="H144" s="107"/>
      <c r="I144" s="19"/>
      <c r="J144" s="19"/>
    </row>
    <row r="145" spans="1:16" s="33" customFormat="1" x14ac:dyDescent="0.35">
      <c r="A145" s="139" t="s">
        <v>52</v>
      </c>
      <c r="B145" s="139"/>
      <c r="C145" s="139"/>
      <c r="D145" s="139"/>
      <c r="E145" s="139"/>
      <c r="F145" s="107">
        <f>F139*0.8</f>
        <v>2960</v>
      </c>
      <c r="G145" s="107"/>
      <c r="H145" s="107"/>
      <c r="I145" s="89" t="s">
        <v>161</v>
      </c>
      <c r="J145" s="89"/>
      <c r="K145" s="89"/>
      <c r="L145" s="89"/>
      <c r="M145" s="89"/>
      <c r="N145" s="107">
        <v>25000</v>
      </c>
      <c r="O145" s="107"/>
      <c r="P145" s="107"/>
    </row>
    <row r="146" spans="1:16" s="32" customFormat="1" x14ac:dyDescent="0.35">
      <c r="A146" s="98" t="s">
        <v>77</v>
      </c>
      <c r="B146" s="98"/>
      <c r="C146" s="98"/>
      <c r="D146" s="98"/>
      <c r="E146" s="98"/>
      <c r="F146" s="98"/>
      <c r="G146" s="98"/>
      <c r="H146" s="98"/>
      <c r="I146" s="33"/>
      <c r="J146" s="33"/>
    </row>
    <row r="147" spans="1:16" x14ac:dyDescent="0.35">
      <c r="A147" s="94" t="s">
        <v>53</v>
      </c>
      <c r="B147" s="94"/>
      <c r="C147" s="100" t="s">
        <v>80</v>
      </c>
      <c r="D147" s="100"/>
      <c r="E147" s="92" t="s">
        <v>54</v>
      </c>
      <c r="F147" s="92"/>
      <c r="G147" s="94" t="s">
        <v>55</v>
      </c>
      <c r="H147" s="94"/>
      <c r="I147" s="33"/>
      <c r="J147" s="33"/>
    </row>
    <row r="148" spans="1:16" x14ac:dyDescent="0.35">
      <c r="A148" s="95" t="s">
        <v>189</v>
      </c>
      <c r="B148" s="95"/>
      <c r="C148" s="133">
        <f>COUNT(D166:D174)</f>
        <v>9</v>
      </c>
      <c r="D148" s="134"/>
      <c r="E148" s="131">
        <f>SUM(D166:D174)</f>
        <v>1340.44092</v>
      </c>
      <c r="F148" s="132"/>
      <c r="G148" s="131">
        <f>SUM(F166:F174)</f>
        <v>2077.6834260000001</v>
      </c>
      <c r="H148" s="132"/>
      <c r="I148" s="33"/>
      <c r="J148" s="33"/>
    </row>
    <row r="149" spans="1:16" s="35" customFormat="1" ht="32.15" customHeight="1" x14ac:dyDescent="0.35">
      <c r="A149" s="95" t="s">
        <v>229</v>
      </c>
      <c r="B149" s="95"/>
      <c r="C149" s="133">
        <f>COUNT(D178:D188)</f>
        <v>11</v>
      </c>
      <c r="D149" s="134"/>
      <c r="E149" s="96">
        <f>SUM(D178:D188)</f>
        <v>2252.9051999999997</v>
      </c>
      <c r="F149" s="97"/>
      <c r="G149" s="96">
        <f>SUM(F178:F188)</f>
        <v>3492.00306</v>
      </c>
      <c r="H149" s="97"/>
      <c r="I149" s="33"/>
      <c r="J149" s="33"/>
      <c r="K149" s="48">
        <v>10.763999999999999</v>
      </c>
    </row>
    <row r="150" spans="1:16" s="35" customFormat="1" x14ac:dyDescent="0.35">
      <c r="A150" s="98" t="s">
        <v>149</v>
      </c>
      <c r="B150" s="98"/>
      <c r="C150" s="99">
        <f>SUM(C148:C149)</f>
        <v>20</v>
      </c>
      <c r="D150" s="100"/>
      <c r="E150" s="91">
        <f>SUM(E148:E149)</f>
        <v>3593.3461199999997</v>
      </c>
      <c r="F150" s="92"/>
      <c r="G150" s="94">
        <f>SUM(G148:G149)</f>
        <v>5569.6864860000005</v>
      </c>
      <c r="H150" s="94"/>
      <c r="I150" s="33"/>
      <c r="J150" s="33"/>
    </row>
    <row r="151" spans="1:16" s="35" customFormat="1" x14ac:dyDescent="0.35">
      <c r="A151" s="98" t="s">
        <v>71</v>
      </c>
      <c r="B151" s="98"/>
      <c r="C151" s="98"/>
      <c r="D151" s="98"/>
      <c r="E151" s="98"/>
      <c r="F151" s="98"/>
      <c r="G151" s="98"/>
      <c r="H151" s="98"/>
      <c r="I151" s="33"/>
      <c r="J151" s="33"/>
    </row>
    <row r="152" spans="1:16" s="35" customFormat="1" x14ac:dyDescent="0.35">
      <c r="A152" s="94" t="s">
        <v>53</v>
      </c>
      <c r="B152" s="94"/>
      <c r="C152" s="100" t="s">
        <v>80</v>
      </c>
      <c r="D152" s="100"/>
      <c r="E152" s="92" t="s">
        <v>54</v>
      </c>
      <c r="F152" s="92"/>
      <c r="G152" s="94" t="s">
        <v>55</v>
      </c>
      <c r="H152" s="94"/>
      <c r="I152" s="33"/>
      <c r="J152" s="33"/>
      <c r="L152" s="64"/>
      <c r="M152" s="64"/>
      <c r="N152" s="34"/>
    </row>
    <row r="153" spans="1:16" s="35" customFormat="1" x14ac:dyDescent="0.35">
      <c r="A153" s="95" t="s">
        <v>189</v>
      </c>
      <c r="B153" s="95"/>
      <c r="C153" s="133">
        <f>COUNT(D194:D196)+COUNT(D198:D200)*3</f>
        <v>12</v>
      </c>
      <c r="D153" s="133"/>
      <c r="E153" s="131">
        <f>SUM(D194:D196)+SUM(D198:D200)*3</f>
        <v>2983.5655199999997</v>
      </c>
      <c r="F153" s="131"/>
      <c r="G153" s="131">
        <f>SUM(F194:F196)+SUM(F198:F200)*3</f>
        <v>4465.5503489999992</v>
      </c>
      <c r="H153" s="131"/>
      <c r="I153" s="33"/>
      <c r="J153" s="33"/>
      <c r="L153" s="64"/>
      <c r="M153" s="64"/>
      <c r="N153" s="34"/>
    </row>
    <row r="154" spans="1:16" s="35" customFormat="1" x14ac:dyDescent="0.35">
      <c r="A154" s="95" t="s">
        <v>196</v>
      </c>
      <c r="B154" s="95"/>
      <c r="C154" s="133">
        <f>COUNT(D203:D210)*4</f>
        <v>32</v>
      </c>
      <c r="D154" s="133"/>
      <c r="E154" s="131">
        <f>SUM(D203:D210)*4</f>
        <v>8769.2155199999979</v>
      </c>
      <c r="F154" s="131"/>
      <c r="G154" s="131">
        <f>SUM(F203:F210)*4</f>
        <v>12715.362503999997</v>
      </c>
      <c r="H154" s="131"/>
      <c r="I154" s="33"/>
      <c r="J154" s="33"/>
      <c r="L154" s="64"/>
      <c r="M154" s="64"/>
      <c r="N154" s="34"/>
    </row>
    <row r="155" spans="1:16" s="35" customFormat="1" x14ac:dyDescent="0.35">
      <c r="A155" s="95" t="s">
        <v>197</v>
      </c>
      <c r="B155" s="95"/>
      <c r="C155" s="133">
        <f>COUNT(D213:D216)*4</f>
        <v>16</v>
      </c>
      <c r="D155" s="133"/>
      <c r="E155" s="131">
        <f>SUM(D213:D216)*4</f>
        <v>4835.1457439999995</v>
      </c>
      <c r="F155" s="131"/>
      <c r="G155" s="131">
        <f>SUM(F213:F216)*4</f>
        <v>7010.9613288</v>
      </c>
      <c r="H155" s="131"/>
      <c r="I155" s="33"/>
      <c r="J155" s="33"/>
      <c r="L155" s="64"/>
      <c r="M155" s="64"/>
      <c r="N155" s="34"/>
    </row>
    <row r="156" spans="1:16" s="35" customFormat="1" x14ac:dyDescent="0.35">
      <c r="A156" s="95" t="s">
        <v>194</v>
      </c>
      <c r="B156" s="95"/>
      <c r="C156" s="133">
        <f>COUNT(D219:D222)+COUNT(D224:D230)*4</f>
        <v>32</v>
      </c>
      <c r="D156" s="133"/>
      <c r="E156" s="131">
        <f>SUM(D219:D222)+SUM(D224:D230)*4</f>
        <v>7426.9447199999995</v>
      </c>
      <c r="F156" s="131"/>
      <c r="G156" s="131">
        <f>SUM(F219:F222)+SUM(F224:F230)*4</f>
        <v>10769.069843999998</v>
      </c>
      <c r="H156" s="131"/>
      <c r="I156" s="33"/>
      <c r="J156" s="33"/>
      <c r="L156" s="64"/>
      <c r="M156" s="64"/>
      <c r="N156" s="34"/>
    </row>
    <row r="157" spans="1:16" s="35" customFormat="1" x14ac:dyDescent="0.35">
      <c r="A157" s="95" t="s">
        <v>198</v>
      </c>
      <c r="B157" s="95"/>
      <c r="C157" s="133">
        <f>COUNT(D234:D236)*4</f>
        <v>12</v>
      </c>
      <c r="D157" s="133"/>
      <c r="E157" s="131">
        <f>SUM(D234:D236)*4</f>
        <v>2602.3046399999998</v>
      </c>
      <c r="F157" s="131"/>
      <c r="G157" s="131">
        <f>SUM(F234:F236)*4</f>
        <v>3773.3417279999994</v>
      </c>
      <c r="H157" s="131"/>
      <c r="I157" s="33"/>
      <c r="J157" s="33"/>
      <c r="L157" s="64"/>
      <c r="M157" s="64"/>
      <c r="N157" s="34"/>
    </row>
    <row r="158" spans="1:16" s="35" customFormat="1" x14ac:dyDescent="0.35">
      <c r="A158" s="98" t="s">
        <v>149</v>
      </c>
      <c r="B158" s="98"/>
      <c r="C158" s="99">
        <f>SUM(C153:C157)</f>
        <v>104</v>
      </c>
      <c r="D158" s="99"/>
      <c r="E158" s="91">
        <f>SUM(E153:E157)</f>
        <v>26617.176143999994</v>
      </c>
      <c r="F158" s="91"/>
      <c r="G158" s="91">
        <f>SUM(G153:G157)</f>
        <v>38734.285753799995</v>
      </c>
      <c r="H158" s="91"/>
      <c r="I158" s="33"/>
      <c r="J158" s="33"/>
      <c r="L158" s="64"/>
      <c r="M158" s="64"/>
      <c r="N158" s="34"/>
    </row>
    <row r="159" spans="1:16" s="35" customFormat="1" x14ac:dyDescent="0.35">
      <c r="A159" s="152" t="s">
        <v>56</v>
      </c>
      <c r="B159" s="152"/>
      <c r="C159" s="152"/>
      <c r="D159" s="152"/>
      <c r="E159" s="152"/>
      <c r="F159" s="152"/>
      <c r="G159" s="152"/>
      <c r="H159" s="152"/>
      <c r="I159" s="32"/>
      <c r="J159" s="32"/>
      <c r="L159" s="64"/>
      <c r="M159" s="64"/>
      <c r="N159" s="34"/>
    </row>
    <row r="160" spans="1:16" s="35" customFormat="1" x14ac:dyDescent="0.35">
      <c r="A160" s="152" t="s">
        <v>57</v>
      </c>
      <c r="B160" s="152"/>
      <c r="C160" s="152"/>
      <c r="D160" s="152"/>
      <c r="E160" s="152"/>
      <c r="F160" s="152"/>
      <c r="G160" s="152"/>
      <c r="H160" s="152"/>
      <c r="I160" s="19"/>
      <c r="J160" s="19"/>
      <c r="L160" s="64"/>
      <c r="M160" s="64"/>
      <c r="N160" s="34"/>
    </row>
    <row r="161" spans="1:14" s="35" customFormat="1" ht="45" x14ac:dyDescent="0.35">
      <c r="A161" s="137" t="s">
        <v>118</v>
      </c>
      <c r="B161" s="137" t="s">
        <v>117</v>
      </c>
      <c r="C161" s="137" t="s">
        <v>58</v>
      </c>
      <c r="D161" s="137" t="s">
        <v>59</v>
      </c>
      <c r="E161" s="183" t="s">
        <v>154</v>
      </c>
      <c r="F161" s="41" t="s">
        <v>148</v>
      </c>
      <c r="G161" s="185" t="s">
        <v>61</v>
      </c>
      <c r="H161" s="186"/>
      <c r="I161" s="19"/>
      <c r="J161" s="19"/>
    </row>
    <row r="162" spans="1:14" s="35" customFormat="1" x14ac:dyDescent="0.35">
      <c r="A162" s="138"/>
      <c r="B162" s="138"/>
      <c r="C162" s="138"/>
      <c r="D162" s="138"/>
      <c r="E162" s="184"/>
      <c r="F162" s="13">
        <v>0.55000000000000004</v>
      </c>
      <c r="G162" s="187"/>
      <c r="H162" s="188"/>
    </row>
    <row r="163" spans="1:14" s="35" customFormat="1" x14ac:dyDescent="0.35">
      <c r="A163" s="120" t="s">
        <v>232</v>
      </c>
      <c r="B163" s="121"/>
      <c r="C163" s="121"/>
      <c r="D163" s="121"/>
      <c r="E163" s="121"/>
      <c r="F163" s="121"/>
      <c r="G163" s="121"/>
      <c r="H163" s="122"/>
      <c r="J163" s="34"/>
      <c r="L163" s="64"/>
      <c r="M163" s="64"/>
      <c r="N163" s="34"/>
    </row>
    <row r="164" spans="1:14" s="35" customFormat="1" x14ac:dyDescent="0.35">
      <c r="A164" s="120" t="s">
        <v>233</v>
      </c>
      <c r="B164" s="121"/>
      <c r="C164" s="121"/>
      <c r="D164" s="121"/>
      <c r="E164" s="121"/>
      <c r="F164" s="121"/>
      <c r="G164" s="121"/>
      <c r="H164" s="122"/>
      <c r="J164" s="34"/>
      <c r="L164" s="64"/>
      <c r="M164" s="64"/>
      <c r="N164" s="34"/>
    </row>
    <row r="165" spans="1:14" s="35" customFormat="1" x14ac:dyDescent="0.35">
      <c r="A165" s="120" t="s">
        <v>201</v>
      </c>
      <c r="B165" s="121"/>
      <c r="C165" s="121"/>
      <c r="D165" s="121"/>
      <c r="E165" s="121"/>
      <c r="F165" s="121"/>
      <c r="G165" s="121"/>
      <c r="H165" s="122"/>
      <c r="J165" s="34"/>
      <c r="L165" s="64"/>
      <c r="M165" s="64"/>
      <c r="N165" s="34"/>
    </row>
    <row r="166" spans="1:14" s="35" customFormat="1" ht="15.65" customHeight="1" x14ac:dyDescent="0.35">
      <c r="A166" s="117">
        <v>1</v>
      </c>
      <c r="B166" s="118"/>
      <c r="C166" s="40" t="s">
        <v>190</v>
      </c>
      <c r="D166" s="48">
        <f>(12.18+3.04)*10.764</f>
        <v>163.82807999999997</v>
      </c>
      <c r="E166" s="40">
        <v>0</v>
      </c>
      <c r="F166" s="40">
        <f>(D166+E166)*(($F$162)+1)</f>
        <v>253.93352399999998</v>
      </c>
      <c r="G166" s="108" t="str">
        <f>A165</f>
        <v>Ground Floor For Commercial, Meter Room &amp; Parking</v>
      </c>
      <c r="H166" s="109"/>
      <c r="I166" s="34">
        <f>3.75*3.25+1.6*1.9</f>
        <v>15.227499999999999</v>
      </c>
      <c r="J166" s="34">
        <f>12.18+3.04</f>
        <v>15.219999999999999</v>
      </c>
      <c r="L166" s="64"/>
      <c r="M166" s="64"/>
      <c r="N166" s="34"/>
    </row>
    <row r="167" spans="1:14" s="35" customFormat="1" ht="15.65" customHeight="1" x14ac:dyDescent="0.35">
      <c r="A167" s="117">
        <f t="shared" ref="A167:A188" si="0">A166+1</f>
        <v>2</v>
      </c>
      <c r="B167" s="118"/>
      <c r="C167" s="40" t="s">
        <v>190</v>
      </c>
      <c r="D167" s="48">
        <f>(11.25+3.71)*10.764</f>
        <v>161.02943999999999</v>
      </c>
      <c r="E167" s="40">
        <v>0</v>
      </c>
      <c r="F167" s="40">
        <f t="shared" ref="F167:F169" si="1">(D167+E167)*(($F$162)+1)</f>
        <v>249.59563199999999</v>
      </c>
      <c r="G167" s="110"/>
      <c r="H167" s="111"/>
      <c r="I167" s="34"/>
      <c r="L167" s="64"/>
      <c r="M167" s="64"/>
      <c r="N167" s="34"/>
    </row>
    <row r="168" spans="1:14" s="35" customFormat="1" ht="15.65" customHeight="1" x14ac:dyDescent="0.35">
      <c r="A168" s="117">
        <f t="shared" si="0"/>
        <v>3</v>
      </c>
      <c r="B168" s="118"/>
      <c r="C168" s="40" t="s">
        <v>190</v>
      </c>
      <c r="D168" s="48">
        <f>(18.6)*10.764</f>
        <v>200.21039999999999</v>
      </c>
      <c r="E168" s="40">
        <v>0</v>
      </c>
      <c r="F168" s="40">
        <f t="shared" si="1"/>
        <v>310.32612</v>
      </c>
      <c r="G168" s="110"/>
      <c r="H168" s="111"/>
      <c r="I168" s="34"/>
      <c r="L168" s="64"/>
      <c r="M168" s="64"/>
      <c r="N168" s="34"/>
    </row>
    <row r="169" spans="1:14" s="35" customFormat="1" ht="15.65" customHeight="1" x14ac:dyDescent="0.35">
      <c r="A169" s="117">
        <f t="shared" si="0"/>
        <v>4</v>
      </c>
      <c r="B169" s="118"/>
      <c r="C169" s="40" t="s">
        <v>190</v>
      </c>
      <c r="D169" s="48">
        <f>(22.51+2.83)*10.764</f>
        <v>272.75976000000003</v>
      </c>
      <c r="E169" s="40">
        <v>0</v>
      </c>
      <c r="F169" s="40">
        <f t="shared" si="1"/>
        <v>422.77762800000005</v>
      </c>
      <c r="G169" s="110"/>
      <c r="H169" s="111"/>
      <c r="I169" s="34"/>
      <c r="L169" s="64"/>
      <c r="M169" s="64"/>
      <c r="N169" s="34"/>
    </row>
    <row r="170" spans="1:14" s="35" customFormat="1" ht="15.65" customHeight="1" x14ac:dyDescent="0.35">
      <c r="A170" s="117">
        <f t="shared" si="0"/>
        <v>5</v>
      </c>
      <c r="B170" s="118"/>
      <c r="C170" s="40" t="s">
        <v>190</v>
      </c>
      <c r="D170" s="48">
        <f>(10.15)*10.764</f>
        <v>109.2546</v>
      </c>
      <c r="E170" s="40">
        <v>0</v>
      </c>
      <c r="F170" s="40">
        <f t="shared" ref="F170:F172" si="2">(D170+E170)*(($F$162)+1)</f>
        <v>169.34463</v>
      </c>
      <c r="G170" s="110"/>
      <c r="H170" s="111"/>
      <c r="I170" s="34"/>
      <c r="L170" s="64"/>
      <c r="M170" s="64"/>
      <c r="N170" s="34"/>
    </row>
    <row r="171" spans="1:14" s="35" customFormat="1" ht="15.65" customHeight="1" x14ac:dyDescent="0.35">
      <c r="A171" s="117">
        <f t="shared" si="0"/>
        <v>6</v>
      </c>
      <c r="B171" s="118"/>
      <c r="C171" s="40" t="s">
        <v>190</v>
      </c>
      <c r="D171" s="48">
        <f>(10.08)*10.764</f>
        <v>108.50112</v>
      </c>
      <c r="E171" s="40">
        <v>0</v>
      </c>
      <c r="F171" s="40">
        <f t="shared" si="2"/>
        <v>168.17673600000001</v>
      </c>
      <c r="G171" s="110"/>
      <c r="H171" s="111"/>
      <c r="I171" s="34"/>
    </row>
    <row r="172" spans="1:14" s="35" customFormat="1" ht="15.65" customHeight="1" x14ac:dyDescent="0.35">
      <c r="A172" s="117">
        <f t="shared" si="0"/>
        <v>7</v>
      </c>
      <c r="B172" s="118"/>
      <c r="C172" s="40" t="s">
        <v>190</v>
      </c>
      <c r="D172" s="48">
        <f>(10.08)*10.764</f>
        <v>108.50112</v>
      </c>
      <c r="E172" s="40">
        <v>0</v>
      </c>
      <c r="F172" s="40">
        <f t="shared" si="2"/>
        <v>168.17673600000001</v>
      </c>
      <c r="G172" s="110"/>
      <c r="H172" s="111"/>
      <c r="I172" s="34"/>
    </row>
    <row r="173" spans="1:14" s="35" customFormat="1" ht="15.65" customHeight="1" x14ac:dyDescent="0.35">
      <c r="A173" s="117">
        <f t="shared" si="0"/>
        <v>8</v>
      </c>
      <c r="B173" s="118"/>
      <c r="C173" s="40" t="s">
        <v>190</v>
      </c>
      <c r="D173" s="48">
        <f>(10.05)*10.764</f>
        <v>108.1782</v>
      </c>
      <c r="E173" s="40">
        <v>0</v>
      </c>
      <c r="F173" s="40">
        <f t="shared" ref="F173:F183" si="3">(D173+E173)*(($F$162)+1)</f>
        <v>167.67621</v>
      </c>
      <c r="G173" s="110"/>
      <c r="H173" s="111"/>
      <c r="I173" s="34"/>
      <c r="L173" s="64"/>
      <c r="M173" s="64"/>
      <c r="N173" s="34"/>
    </row>
    <row r="174" spans="1:14" s="35" customFormat="1" ht="15.65" customHeight="1" x14ac:dyDescent="0.35">
      <c r="A174" s="117">
        <f t="shared" si="0"/>
        <v>9</v>
      </c>
      <c r="B174" s="118"/>
      <c r="C174" s="40" t="s">
        <v>190</v>
      </c>
      <c r="D174" s="48">
        <f>(10.05)*10.764</f>
        <v>108.1782</v>
      </c>
      <c r="E174" s="40">
        <v>0</v>
      </c>
      <c r="F174" s="40">
        <f t="shared" si="3"/>
        <v>167.67621</v>
      </c>
      <c r="G174" s="112"/>
      <c r="H174" s="113"/>
      <c r="I174" s="34"/>
      <c r="L174" s="64"/>
      <c r="M174" s="64"/>
      <c r="N174" s="34"/>
    </row>
    <row r="175" spans="1:14" s="35" customFormat="1" x14ac:dyDescent="0.35">
      <c r="A175" s="120" t="s">
        <v>234</v>
      </c>
      <c r="B175" s="121"/>
      <c r="C175" s="121"/>
      <c r="D175" s="121"/>
      <c r="E175" s="121"/>
      <c r="F175" s="121"/>
      <c r="G175" s="121"/>
      <c r="H175" s="122"/>
      <c r="J175" s="34"/>
      <c r="L175" s="64"/>
      <c r="M175" s="64"/>
      <c r="N175" s="34"/>
    </row>
    <row r="176" spans="1:14" s="35" customFormat="1" x14ac:dyDescent="0.35">
      <c r="A176" s="120" t="s">
        <v>235</v>
      </c>
      <c r="B176" s="121"/>
      <c r="C176" s="121"/>
      <c r="D176" s="121"/>
      <c r="E176" s="121"/>
      <c r="F176" s="121"/>
      <c r="G176" s="121"/>
      <c r="H176" s="122"/>
      <c r="J176" s="34"/>
      <c r="L176" s="64"/>
      <c r="M176" s="64"/>
      <c r="N176" s="34"/>
    </row>
    <row r="177" spans="1:14" s="35" customFormat="1" x14ac:dyDescent="0.35">
      <c r="A177" s="120" t="s">
        <v>201</v>
      </c>
      <c r="B177" s="121"/>
      <c r="C177" s="121"/>
      <c r="D177" s="121"/>
      <c r="E177" s="121"/>
      <c r="F177" s="121"/>
      <c r="G177" s="121"/>
      <c r="H177" s="122"/>
      <c r="J177" s="34"/>
      <c r="N177" s="34"/>
    </row>
    <row r="178" spans="1:14" ht="15.65" customHeight="1" x14ac:dyDescent="0.35">
      <c r="A178" s="117">
        <f>A174+1</f>
        <v>10</v>
      </c>
      <c r="B178" s="118"/>
      <c r="C178" s="40" t="s">
        <v>190</v>
      </c>
      <c r="D178" s="48">
        <f>(18.24+6.71)*10.764</f>
        <v>268.56179999999995</v>
      </c>
      <c r="E178" s="40">
        <v>0</v>
      </c>
      <c r="F178" s="40">
        <f t="shared" si="3"/>
        <v>416.27078999999992</v>
      </c>
      <c r="G178" s="108" t="str">
        <f>A177</f>
        <v>Ground Floor For Commercial, Meter Room &amp; Parking</v>
      </c>
      <c r="H178" s="109"/>
      <c r="I178" s="34"/>
      <c r="J178" s="35"/>
    </row>
    <row r="179" spans="1:14" s="35" customFormat="1" ht="15.65" customHeight="1" x14ac:dyDescent="0.35">
      <c r="A179" s="117">
        <f t="shared" si="0"/>
        <v>11</v>
      </c>
      <c r="B179" s="118"/>
      <c r="C179" s="40" t="s">
        <v>190</v>
      </c>
      <c r="D179" s="48">
        <f>(20.91+3.28)*10.764</f>
        <v>260.38116000000002</v>
      </c>
      <c r="E179" s="40">
        <v>0</v>
      </c>
      <c r="F179" s="40">
        <f t="shared" si="3"/>
        <v>403.59079800000006</v>
      </c>
      <c r="G179" s="110"/>
      <c r="H179" s="111"/>
      <c r="I179" s="34"/>
    </row>
    <row r="180" spans="1:14" s="35" customFormat="1" ht="15.65" customHeight="1" x14ac:dyDescent="0.35">
      <c r="A180" s="117">
        <f t="shared" si="0"/>
        <v>12</v>
      </c>
      <c r="B180" s="118"/>
      <c r="C180" s="40" t="s">
        <v>190</v>
      </c>
      <c r="D180" s="48">
        <f>(17.86+2.58)*10.764</f>
        <v>220.01615999999996</v>
      </c>
      <c r="E180" s="40">
        <v>0</v>
      </c>
      <c r="F180" s="40">
        <f t="shared" si="3"/>
        <v>341.02504799999997</v>
      </c>
      <c r="G180" s="110"/>
      <c r="H180" s="111"/>
      <c r="I180" s="34"/>
    </row>
    <row r="181" spans="1:14" s="35" customFormat="1" ht="15.65" customHeight="1" x14ac:dyDescent="0.35">
      <c r="A181" s="117">
        <f t="shared" si="0"/>
        <v>13</v>
      </c>
      <c r="B181" s="118"/>
      <c r="C181" s="40" t="s">
        <v>190</v>
      </c>
      <c r="D181" s="48">
        <f>(14.74)*10.764</f>
        <v>158.66136</v>
      </c>
      <c r="E181" s="40">
        <v>0</v>
      </c>
      <c r="F181" s="40">
        <f t="shared" si="3"/>
        <v>245.92510800000002</v>
      </c>
      <c r="G181" s="110"/>
      <c r="H181" s="111"/>
      <c r="I181" s="34"/>
      <c r="K181" s="48">
        <v>10.763999999999999</v>
      </c>
    </row>
    <row r="182" spans="1:14" s="35" customFormat="1" ht="15.65" customHeight="1" x14ac:dyDescent="0.35">
      <c r="A182" s="117">
        <f t="shared" si="0"/>
        <v>14</v>
      </c>
      <c r="B182" s="118"/>
      <c r="C182" s="40" t="s">
        <v>190</v>
      </c>
      <c r="D182" s="48">
        <f>(17.15+2.61+4.13)*10.764</f>
        <v>257.15195999999997</v>
      </c>
      <c r="E182" s="40">
        <v>0</v>
      </c>
      <c r="F182" s="40">
        <f t="shared" si="3"/>
        <v>398.58553799999999</v>
      </c>
      <c r="G182" s="110"/>
      <c r="H182" s="111"/>
      <c r="I182" s="34"/>
      <c r="L182" s="64"/>
      <c r="M182" s="64"/>
      <c r="N182" s="34"/>
    </row>
    <row r="183" spans="1:14" s="35" customFormat="1" ht="15.65" customHeight="1" x14ac:dyDescent="0.35">
      <c r="A183" s="117">
        <f t="shared" si="0"/>
        <v>15</v>
      </c>
      <c r="B183" s="118"/>
      <c r="C183" s="40" t="s">
        <v>190</v>
      </c>
      <c r="D183" s="48">
        <f>(22.32)*10.764</f>
        <v>240.25247999999999</v>
      </c>
      <c r="E183" s="40">
        <v>0</v>
      </c>
      <c r="F183" s="40">
        <f t="shared" si="3"/>
        <v>372.391344</v>
      </c>
      <c r="G183" s="110"/>
      <c r="H183" s="111"/>
      <c r="I183" s="34"/>
      <c r="L183" s="64"/>
      <c r="M183" s="64"/>
      <c r="N183" s="34"/>
    </row>
    <row r="184" spans="1:14" s="35" customFormat="1" ht="15.65" customHeight="1" x14ac:dyDescent="0.35">
      <c r="A184" s="117">
        <f t="shared" si="0"/>
        <v>16</v>
      </c>
      <c r="B184" s="118"/>
      <c r="C184" s="40" t="s">
        <v>190</v>
      </c>
      <c r="D184" s="48">
        <f>(12.89+1.9*1+1*0.9)*10.764</f>
        <v>168.88715999999999</v>
      </c>
      <c r="E184" s="40">
        <v>0</v>
      </c>
      <c r="F184" s="40">
        <f t="shared" ref="F184:F186" si="4">(D184+E184)*(($F$162)+1)</f>
        <v>261.77509800000001</v>
      </c>
      <c r="G184" s="110"/>
      <c r="H184" s="111"/>
      <c r="I184" s="34"/>
      <c r="L184" s="64"/>
      <c r="M184" s="64"/>
      <c r="N184" s="34"/>
    </row>
    <row r="185" spans="1:14" s="35" customFormat="1" ht="15.65" customHeight="1" x14ac:dyDescent="0.35">
      <c r="A185" s="117">
        <f t="shared" si="0"/>
        <v>17</v>
      </c>
      <c r="B185" s="118"/>
      <c r="C185" s="40" t="s">
        <v>190</v>
      </c>
      <c r="D185" s="48">
        <f>(12.92+1.9*1+1*0.9)*10.764</f>
        <v>169.21008</v>
      </c>
      <c r="E185" s="40">
        <v>0</v>
      </c>
      <c r="F185" s="40">
        <f t="shared" si="4"/>
        <v>262.27562399999999</v>
      </c>
      <c r="G185" s="110"/>
      <c r="H185" s="111"/>
      <c r="I185" s="34"/>
      <c r="K185" s="48">
        <v>10.763999999999999</v>
      </c>
    </row>
    <row r="186" spans="1:14" s="35" customFormat="1" ht="15.65" customHeight="1" x14ac:dyDescent="0.35">
      <c r="A186" s="114">
        <f>A185+1</f>
        <v>18</v>
      </c>
      <c r="B186" s="114"/>
      <c r="C186" s="40" t="s">
        <v>190</v>
      </c>
      <c r="D186" s="48">
        <f>(21.62)*10.764</f>
        <v>232.71768</v>
      </c>
      <c r="E186" s="40">
        <v>0</v>
      </c>
      <c r="F186" s="40">
        <f t="shared" si="4"/>
        <v>360.71240399999999</v>
      </c>
      <c r="G186" s="110"/>
      <c r="H186" s="111"/>
      <c r="I186" s="34"/>
      <c r="L186" s="64"/>
      <c r="M186" s="64"/>
      <c r="N186" s="34"/>
    </row>
    <row r="187" spans="1:14" s="35" customFormat="1" ht="15.65" customHeight="1" x14ac:dyDescent="0.35">
      <c r="A187" s="114">
        <f t="shared" si="0"/>
        <v>19</v>
      </c>
      <c r="B187" s="114"/>
      <c r="C187" s="40" t="s">
        <v>190</v>
      </c>
      <c r="D187" s="48">
        <f>(14.33)*10.764</f>
        <v>154.24812</v>
      </c>
      <c r="E187" s="40">
        <v>0</v>
      </c>
      <c r="F187" s="40">
        <f t="shared" ref="F187:F188" si="5">(D187+E187)*(($F$162)+1)</f>
        <v>239.084586</v>
      </c>
      <c r="G187" s="110"/>
      <c r="H187" s="111"/>
      <c r="I187" s="34"/>
    </row>
    <row r="188" spans="1:14" s="35" customFormat="1" ht="15.65" customHeight="1" x14ac:dyDescent="0.35">
      <c r="A188" s="114">
        <f t="shared" si="0"/>
        <v>20</v>
      </c>
      <c r="B188" s="114"/>
      <c r="C188" s="40" t="s">
        <v>190</v>
      </c>
      <c r="D188" s="48">
        <f>(11.41)*10.764</f>
        <v>122.81724</v>
      </c>
      <c r="E188" s="40">
        <v>0</v>
      </c>
      <c r="F188" s="40">
        <f t="shared" si="5"/>
        <v>190.36672200000001</v>
      </c>
      <c r="G188" s="112"/>
      <c r="H188" s="113"/>
      <c r="I188" s="34"/>
      <c r="K188" s="48">
        <v>10.763999999999999</v>
      </c>
    </row>
    <row r="189" spans="1:14" s="35" customFormat="1" x14ac:dyDescent="0.35">
      <c r="A189" s="114"/>
      <c r="B189" s="114"/>
      <c r="C189" s="114"/>
      <c r="D189" s="114"/>
      <c r="E189" s="114"/>
      <c r="F189" s="114"/>
      <c r="G189" s="114"/>
      <c r="H189" s="114"/>
      <c r="I189" s="34"/>
      <c r="L189" s="64"/>
      <c r="M189" s="64"/>
      <c r="N189" s="34"/>
    </row>
    <row r="190" spans="1:14" s="35" customFormat="1" ht="45" x14ac:dyDescent="0.35">
      <c r="A190" s="130" t="s">
        <v>119</v>
      </c>
      <c r="B190" s="130" t="s">
        <v>120</v>
      </c>
      <c r="C190" s="130" t="s">
        <v>58</v>
      </c>
      <c r="D190" s="130" t="s">
        <v>59</v>
      </c>
      <c r="E190" s="129" t="s">
        <v>60</v>
      </c>
      <c r="F190" s="60" t="s">
        <v>148</v>
      </c>
      <c r="G190" s="130" t="s">
        <v>61</v>
      </c>
      <c r="H190" s="130"/>
      <c r="I190" s="34"/>
      <c r="J190" s="19"/>
      <c r="L190" s="64"/>
      <c r="M190" s="64"/>
      <c r="N190" s="34"/>
    </row>
    <row r="191" spans="1:14" s="35" customFormat="1" x14ac:dyDescent="0.35">
      <c r="A191" s="130"/>
      <c r="B191" s="130"/>
      <c r="C191" s="130"/>
      <c r="D191" s="130"/>
      <c r="E191" s="129"/>
      <c r="F191" s="61">
        <v>0.45</v>
      </c>
      <c r="G191" s="130"/>
      <c r="H191" s="130"/>
      <c r="I191" s="34"/>
      <c r="L191" s="64"/>
      <c r="M191" s="64"/>
      <c r="N191" s="34"/>
    </row>
    <row r="192" spans="1:14" s="35" customFormat="1" x14ac:dyDescent="0.35">
      <c r="A192" s="120" t="s">
        <v>189</v>
      </c>
      <c r="B192" s="121"/>
      <c r="C192" s="121"/>
      <c r="D192" s="121"/>
      <c r="E192" s="121"/>
      <c r="F192" s="121"/>
      <c r="G192" s="121"/>
      <c r="H192" s="122"/>
      <c r="J192" s="34"/>
      <c r="L192" s="64"/>
      <c r="M192" s="64"/>
      <c r="N192" s="34"/>
    </row>
    <row r="193" spans="1:14" s="35" customFormat="1" x14ac:dyDescent="0.35">
      <c r="A193" s="120" t="s">
        <v>212</v>
      </c>
      <c r="B193" s="121"/>
      <c r="C193" s="121"/>
      <c r="D193" s="121"/>
      <c r="E193" s="121"/>
      <c r="F193" s="121"/>
      <c r="G193" s="121"/>
      <c r="H193" s="122"/>
      <c r="J193" s="34"/>
      <c r="L193" s="64"/>
      <c r="M193" s="64"/>
      <c r="N193" s="34"/>
    </row>
    <row r="194" spans="1:14" s="35" customFormat="1" ht="15.65" customHeight="1" x14ac:dyDescent="0.35">
      <c r="A194" s="117">
        <v>1</v>
      </c>
      <c r="B194" s="118"/>
      <c r="C194" s="40" t="s">
        <v>191</v>
      </c>
      <c r="D194" s="48">
        <f>(9.31+7.96+4.75+2.52+1.95*0.9)*10.764</f>
        <v>283.03937999999994</v>
      </c>
      <c r="E194" s="40">
        <v>0</v>
      </c>
      <c r="F194" s="40">
        <f>D194*(($F$191)+1)+(IF(E194&lt;101,E194,IF(E194&lt;201,E194/2,IF(E194&lt;=301,E194/3,E194/4))))</f>
        <v>410.4071009999999</v>
      </c>
      <c r="G194" s="108" t="str">
        <f>A193</f>
        <v>1st Floor For Residential (Part Terrace Area)</v>
      </c>
      <c r="H194" s="109"/>
      <c r="I194" s="34">
        <f>9.31+7.96+4.75+2.52+1.95*0.9</f>
        <v>26.294999999999998</v>
      </c>
      <c r="J194" s="34">
        <f>2.7*3.45+1.95*0.9+2.5*1.9+2.7*2.95+2.1*1.2</f>
        <v>26.305</v>
      </c>
      <c r="L194" s="64"/>
      <c r="M194" s="64"/>
      <c r="N194" s="34"/>
    </row>
    <row r="195" spans="1:14" s="35" customFormat="1" ht="15.65" customHeight="1" x14ac:dyDescent="0.35">
      <c r="A195" s="117">
        <f t="shared" ref="A195:A196" si="6">A194+1</f>
        <v>2</v>
      </c>
      <c r="B195" s="118"/>
      <c r="C195" s="40" t="s">
        <v>192</v>
      </c>
      <c r="D195" s="48">
        <f>(9.29+5.67+2.52+0.9*0.6)*10.764</f>
        <v>193.96727999999999</v>
      </c>
      <c r="E195" s="40">
        <v>0</v>
      </c>
      <c r="F195" s="40">
        <f>D195*(($F$191)+1)+(IF(E195&lt;101,E195,IF(E195&lt;201,E195/2,IF(E195&lt;=301,E195/3,E195/4))))</f>
        <v>281.25255599999997</v>
      </c>
      <c r="G195" s="110"/>
      <c r="H195" s="111"/>
      <c r="I195" s="34">
        <f>3.15*2.95+3.15*1.8+2.1*1.2+0.9*0.6</f>
        <v>18.022500000000001</v>
      </c>
      <c r="L195" s="64"/>
      <c r="M195" s="64"/>
      <c r="N195" s="34"/>
    </row>
    <row r="196" spans="1:14" s="35" customFormat="1" ht="15.65" customHeight="1" x14ac:dyDescent="0.35">
      <c r="A196" s="117">
        <f t="shared" si="6"/>
        <v>3</v>
      </c>
      <c r="B196" s="118"/>
      <c r="C196" s="40" t="s">
        <v>191</v>
      </c>
      <c r="D196" s="48">
        <f>(9.13+6.9+4.72+1.08+1.26+2.1*0.9)*10.764</f>
        <v>268.88472000000002</v>
      </c>
      <c r="E196" s="40">
        <f>(17.3*2.9+0.25*6.5)*10.764</f>
        <v>557.52138000000002</v>
      </c>
      <c r="F196" s="40">
        <f>D196*(($F$191)+1)+(IF(E196&lt;101,E196,IF(E196&lt;201,E196/2,IF(E196&lt;=301,E196/3,E196/4))))</f>
        <v>529.26318900000001</v>
      </c>
      <c r="G196" s="112"/>
      <c r="H196" s="113"/>
      <c r="I196" s="34"/>
      <c r="L196" s="64"/>
      <c r="M196" s="64"/>
      <c r="N196" s="34"/>
    </row>
    <row r="197" spans="1:14" s="35" customFormat="1" x14ac:dyDescent="0.35">
      <c r="A197" s="120" t="s">
        <v>211</v>
      </c>
      <c r="B197" s="121"/>
      <c r="C197" s="121"/>
      <c r="D197" s="121"/>
      <c r="E197" s="121"/>
      <c r="F197" s="121"/>
      <c r="G197" s="121"/>
      <c r="H197" s="122"/>
      <c r="J197" s="34"/>
    </row>
    <row r="198" spans="1:14" s="35" customFormat="1" ht="15.65" customHeight="1" x14ac:dyDescent="0.35">
      <c r="A198" s="117">
        <v>1</v>
      </c>
      <c r="B198" s="118"/>
      <c r="C198" s="40" t="s">
        <v>191</v>
      </c>
      <c r="D198" s="48">
        <f>(9.31+7.96+4.75+2.52+1.95*0.9)*10.764</f>
        <v>283.03937999999994</v>
      </c>
      <c r="E198" s="40">
        <v>0</v>
      </c>
      <c r="F198" s="40">
        <f>D198*(($F$191)+1)+(IF(E198&lt;101,E198,IF(E198&lt;201,E198/2,IF(E198&lt;=301,E198/3,E198/4))))</f>
        <v>410.4071009999999</v>
      </c>
      <c r="G198" s="108" t="str">
        <f>A197</f>
        <v>2nd to 4th Floor For Residential</v>
      </c>
      <c r="H198" s="109"/>
      <c r="I198" s="34">
        <f>9.31+7.96+4.75+2.52+1.95*0.9</f>
        <v>26.294999999999998</v>
      </c>
      <c r="J198" s="34">
        <f>2.7*3.45+1.95*0.9+2.5*1.9+2.7*2.95+2.1*1.2</f>
        <v>26.305</v>
      </c>
      <c r="K198" s="48">
        <v>10.763999999999999</v>
      </c>
    </row>
    <row r="199" spans="1:14" s="35" customFormat="1" ht="15.65" customHeight="1" x14ac:dyDescent="0.35">
      <c r="A199" s="117">
        <f t="shared" ref="A199:A200" si="7">A198+1</f>
        <v>2</v>
      </c>
      <c r="B199" s="118"/>
      <c r="C199" s="40" t="s">
        <v>192</v>
      </c>
      <c r="D199" s="48">
        <f>(9.29+5.67+2.52+0.9*0.6)*10.764</f>
        <v>193.96727999999999</v>
      </c>
      <c r="E199" s="40">
        <v>0</v>
      </c>
      <c r="F199" s="40">
        <f>D199*(($F$191)+1)+(IF(E199&lt;101,E199,IF(E199&lt;201,E199/2,IF(E199&lt;=301,E199/3,E199/4))))</f>
        <v>281.25255599999997</v>
      </c>
      <c r="G199" s="110" t="str">
        <f t="shared" ref="G199:G200" si="8">G198</f>
        <v>2nd to 4th Floor For Residential</v>
      </c>
      <c r="H199" s="111"/>
      <c r="I199" s="34">
        <f>3.15*2.95+3.15*1.8+2.1*1.2+0.9*0.6</f>
        <v>18.022500000000001</v>
      </c>
      <c r="L199" s="64"/>
      <c r="M199" s="64"/>
      <c r="N199" s="34"/>
    </row>
    <row r="200" spans="1:14" s="35" customFormat="1" ht="15.65" customHeight="1" x14ac:dyDescent="0.35">
      <c r="A200" s="117">
        <f t="shared" si="7"/>
        <v>3</v>
      </c>
      <c r="B200" s="118"/>
      <c r="C200" s="40" t="s">
        <v>191</v>
      </c>
      <c r="D200" s="48">
        <f>(9.13+6.9+4.72+1.08+1.26+2.1*0.9)*10.764</f>
        <v>268.88472000000002</v>
      </c>
      <c r="E200" s="40">
        <v>0</v>
      </c>
      <c r="F200" s="40">
        <f>D200*(($F$191)+1)+(IF(E200&lt;101,E200,IF(E200&lt;201,E200/2,IF(E200&lt;=301,E200/3,E200/4))))</f>
        <v>389.88284400000003</v>
      </c>
      <c r="G200" s="112" t="str">
        <f t="shared" si="8"/>
        <v>2nd to 4th Floor For Residential</v>
      </c>
      <c r="H200" s="113"/>
      <c r="I200" s="34"/>
      <c r="L200" s="64"/>
      <c r="M200" s="64"/>
      <c r="N200" s="34"/>
    </row>
    <row r="201" spans="1:14" s="35" customFormat="1" x14ac:dyDescent="0.35">
      <c r="A201" s="120" t="s">
        <v>196</v>
      </c>
      <c r="B201" s="121"/>
      <c r="C201" s="121"/>
      <c r="D201" s="121"/>
      <c r="E201" s="121"/>
      <c r="F201" s="121"/>
      <c r="G201" s="121"/>
      <c r="H201" s="122"/>
      <c r="J201" s="34"/>
      <c r="L201" s="64"/>
      <c r="M201" s="64"/>
      <c r="N201" s="34"/>
    </row>
    <row r="202" spans="1:14" s="35" customFormat="1" x14ac:dyDescent="0.35">
      <c r="A202" s="120" t="s">
        <v>193</v>
      </c>
      <c r="B202" s="121"/>
      <c r="C202" s="121"/>
      <c r="D202" s="121"/>
      <c r="E202" s="121"/>
      <c r="F202" s="121"/>
      <c r="G202" s="121"/>
      <c r="H202" s="122"/>
      <c r="J202" s="34"/>
      <c r="L202" s="64"/>
      <c r="M202" s="64"/>
      <c r="N202" s="34"/>
    </row>
    <row r="203" spans="1:14" s="35" customFormat="1" ht="15.65" customHeight="1" x14ac:dyDescent="0.35">
      <c r="A203" s="117">
        <v>1</v>
      </c>
      <c r="B203" s="118"/>
      <c r="C203" s="40" t="s">
        <v>191</v>
      </c>
      <c r="D203" s="48">
        <f>(23.24+1*(2.65+1.95)+0.45*2.35)*10.764</f>
        <v>311.05268999999993</v>
      </c>
      <c r="E203" s="40">
        <v>0</v>
      </c>
      <c r="F203" s="40">
        <f t="shared" ref="F203:F210" si="9">D203*(($F$191)+1)+(IF(E203&lt;101,E203,IF(E203&lt;201,E203/2,IF(E203&lt;=301,E203/3,E203/4))))</f>
        <v>451.02640049999991</v>
      </c>
      <c r="G203" s="108" t="str">
        <f>A202</f>
        <v>1st to 4th Floor For Residential</v>
      </c>
      <c r="H203" s="109"/>
      <c r="I203" s="34"/>
      <c r="J203" s="34"/>
    </row>
    <row r="204" spans="1:14" s="35" customFormat="1" ht="15.65" customHeight="1" x14ac:dyDescent="0.35">
      <c r="A204" s="117">
        <f t="shared" ref="A204:A210" si="10">A203+1</f>
        <v>2</v>
      </c>
      <c r="B204" s="118"/>
      <c r="C204" s="40" t="s">
        <v>191</v>
      </c>
      <c r="D204" s="48">
        <f>(23.24+1*(2.65+1.95)+0.45*2.35)*10.764</f>
        <v>311.05268999999993</v>
      </c>
      <c r="E204" s="40">
        <v>0</v>
      </c>
      <c r="F204" s="40">
        <f t="shared" si="9"/>
        <v>451.02640049999991</v>
      </c>
      <c r="G204" s="110"/>
      <c r="H204" s="111"/>
      <c r="I204" s="34"/>
    </row>
    <row r="205" spans="1:14" s="35" customFormat="1" ht="15.65" customHeight="1" x14ac:dyDescent="0.35">
      <c r="A205" s="117">
        <f t="shared" si="10"/>
        <v>3</v>
      </c>
      <c r="B205" s="118"/>
      <c r="C205" s="40" t="s">
        <v>191</v>
      </c>
      <c r="D205" s="48">
        <f>(23.24+1*(2.65+1.95))*10.764</f>
        <v>299.66975999999994</v>
      </c>
      <c r="E205" s="40">
        <v>0</v>
      </c>
      <c r="F205" s="40">
        <f t="shared" si="9"/>
        <v>434.52115199999992</v>
      </c>
      <c r="G205" s="110"/>
      <c r="H205" s="111"/>
      <c r="I205" s="34"/>
      <c r="K205" s="48">
        <v>10.763999999999999</v>
      </c>
      <c r="L205" s="64"/>
      <c r="M205" s="64"/>
      <c r="N205" s="34"/>
    </row>
    <row r="206" spans="1:14" s="35" customFormat="1" ht="15.65" customHeight="1" x14ac:dyDescent="0.35">
      <c r="A206" s="117">
        <f t="shared" si="10"/>
        <v>4</v>
      </c>
      <c r="B206" s="118"/>
      <c r="C206" s="40" t="s">
        <v>192</v>
      </c>
      <c r="D206" s="48">
        <f>(16.2)*10.764</f>
        <v>174.37679999999997</v>
      </c>
      <c r="E206" s="40">
        <v>0</v>
      </c>
      <c r="F206" s="40">
        <f t="shared" si="9"/>
        <v>252.84635999999995</v>
      </c>
      <c r="G206" s="110"/>
      <c r="H206" s="111"/>
      <c r="I206" s="34"/>
      <c r="L206" s="64"/>
      <c r="M206" s="64"/>
      <c r="N206" s="34"/>
    </row>
    <row r="207" spans="1:14" s="35" customFormat="1" ht="15.65" customHeight="1" x14ac:dyDescent="0.35">
      <c r="A207" s="117">
        <f t="shared" si="10"/>
        <v>5</v>
      </c>
      <c r="B207" s="118"/>
      <c r="C207" s="40" t="s">
        <v>192</v>
      </c>
      <c r="D207" s="48">
        <f>(16.2)*10.764</f>
        <v>174.37679999999997</v>
      </c>
      <c r="E207" s="40">
        <v>0</v>
      </c>
      <c r="F207" s="40">
        <f t="shared" si="9"/>
        <v>252.84635999999995</v>
      </c>
      <c r="G207" s="110"/>
      <c r="H207" s="111"/>
      <c r="I207" s="34"/>
      <c r="L207" s="64"/>
      <c r="M207" s="64"/>
      <c r="N207" s="34"/>
    </row>
    <row r="208" spans="1:14" s="35" customFormat="1" ht="15.65" customHeight="1" x14ac:dyDescent="0.35">
      <c r="A208" s="117">
        <f t="shared" si="10"/>
        <v>6</v>
      </c>
      <c r="B208" s="118"/>
      <c r="C208" s="40" t="s">
        <v>191</v>
      </c>
      <c r="D208" s="48">
        <f>(23.24+1*(2.65+1.95))*10.764</f>
        <v>299.66975999999994</v>
      </c>
      <c r="E208" s="40">
        <v>0</v>
      </c>
      <c r="F208" s="40">
        <f t="shared" si="9"/>
        <v>434.52115199999992</v>
      </c>
      <c r="G208" s="110"/>
      <c r="H208" s="111"/>
      <c r="I208" s="34"/>
      <c r="L208" s="64"/>
      <c r="M208" s="64"/>
      <c r="N208" s="34"/>
    </row>
    <row r="209" spans="1:14" s="35" customFormat="1" ht="15.75" customHeight="1" x14ac:dyDescent="0.35">
      <c r="A209" s="117">
        <f t="shared" si="10"/>
        <v>7</v>
      </c>
      <c r="B209" s="118"/>
      <c r="C209" s="40" t="s">
        <v>191</v>
      </c>
      <c r="D209" s="48">
        <f>(23.24+1*(2.65+1.95)+0.45*2.35)*10.764</f>
        <v>311.05268999999993</v>
      </c>
      <c r="E209" s="40">
        <v>0</v>
      </c>
      <c r="F209" s="40">
        <f t="shared" si="9"/>
        <v>451.02640049999991</v>
      </c>
      <c r="G209" s="110"/>
      <c r="H209" s="111"/>
      <c r="I209" s="34"/>
    </row>
    <row r="210" spans="1:14" s="35" customFormat="1" ht="15.65" customHeight="1" x14ac:dyDescent="0.35">
      <c r="A210" s="117">
        <f t="shared" si="10"/>
        <v>8</v>
      </c>
      <c r="B210" s="118"/>
      <c r="C210" s="40" t="s">
        <v>191</v>
      </c>
      <c r="D210" s="48">
        <f>(23.24+1*(2.65+1.95)+0.45*2.35)*10.764</f>
        <v>311.05268999999993</v>
      </c>
      <c r="E210" s="40">
        <v>0</v>
      </c>
      <c r="F210" s="40">
        <f t="shared" si="9"/>
        <v>451.02640049999991</v>
      </c>
      <c r="G210" s="112"/>
      <c r="H210" s="113"/>
      <c r="I210" s="34"/>
      <c r="L210" s="64"/>
      <c r="M210" s="64"/>
      <c r="N210" s="34"/>
    </row>
    <row r="211" spans="1:14" s="35" customFormat="1" x14ac:dyDescent="0.35">
      <c r="A211" s="120" t="s">
        <v>197</v>
      </c>
      <c r="B211" s="121"/>
      <c r="C211" s="121"/>
      <c r="D211" s="121"/>
      <c r="E211" s="121"/>
      <c r="F211" s="121"/>
      <c r="G211" s="121"/>
      <c r="H211" s="122"/>
      <c r="J211" s="34"/>
      <c r="L211" s="64"/>
      <c r="M211" s="64"/>
      <c r="N211" s="34"/>
    </row>
    <row r="212" spans="1:14" s="35" customFormat="1" x14ac:dyDescent="0.35">
      <c r="A212" s="120" t="s">
        <v>193</v>
      </c>
      <c r="B212" s="121"/>
      <c r="C212" s="121"/>
      <c r="D212" s="121"/>
      <c r="E212" s="121"/>
      <c r="F212" s="121"/>
      <c r="G212" s="121"/>
      <c r="H212" s="122"/>
      <c r="J212" s="34"/>
      <c r="L212" s="64"/>
      <c r="M212" s="64"/>
      <c r="N212" s="34"/>
    </row>
    <row r="213" spans="1:14" s="35" customFormat="1" ht="15.65" customHeight="1" x14ac:dyDescent="0.35">
      <c r="A213" s="117">
        <v>1</v>
      </c>
      <c r="B213" s="118"/>
      <c r="C213" s="40" t="s">
        <v>191</v>
      </c>
      <c r="D213" s="48">
        <f>(23.24+1*(2.65+1.95)+0.45*2.2)*10.764</f>
        <v>310.32611999999995</v>
      </c>
      <c r="E213" s="40">
        <v>0</v>
      </c>
      <c r="F213" s="40">
        <f>D213*(($F$191)+1)+(IF(E213&lt;101,E213,IF(E213&lt;201,E213/2,IF(E213&lt;=301,E213/3,E213/4))))</f>
        <v>449.97287399999993</v>
      </c>
      <c r="G213" s="108" t="str">
        <f>A212</f>
        <v>1st to 4th Floor For Residential</v>
      </c>
      <c r="H213" s="109"/>
      <c r="I213" s="34"/>
      <c r="J213" s="34"/>
      <c r="L213" s="64"/>
      <c r="M213" s="64"/>
      <c r="N213" s="34"/>
    </row>
    <row r="214" spans="1:14" s="35" customFormat="1" ht="15.65" customHeight="1" x14ac:dyDescent="0.35">
      <c r="A214" s="117">
        <f t="shared" ref="A214:A216" si="11">A213+1</f>
        <v>2</v>
      </c>
      <c r="B214" s="118"/>
      <c r="C214" s="40" t="s">
        <v>191</v>
      </c>
      <c r="D214" s="48">
        <f>(21.93+1*(2.65+1.95)+0.45*2.2)*10.764</f>
        <v>296.22528</v>
      </c>
      <c r="E214" s="40">
        <v>0</v>
      </c>
      <c r="F214" s="40">
        <f>D214*(($F$191)+1)+(IF(E214&lt;101,E214,IF(E214&lt;201,E214/2,IF(E214&lt;=301,E214/3,E214/4))))</f>
        <v>429.526656</v>
      </c>
      <c r="G214" s="110"/>
      <c r="H214" s="111"/>
      <c r="I214" s="48">
        <f>21.93+1*(2.65+1.95)+0.45*2.2</f>
        <v>27.52</v>
      </c>
      <c r="L214" s="64"/>
      <c r="M214" s="64"/>
      <c r="N214" s="34"/>
    </row>
    <row r="215" spans="1:14" s="35" customFormat="1" ht="15.65" customHeight="1" x14ac:dyDescent="0.35">
      <c r="A215" s="117">
        <f t="shared" si="11"/>
        <v>3</v>
      </c>
      <c r="B215" s="118"/>
      <c r="C215" s="40" t="s">
        <v>191</v>
      </c>
      <c r="D215" s="48">
        <f>(23.24+1*(2.65+1.95)+0.45*2.35)*10.764</f>
        <v>311.05268999999993</v>
      </c>
      <c r="E215" s="40">
        <v>0</v>
      </c>
      <c r="F215" s="40">
        <f>D215*(($F$191)+1)+(IF(E215&lt;101,E215,IF(E215&lt;201,E215/2,IF(E215&lt;=301,E215/3,E215/4))))</f>
        <v>451.02640049999991</v>
      </c>
      <c r="G215" s="110"/>
      <c r="H215" s="111"/>
      <c r="I215" s="34"/>
      <c r="L215" s="64"/>
      <c r="M215" s="64"/>
      <c r="N215" s="34"/>
    </row>
    <row r="216" spans="1:14" s="35" customFormat="1" ht="15.65" customHeight="1" x14ac:dyDescent="0.35">
      <c r="A216" s="117">
        <f t="shared" si="11"/>
        <v>4</v>
      </c>
      <c r="B216" s="118"/>
      <c r="C216" s="40" t="s">
        <v>191</v>
      </c>
      <c r="D216" s="48">
        <f>(3.38*2.82+2*2.43+3*2.35+(0.5*3.5*1)+1.85*1.45+1.5*0.35+2.33*0.28)*10.764</f>
        <v>291.182346</v>
      </c>
      <c r="E216" s="40">
        <v>0</v>
      </c>
      <c r="F216" s="40">
        <f>D216*(($F$191)+1)+(IF(E216&lt;101,E216,IF(E216&lt;201,E216/2,IF(E216&lt;=301,E216/3,E216/4))))</f>
        <v>422.2144017</v>
      </c>
      <c r="G216" s="112"/>
      <c r="H216" s="113"/>
      <c r="I216" s="34"/>
      <c r="L216" s="64"/>
      <c r="M216" s="64"/>
      <c r="N216" s="34"/>
    </row>
    <row r="217" spans="1:14" s="35" customFormat="1" x14ac:dyDescent="0.35">
      <c r="A217" s="120" t="s">
        <v>194</v>
      </c>
      <c r="B217" s="121"/>
      <c r="C217" s="121"/>
      <c r="D217" s="121"/>
      <c r="E217" s="121"/>
      <c r="F217" s="121"/>
      <c r="G217" s="121"/>
      <c r="H217" s="122"/>
      <c r="J217" s="34"/>
    </row>
    <row r="218" spans="1:14" s="35" customFormat="1" x14ac:dyDescent="0.35">
      <c r="A218" s="120" t="s">
        <v>195</v>
      </c>
      <c r="B218" s="121"/>
      <c r="C218" s="121"/>
      <c r="D218" s="121"/>
      <c r="E218" s="121"/>
      <c r="F218" s="121"/>
      <c r="G218" s="121"/>
      <c r="H218" s="122"/>
      <c r="I218" s="48">
        <f>3.4*2.65+1.75*1.95+2.55*2.6+1*1.2+1.2*0.9+1*0.6</f>
        <v>21.932499999999997</v>
      </c>
      <c r="J218" s="34"/>
    </row>
    <row r="219" spans="1:14" s="35" customFormat="1" ht="15.65" customHeight="1" x14ac:dyDescent="0.35">
      <c r="A219" s="117">
        <v>1</v>
      </c>
      <c r="B219" s="118"/>
      <c r="C219" s="40" t="s">
        <v>191</v>
      </c>
      <c r="D219" s="48">
        <f>(21.93)*10.764</f>
        <v>236.05452</v>
      </c>
      <c r="E219" s="40">
        <v>0</v>
      </c>
      <c r="F219" s="40">
        <f>D219*(($F$191)+1)+(IF(E219&lt;101,E219,IF(E219&lt;201,E219/2,IF(E219&lt;=301,E219/3,E219/4))))</f>
        <v>342.27905399999997</v>
      </c>
      <c r="G219" s="108" t="str">
        <f>A218</f>
        <v>Ground Floor For Residential, Parking &amp; Meter Room</v>
      </c>
      <c r="H219" s="109"/>
      <c r="I219" s="48">
        <f>3.4*2.65+2*2.05+1.2*1+1.2*0.9+0.9*0.9</f>
        <v>16.2</v>
      </c>
      <c r="J219" s="34"/>
    </row>
    <row r="220" spans="1:14" s="35" customFormat="1" ht="15.65" customHeight="1" x14ac:dyDescent="0.35">
      <c r="A220" s="117">
        <f t="shared" ref="A220:A222" si="12">A219+1</f>
        <v>2</v>
      </c>
      <c r="B220" s="118"/>
      <c r="C220" s="40" t="s">
        <v>192</v>
      </c>
      <c r="D220" s="48">
        <f>(16.2)*10.764</f>
        <v>174.37679999999997</v>
      </c>
      <c r="E220" s="40">
        <v>0</v>
      </c>
      <c r="F220" s="40">
        <f>D220*(($F$191)+1)+(IF(E220&lt;101,E220,IF(E220&lt;201,E220/2,IF(E220&lt;=301,E220/3,E220/4))))</f>
        <v>252.84635999999995</v>
      </c>
      <c r="G220" s="110" t="str">
        <f t="shared" ref="G220:G222" si="13">G219</f>
        <v>Ground Floor For Residential, Parking &amp; Meter Room</v>
      </c>
      <c r="H220" s="111"/>
      <c r="I220" s="34"/>
      <c r="K220" s="48">
        <v>10.763999999999999</v>
      </c>
      <c r="L220" s="64"/>
      <c r="M220" s="64"/>
      <c r="N220" s="34"/>
    </row>
    <row r="221" spans="1:14" s="35" customFormat="1" ht="15.65" customHeight="1" x14ac:dyDescent="0.35">
      <c r="A221" s="117">
        <f t="shared" si="12"/>
        <v>3</v>
      </c>
      <c r="B221" s="118"/>
      <c r="C221" s="40" t="s">
        <v>191</v>
      </c>
      <c r="D221" s="48">
        <f>(21.93)*10.764</f>
        <v>236.05452</v>
      </c>
      <c r="E221" s="40">
        <v>0</v>
      </c>
      <c r="F221" s="40">
        <f>D221*(($F$191)+1)+(IF(E221&lt;101,E221,IF(E221&lt;201,E221/2,IF(E221&lt;=301,E221/3,E221/4))))</f>
        <v>342.27905399999997</v>
      </c>
      <c r="G221" s="110" t="str">
        <f t="shared" si="13"/>
        <v>Ground Floor For Residential, Parking &amp; Meter Room</v>
      </c>
      <c r="H221" s="111"/>
      <c r="I221" s="34"/>
      <c r="L221" s="64"/>
      <c r="M221" s="64"/>
      <c r="N221" s="34"/>
    </row>
    <row r="222" spans="1:14" s="35" customFormat="1" ht="15.65" customHeight="1" x14ac:dyDescent="0.35">
      <c r="A222" s="117">
        <f t="shared" si="12"/>
        <v>4</v>
      </c>
      <c r="B222" s="118"/>
      <c r="C222" s="40" t="s">
        <v>192</v>
      </c>
      <c r="D222" s="48">
        <f>(16.2)*10.764</f>
        <v>174.37679999999997</v>
      </c>
      <c r="E222" s="40">
        <v>0</v>
      </c>
      <c r="F222" s="40">
        <f>D222*(($F$191)+1)+(IF(E222&lt;101,E222,IF(E222&lt;201,E222/2,IF(E222&lt;=301,E222/3,E222/4))))</f>
        <v>252.84635999999995</v>
      </c>
      <c r="G222" s="112" t="str">
        <f t="shared" si="13"/>
        <v>Ground Floor For Residential, Parking &amp; Meter Room</v>
      </c>
      <c r="H222" s="113"/>
      <c r="I222" s="34"/>
      <c r="L222" s="64"/>
      <c r="M222" s="64"/>
      <c r="N222" s="34"/>
    </row>
    <row r="223" spans="1:14" s="33" customFormat="1" x14ac:dyDescent="0.35">
      <c r="A223" s="119" t="s">
        <v>193</v>
      </c>
      <c r="B223" s="119"/>
      <c r="C223" s="119"/>
      <c r="D223" s="119"/>
      <c r="E223" s="119"/>
      <c r="F223" s="119"/>
      <c r="G223" s="119"/>
      <c r="H223" s="119"/>
      <c r="I223" s="34"/>
      <c r="J223" s="34"/>
    </row>
    <row r="224" spans="1:14" s="33" customFormat="1" ht="15.65" customHeight="1" x14ac:dyDescent="0.35">
      <c r="A224" s="114">
        <v>1</v>
      </c>
      <c r="B224" s="114"/>
      <c r="C224" s="40" t="s">
        <v>191</v>
      </c>
      <c r="D224" s="48">
        <f>(21.93+1*1.95+0.45*2.2)*10.764</f>
        <v>267.70067999999998</v>
      </c>
      <c r="E224" s="40">
        <v>0</v>
      </c>
      <c r="F224" s="40">
        <f t="shared" ref="F224:F230" si="14">D224*(($F$191)+1)+(IF(E224&lt;101,E224,IF(E224&lt;201,E224/2,IF(E224&lt;=301,E224/3,E224/4))))</f>
        <v>388.16598599999998</v>
      </c>
      <c r="G224" s="114" t="str">
        <f>A223</f>
        <v>1st to 4th Floor For Residential</v>
      </c>
      <c r="H224" s="114"/>
      <c r="I224" s="34"/>
      <c r="J224" s="34"/>
    </row>
    <row r="225" spans="1:10" s="33" customFormat="1" ht="15.65" customHeight="1" x14ac:dyDescent="0.35">
      <c r="A225" s="114">
        <f t="shared" ref="A225:A230" si="15">A224+1</f>
        <v>2</v>
      </c>
      <c r="B225" s="114"/>
      <c r="C225" s="40" t="s">
        <v>192</v>
      </c>
      <c r="D225" s="48">
        <f>(16.2)*10.764</f>
        <v>174.37679999999997</v>
      </c>
      <c r="E225" s="40">
        <v>0</v>
      </c>
      <c r="F225" s="40">
        <f t="shared" si="14"/>
        <v>252.84635999999995</v>
      </c>
      <c r="G225" s="114"/>
      <c r="H225" s="114"/>
      <c r="I225" s="34"/>
      <c r="J225" s="35"/>
    </row>
    <row r="226" spans="1:10" s="33" customFormat="1" ht="15.65" customHeight="1" x14ac:dyDescent="0.35">
      <c r="A226" s="114">
        <f t="shared" si="15"/>
        <v>3</v>
      </c>
      <c r="B226" s="114"/>
      <c r="C226" s="40" t="s">
        <v>191</v>
      </c>
      <c r="D226" s="48">
        <f>(21.93+1*1.95)*10.764</f>
        <v>257.04431999999997</v>
      </c>
      <c r="E226" s="40">
        <v>0</v>
      </c>
      <c r="F226" s="40">
        <f t="shared" si="14"/>
        <v>372.71426399999996</v>
      </c>
      <c r="G226" s="114"/>
      <c r="H226" s="114"/>
      <c r="I226" s="34"/>
      <c r="J226" s="35"/>
    </row>
    <row r="227" spans="1:10" s="33" customFormat="1" ht="15.65" customHeight="1" x14ac:dyDescent="0.35">
      <c r="A227" s="114">
        <f t="shared" si="15"/>
        <v>4</v>
      </c>
      <c r="B227" s="114"/>
      <c r="C227" s="40" t="s">
        <v>191</v>
      </c>
      <c r="D227" s="48">
        <f>(22.45+1*(2.65+1.95)+0.45*2.2)*10.764</f>
        <v>301.82255999999995</v>
      </c>
      <c r="E227" s="40">
        <v>0</v>
      </c>
      <c r="F227" s="40">
        <f t="shared" si="14"/>
        <v>437.6427119999999</v>
      </c>
      <c r="G227" s="114"/>
      <c r="H227" s="114"/>
      <c r="I227" s="34"/>
      <c r="J227" s="35"/>
    </row>
    <row r="228" spans="1:10" s="33" customFormat="1" ht="15.65" customHeight="1" x14ac:dyDescent="0.35">
      <c r="A228" s="114">
        <f t="shared" si="15"/>
        <v>5</v>
      </c>
      <c r="B228" s="114"/>
      <c r="C228" s="40" t="s">
        <v>191</v>
      </c>
      <c r="D228" s="48">
        <f>(22.45+1*(2.65+1.95)+0.45*2.2)*10.764</f>
        <v>301.82255999999995</v>
      </c>
      <c r="E228" s="40">
        <v>0</v>
      </c>
      <c r="F228" s="40">
        <f t="shared" si="14"/>
        <v>437.6427119999999</v>
      </c>
      <c r="G228" s="114"/>
      <c r="H228" s="114"/>
      <c r="I228" s="34"/>
      <c r="J228" s="35"/>
    </row>
    <row r="229" spans="1:10" s="33" customFormat="1" ht="15.65" customHeight="1" x14ac:dyDescent="0.35">
      <c r="A229" s="114">
        <f t="shared" si="15"/>
        <v>6</v>
      </c>
      <c r="B229" s="114"/>
      <c r="C229" s="40" t="s">
        <v>192</v>
      </c>
      <c r="D229" s="48">
        <f>(16.2)*10.764</f>
        <v>174.37679999999997</v>
      </c>
      <c r="E229" s="40">
        <v>0</v>
      </c>
      <c r="F229" s="40">
        <f t="shared" si="14"/>
        <v>252.84635999999995</v>
      </c>
      <c r="G229" s="114"/>
      <c r="H229" s="114"/>
      <c r="I229" s="34"/>
      <c r="J229" s="35"/>
    </row>
    <row r="230" spans="1:10" s="33" customFormat="1" ht="15.65" customHeight="1" x14ac:dyDescent="0.35">
      <c r="A230" s="114">
        <f t="shared" si="15"/>
        <v>7</v>
      </c>
      <c r="B230" s="114"/>
      <c r="C230" s="40" t="s">
        <v>192</v>
      </c>
      <c r="D230" s="48">
        <f>(16.2)*10.764</f>
        <v>174.37679999999997</v>
      </c>
      <c r="E230" s="40">
        <v>0</v>
      </c>
      <c r="F230" s="40">
        <f t="shared" si="14"/>
        <v>252.84635999999995</v>
      </c>
      <c r="G230" s="114"/>
      <c r="H230" s="114"/>
      <c r="I230" s="34"/>
      <c r="J230" s="35"/>
    </row>
    <row r="231" spans="1:10" s="33" customFormat="1" x14ac:dyDescent="0.35">
      <c r="A231" s="119" t="s">
        <v>198</v>
      </c>
      <c r="B231" s="119"/>
      <c r="C231" s="119"/>
      <c r="D231" s="119"/>
      <c r="E231" s="119"/>
      <c r="F231" s="119"/>
      <c r="G231" s="119"/>
      <c r="H231" s="119"/>
      <c r="I231" s="34"/>
      <c r="J231" s="34"/>
    </row>
    <row r="232" spans="1:10" s="33" customFormat="1" x14ac:dyDescent="0.35">
      <c r="A232" s="119" t="s">
        <v>199</v>
      </c>
      <c r="B232" s="119"/>
      <c r="C232" s="119"/>
      <c r="D232" s="119"/>
      <c r="E232" s="119"/>
      <c r="F232" s="119"/>
      <c r="G232" s="119"/>
      <c r="H232" s="119"/>
      <c r="I232" s="34"/>
      <c r="J232" s="34"/>
    </row>
    <row r="233" spans="1:10" s="33" customFormat="1" x14ac:dyDescent="0.35">
      <c r="A233" s="119" t="s">
        <v>193</v>
      </c>
      <c r="B233" s="119"/>
      <c r="C233" s="119"/>
      <c r="D233" s="119"/>
      <c r="E233" s="119"/>
      <c r="F233" s="119"/>
      <c r="G233" s="119"/>
      <c r="H233" s="119"/>
      <c r="I233" s="34"/>
      <c r="J233" s="34"/>
    </row>
    <row r="234" spans="1:10" ht="15.65" customHeight="1" x14ac:dyDescent="0.35">
      <c r="A234" s="117">
        <v>1</v>
      </c>
      <c r="B234" s="118"/>
      <c r="C234" s="40" t="s">
        <v>191</v>
      </c>
      <c r="D234" s="48">
        <f>(22.45+1*(2.65+1.95)+0.45*2.2)*10.764</f>
        <v>301.82255999999995</v>
      </c>
      <c r="E234" s="40">
        <v>0</v>
      </c>
      <c r="F234" s="40">
        <f>D234*(($F$191)+1)+(IF(E234&lt;101,E234,IF(E234&lt;201,E234/2,IF(E234&lt;=301,E234/3,E234/4))))</f>
        <v>437.6427119999999</v>
      </c>
      <c r="G234" s="108" t="str">
        <f>A233</f>
        <v>1st to 4th Floor For Residential</v>
      </c>
      <c r="H234" s="109"/>
      <c r="I234" s="34"/>
      <c r="J234" s="34"/>
    </row>
    <row r="235" spans="1:10" ht="15.65" customHeight="1" x14ac:dyDescent="0.35">
      <c r="A235" s="117">
        <v>2</v>
      </c>
      <c r="B235" s="118"/>
      <c r="C235" s="40" t="s">
        <v>192</v>
      </c>
      <c r="D235" s="48">
        <f>(16.2)*10.764</f>
        <v>174.37679999999997</v>
      </c>
      <c r="E235" s="40">
        <v>0</v>
      </c>
      <c r="F235" s="40">
        <f>D235*(($F$191)+1)+(IF(E235&lt;101,E235,IF(E235&lt;201,E235/2,IF(E235&lt;=301,E235/3,E235/4))))</f>
        <v>252.84635999999995</v>
      </c>
      <c r="G235" s="110"/>
      <c r="H235" s="111"/>
      <c r="I235" s="34"/>
      <c r="J235" s="35"/>
    </row>
    <row r="236" spans="1:10" ht="15.75" customHeight="1" x14ac:dyDescent="0.35">
      <c r="A236" s="117">
        <v>3</v>
      </c>
      <c r="B236" s="118"/>
      <c r="C236" s="40" t="s">
        <v>192</v>
      </c>
      <c r="D236" s="48">
        <f>(16.2)*10.764</f>
        <v>174.37679999999997</v>
      </c>
      <c r="E236" s="40">
        <v>0</v>
      </c>
      <c r="F236" s="40">
        <f>D236*(($F$191)+1)+(IF(E236&lt;101,E236,IF(E236&lt;201,E236/2,IF(E236&lt;=301,E236/3,E236/4))))</f>
        <v>252.84635999999995</v>
      </c>
      <c r="G236" s="112"/>
      <c r="H236" s="113"/>
      <c r="I236" s="34"/>
      <c r="J236" s="35"/>
    </row>
    <row r="237" spans="1:10" x14ac:dyDescent="0.35">
      <c r="A237" s="153" t="s">
        <v>69</v>
      </c>
      <c r="B237" s="153"/>
      <c r="C237" s="153"/>
      <c r="D237" s="153"/>
      <c r="E237" s="153"/>
      <c r="F237" s="153"/>
      <c r="G237" s="153"/>
      <c r="H237" s="153"/>
      <c r="I237" s="33"/>
      <c r="J237" s="33"/>
    </row>
    <row r="238" spans="1:10" x14ac:dyDescent="0.35">
      <c r="A238" s="43">
        <v>1</v>
      </c>
      <c r="B238" s="142" t="s">
        <v>228</v>
      </c>
      <c r="C238" s="143"/>
      <c r="D238" s="143"/>
      <c r="E238" s="143"/>
      <c r="F238" s="143"/>
      <c r="G238" s="143"/>
      <c r="H238" s="144"/>
      <c r="I238" s="33"/>
      <c r="J238" s="33"/>
    </row>
    <row r="239" spans="1:10" x14ac:dyDescent="0.35">
      <c r="A239" s="43">
        <f>A238+1</f>
        <v>2</v>
      </c>
      <c r="B239" s="145" t="str">
        <f>(IF(F190="Saleable area Loading :","We have considered Saleable area of Flats as per our Calculation.","We considered Saleable area of Flat as per Builder area Sheet."))</f>
        <v>We have considered Saleable area of Flats as per our Calculation.</v>
      </c>
      <c r="C239" s="146"/>
      <c r="D239" s="146"/>
      <c r="E239" s="146"/>
      <c r="F239" s="146"/>
      <c r="G239" s="146"/>
      <c r="H239" s="147"/>
      <c r="I239" s="33"/>
      <c r="J239" s="33"/>
    </row>
    <row r="240" spans="1:10" x14ac:dyDescent="0.35">
      <c r="A240" s="43">
        <f t="shared" ref="A240:A249" si="16">A239+1</f>
        <v>3</v>
      </c>
      <c r="B240" s="145" t="str">
        <f>(IF(F161="Saleable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40" s="146"/>
      <c r="D240" s="146"/>
      <c r="E240" s="146"/>
      <c r="F240" s="146"/>
      <c r="G240" s="146"/>
      <c r="H240" s="147"/>
      <c r="I240" s="33"/>
      <c r="J240" s="33"/>
    </row>
    <row r="241" spans="1:10" x14ac:dyDescent="0.35">
      <c r="A241" s="43">
        <f t="shared" si="16"/>
        <v>4</v>
      </c>
      <c r="B241" s="148" t="s">
        <v>122</v>
      </c>
      <c r="C241" s="149"/>
      <c r="D241" s="149"/>
      <c r="E241" s="149"/>
      <c r="F241" s="149"/>
      <c r="G241" s="149"/>
      <c r="H241" s="150"/>
      <c r="I241" s="33"/>
      <c r="J241" s="33"/>
    </row>
    <row r="242" spans="1:10" x14ac:dyDescent="0.35">
      <c r="A242" s="43">
        <f t="shared" si="16"/>
        <v>5</v>
      </c>
      <c r="B242" s="148" t="s">
        <v>200</v>
      </c>
      <c r="C242" s="149"/>
      <c r="D242" s="149"/>
      <c r="E242" s="149"/>
      <c r="F242" s="149"/>
      <c r="G242" s="149"/>
      <c r="H242" s="150"/>
      <c r="I242" s="33"/>
      <c r="J242" s="33"/>
    </row>
    <row r="243" spans="1:10" x14ac:dyDescent="0.35">
      <c r="A243" s="43">
        <f t="shared" si="16"/>
        <v>6</v>
      </c>
      <c r="B243" s="148" t="s">
        <v>151</v>
      </c>
      <c r="C243" s="149"/>
      <c r="D243" s="149"/>
      <c r="E243" s="149"/>
      <c r="F243" s="149"/>
      <c r="G243" s="149"/>
      <c r="H243" s="150"/>
      <c r="I243" s="33"/>
      <c r="J243" s="33"/>
    </row>
    <row r="244" spans="1:10" x14ac:dyDescent="0.35">
      <c r="A244" s="43">
        <f t="shared" si="16"/>
        <v>7</v>
      </c>
      <c r="B244" s="148" t="s">
        <v>123</v>
      </c>
      <c r="C244" s="149"/>
      <c r="D244" s="149"/>
      <c r="E244" s="149"/>
      <c r="F244" s="149"/>
      <c r="G244" s="149"/>
      <c r="H244" s="150"/>
      <c r="I244" s="33"/>
      <c r="J244" s="33"/>
    </row>
    <row r="245" spans="1:10" x14ac:dyDescent="0.35">
      <c r="A245" s="43">
        <f t="shared" si="16"/>
        <v>8</v>
      </c>
      <c r="B245" s="148" t="s">
        <v>152</v>
      </c>
      <c r="C245" s="149"/>
      <c r="D245" s="149"/>
      <c r="E245" s="149"/>
      <c r="F245" s="149"/>
      <c r="G245" s="149"/>
      <c r="H245" s="150"/>
      <c r="I245" s="33"/>
      <c r="J245" s="33"/>
    </row>
    <row r="246" spans="1:10" x14ac:dyDescent="0.35">
      <c r="A246" s="43">
        <f t="shared" si="16"/>
        <v>9</v>
      </c>
      <c r="B246" s="148" t="s">
        <v>124</v>
      </c>
      <c r="C246" s="149"/>
      <c r="D246" s="149"/>
      <c r="E246" s="149"/>
      <c r="F246" s="149"/>
      <c r="G246" s="149"/>
      <c r="H246" s="150"/>
      <c r="I246" s="33"/>
      <c r="J246" s="33"/>
    </row>
    <row r="247" spans="1:10" x14ac:dyDescent="0.35">
      <c r="A247" s="43">
        <f t="shared" si="16"/>
        <v>10</v>
      </c>
      <c r="B247" s="148" t="s">
        <v>214</v>
      </c>
      <c r="C247" s="149"/>
      <c r="D247" s="149"/>
      <c r="E247" s="149"/>
      <c r="F247" s="149"/>
      <c r="G247" s="149"/>
      <c r="H247" s="150"/>
      <c r="I247" s="33"/>
      <c r="J247" s="33"/>
    </row>
    <row r="248" spans="1:10" ht="32.5" customHeight="1" x14ac:dyDescent="0.35">
      <c r="A248" s="43">
        <f t="shared" si="16"/>
        <v>11</v>
      </c>
      <c r="B248" s="148" t="s">
        <v>231</v>
      </c>
      <c r="C248" s="149"/>
      <c r="D248" s="149"/>
      <c r="E248" s="149"/>
      <c r="F248" s="149"/>
      <c r="G248" s="149"/>
      <c r="H248" s="150"/>
      <c r="I248" s="33"/>
      <c r="J248" s="33"/>
    </row>
    <row r="249" spans="1:10" ht="48.75" customHeight="1" x14ac:dyDescent="0.35">
      <c r="A249" s="43">
        <f t="shared" si="16"/>
        <v>12</v>
      </c>
      <c r="B249" s="148" t="s">
        <v>236</v>
      </c>
      <c r="C249" s="149"/>
      <c r="D249" s="149"/>
      <c r="E249" s="149"/>
      <c r="F249" s="149"/>
      <c r="G249" s="149"/>
      <c r="H249" s="150"/>
      <c r="I249" s="33"/>
      <c r="J249" s="33"/>
    </row>
    <row r="250" spans="1:10" x14ac:dyDescent="0.35">
      <c r="A250" s="128" t="s">
        <v>62</v>
      </c>
      <c r="B250" s="128"/>
      <c r="C250" s="128"/>
      <c r="D250" s="128"/>
      <c r="E250" s="128"/>
      <c r="F250" s="128"/>
      <c r="G250" s="128"/>
      <c r="H250" s="128"/>
      <c r="I250" s="50"/>
    </row>
    <row r="251" spans="1:10" ht="15" customHeight="1" x14ac:dyDescent="0.35">
      <c r="A251" s="89" t="s">
        <v>63</v>
      </c>
      <c r="B251" s="89"/>
      <c r="C251" s="89"/>
      <c r="D251" s="89"/>
      <c r="E251" s="89"/>
      <c r="F251" s="89"/>
      <c r="G251" s="89"/>
      <c r="H251" s="89"/>
    </row>
    <row r="252" spans="1:10" x14ac:dyDescent="0.35">
      <c r="A252" s="151" t="s">
        <v>64</v>
      </c>
      <c r="B252" s="151"/>
      <c r="C252" s="151"/>
      <c r="D252" s="151"/>
      <c r="E252" s="151"/>
      <c r="F252" s="151"/>
      <c r="G252" s="151"/>
      <c r="H252" s="151"/>
    </row>
    <row r="253" spans="1:10" x14ac:dyDescent="0.35">
      <c r="A253" s="89" t="s">
        <v>65</v>
      </c>
      <c r="B253" s="89"/>
      <c r="C253" s="89"/>
      <c r="D253" s="89"/>
      <c r="E253" s="89"/>
      <c r="F253" s="89"/>
      <c r="G253" s="89"/>
      <c r="H253" s="89"/>
    </row>
    <row r="254" spans="1:10" x14ac:dyDescent="0.35">
      <c r="A254" s="89" t="s">
        <v>66</v>
      </c>
      <c r="B254" s="89"/>
      <c r="C254" s="89"/>
      <c r="D254" s="89"/>
      <c r="E254" s="89"/>
      <c r="F254" s="89"/>
      <c r="G254" s="89"/>
      <c r="H254" s="89"/>
    </row>
    <row r="255" spans="1:10" x14ac:dyDescent="0.35">
      <c r="A255" s="89" t="s">
        <v>125</v>
      </c>
      <c r="B255" s="89"/>
      <c r="C255" s="89"/>
      <c r="D255" s="89"/>
      <c r="E255" s="89"/>
      <c r="F255" s="89"/>
      <c r="G255" s="89"/>
      <c r="H255" s="89"/>
    </row>
    <row r="256" spans="1:10" x14ac:dyDescent="0.35">
      <c r="A256" s="93" t="s">
        <v>126</v>
      </c>
      <c r="B256" s="93"/>
      <c r="C256" s="93"/>
      <c r="D256" s="93"/>
      <c r="E256" s="93"/>
      <c r="F256" s="93"/>
      <c r="G256" s="93"/>
      <c r="H256" s="93"/>
    </row>
    <row r="257" spans="1:8" x14ac:dyDescent="0.35">
      <c r="A257" s="141" t="s">
        <v>79</v>
      </c>
      <c r="B257" s="141"/>
      <c r="C257" s="141" t="s">
        <v>226</v>
      </c>
      <c r="D257" s="141"/>
      <c r="E257" s="141" t="s">
        <v>104</v>
      </c>
      <c r="F257" s="141"/>
      <c r="G257" s="141" t="s">
        <v>225</v>
      </c>
      <c r="H257" s="141"/>
    </row>
    <row r="258" spans="1:8" x14ac:dyDescent="0.35">
      <c r="A258" s="140" t="s">
        <v>81</v>
      </c>
      <c r="B258" s="140"/>
      <c r="C258" s="140"/>
      <c r="D258" s="140"/>
      <c r="E258" s="140"/>
      <c r="F258" s="140"/>
      <c r="G258" s="140"/>
      <c r="H258" s="140"/>
    </row>
    <row r="259" spans="1:8" x14ac:dyDescent="0.35">
      <c r="A259" s="140"/>
      <c r="B259" s="140"/>
      <c r="C259" s="140"/>
      <c r="D259" s="140"/>
      <c r="E259" s="140"/>
      <c r="F259" s="140"/>
      <c r="G259" s="140"/>
      <c r="H259" s="140"/>
    </row>
    <row r="260" spans="1:8" x14ac:dyDescent="0.35">
      <c r="A260" s="140"/>
      <c r="B260" s="140"/>
      <c r="C260" s="140"/>
      <c r="D260" s="140"/>
      <c r="E260" s="140"/>
      <c r="F260" s="140"/>
      <c r="G260" s="140"/>
      <c r="H260" s="140"/>
    </row>
    <row r="261" spans="1:8" x14ac:dyDescent="0.35">
      <c r="A261" s="140"/>
      <c r="B261" s="140"/>
      <c r="C261" s="140"/>
      <c r="D261" s="140"/>
      <c r="E261" s="140"/>
      <c r="F261" s="140"/>
      <c r="G261" s="140"/>
      <c r="H261" s="140"/>
    </row>
    <row r="262" spans="1:8" x14ac:dyDescent="0.35">
      <c r="A262" s="36" t="s">
        <v>67</v>
      </c>
      <c r="B262" s="37"/>
      <c r="C262" s="37"/>
      <c r="D262" s="36" t="str">
        <f>E8</f>
        <v>Dhruv Residency Platinum</v>
      </c>
      <c r="F262" s="37"/>
      <c r="G262" s="37"/>
      <c r="H262" s="37"/>
    </row>
    <row r="263" spans="1:8" x14ac:dyDescent="0.35">
      <c r="A263" s="37"/>
      <c r="B263" s="37"/>
      <c r="C263" s="37"/>
      <c r="D263" s="37"/>
      <c r="E263" s="37"/>
      <c r="F263" s="37"/>
      <c r="G263" s="37"/>
      <c r="H263" s="37"/>
    </row>
    <row r="264" spans="1:8" x14ac:dyDescent="0.35">
      <c r="A264" s="37"/>
      <c r="B264" s="37"/>
      <c r="C264" s="37"/>
      <c r="D264" s="37"/>
      <c r="E264" s="37"/>
      <c r="F264" s="37"/>
      <c r="G264" s="37"/>
      <c r="H264" s="37"/>
    </row>
    <row r="305" spans="1:8" x14ac:dyDescent="0.35">
      <c r="A305" s="36" t="s">
        <v>67</v>
      </c>
      <c r="B305" s="37"/>
      <c r="C305" s="37"/>
      <c r="D305" s="36" t="str">
        <f>E8</f>
        <v>Dhruv Residency Platinum</v>
      </c>
      <c r="F305" s="37"/>
      <c r="G305" s="37"/>
      <c r="H305" s="37"/>
    </row>
    <row r="306" spans="1:8" x14ac:dyDescent="0.35">
      <c r="A306" s="37"/>
      <c r="B306" s="37"/>
      <c r="C306" s="37"/>
      <c r="D306" s="37"/>
      <c r="E306" s="37"/>
      <c r="F306" s="37"/>
      <c r="G306" s="37"/>
      <c r="H306" s="37"/>
    </row>
    <row r="307" spans="1:8" x14ac:dyDescent="0.35">
      <c r="A307" s="37"/>
      <c r="B307" s="37"/>
      <c r="C307" s="37"/>
      <c r="D307" s="37"/>
      <c r="E307" s="37"/>
      <c r="F307" s="37"/>
      <c r="G307" s="37"/>
      <c r="H307" s="37"/>
    </row>
    <row r="348" spans="1:1" x14ac:dyDescent="0.35">
      <c r="A348" s="39" t="s">
        <v>166</v>
      </c>
    </row>
    <row r="391" spans="1:1" x14ac:dyDescent="0.35">
      <c r="A391" s="39" t="s">
        <v>230</v>
      </c>
    </row>
    <row r="433" spans="1:1" x14ac:dyDescent="0.35">
      <c r="A433" s="39" t="s">
        <v>68</v>
      </c>
    </row>
  </sheetData>
  <mergeCells count="470">
    <mergeCell ref="L193:M193"/>
    <mergeCell ref="A218:H218"/>
    <mergeCell ref="A219:B219"/>
    <mergeCell ref="A229:B229"/>
    <mergeCell ref="A230:B230"/>
    <mergeCell ref="A228:B228"/>
    <mergeCell ref="A227:B227"/>
    <mergeCell ref="L205:M205"/>
    <mergeCell ref="L163:M163"/>
    <mergeCell ref="L157:M157"/>
    <mergeCell ref="L158:M158"/>
    <mergeCell ref="L159:M159"/>
    <mergeCell ref="E161:E162"/>
    <mergeCell ref="G161:H162"/>
    <mergeCell ref="A159:H159"/>
    <mergeCell ref="B161:B162"/>
    <mergeCell ref="B249:H249"/>
    <mergeCell ref="A176:H176"/>
    <mergeCell ref="L176:M176"/>
    <mergeCell ref="L160:M160"/>
    <mergeCell ref="A164:H164"/>
    <mergeCell ref="A175:H175"/>
    <mergeCell ref="L169:M169"/>
    <mergeCell ref="L164:M164"/>
    <mergeCell ref="L165:M165"/>
    <mergeCell ref="A165:H165"/>
    <mergeCell ref="A170:B170"/>
    <mergeCell ref="A174:B174"/>
    <mergeCell ref="A185:B185"/>
    <mergeCell ref="A206:B206"/>
    <mergeCell ref="L182:M182"/>
    <mergeCell ref="L191:M191"/>
    <mergeCell ref="A152:B152"/>
    <mergeCell ref="D190:D191"/>
    <mergeCell ref="A119:B119"/>
    <mergeCell ref="A120:B120"/>
    <mergeCell ref="A121:B121"/>
    <mergeCell ref="A122:B122"/>
    <mergeCell ref="A123:B123"/>
    <mergeCell ref="G158:H158"/>
    <mergeCell ref="C149:D149"/>
    <mergeCell ref="C147:D147"/>
    <mergeCell ref="C158:D158"/>
    <mergeCell ref="F142:H142"/>
    <mergeCell ref="C152:D152"/>
    <mergeCell ref="G152:H152"/>
    <mergeCell ref="E152:F152"/>
    <mergeCell ref="G153:H153"/>
    <mergeCell ref="A154:B154"/>
    <mergeCell ref="C154:D154"/>
    <mergeCell ref="G154:H154"/>
    <mergeCell ref="A156:B156"/>
    <mergeCell ref="C156:D156"/>
    <mergeCell ref="E156:F156"/>
    <mergeCell ref="G156:H156"/>
    <mergeCell ref="A157:B157"/>
    <mergeCell ref="A113:B113"/>
    <mergeCell ref="E113:F113"/>
    <mergeCell ref="G113:H113"/>
    <mergeCell ref="A107:B107"/>
    <mergeCell ref="A108:B108"/>
    <mergeCell ref="A220:B220"/>
    <mergeCell ref="L206:M206"/>
    <mergeCell ref="A205:B205"/>
    <mergeCell ref="L195:M195"/>
    <mergeCell ref="L192:M192"/>
    <mergeCell ref="F140:H140"/>
    <mergeCell ref="A140:E140"/>
    <mergeCell ref="D161:D162"/>
    <mergeCell ref="A142:E142"/>
    <mergeCell ref="A166:B166"/>
    <mergeCell ref="A167:B167"/>
    <mergeCell ref="A168:B168"/>
    <mergeCell ref="A169:B169"/>
    <mergeCell ref="A143:E143"/>
    <mergeCell ref="A153:B153"/>
    <mergeCell ref="C153:D153"/>
    <mergeCell ref="E153:F153"/>
    <mergeCell ref="L155:M155"/>
    <mergeCell ref="L156:M156"/>
    <mergeCell ref="A139:E139"/>
    <mergeCell ref="A96:B96"/>
    <mergeCell ref="C96:H96"/>
    <mergeCell ref="A84:B84"/>
    <mergeCell ref="A101:B101"/>
    <mergeCell ref="A86:B86"/>
    <mergeCell ref="L154:M154"/>
    <mergeCell ref="L153:M153"/>
    <mergeCell ref="L152:M152"/>
    <mergeCell ref="E86:F95"/>
    <mergeCell ref="A93:B93"/>
    <mergeCell ref="A94:B94"/>
    <mergeCell ref="A95:B95"/>
    <mergeCell ref="A100:B100"/>
    <mergeCell ref="E100:F109"/>
    <mergeCell ref="F138:H138"/>
    <mergeCell ref="F143:H143"/>
    <mergeCell ref="F141:H141"/>
    <mergeCell ref="A103:B103"/>
    <mergeCell ref="A104:B104"/>
    <mergeCell ref="A110:B110"/>
    <mergeCell ref="C110:H110"/>
    <mergeCell ref="A112:B112"/>
    <mergeCell ref="C112:H112"/>
    <mergeCell ref="A102:B102"/>
    <mergeCell ref="G86:H95"/>
    <mergeCell ref="A87:B87"/>
    <mergeCell ref="A88:B88"/>
    <mergeCell ref="A89:B89"/>
    <mergeCell ref="A65:C65"/>
    <mergeCell ref="A118:B118"/>
    <mergeCell ref="A141:E141"/>
    <mergeCell ref="A138:E138"/>
    <mergeCell ref="A134:B134"/>
    <mergeCell ref="A135:B135"/>
    <mergeCell ref="C84:H84"/>
    <mergeCell ref="A85:B85"/>
    <mergeCell ref="E85:F85"/>
    <mergeCell ref="G85:H85"/>
    <mergeCell ref="A99:B99"/>
    <mergeCell ref="E99:F99"/>
    <mergeCell ref="G100:H109"/>
    <mergeCell ref="A114:B114"/>
    <mergeCell ref="E114:F123"/>
    <mergeCell ref="G114:H123"/>
    <mergeCell ref="A115:B115"/>
    <mergeCell ref="A116:B116"/>
    <mergeCell ref="A117:B117"/>
    <mergeCell ref="G49:H49"/>
    <mergeCell ref="A50:B51"/>
    <mergeCell ref="G48:H48"/>
    <mergeCell ref="G50:H50"/>
    <mergeCell ref="D54:H54"/>
    <mergeCell ref="F32:H32"/>
    <mergeCell ref="F33:H33"/>
    <mergeCell ref="A39:H39"/>
    <mergeCell ref="E154:F154"/>
    <mergeCell ref="A42:D42"/>
    <mergeCell ref="E42:H42"/>
    <mergeCell ref="E43:H43"/>
    <mergeCell ref="E44:H44"/>
    <mergeCell ref="E45:H45"/>
    <mergeCell ref="A43:D43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C48:E48"/>
    <mergeCell ref="A36:H36"/>
    <mergeCell ref="A35:B35"/>
    <mergeCell ref="C35:E35"/>
    <mergeCell ref="A40:D40"/>
    <mergeCell ref="E40:H40"/>
    <mergeCell ref="A38:B38"/>
    <mergeCell ref="C38:H38"/>
    <mergeCell ref="A47:B47"/>
    <mergeCell ref="C47:H47"/>
    <mergeCell ref="F35:H35"/>
    <mergeCell ref="A37:B37"/>
    <mergeCell ref="A44:D44"/>
    <mergeCell ref="A45:D45"/>
    <mergeCell ref="A46:H46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B243:H243"/>
    <mergeCell ref="A236:B236"/>
    <mergeCell ref="A235:B235"/>
    <mergeCell ref="A181:B181"/>
    <mergeCell ref="A232:H232"/>
    <mergeCell ref="A180:B180"/>
    <mergeCell ref="A189:H189"/>
    <mergeCell ref="A190:A191"/>
    <mergeCell ref="A184:B184"/>
    <mergeCell ref="A222:B222"/>
    <mergeCell ref="A208:B208"/>
    <mergeCell ref="A196:B196"/>
    <mergeCell ref="A198:B198"/>
    <mergeCell ref="G213:H216"/>
    <mergeCell ref="A182:B182"/>
    <mergeCell ref="B241:H241"/>
    <mergeCell ref="B242:H242"/>
    <mergeCell ref="A237:H237"/>
    <mergeCell ref="E158:F158"/>
    <mergeCell ref="C155:D155"/>
    <mergeCell ref="E155:F155"/>
    <mergeCell ref="G155:H155"/>
    <mergeCell ref="A178:B178"/>
    <mergeCell ref="A192:H192"/>
    <mergeCell ref="A179:B179"/>
    <mergeCell ref="A158:B158"/>
    <mergeCell ref="C157:D157"/>
    <mergeCell ref="E157:F157"/>
    <mergeCell ref="G157:H157"/>
    <mergeCell ref="A258:H261"/>
    <mergeCell ref="A257:B257"/>
    <mergeCell ref="E257:F257"/>
    <mergeCell ref="C257:D257"/>
    <mergeCell ref="G257:H257"/>
    <mergeCell ref="A256:H256"/>
    <mergeCell ref="A254:H254"/>
    <mergeCell ref="A231:H231"/>
    <mergeCell ref="A233:H233"/>
    <mergeCell ref="A234:B234"/>
    <mergeCell ref="B238:H238"/>
    <mergeCell ref="B239:H239"/>
    <mergeCell ref="B247:H247"/>
    <mergeCell ref="B240:H240"/>
    <mergeCell ref="B245:H245"/>
    <mergeCell ref="G234:H236"/>
    <mergeCell ref="B248:H248"/>
    <mergeCell ref="A253:H253"/>
    <mergeCell ref="A250:H250"/>
    <mergeCell ref="A251:H251"/>
    <mergeCell ref="B246:H246"/>
    <mergeCell ref="A255:H255"/>
    <mergeCell ref="A252:H252"/>
    <mergeCell ref="B244:H244"/>
    <mergeCell ref="C51:H51"/>
    <mergeCell ref="A161:A162"/>
    <mergeCell ref="C190:C191"/>
    <mergeCell ref="A193:H193"/>
    <mergeCell ref="A171:B171"/>
    <mergeCell ref="A172:B172"/>
    <mergeCell ref="A173:B173"/>
    <mergeCell ref="A177:H177"/>
    <mergeCell ref="C161:C162"/>
    <mergeCell ref="B190:B191"/>
    <mergeCell ref="A186:B186"/>
    <mergeCell ref="A163:H163"/>
    <mergeCell ref="A146:H146"/>
    <mergeCell ref="A144:E144"/>
    <mergeCell ref="F144:H144"/>
    <mergeCell ref="A145:E145"/>
    <mergeCell ref="F145:H145"/>
    <mergeCell ref="A155:B155"/>
    <mergeCell ref="A148:B148"/>
    <mergeCell ref="A151:H151"/>
    <mergeCell ref="A61:C61"/>
    <mergeCell ref="A57:C60"/>
    <mergeCell ref="A160:H160"/>
    <mergeCell ref="D57:H57"/>
    <mergeCell ref="A106:B106"/>
    <mergeCell ref="F139:H139"/>
    <mergeCell ref="G148:H148"/>
    <mergeCell ref="A109:B109"/>
    <mergeCell ref="G150:H150"/>
    <mergeCell ref="C148:D148"/>
    <mergeCell ref="E148:F148"/>
    <mergeCell ref="D55:H55"/>
    <mergeCell ref="G52:H52"/>
    <mergeCell ref="D58:H58"/>
    <mergeCell ref="D56:H56"/>
    <mergeCell ref="A56:C56"/>
    <mergeCell ref="C70:H70"/>
    <mergeCell ref="A73:B73"/>
    <mergeCell ref="A75:B75"/>
    <mergeCell ref="E71:F71"/>
    <mergeCell ref="A64:C64"/>
    <mergeCell ref="G99:H99"/>
    <mergeCell ref="A98:B98"/>
    <mergeCell ref="C98:H98"/>
    <mergeCell ref="A79:B79"/>
    <mergeCell ref="D66:H66"/>
    <mergeCell ref="A72:B72"/>
    <mergeCell ref="G71:H71"/>
    <mergeCell ref="A213:B213"/>
    <mergeCell ref="A195:B195"/>
    <mergeCell ref="A194:B194"/>
    <mergeCell ref="A201:H201"/>
    <mergeCell ref="A202:H202"/>
    <mergeCell ref="A203:B203"/>
    <mergeCell ref="A204:B204"/>
    <mergeCell ref="A197:H197"/>
    <mergeCell ref="E190:E191"/>
    <mergeCell ref="G190:H191"/>
    <mergeCell ref="L196:M196"/>
    <mergeCell ref="A211:H211"/>
    <mergeCell ref="A212:H212"/>
    <mergeCell ref="L199:M199"/>
    <mergeCell ref="A215:B215"/>
    <mergeCell ref="L201:M201"/>
    <mergeCell ref="G194:H196"/>
    <mergeCell ref="G198:H200"/>
    <mergeCell ref="A16:B16"/>
    <mergeCell ref="C16:H16"/>
    <mergeCell ref="E41:H41"/>
    <mergeCell ref="A41:D41"/>
    <mergeCell ref="A82:B82"/>
    <mergeCell ref="C82:H82"/>
    <mergeCell ref="A77:B77"/>
    <mergeCell ref="A48:B48"/>
    <mergeCell ref="D59:H59"/>
    <mergeCell ref="C49:E49"/>
    <mergeCell ref="A52:B52"/>
    <mergeCell ref="C52:E52"/>
    <mergeCell ref="A49:B49"/>
    <mergeCell ref="A53:H53"/>
    <mergeCell ref="A54:C54"/>
    <mergeCell ref="A55:C55"/>
    <mergeCell ref="A226:B226"/>
    <mergeCell ref="L212:M212"/>
    <mergeCell ref="L208:M208"/>
    <mergeCell ref="L213:M213"/>
    <mergeCell ref="A216:B216"/>
    <mergeCell ref="L202:M202"/>
    <mergeCell ref="A223:H223"/>
    <mergeCell ref="A224:B224"/>
    <mergeCell ref="L210:M210"/>
    <mergeCell ref="L207:M207"/>
    <mergeCell ref="A217:H217"/>
    <mergeCell ref="A209:B209"/>
    <mergeCell ref="G203:H210"/>
    <mergeCell ref="G224:H230"/>
    <mergeCell ref="G219:H222"/>
    <mergeCell ref="L220:M220"/>
    <mergeCell ref="L214:M214"/>
    <mergeCell ref="L215:M215"/>
    <mergeCell ref="L216:M216"/>
    <mergeCell ref="L222:M222"/>
    <mergeCell ref="L221:M221"/>
    <mergeCell ref="A221:B221"/>
    <mergeCell ref="A210:B210"/>
    <mergeCell ref="A207:B207"/>
    <mergeCell ref="N145:P145"/>
    <mergeCell ref="G178:H188"/>
    <mergeCell ref="G166:H174"/>
    <mergeCell ref="A225:B225"/>
    <mergeCell ref="L211:M211"/>
    <mergeCell ref="A136:B136"/>
    <mergeCell ref="A137:B137"/>
    <mergeCell ref="A199:B199"/>
    <mergeCell ref="A200:B200"/>
    <mergeCell ref="L186:M186"/>
    <mergeCell ref="L194:M194"/>
    <mergeCell ref="L189:M189"/>
    <mergeCell ref="L190:M190"/>
    <mergeCell ref="A187:B187"/>
    <mergeCell ref="A188:B188"/>
    <mergeCell ref="L167:M167"/>
    <mergeCell ref="A183:B183"/>
    <mergeCell ref="A214:B214"/>
    <mergeCell ref="L200:M200"/>
    <mergeCell ref="L173:M173"/>
    <mergeCell ref="L183:M183"/>
    <mergeCell ref="L184:M184"/>
    <mergeCell ref="L174:M174"/>
    <mergeCell ref="L175:M175"/>
    <mergeCell ref="A62:C62"/>
    <mergeCell ref="D61:H61"/>
    <mergeCell ref="E147:F147"/>
    <mergeCell ref="A147:B147"/>
    <mergeCell ref="A149:B149"/>
    <mergeCell ref="E149:F149"/>
    <mergeCell ref="G149:H149"/>
    <mergeCell ref="A150:B150"/>
    <mergeCell ref="C150:D150"/>
    <mergeCell ref="G147:H147"/>
    <mergeCell ref="E72:F81"/>
    <mergeCell ref="G72:H81"/>
    <mergeCell ref="A80:B80"/>
    <mergeCell ref="A81:B81"/>
    <mergeCell ref="D62:H62"/>
    <mergeCell ref="D65:H65"/>
    <mergeCell ref="A66:C66"/>
    <mergeCell ref="D64:H64"/>
    <mergeCell ref="A67:C67"/>
    <mergeCell ref="D67:H67"/>
    <mergeCell ref="A105:B105"/>
    <mergeCell ref="A90:B90"/>
    <mergeCell ref="A91:B91"/>
    <mergeCell ref="A92:B92"/>
    <mergeCell ref="L168:M168"/>
    <mergeCell ref="L170:M170"/>
    <mergeCell ref="C37:H37"/>
    <mergeCell ref="C50:E50"/>
    <mergeCell ref="L166:M166"/>
    <mergeCell ref="I9:L9"/>
    <mergeCell ref="A124:B124"/>
    <mergeCell ref="C124:H124"/>
    <mergeCell ref="A126:B126"/>
    <mergeCell ref="C126:H126"/>
    <mergeCell ref="A127:B127"/>
    <mergeCell ref="E127:F127"/>
    <mergeCell ref="G127:H127"/>
    <mergeCell ref="A128:B128"/>
    <mergeCell ref="E128:F137"/>
    <mergeCell ref="G128:H137"/>
    <mergeCell ref="A129:B129"/>
    <mergeCell ref="A130:B130"/>
    <mergeCell ref="A131:B131"/>
    <mergeCell ref="A132:B132"/>
    <mergeCell ref="A133:B133"/>
    <mergeCell ref="I145:M145"/>
    <mergeCell ref="D60:H60"/>
    <mergeCell ref="E150:F150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7" manualBreakCount="7">
    <brk id="67" max="16383" man="1"/>
    <brk id="145" max="16383" man="1"/>
    <brk id="261" max="7" man="1"/>
    <brk id="304" max="16383" man="1"/>
    <brk id="347" max="7" man="1"/>
    <brk id="389" max="16383" man="1"/>
    <brk id="432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89" t="s">
        <v>105</v>
      </c>
      <c r="C3" s="189"/>
      <c r="D3" s="189"/>
      <c r="E3" s="189"/>
      <c r="F3" s="189"/>
      <c r="G3" s="189"/>
      <c r="H3" s="189"/>
    </row>
    <row r="4" spans="1:9" x14ac:dyDescent="0.35">
      <c r="A4" s="2"/>
      <c r="B4" s="3" t="s">
        <v>106</v>
      </c>
      <c r="C4" s="3" t="s">
        <v>107</v>
      </c>
      <c r="D4" s="3" t="s">
        <v>70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35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2025-08-14T05:48:30Z</cp:lastPrinted>
  <dcterms:created xsi:type="dcterms:W3CDTF">2019-07-16T09:29:46Z</dcterms:created>
  <dcterms:modified xsi:type="dcterms:W3CDTF">2025-08-14T05:49:57Z</dcterms:modified>
</cp:coreProperties>
</file>