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unal\Aug 25\Yes B\New\New folder\"/>
    </mc:Choice>
  </mc:AlternateContent>
  <xr:revisionPtr revIDLastSave="0" documentId="13_ncr:1_{4909A3CC-4E2E-4439-8A01-5421A800B7DC}" xr6:coauthVersionLast="47" xr6:coauthVersionMax="47" xr10:uidLastSave="{00000000-0000-0000-0000-000000000000}"/>
  <bookViews>
    <workbookView xWindow="-108" yWindow="-108" windowWidth="23256" windowHeight="12456" tabRatio="745" xr2:uid="{00000000-000D-0000-FFFF-FFFF00000000}"/>
  </bookViews>
  <sheets>
    <sheet name="Report" sheetId="15" r:id="rId1"/>
    <sheet name="Valuation" sheetId="23" r:id="rId2"/>
  </sheets>
  <definedNames>
    <definedName name="_xlnm.Print_Area" localSheetId="0">Report!$A$1:$H$362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9" i="15" l="1"/>
  <c r="Q145" i="15" l="1"/>
  <c r="Q146" i="15"/>
  <c r="Q147" i="15"/>
  <c r="Q148" i="15"/>
  <c r="Q149" i="15"/>
  <c r="Q150" i="15"/>
  <c r="Q151" i="15"/>
  <c r="Q152" i="15"/>
  <c r="Q144" i="15"/>
  <c r="M145" i="15"/>
  <c r="M146" i="15"/>
  <c r="M147" i="15"/>
  <c r="M148" i="15"/>
  <c r="M149" i="15"/>
  <c r="M150" i="15"/>
  <c r="M151" i="15"/>
  <c r="M152" i="15"/>
  <c r="M144" i="15"/>
  <c r="I26" i="15"/>
  <c r="I123" i="15"/>
  <c r="D170" i="15"/>
  <c r="F170" i="15" s="1"/>
  <c r="H170" i="15" s="1"/>
  <c r="D169" i="15"/>
  <c r="F169" i="15" s="1"/>
  <c r="H169" i="15" s="1"/>
  <c r="E168" i="15"/>
  <c r="D168" i="15"/>
  <c r="E167" i="15"/>
  <c r="D167" i="15"/>
  <c r="A165" i="15"/>
  <c r="A166" i="15" s="1"/>
  <c r="A167" i="15" s="1"/>
  <c r="A168" i="15" s="1"/>
  <c r="A169" i="15" s="1"/>
  <c r="A170" i="15" s="1"/>
  <c r="A171" i="15" s="1"/>
  <c r="A172" i="15" s="1"/>
  <c r="D162" i="15"/>
  <c r="F162" i="15" s="1"/>
  <c r="H162" i="15" s="1"/>
  <c r="D161" i="15"/>
  <c r="F161" i="15" s="1"/>
  <c r="H161" i="15" s="1"/>
  <c r="D160" i="15"/>
  <c r="F160" i="15" s="1"/>
  <c r="H160" i="15" s="1"/>
  <c r="D159" i="15"/>
  <c r="F159" i="15" s="1"/>
  <c r="H159" i="15" s="1"/>
  <c r="E158" i="15"/>
  <c r="D158" i="15"/>
  <c r="E157" i="15"/>
  <c r="D157" i="15"/>
  <c r="E156" i="15"/>
  <c r="D156" i="15"/>
  <c r="E155" i="15"/>
  <c r="D155" i="15"/>
  <c r="A155" i="15"/>
  <c r="A156" i="15" s="1"/>
  <c r="A157" i="15" s="1"/>
  <c r="A158" i="15" s="1"/>
  <c r="A159" i="15" s="1"/>
  <c r="A160" i="15" s="1"/>
  <c r="A161" i="15" s="1"/>
  <c r="A162" i="15" s="1"/>
  <c r="D152" i="15"/>
  <c r="F152" i="15" s="1"/>
  <c r="H152" i="15" s="1"/>
  <c r="D151" i="15"/>
  <c r="F151" i="15" s="1"/>
  <c r="H151" i="15" s="1"/>
  <c r="D150" i="15"/>
  <c r="F150" i="15" s="1"/>
  <c r="H150" i="15" s="1"/>
  <c r="D149" i="15"/>
  <c r="F149" i="15" s="1"/>
  <c r="H149" i="15" s="1"/>
  <c r="E148" i="15"/>
  <c r="D148" i="15"/>
  <c r="E147" i="15"/>
  <c r="D147" i="15"/>
  <c r="E146" i="15"/>
  <c r="D146" i="15"/>
  <c r="E145" i="15"/>
  <c r="D145" i="15"/>
  <c r="D144" i="15"/>
  <c r="F144" i="15" s="1"/>
  <c r="H144" i="15" s="1"/>
  <c r="A145" i="15"/>
  <c r="A146" i="15" s="1"/>
  <c r="A147" i="15" s="1"/>
  <c r="A148" i="15" s="1"/>
  <c r="A149" i="15" s="1"/>
  <c r="A150" i="15" s="1"/>
  <c r="A151" i="15" s="1"/>
  <c r="A152" i="15" s="1"/>
  <c r="D142" i="15"/>
  <c r="F142" i="15" s="1"/>
  <c r="H142" i="15" s="1"/>
  <c r="D141" i="15"/>
  <c r="F141" i="15" s="1"/>
  <c r="H141" i="15" s="1"/>
  <c r="D140" i="15"/>
  <c r="F140" i="15" s="1"/>
  <c r="H140" i="15" s="1"/>
  <c r="D139" i="15"/>
  <c r="F139" i="15" s="1"/>
  <c r="H139" i="15" s="1"/>
  <c r="E138" i="15"/>
  <c r="D138" i="15"/>
  <c r="E137" i="15"/>
  <c r="D137" i="15"/>
  <c r="A135" i="15"/>
  <c r="A136" i="15" s="1"/>
  <c r="A137" i="15" s="1"/>
  <c r="A138" i="15" s="1"/>
  <c r="A139" i="15" s="1"/>
  <c r="A140" i="15" s="1"/>
  <c r="A141" i="15" s="1"/>
  <c r="A142" i="15" s="1"/>
  <c r="D132" i="15"/>
  <c r="F132" i="15" s="1"/>
  <c r="D131" i="15"/>
  <c r="F131" i="15" s="1"/>
  <c r="D130" i="15"/>
  <c r="F130" i="15" s="1"/>
  <c r="D129" i="15"/>
  <c r="F129" i="15" s="1"/>
  <c r="E128" i="15"/>
  <c r="D128" i="15"/>
  <c r="E127" i="15"/>
  <c r="D127" i="15"/>
  <c r="E126" i="15"/>
  <c r="D126" i="15"/>
  <c r="E125" i="15"/>
  <c r="D125" i="15"/>
  <c r="D124" i="15"/>
  <c r="F124" i="15" s="1"/>
  <c r="O163" i="15"/>
  <c r="P163" i="15"/>
  <c r="P153" i="15"/>
  <c r="O153" i="15"/>
  <c r="F146" i="15" l="1"/>
  <c r="H146" i="15" s="1"/>
  <c r="C103" i="15"/>
  <c r="F155" i="15"/>
  <c r="H155" i="15" s="1"/>
  <c r="F168" i="15"/>
  <c r="H168" i="15" s="1"/>
  <c r="F137" i="15"/>
  <c r="H137" i="15" s="1"/>
  <c r="C104" i="15"/>
  <c r="F158" i="15"/>
  <c r="H158" i="15" s="1"/>
  <c r="F156" i="15"/>
  <c r="H156" i="15" s="1"/>
  <c r="F167" i="15"/>
  <c r="H167" i="15" s="1"/>
  <c r="P164" i="15"/>
  <c r="P165" i="15" s="1"/>
  <c r="P166" i="15" s="1"/>
  <c r="P167" i="15" s="1"/>
  <c r="P168" i="15" s="1"/>
  <c r="P169" i="15" s="1"/>
  <c r="P170" i="15" s="1"/>
  <c r="P171" i="15" s="1"/>
  <c r="P172" i="15" s="1"/>
  <c r="N163" i="15"/>
  <c r="O164" i="15"/>
  <c r="F138" i="15"/>
  <c r="H138" i="15" s="1"/>
  <c r="F145" i="15"/>
  <c r="H145" i="15" s="1"/>
  <c r="F148" i="15"/>
  <c r="H148" i="15" s="1"/>
  <c r="F157" i="15"/>
  <c r="H157" i="15" s="1"/>
  <c r="N153" i="15"/>
  <c r="O154" i="15"/>
  <c r="P154" i="15"/>
  <c r="P155" i="15" s="1"/>
  <c r="P156" i="15" s="1"/>
  <c r="P157" i="15" s="1"/>
  <c r="P158" i="15" s="1"/>
  <c r="P159" i="15" s="1"/>
  <c r="P160" i="15" s="1"/>
  <c r="P161" i="15" s="1"/>
  <c r="P162" i="15" s="1"/>
  <c r="F128" i="15"/>
  <c r="E104" i="15" s="1"/>
  <c r="F147" i="15"/>
  <c r="H147" i="15" s="1"/>
  <c r="F126" i="15"/>
  <c r="E103" i="15" s="1"/>
  <c r="F127" i="15"/>
  <c r="F125" i="15"/>
  <c r="E105" i="15" l="1"/>
  <c r="C105" i="15"/>
  <c r="O165" i="15"/>
  <c r="N164" i="15"/>
  <c r="O155" i="15"/>
  <c r="N154" i="15"/>
  <c r="N165" i="15" l="1"/>
  <c r="O166" i="15"/>
  <c r="O156" i="15"/>
  <c r="N155" i="15"/>
  <c r="N166" i="15" l="1"/>
  <c r="O167" i="15"/>
  <c r="O157" i="15"/>
  <c r="N156" i="15"/>
  <c r="N167" i="15" l="1"/>
  <c r="O168" i="15"/>
  <c r="O158" i="15"/>
  <c r="N157" i="15"/>
  <c r="O169" i="15" l="1"/>
  <c r="N168" i="15"/>
  <c r="O159" i="15"/>
  <c r="N158" i="15"/>
  <c r="N169" i="15" l="1"/>
  <c r="O170" i="15"/>
  <c r="N159" i="15"/>
  <c r="O160" i="15"/>
  <c r="O171" i="15" l="1"/>
  <c r="N170" i="15"/>
  <c r="O161" i="15"/>
  <c r="N160" i="15"/>
  <c r="O172" i="15" l="1"/>
  <c r="N172" i="15" s="1"/>
  <c r="N171" i="15"/>
  <c r="O162" i="15"/>
  <c r="N162" i="15" s="1"/>
  <c r="N161" i="15"/>
  <c r="E44" i="15" l="1"/>
  <c r="E42" i="15"/>
  <c r="C64" i="15"/>
  <c r="B65" i="15" s="1"/>
  <c r="C50" i="15"/>
  <c r="J72" i="15" l="1"/>
  <c r="J74" i="15"/>
  <c r="J73" i="15"/>
  <c r="J75" i="15"/>
  <c r="H65" i="15"/>
  <c r="D73" i="15" l="1"/>
  <c r="D72" i="15"/>
  <c r="J70" i="15"/>
  <c r="J71" i="15" s="1"/>
  <c r="J76" i="15" s="1"/>
  <c r="J77" i="15" s="1"/>
  <c r="C69" i="15" s="1"/>
  <c r="E68" i="15" s="1"/>
  <c r="J67" i="15"/>
  <c r="D76" i="15"/>
  <c r="J68" i="15"/>
  <c r="D77" i="15"/>
  <c r="D74" i="15"/>
  <c r="D75" i="15"/>
  <c r="J69" i="15"/>
  <c r="C68" i="15" s="1"/>
  <c r="D71" i="15"/>
  <c r="D70" i="15"/>
  <c r="D68" i="15" l="1"/>
  <c r="I64" i="15" s="1"/>
  <c r="C66" i="15" s="1"/>
  <c r="G68" i="15"/>
  <c r="D69" i="15"/>
  <c r="H125" i="15" l="1"/>
  <c r="H126" i="15"/>
  <c r="H127" i="15"/>
  <c r="H128" i="15"/>
  <c r="H129" i="15"/>
  <c r="H130" i="15"/>
  <c r="H131" i="15"/>
  <c r="H132" i="15"/>
  <c r="H124" i="15"/>
  <c r="F111" i="15"/>
  <c r="H111" i="15" s="1"/>
  <c r="F112" i="15"/>
  <c r="H112" i="15" s="1"/>
  <c r="F113" i="15"/>
  <c r="H113" i="15" s="1"/>
  <c r="F114" i="15"/>
  <c r="H114" i="15" s="1"/>
  <c r="F115" i="15"/>
  <c r="H115" i="15" s="1"/>
  <c r="E13" i="15"/>
  <c r="E33" i="15"/>
  <c r="E35" i="15"/>
  <c r="E46" i="15"/>
  <c r="G103" i="15" l="1"/>
  <c r="G104" i="15"/>
  <c r="H181" i="15"/>
  <c r="G105" i="15" l="1"/>
  <c r="I41" i="15"/>
  <c r="A222" i="15" l="1"/>
  <c r="A223" i="15" s="1"/>
  <c r="A224" i="15" s="1"/>
  <c r="A225" i="15" s="1"/>
  <c r="A226" i="15" s="1"/>
  <c r="A227" i="15" s="1"/>
  <c r="A228" i="15" s="1"/>
  <c r="A125" i="15" l="1"/>
  <c r="A126" i="15" s="1"/>
  <c r="A127" i="15" s="1"/>
  <c r="A128" i="15" s="1"/>
  <c r="A112" i="15"/>
  <c r="A113" i="15" s="1"/>
  <c r="A114" i="15" s="1"/>
  <c r="A115" i="15" s="1"/>
  <c r="P143" i="15"/>
  <c r="O143" i="15"/>
  <c r="P133" i="15"/>
  <c r="O133" i="15"/>
  <c r="O144" i="15" l="1"/>
  <c r="N143" i="15"/>
  <c r="P144" i="15"/>
  <c r="P145" i="15" s="1"/>
  <c r="P146" i="15" s="1"/>
  <c r="P147" i="15" s="1"/>
  <c r="P148" i="15" s="1"/>
  <c r="P149" i="15" s="1"/>
  <c r="P150" i="15" s="1"/>
  <c r="P151" i="15" s="1"/>
  <c r="P152" i="15" s="1"/>
  <c r="N133" i="15"/>
  <c r="O134" i="15"/>
  <c r="P134" i="15"/>
  <c r="P135" i="15" s="1"/>
  <c r="P136" i="15" s="1"/>
  <c r="P137" i="15" s="1"/>
  <c r="P138" i="15" s="1"/>
  <c r="P139" i="15" s="1"/>
  <c r="P140" i="15" s="1"/>
  <c r="P141" i="15" s="1"/>
  <c r="P142" i="15" s="1"/>
  <c r="A43" i="15"/>
  <c r="A44" i="15" s="1"/>
  <c r="A45" i="15" s="1"/>
  <c r="A46" i="15" s="1"/>
  <c r="O145" i="15" l="1"/>
  <c r="N144" i="15"/>
  <c r="O135" i="15"/>
  <c r="N134" i="15"/>
  <c r="D229" i="15"/>
  <c r="H51" i="15"/>
  <c r="P123" i="15"/>
  <c r="O123" i="15"/>
  <c r="J55" i="15" l="1"/>
  <c r="O146" i="15"/>
  <c r="N145" i="15"/>
  <c r="O136" i="15"/>
  <c r="N135" i="15"/>
  <c r="D56" i="15"/>
  <c r="D63" i="15"/>
  <c r="D59" i="15"/>
  <c r="C54" i="15"/>
  <c r="J53" i="15"/>
  <c r="D62" i="15"/>
  <c r="D58" i="15"/>
  <c r="J54" i="15"/>
  <c r="D61" i="15"/>
  <c r="D57" i="15"/>
  <c r="J56" i="15"/>
  <c r="J57" i="15" s="1"/>
  <c r="J62" i="15" s="1"/>
  <c r="J63" i="15" s="1"/>
  <c r="C55" i="15" s="1"/>
  <c r="D60" i="15"/>
  <c r="N123" i="15"/>
  <c r="P124" i="15"/>
  <c r="P125" i="15" s="1"/>
  <c r="P126" i="15" s="1"/>
  <c r="P127" i="15" s="1"/>
  <c r="P128" i="15" s="1"/>
  <c r="P129" i="15" s="1"/>
  <c r="P130" i="15" s="1"/>
  <c r="P131" i="15" s="1"/>
  <c r="P132" i="15" s="1"/>
  <c r="O124" i="15"/>
  <c r="P109" i="15"/>
  <c r="O109" i="15"/>
  <c r="O147" i="15" l="1"/>
  <c r="N146" i="15"/>
  <c r="O137" i="15"/>
  <c r="N136" i="15"/>
  <c r="D54" i="15"/>
  <c r="J58" i="15"/>
  <c r="J59" i="15" s="1"/>
  <c r="J60" i="15" s="1"/>
  <c r="J61" i="15" s="1"/>
  <c r="N124" i="15"/>
  <c r="O125" i="15"/>
  <c r="N125" i="15" s="1"/>
  <c r="P110" i="15"/>
  <c r="P111" i="15" s="1"/>
  <c r="P112" i="15" s="1"/>
  <c r="P113" i="15" s="1"/>
  <c r="P114" i="15" s="1"/>
  <c r="P115" i="15" s="1"/>
  <c r="P116" i="15" s="1"/>
  <c r="P117" i="15" s="1"/>
  <c r="P118" i="15" s="1"/>
  <c r="O110" i="15"/>
  <c r="N109" i="15"/>
  <c r="A129" i="15"/>
  <c r="A130" i="15" s="1"/>
  <c r="A131" i="15" s="1"/>
  <c r="A132" i="15" s="1"/>
  <c r="O148" i="15" l="1"/>
  <c r="N147" i="15"/>
  <c r="O138" i="15"/>
  <c r="N137" i="15"/>
  <c r="O126" i="15"/>
  <c r="N126" i="15" s="1"/>
  <c r="O111" i="15"/>
  <c r="N110" i="15"/>
  <c r="O149" i="15" l="1"/>
  <c r="N148" i="15"/>
  <c r="O139" i="15"/>
  <c r="N138" i="15"/>
  <c r="O127" i="15"/>
  <c r="N127" i="15" s="1"/>
  <c r="O112" i="15"/>
  <c r="N111" i="15"/>
  <c r="O150" i="15" l="1"/>
  <c r="N149" i="15"/>
  <c r="N139" i="15"/>
  <c r="O140" i="15"/>
  <c r="E54" i="15"/>
  <c r="I50" i="15" s="1"/>
  <c r="C52" i="15" s="1"/>
  <c r="G54" i="15"/>
  <c r="D55" i="15"/>
  <c r="O128" i="15"/>
  <c r="N128" i="15" s="1"/>
  <c r="O113" i="15"/>
  <c r="N112" i="15"/>
  <c r="O151" i="15" l="1"/>
  <c r="N150" i="15"/>
  <c r="O141" i="15"/>
  <c r="N140" i="15"/>
  <c r="O129" i="15"/>
  <c r="N129" i="15" s="1"/>
  <c r="O114" i="15"/>
  <c r="N113" i="15"/>
  <c r="N151" i="15" l="1"/>
  <c r="O152" i="15"/>
  <c r="N152" i="15" s="1"/>
  <c r="O142" i="15"/>
  <c r="N142" i="15" s="1"/>
  <c r="N141" i="15"/>
  <c r="O130" i="15"/>
  <c r="N130" i="15" s="1"/>
  <c r="O115" i="15"/>
  <c r="N114" i="15"/>
  <c r="O131" i="15" l="1"/>
  <c r="N131" i="15" s="1"/>
  <c r="O116" i="15"/>
  <c r="N115" i="15"/>
  <c r="O132" i="15" l="1"/>
  <c r="N132" i="15" s="1"/>
  <c r="O117" i="15"/>
  <c r="N116" i="15"/>
  <c r="O118" i="15" l="1"/>
  <c r="N117" i="15"/>
  <c r="N118" i="15" l="1"/>
  <c r="H212" i="1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SACHIN</author>
  </authors>
  <commentList>
    <comment ref="E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Visit Date </t>
        </r>
      </text>
    </comment>
    <comment ref="E2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Visitor Name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6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mention it if provided by builder or else NA</t>
        </r>
      </text>
    </comment>
    <comment ref="E8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2 School
2 Shopping Centre or mall
2 Hospital</t>
        </r>
      </text>
    </comment>
    <comment ref="E174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Proposed Structure</t>
        </r>
      </text>
    </comment>
  </commentList>
</comments>
</file>

<file path=xl/sharedStrings.xml><?xml version="1.0" encoding="utf-8"?>
<sst xmlns="http://schemas.openxmlformats.org/spreadsheetml/2006/main" count="411" uniqueCount="260">
  <si>
    <t>Undertaking :</t>
  </si>
  <si>
    <t>2) I/We have no direct or Indirect Interest in the property being valued</t>
  </si>
  <si>
    <t>Description</t>
  </si>
  <si>
    <t>1) We have personally visited the property &amp; identified the same based on the documents provided</t>
  </si>
  <si>
    <t>Type of Work</t>
  </si>
  <si>
    <t>Plinth</t>
  </si>
  <si>
    <t>3) The information furnished above is true and correct to my/our knowledge.</t>
  </si>
  <si>
    <t>5) Legal title of the property is not verified by us.</t>
  </si>
  <si>
    <t xml:space="preserve">Valuation Report </t>
  </si>
  <si>
    <t>Yes</t>
  </si>
  <si>
    <t>NA</t>
  </si>
  <si>
    <t xml:space="preserve">4)  The saleable area is as per Our Calculation.  </t>
  </si>
  <si>
    <t>Total</t>
  </si>
  <si>
    <t xml:space="preserve">Recommended rate of Parking </t>
  </si>
  <si>
    <t>Particulars</t>
  </si>
  <si>
    <t>Google Map :</t>
  </si>
  <si>
    <t>Sr.No.</t>
  </si>
  <si>
    <t>Details</t>
  </si>
  <si>
    <t>Name of the project</t>
  </si>
  <si>
    <t>Address as per the site visit</t>
  </si>
  <si>
    <t>Closest landmark</t>
  </si>
  <si>
    <t>Address as per the Sale brochure</t>
  </si>
  <si>
    <t>Address as per the plans &amp; permissions</t>
  </si>
  <si>
    <t>Address as per the legal documentation</t>
  </si>
  <si>
    <t>Date of APF initiation from YBL</t>
  </si>
  <si>
    <t>List of documents provided</t>
  </si>
  <si>
    <t>Queries communicated to YBL regarding discrepancies in documentation, details etc</t>
  </si>
  <si>
    <t>Date of query resolution from YBL</t>
  </si>
  <si>
    <t>Any further documentation that needs to be complied prior to start of disbursement in the project? Provide complete details.</t>
  </si>
  <si>
    <t>Date of contacting concerned developer personnel for site visit</t>
  </si>
  <si>
    <t>Date, day &amp; timing of Site visit</t>
  </si>
  <si>
    <t>Name of the person conducting the site visit &amp; contact details</t>
  </si>
  <si>
    <t>Details of Financial Institutions who's APF Approval Letters / Boards were displayed on site</t>
  </si>
  <si>
    <t>Details of sold v/s unsold units</t>
  </si>
  <si>
    <t>Has the developer availed any kind of construction / project finance? If yes, details are required.</t>
  </si>
  <si>
    <t>Developer name</t>
  </si>
  <si>
    <t>Developer group parent company</t>
  </si>
  <si>
    <t>Developer office address along with contact details</t>
  </si>
  <si>
    <t>Architect details ( Name, office address, mobile number, registration number )</t>
  </si>
  <si>
    <t>Authority jurisdiction for the project location</t>
  </si>
  <si>
    <t>Zoning Approval for the project location as per the MDP</t>
  </si>
  <si>
    <t>Does the proposed development match with the Zoning Approval? Detailed feedback</t>
  </si>
  <si>
    <t>Project type ( Residential / Mixed / Flats / Villas / Row Houses etc )</t>
  </si>
  <si>
    <t>Does the ongoing construction match with the Approved Site Layout? If no, details expected.</t>
  </si>
  <si>
    <t>Permissible TDR</t>
  </si>
  <si>
    <t>Project launch date</t>
  </si>
  <si>
    <t>Average weighted stage of construction for the project with construction stages of individual wings</t>
  </si>
  <si>
    <t>Phase, building &amp; wingwise naming &amp; numbering details</t>
  </si>
  <si>
    <t>Are there any deviations between the ongoing construction &amp; the available plans &amp; permissions. If yes, details are expected.</t>
  </si>
  <si>
    <t>Pricing comparisons ( Builder pricing v/s Resale v/s Nearby Projects with Rationale &amp; justification )</t>
  </si>
  <si>
    <t>Transaction documentation details ( Black / White percentages etc )</t>
  </si>
  <si>
    <t>Different types of payment schemes offered such as CLPP, TLPP, C &amp; TLPP, Interest Subvention Plans etc</t>
  </si>
  <si>
    <t>Schedule of Payment as per the developer</t>
  </si>
  <si>
    <t>Are there any discrepancies in the legal / technical documentation that may affect the business interests of YBL? If yes, please elaborate.</t>
  </si>
  <si>
    <t>Any evidences of social disturbances at the project site that may affect the business interests of YBL? If yes, please elaborate.</t>
  </si>
  <si>
    <t>Any notices or boards of litigation at project site / developer office that may affect the business interests of YBL? If yes, please elaborate.</t>
  </si>
  <si>
    <t>Any further documentation that needs to be tracked by the Financial Institution &amp; obtained from the customer / developer post project completion? Provide complete details.</t>
  </si>
  <si>
    <t>Declarations :-</t>
  </si>
  <si>
    <t>(a)</t>
  </si>
  <si>
    <t>Have you done APF technical for this project for any other Financial Institution?</t>
  </si>
  <si>
    <t>Have you done evaluation of this project for the Project / Construction Finance perspective for any Financial Insitution?</t>
  </si>
  <si>
    <t>(b)</t>
  </si>
  <si>
    <t>Physical &amp; social infrastructure availability details ( Bus stop, railway station, public park, main road, airport, hospital, public transport, school, market etc )</t>
  </si>
  <si>
    <t>Boundary details ( Are they matching as per the legal &amp; technical documentation )</t>
  </si>
  <si>
    <t>Phase, building &amp; wingwise structure details ( Approvals v/s proposed v/s constructed ( If 100 % complete ) ( Deviations to be pointed out )</t>
  </si>
  <si>
    <t>None</t>
  </si>
  <si>
    <t>As per Site Details :</t>
  </si>
  <si>
    <t>No</t>
  </si>
  <si>
    <t>Yes its comes under Residential zone</t>
  </si>
  <si>
    <t>Yes as per plan. But NA order not provided to verify.</t>
  </si>
  <si>
    <t>Permissions applicable v/s available (Detailed analysis)</t>
  </si>
  <si>
    <t>Building &amp; Wing</t>
  </si>
  <si>
    <t>No. of Units</t>
  </si>
  <si>
    <t>Total Carpet Area</t>
  </si>
  <si>
    <t>Total Saleable Area</t>
  </si>
  <si>
    <t xml:space="preserve">Approval Detail : Plan approval </t>
  </si>
  <si>
    <t>Dated</t>
  </si>
  <si>
    <t xml:space="preserve">O. Certificate No.: </t>
  </si>
  <si>
    <t>NA
Approved upto :</t>
  </si>
  <si>
    <t xml:space="preserve">Date of approval: </t>
  </si>
  <si>
    <t>Does the Plot Area match as per the legal documentation?</t>
  </si>
  <si>
    <t>Does the Plot Area match as per the Non Agriculture documentation?</t>
  </si>
  <si>
    <t>PHOTOGRAPHS OF PROPERTY :</t>
  </si>
  <si>
    <t>Residential Area Details :</t>
  </si>
  <si>
    <t>RERA Name &amp; No.</t>
  </si>
  <si>
    <t>Basement</t>
  </si>
  <si>
    <t>Podium</t>
  </si>
  <si>
    <t>Ground</t>
  </si>
  <si>
    <t>Excavation in process</t>
  </si>
  <si>
    <t>Excavation Completed</t>
  </si>
  <si>
    <t>Footing in Process</t>
  </si>
  <si>
    <t>Footing Completed</t>
  </si>
  <si>
    <t>Plinth in process</t>
  </si>
  <si>
    <t>Plinth completed</t>
  </si>
  <si>
    <r>
      <rPr>
        <b/>
        <u/>
        <sz val="11"/>
        <rFont val="Times New Roman"/>
        <family val="1"/>
      </rPr>
      <t>Lifestyle Amenities :</t>
    </r>
    <r>
      <rPr>
        <sz val="11"/>
        <rFont val="Times New Roman"/>
        <family val="1"/>
      </rPr>
      <t xml:space="preserve">
Internal Paved roads.
Decorative compound Walls with security features
Power backup for lifts &amp; common areas
</t>
    </r>
    <r>
      <rPr>
        <b/>
        <u/>
        <sz val="11"/>
        <rFont val="Times New Roman"/>
        <family val="1"/>
      </rPr>
      <t>Modern Amenities ;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>FLOORING</t>
    </r>
    <r>
      <rPr>
        <sz val="11"/>
        <rFont val="Times New Roman"/>
        <family val="1"/>
      </rPr>
      <t xml:space="preserve">
Vitrified flooring in all rooms
Anti-skid tiles in attached terrace area
</t>
    </r>
    <r>
      <rPr>
        <b/>
        <sz val="11"/>
        <rFont val="Times New Roman"/>
        <family val="1"/>
      </rPr>
      <t>KITCHEN</t>
    </r>
    <r>
      <rPr>
        <sz val="11"/>
        <rFont val="Times New Roman"/>
        <family val="1"/>
      </rPr>
      <t xml:space="preserve">
Granite kitchen platform
Stainless steel and sink mixture
</t>
    </r>
    <r>
      <rPr>
        <b/>
        <sz val="11"/>
        <rFont val="Times New Roman"/>
        <family val="1"/>
      </rPr>
      <t>TOILETS</t>
    </r>
    <r>
      <rPr>
        <sz val="11"/>
        <rFont val="Times New Roman"/>
        <family val="1"/>
      </rPr>
      <t xml:space="preserve">
Designer bathroom with branded sanitary ware
Concealed plumbing with premium C. P. fittings
Geyser connection to all bathrooms
</t>
    </r>
    <r>
      <rPr>
        <b/>
        <sz val="11"/>
        <rFont val="Times New Roman"/>
        <family val="1"/>
      </rPr>
      <t xml:space="preserve">WINDOWS
</t>
    </r>
    <r>
      <rPr>
        <sz val="11"/>
        <rFont val="Times New Roman"/>
        <family val="1"/>
      </rPr>
      <t xml:space="preserve">Powdered Aluminium Sliding windows
</t>
    </r>
    <r>
      <rPr>
        <b/>
        <sz val="11"/>
        <color indexed="8"/>
        <rFont val="Times New Roman"/>
        <family val="1"/>
      </rPr>
      <t/>
    </r>
  </si>
  <si>
    <r>
      <rPr>
        <b/>
        <sz val="11"/>
        <rFont val="Times New Roman"/>
        <family val="1"/>
      </rPr>
      <t>SECURITY</t>
    </r>
    <r>
      <rPr>
        <sz val="11"/>
        <rFont val="Times New Roman"/>
        <family val="1"/>
      </rPr>
      <t xml:space="preserve">
Modern security system with CCTV at security cabin
Intercom facility in each flat
</t>
    </r>
    <r>
      <rPr>
        <b/>
        <sz val="11"/>
        <rFont val="Times New Roman"/>
        <family val="1"/>
      </rPr>
      <t>ELECTRIFICATION</t>
    </r>
    <r>
      <rPr>
        <sz val="11"/>
        <rFont val="Times New Roman"/>
        <family val="1"/>
      </rPr>
      <t xml:space="preserve">
Branded concealed copper wiring with isolater / MCB TV, telephone &amp; internet points in all rooms
</t>
    </r>
    <r>
      <rPr>
        <b/>
        <sz val="11"/>
        <rFont val="Times New Roman"/>
        <family val="1"/>
      </rPr>
      <t>WALLS AND PAINTS</t>
    </r>
    <r>
      <rPr>
        <sz val="11"/>
        <rFont val="Times New Roman"/>
        <family val="1"/>
      </rPr>
      <t xml:space="preserve">
Gypsum finished internal walls with plastic paints</t>
    </r>
  </si>
  <si>
    <t>Name of developer personnel for site visit coordination with contact details (Mobile, landline, email)</t>
  </si>
  <si>
    <t>Name of person met at site (Full Name, Designation, Mobile Number, Landline Number, email id)</t>
  </si>
  <si>
    <t>Floors</t>
  </si>
  <si>
    <t xml:space="preserve">Stage of construction: </t>
  </si>
  <si>
    <t>All work Completed. OC Received.</t>
  </si>
  <si>
    <t>Slab/Floor</t>
  </si>
  <si>
    <t>Complition %</t>
  </si>
  <si>
    <t>Progress %</t>
  </si>
  <si>
    <t>Disbursement %</t>
  </si>
  <si>
    <t>Piling Work in process</t>
  </si>
  <si>
    <t>Excavation</t>
  </si>
  <si>
    <t>RCC (Including podiums)</t>
  </si>
  <si>
    <t>Brickwork</t>
  </si>
  <si>
    <t>Brickwork &amp; Internal Plaster</t>
  </si>
  <si>
    <t>Internal Plaster</t>
  </si>
  <si>
    <t>Basement 1</t>
  </si>
  <si>
    <t>Ext. Plaster &amp; Plumbing</t>
  </si>
  <si>
    <t>External Plaster &amp; Plumbing</t>
  </si>
  <si>
    <t>Basement 2</t>
  </si>
  <si>
    <t>Flooring &amp; Fitting</t>
  </si>
  <si>
    <t>Basement 3</t>
  </si>
  <si>
    <t>Painting &amp; Wooden</t>
  </si>
  <si>
    <t>Basement 4</t>
  </si>
  <si>
    <t>Building Common Amenities</t>
  </si>
  <si>
    <t>Possession</t>
  </si>
  <si>
    <t>Name of Engineer Visited the property</t>
  </si>
  <si>
    <t>Phase, building, wing, unit wise pricing details (Base pricing, floor rise, location / view specific, etc)</t>
  </si>
  <si>
    <t xml:space="preserve">Same </t>
  </si>
  <si>
    <t>Location Link</t>
  </si>
  <si>
    <t>Layout</t>
  </si>
  <si>
    <t>Office No. 1031, Wing J, Akshar Business Park, Plot No. 03 Sector 25, Near APMC Market, Vashi, Navi Mumbai, Maharashtra 400703 TEL: 022-46090378/79/80                                                                       
E mail : vsjcapf@gmail.com. Web site : www.vsjadon.com</t>
  </si>
  <si>
    <t>Latitude, Longitude :</t>
  </si>
  <si>
    <t xml:space="preserve">Permissible FSI / FAR
</t>
  </si>
  <si>
    <t xml:space="preserve">Premium FSI / FAR
</t>
  </si>
  <si>
    <t>Ancillary FSI / FAR</t>
  </si>
  <si>
    <t>Total FSI</t>
  </si>
  <si>
    <t>As per Market Enquiry :</t>
  </si>
  <si>
    <t xml:space="preserve">All details payable </t>
  </si>
  <si>
    <t>Name / No of the Existing Building</t>
  </si>
  <si>
    <t xml:space="preserve">Remarks:  </t>
  </si>
  <si>
    <t xml:space="preserve">We considered  Saleable area as per our calculation.
</t>
  </si>
  <si>
    <t xml:space="preserve">We considered Carpet area as per Approved Plan.
</t>
  </si>
  <si>
    <t xml:space="preserve">We have considered rate by verifying it from market inquire.
</t>
  </si>
  <si>
    <t xml:space="preserve">Car parking is subjected to authentic documentation.
</t>
  </si>
  <si>
    <t>Recommended rate should be considered as all inclusive rate if other charges are not mentioned. (Excluding GST &amp; other government Taxes)</t>
  </si>
  <si>
    <t>Realizable Rate of the flat Per Sq. Ft. (on Saleable area)</t>
  </si>
  <si>
    <t>Grand Total</t>
  </si>
  <si>
    <t>Otla
Area</t>
  </si>
  <si>
    <t>Building Details Floor Wise</t>
  </si>
  <si>
    <t>Project Construction Start date</t>
  </si>
  <si>
    <t>As projected by the Developer</t>
  </si>
  <si>
    <t>As projected by the RERA</t>
  </si>
  <si>
    <t>Construction Details:</t>
  </si>
  <si>
    <t>Loft Area</t>
  </si>
  <si>
    <t>Valid Upto 
Date</t>
  </si>
  <si>
    <t xml:space="preserve">Approved Floor </t>
  </si>
  <si>
    <t>Proposed Floor</t>
  </si>
  <si>
    <t xml:space="preserve">Commencement Certificate No. 
Valid Up to: 
</t>
  </si>
  <si>
    <t>Flat No. 
(Approved  Plan)</t>
  </si>
  <si>
    <t>Saleable Area
Loading :</t>
  </si>
  <si>
    <t>Gross Carpet Area</t>
  </si>
  <si>
    <t>Attached Terrace Area</t>
  </si>
  <si>
    <r>
      <rPr>
        <sz val="11"/>
        <rFont val="Times New Roman"/>
        <family val="1"/>
      </rPr>
      <t xml:space="preserve">Proposed Amenities    </t>
    </r>
    <r>
      <rPr>
        <sz val="11"/>
        <color rgb="FFFF0000"/>
        <rFont val="Times New Roman"/>
        <family val="1"/>
      </rPr>
      <t xml:space="preserve">   </t>
    </r>
  </si>
  <si>
    <t>Carpet Area</t>
  </si>
  <si>
    <t>Net Plot Area (Sq.M)</t>
  </si>
  <si>
    <t>Plot Area (Sq.M)</t>
  </si>
  <si>
    <t>Ground Floor For Commercial &amp; Parking</t>
  </si>
  <si>
    <t xml:space="preserve">Details of Residential in Building     </t>
  </si>
  <si>
    <t xml:space="preserve">Details of Commercial in Building     </t>
  </si>
  <si>
    <t xml:space="preserve">Expected Completion Date </t>
  </si>
  <si>
    <t>Authorized Signatory
Name &amp; Seal of the Agency</t>
  </si>
  <si>
    <t>Date of documents delivery / Receipt</t>
  </si>
  <si>
    <t>Builtup Area (Sq.M)</t>
  </si>
  <si>
    <t xml:space="preserve">Layout Plan No. </t>
  </si>
  <si>
    <t>Approved Floor Plan No</t>
  </si>
  <si>
    <t>Electric &amp; Plumbing</t>
  </si>
  <si>
    <t>External Plaster</t>
  </si>
  <si>
    <t xml:space="preserve">Fire Noc No
Valid Up to: 
</t>
  </si>
  <si>
    <t xml:space="preserve">Environmental Clearance Certificate (EC) No
Valid Up for: 
</t>
  </si>
  <si>
    <t>Hareshwar Pride</t>
  </si>
  <si>
    <t>P51800047786</t>
  </si>
  <si>
    <t>Building No.129 (Nehru Nagar Saubhagya Chs)</t>
  </si>
  <si>
    <t>Building No 129, Shree Hareshwar Marg, E, next to Hareshwar Temple, nr. Mothers Dairy, Nehru Nagar, Kurla, Mumbai, Maharashtra 400024</t>
  </si>
  <si>
    <t>Proposed redevelopment of existing Building No. 129 known as Nehru Nagar Saubhagya CO-OP HSG, Beasing CTS NO 02(pt) At village Kurla East, Nehru Nahar, Mumbai 400024</t>
  </si>
  <si>
    <t>Ms. Sonam Chontale  8779468187</t>
  </si>
  <si>
    <t>14/08/2025, Thursday @ 11:56AM</t>
  </si>
  <si>
    <t>Mr. Akash Kadam 8169371636</t>
  </si>
  <si>
    <t>M/s. Satyadeep Realtors PVT. LTD.</t>
  </si>
  <si>
    <t>515-516, 5th Floor, Ecstay Business Park ,City of Joy, Nr.Mulund Station, Mulund West, Mumbai- 400080</t>
  </si>
  <si>
    <t>Archo Consultants
Ground Floor, Room No. 2, A wing, Sunview CHS LTD, OFF Sahakar Theater, Tilaknagar, Chembur West, Mumbai - 400089</t>
  </si>
  <si>
    <t>Maharashtra Housing and Area Development Authority (MHADA)</t>
  </si>
  <si>
    <t>Dec-26</t>
  </si>
  <si>
    <t>19.063632,72.886486</t>
  </si>
  <si>
    <t>https://maps.app.goo.gl/V8mBZubUezkNSi5fA</t>
  </si>
  <si>
    <t>SCHOOL :
Shantaram Krushnaji Pantwalawalkar High School - 0.3Km
Kedarnath English School- 0.55Km
SHOPPING :
Local Market - 0.85Km
Kurla Market - 1.00Km
HOSPITALS :
Chintamani Hospital  - 0.50Km
Sushrut Hospital - 1.50Km
PETROL PUMP :
IndianOil - 1.90Km
Hindustan Petroleum - 2.40Km</t>
  </si>
  <si>
    <t>Vitrified tiles flooring, Granite Kitchen Platform, Decorative Entrance, Fitness Center, etc</t>
  </si>
  <si>
    <t>Mhada-22/858/2023</t>
  </si>
  <si>
    <t>MH/EE/(BP)/GM/MHADA-22/858/2025/FCC/1/Amend</t>
  </si>
  <si>
    <t>This C.C. is now Further Extended up to top of 14th floor as per approved amended plans dtd. 09.10.2023.</t>
  </si>
  <si>
    <t>Sale / Rehab</t>
  </si>
  <si>
    <t>Building No. 129</t>
  </si>
  <si>
    <t>Basement Floor For Parking, Pumping Room &amp; Tanks</t>
  </si>
  <si>
    <t>Ground Floor For Parking</t>
  </si>
  <si>
    <t>1st to 6th, 8th to 11th Floor For Residential</t>
  </si>
  <si>
    <t>Rehab</t>
  </si>
  <si>
    <t>2BHK</t>
  </si>
  <si>
    <t>Sale</t>
  </si>
  <si>
    <t>1.5BHK</t>
  </si>
  <si>
    <t>1BHK</t>
  </si>
  <si>
    <t>7th Floor (Part Refuge Area)</t>
  </si>
  <si>
    <t>-</t>
  </si>
  <si>
    <t>Refuge Area</t>
  </si>
  <si>
    <t>Refuge Area/ Society Office</t>
  </si>
  <si>
    <t>12th, 13th &amp; 15th Floor</t>
  </si>
  <si>
    <t>14th Floor (Part Refuge Area)</t>
  </si>
  <si>
    <t>Fitness Center Area</t>
  </si>
  <si>
    <t>16th Floor (Part Terrace Area)</t>
  </si>
  <si>
    <t>Terrace Area</t>
  </si>
  <si>
    <t>Sale Flats</t>
  </si>
  <si>
    <t>Rehab Flats</t>
  </si>
  <si>
    <t>Sale Flats = 92, Rehab Flats = 42</t>
  </si>
  <si>
    <t>Adance Payment</t>
  </si>
  <si>
    <t>At the time of Execution of AGREEMENT</t>
  </si>
  <si>
    <t>On completion of Plinth</t>
  </si>
  <si>
    <t>On completion of 4th Slab</t>
  </si>
  <si>
    <t>On completion of 2nd Slab</t>
  </si>
  <si>
    <t>On completion of 6th Slab</t>
  </si>
  <si>
    <t>On completion of 8th Slab</t>
  </si>
  <si>
    <t>On completion of 10th Slab</t>
  </si>
  <si>
    <t>On completion of 12th Slab</t>
  </si>
  <si>
    <t>On completion of 14th Slab</t>
  </si>
  <si>
    <t>On completion of 16th Slab</t>
  </si>
  <si>
    <t>On completion of 18th Slab</t>
  </si>
  <si>
    <t>Terrace and water tank &amp; Walls</t>
  </si>
  <si>
    <t>Internal Plaster/POP</t>
  </si>
  <si>
    <t>Flooring Tiles &amp; Granite Work</t>
  </si>
  <si>
    <t>Doors &amp; Windows &amp; Railing</t>
  </si>
  <si>
    <t>At the time of handing over the possession withing 15 days from the receipet of OC</t>
  </si>
  <si>
    <t>On completion of Stairecase</t>
  </si>
  <si>
    <t>On completion of Sanitory Fittings</t>
  </si>
  <si>
    <t>On completion of lift Wells</t>
  </si>
  <si>
    <t>On completion of External Plumbing</t>
  </si>
  <si>
    <t>On completion of Bathroom &amp; Terrace water proofing</t>
  </si>
  <si>
    <t>On completion of Water Pumps</t>
  </si>
  <si>
    <t>On completion of The lifts</t>
  </si>
  <si>
    <t>On completion of Electrical Fittings</t>
  </si>
  <si>
    <t>On completion of Internal Painting</t>
  </si>
  <si>
    <t>On completion of External Painting</t>
  </si>
  <si>
    <t>Construction work is in process at the time of Visit (labour found).</t>
  </si>
  <si>
    <t xml:space="preserve">We considered Gross carpet area = Net carpet + Enclose balcony.
</t>
  </si>
  <si>
    <t>Enclose balcony</t>
  </si>
  <si>
    <t>Building No.129 = 1B + Gr + 1st to 17th Floor</t>
  </si>
  <si>
    <t>Mr. Akash Kadam</t>
  </si>
  <si>
    <t>Approved Plan (Not Legible)
C.C
Rera Certificate
Builder Profile
Payment Schedule</t>
  </si>
  <si>
    <t>Sold - 31 Units, Unsold - 59 Units</t>
  </si>
  <si>
    <t>14000 Axis</t>
  </si>
  <si>
    <t>Ekdanta 24 Karat</t>
  </si>
  <si>
    <t>Sept 21</t>
  </si>
  <si>
    <t>Hareshwar Pride, CTS No. 02(Pt), Redevelopement of " Building No.129 (Nehru Nagar Saubhagya Chs) ", near Ekdanta 24 Karat, Shree Hareshwar Marg, Nehru Nagar, Kurla, Kurla East, Kurla, Mumbai - 400024.</t>
  </si>
  <si>
    <t>SNCR/WEST/B/051717/220217</t>
  </si>
  <si>
    <t>Site Elevation (AMSL) = 4.05M
Permissible Top Elevation (AMSL) = 56.9M</t>
  </si>
  <si>
    <t xml:space="preserve">Airport Noc No
Valid Up for: 
</t>
  </si>
  <si>
    <t>Building No.129 = 1B + Gr + 1st to 16th Floor 
(Total Height = 52.80 Mtrs)</t>
  </si>
  <si>
    <t>We have refered Airport NOC from AAI Site.
Please check for Airport NOC Height &amp; Validity of NOC.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</si>
</sst>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u/>
      <sz val="1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6" fillId="0" borderId="0"/>
    <xf numFmtId="0" fontId="1" fillId="0" borderId="0"/>
    <xf numFmtId="0" fontId="6" fillId="0" borderId="0"/>
    <xf numFmtId="164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250">
    <xf numFmtId="0" fontId="0" fillId="0" borderId="0" xfId="0"/>
    <xf numFmtId="1" fontId="2" fillId="0" borderId="2" xfId="2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center" wrapText="1"/>
    </xf>
    <xf numFmtId="0" fontId="8" fillId="0" borderId="0" xfId="0" applyFont="1" applyProtection="1">
      <protection hidden="1"/>
    </xf>
    <xf numFmtId="0" fontId="8" fillId="0" borderId="16" xfId="0" applyFont="1" applyBorder="1" applyProtection="1">
      <protection hidden="1"/>
    </xf>
    <xf numFmtId="0" fontId="9" fillId="0" borderId="10" xfId="2" applyFont="1" applyBorder="1" applyProtection="1">
      <protection hidden="1"/>
    </xf>
    <xf numFmtId="0" fontId="4" fillId="0" borderId="22" xfId="2" applyFont="1" applyBorder="1" applyAlignment="1" applyProtection="1">
      <alignment horizontal="center" vertical="top"/>
      <protection locked="0"/>
    </xf>
    <xf numFmtId="0" fontId="10" fillId="0" borderId="1" xfId="2" applyFont="1" applyBorder="1" applyAlignment="1" applyProtection="1">
      <alignment horizontal="center" vertical="top"/>
      <protection locked="0"/>
    </xf>
    <xf numFmtId="0" fontId="4" fillId="0" borderId="1" xfId="2" applyFont="1" applyBorder="1" applyAlignment="1" applyProtection="1">
      <alignment horizontal="center" vertical="top"/>
      <protection locked="0"/>
    </xf>
    <xf numFmtId="0" fontId="3" fillId="0" borderId="1" xfId="2" applyFont="1" applyBorder="1" applyAlignment="1" applyProtection="1">
      <alignment horizontal="center" vertical="top"/>
      <protection locked="0"/>
    </xf>
    <xf numFmtId="0" fontId="9" fillId="0" borderId="0" xfId="2" applyFont="1" applyProtection="1">
      <protection hidden="1"/>
    </xf>
    <xf numFmtId="0" fontId="9" fillId="0" borderId="0" xfId="0" applyFont="1"/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9" fillId="0" borderId="21" xfId="2" applyFont="1" applyBorder="1" applyProtection="1">
      <protection hidden="1"/>
    </xf>
    <xf numFmtId="0" fontId="9" fillId="0" borderId="23" xfId="2" applyFont="1" applyBorder="1" applyProtection="1">
      <protection hidden="1"/>
    </xf>
    <xf numFmtId="0" fontId="9" fillId="0" borderId="23" xfId="2" applyFont="1" applyBorder="1"/>
    <xf numFmtId="0" fontId="10" fillId="0" borderId="1" xfId="2" applyFont="1" applyBorder="1" applyAlignment="1" applyProtection="1">
      <alignment horizontal="center" wrapText="1"/>
      <protection locked="0"/>
    </xf>
    <xf numFmtId="0" fontId="8" fillId="0" borderId="23" xfId="0" applyFont="1" applyBorder="1" applyProtection="1">
      <protection hidden="1"/>
    </xf>
    <xf numFmtId="1" fontId="10" fillId="0" borderId="1" xfId="2" applyNumberFormat="1" applyFont="1" applyBorder="1" applyAlignment="1" applyProtection="1">
      <alignment horizontal="center" wrapText="1"/>
      <protection locked="0"/>
    </xf>
    <xf numFmtId="1" fontId="6" fillId="0" borderId="23" xfId="0" applyNumberFormat="1" applyFont="1" applyBorder="1"/>
    <xf numFmtId="1" fontId="6" fillId="0" borderId="23" xfId="0" applyNumberFormat="1" applyFont="1" applyBorder="1" applyAlignment="1">
      <alignment horizontal="right"/>
    </xf>
    <xf numFmtId="0" fontId="10" fillId="0" borderId="18" xfId="2" applyFont="1" applyBorder="1" applyAlignment="1" applyProtection="1">
      <alignment horizontal="center" wrapText="1"/>
      <protection locked="0"/>
    </xf>
    <xf numFmtId="1" fontId="6" fillId="0" borderId="19" xfId="0" applyNumberFormat="1" applyFont="1" applyBorder="1"/>
    <xf numFmtId="0" fontId="4" fillId="0" borderId="1" xfId="2" applyFont="1" applyBorder="1" applyAlignment="1">
      <alignment horizontal="left" vertical="top"/>
    </xf>
    <xf numFmtId="0" fontId="4" fillId="0" borderId="1" xfId="2" applyFont="1" applyBorder="1" applyAlignment="1">
      <alignment vertical="top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horizontal="center"/>
    </xf>
    <xf numFmtId="0" fontId="7" fillId="0" borderId="0" xfId="0" applyFont="1"/>
    <xf numFmtId="14" fontId="2" fillId="0" borderId="0" xfId="0" applyNumberFormat="1" applyFont="1" applyAlignment="1">
      <alignment vertical="top"/>
    </xf>
    <xf numFmtId="0" fontId="4" fillId="0" borderId="1" xfId="2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9" fillId="0" borderId="1" xfId="2" applyFont="1" applyBorder="1" applyAlignment="1" applyProtection="1">
      <alignment horizontal="center" vertical="top" wrapText="1"/>
      <protection locked="0"/>
    </xf>
    <xf numFmtId="9" fontId="9" fillId="0" borderId="3" xfId="2" applyNumberFormat="1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>
      <alignment horizontal="center" vertical="top"/>
    </xf>
    <xf numFmtId="0" fontId="4" fillId="0" borderId="6" xfId="2" applyFont="1" applyBorder="1" applyAlignment="1" applyProtection="1">
      <alignment horizontal="center" vertical="top"/>
      <protection locked="0"/>
    </xf>
    <xf numFmtId="9" fontId="9" fillId="0" borderId="17" xfId="2" applyNumberFormat="1" applyFont="1" applyBorder="1" applyAlignment="1" applyProtection="1">
      <alignment horizontal="center" vertical="center" wrapText="1"/>
      <protection hidden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25" xfId="2" applyFont="1" applyBorder="1" applyAlignment="1" applyProtection="1">
      <alignment horizontal="center" vertical="top"/>
      <protection locked="0"/>
    </xf>
    <xf numFmtId="14" fontId="4" fillId="0" borderId="5" xfId="0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top"/>
    </xf>
    <xf numFmtId="9" fontId="14" fillId="0" borderId="5" xfId="6" applyFont="1" applyFill="1" applyBorder="1" applyAlignment="1" applyProtection="1">
      <alignment horizontal="center" vertical="top" wrapText="1"/>
      <protection locked="0"/>
    </xf>
    <xf numFmtId="0" fontId="10" fillId="0" borderId="1" xfId="2" applyFont="1" applyBorder="1" applyAlignment="1">
      <alignment vertical="top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9" fillId="0" borderId="22" xfId="2" applyFont="1" applyBorder="1" applyAlignment="1" applyProtection="1">
      <alignment horizontal="center" vertical="top" wrapText="1"/>
      <protection locked="0"/>
    </xf>
    <xf numFmtId="0" fontId="9" fillId="0" borderId="1" xfId="2" applyFont="1" applyBorder="1" applyAlignment="1" applyProtection="1">
      <alignment horizontal="center" vertical="top" wrapText="1"/>
      <protection locked="0"/>
    </xf>
    <xf numFmtId="9" fontId="9" fillId="0" borderId="1" xfId="2" applyNumberFormat="1" applyFont="1" applyBorder="1" applyAlignment="1" applyProtection="1">
      <alignment horizontal="center" vertical="center" wrapText="1"/>
      <protection hidden="1"/>
    </xf>
    <xf numFmtId="9" fontId="9" fillId="0" borderId="18" xfId="2" applyNumberFormat="1" applyFont="1" applyBorder="1" applyAlignment="1" applyProtection="1">
      <alignment horizontal="center" vertical="center" wrapText="1"/>
      <protection hidden="1"/>
    </xf>
    <xf numFmtId="9" fontId="9" fillId="0" borderId="7" xfId="2" applyNumberFormat="1" applyFont="1" applyBorder="1" applyAlignment="1" applyProtection="1">
      <alignment horizontal="center" vertical="center" wrapText="1"/>
      <protection hidden="1"/>
    </xf>
    <xf numFmtId="9" fontId="9" fillId="0" borderId="28" xfId="2" applyNumberFormat="1" applyFont="1" applyBorder="1" applyAlignment="1" applyProtection="1">
      <alignment horizontal="center" vertical="center" wrapText="1"/>
      <protection hidden="1"/>
    </xf>
    <xf numFmtId="9" fontId="9" fillId="0" borderId="9" xfId="2" applyNumberFormat="1" applyFont="1" applyBorder="1" applyAlignment="1" applyProtection="1">
      <alignment horizontal="center" vertical="center" wrapText="1"/>
      <protection hidden="1"/>
    </xf>
    <xf numFmtId="9" fontId="9" fillId="0" borderId="33" xfId="2" applyNumberFormat="1" applyFont="1" applyBorder="1" applyAlignment="1" applyProtection="1">
      <alignment horizontal="center" vertical="center" wrapText="1"/>
      <protection hidden="1"/>
    </xf>
    <xf numFmtId="9" fontId="9" fillId="0" borderId="27" xfId="2" applyNumberFormat="1" applyFont="1" applyBorder="1" applyAlignment="1" applyProtection="1">
      <alignment horizontal="center" vertical="center" wrapText="1"/>
      <protection hidden="1"/>
    </xf>
    <xf numFmtId="9" fontId="9" fillId="0" borderId="36" xfId="2" applyNumberFormat="1" applyFont="1" applyBorder="1" applyAlignment="1" applyProtection="1">
      <alignment horizontal="center" vertical="center" wrapText="1"/>
      <protection hidden="1"/>
    </xf>
    <xf numFmtId="0" fontId="9" fillId="0" borderId="26" xfId="2" applyFont="1" applyBorder="1" applyAlignment="1" applyProtection="1">
      <alignment horizontal="center" vertical="top" wrapText="1"/>
      <protection locked="0"/>
    </xf>
    <xf numFmtId="0" fontId="9" fillId="0" borderId="18" xfId="2" applyFont="1" applyBorder="1" applyAlignment="1" applyProtection="1">
      <alignment horizontal="center" vertical="top" wrapText="1"/>
      <protection locked="0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14" fontId="4" fillId="0" borderId="35" xfId="0" applyNumberFormat="1" applyFont="1" applyBorder="1" applyAlignment="1">
      <alignment horizontal="left" vertical="top" wrapText="1"/>
    </xf>
    <xf numFmtId="14" fontId="4" fillId="0" borderId="10" xfId="0" applyNumberFormat="1" applyFont="1" applyBorder="1" applyAlignment="1">
      <alignment horizontal="left" vertical="top" wrapText="1"/>
    </xf>
    <xf numFmtId="14" fontId="4" fillId="0" borderId="33" xfId="0" applyNumberFormat="1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5" fillId="0" borderId="1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14" fontId="4" fillId="0" borderId="3" xfId="0" applyNumberFormat="1" applyFont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/>
    </xf>
    <xf numFmtId="1" fontId="2" fillId="0" borderId="1" xfId="2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1" fontId="2" fillId="0" borderId="1" xfId="2" applyNumberFormat="1" applyFont="1" applyBorder="1" applyAlignment="1" applyProtection="1">
      <alignment horizontal="center" vertical="center" wrapText="1"/>
      <protection locked="0"/>
    </xf>
    <xf numFmtId="1" fontId="2" fillId="0" borderId="1" xfId="2" applyNumberFormat="1" applyFont="1" applyBorder="1" applyAlignment="1">
      <alignment horizontal="center" vertical="top"/>
    </xf>
    <xf numFmtId="0" fontId="5" fillId="0" borderId="1" xfId="2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1" xfId="2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3" fillId="0" borderId="7" xfId="2" applyFont="1" applyBorder="1" applyAlignment="1">
      <alignment horizontal="left" vertical="top" wrapText="1"/>
    </xf>
    <xf numFmtId="0" fontId="3" fillId="0" borderId="28" xfId="2" applyFont="1" applyBorder="1" applyAlignment="1">
      <alignment horizontal="left" vertical="top" wrapText="1"/>
    </xf>
    <xf numFmtId="0" fontId="3" fillId="0" borderId="29" xfId="2" applyFont="1" applyBorder="1" applyAlignment="1">
      <alignment horizontal="left" vertical="top" wrapText="1"/>
    </xf>
    <xf numFmtId="0" fontId="3" fillId="0" borderId="31" xfId="2" applyFont="1" applyBorder="1" applyAlignment="1">
      <alignment horizontal="left" vertical="top" wrapText="1"/>
    </xf>
    <xf numFmtId="1" fontId="5" fillId="0" borderId="1" xfId="0" applyNumberFormat="1" applyFont="1" applyBorder="1" applyAlignment="1" applyProtection="1">
      <alignment horizontal="center" vertical="top" wrapText="1"/>
      <protection locked="0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top" wrapText="1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7" xfId="2" applyFont="1" applyBorder="1" applyAlignment="1">
      <alignment horizontal="left" vertical="top" wrapText="1"/>
    </xf>
    <xf numFmtId="0" fontId="10" fillId="0" borderId="28" xfId="2" applyFont="1" applyBorder="1" applyAlignment="1">
      <alignment horizontal="left" vertical="top" wrapText="1"/>
    </xf>
    <xf numFmtId="0" fontId="10" fillId="0" borderId="29" xfId="2" applyFont="1" applyBorder="1" applyAlignment="1">
      <alignment horizontal="left" vertical="top" wrapText="1"/>
    </xf>
    <xf numFmtId="0" fontId="10" fillId="0" borderId="31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center" vertical="top"/>
    </xf>
    <xf numFmtId="1" fontId="2" fillId="0" borderId="2" xfId="2" applyNumberFormat="1" applyFont="1" applyBorder="1" applyAlignment="1">
      <alignment horizontal="center" vertical="top" wrapText="1"/>
    </xf>
    <xf numFmtId="1" fontId="2" fillId="0" borderId="5" xfId="2" applyNumberFormat="1" applyFont="1" applyBorder="1" applyAlignment="1">
      <alignment horizontal="center" vertical="top" wrapText="1"/>
    </xf>
    <xf numFmtId="1" fontId="2" fillId="0" borderId="5" xfId="2" applyNumberFormat="1" applyFont="1" applyBorder="1" applyAlignment="1" applyProtection="1">
      <alignment horizontal="center" vertical="center" wrapText="1"/>
      <protection locked="0"/>
    </xf>
    <xf numFmtId="14" fontId="9" fillId="0" borderId="1" xfId="0" applyNumberFormat="1" applyFont="1" applyBorder="1" applyAlignment="1">
      <alignment horizontal="left" vertical="top" wrapText="1"/>
    </xf>
    <xf numFmtId="1" fontId="9" fillId="0" borderId="1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Border="1" applyAlignment="1">
      <alignment horizontal="center" vertical="top" wrapText="1"/>
    </xf>
    <xf numFmtId="1" fontId="2" fillId="0" borderId="29" xfId="2" applyNumberFormat="1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left" vertical="top" wrapText="1"/>
    </xf>
    <xf numFmtId="0" fontId="9" fillId="0" borderId="3" xfId="2" applyFont="1" applyBorder="1" applyAlignment="1" applyProtection="1">
      <alignment horizontal="center" vertical="top" wrapText="1"/>
      <protection locked="0"/>
    </xf>
    <xf numFmtId="0" fontId="9" fillId="0" borderId="6" xfId="2" applyFont="1" applyBorder="1" applyAlignment="1" applyProtection="1">
      <alignment horizontal="center" vertical="top" wrapText="1"/>
      <protection locked="0"/>
    </xf>
    <xf numFmtId="14" fontId="2" fillId="0" borderId="7" xfId="0" applyNumberFormat="1" applyFont="1" applyBorder="1" applyAlignment="1">
      <alignment horizontal="center" vertical="top" wrapText="1"/>
    </xf>
    <xf numFmtId="14" fontId="2" fillId="0" borderId="8" xfId="0" applyNumberFormat="1" applyFont="1" applyBorder="1" applyAlignment="1">
      <alignment horizontal="center" vertical="top" wrapText="1"/>
    </xf>
    <xf numFmtId="14" fontId="2" fillId="0" borderId="28" xfId="0" applyNumberFormat="1" applyFont="1" applyBorder="1" applyAlignment="1">
      <alignment horizontal="center" vertical="top" wrapText="1"/>
    </xf>
    <xf numFmtId="0" fontId="5" fillId="0" borderId="3" xfId="2" applyFont="1" applyBorder="1" applyAlignment="1" applyProtection="1">
      <alignment horizontal="left" vertical="top" wrapText="1"/>
      <protection locked="0"/>
    </xf>
    <xf numFmtId="0" fontId="5" fillId="0" borderId="4" xfId="2" applyFont="1" applyBorder="1" applyAlignment="1" applyProtection="1">
      <alignment horizontal="left" vertical="top" wrapText="1"/>
      <protection locked="0"/>
    </xf>
    <xf numFmtId="0" fontId="5" fillId="0" borderId="15" xfId="2" applyFont="1" applyBorder="1" applyAlignment="1" applyProtection="1">
      <alignment horizontal="left" vertical="top" wrapText="1"/>
      <protection locked="0"/>
    </xf>
    <xf numFmtId="0" fontId="9" fillId="0" borderId="24" xfId="2" applyFont="1" applyBorder="1" applyAlignment="1" applyProtection="1">
      <alignment horizontal="center" vertical="top" wrapText="1"/>
      <protection locked="0"/>
    </xf>
    <xf numFmtId="14" fontId="14" fillId="0" borderId="11" xfId="2" applyNumberFormat="1" applyFont="1" applyBorder="1" applyAlignment="1" applyProtection="1">
      <alignment horizontal="left" vertical="top" wrapText="1"/>
      <protection locked="0"/>
    </xf>
    <xf numFmtId="0" fontId="14" fillId="0" borderId="12" xfId="2" applyFont="1" applyBorder="1" applyAlignment="1" applyProtection="1">
      <alignment horizontal="left" vertical="top" wrapText="1"/>
      <protection locked="0"/>
    </xf>
    <xf numFmtId="0" fontId="14" fillId="0" borderId="14" xfId="2" applyFont="1" applyBorder="1" applyAlignment="1" applyProtection="1">
      <alignment horizontal="left" vertical="top" wrapText="1"/>
      <protection locked="0"/>
    </xf>
    <xf numFmtId="14" fontId="4" fillId="0" borderId="1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left" vertical="top" wrapText="1"/>
    </xf>
    <xf numFmtId="14" fontId="4" fillId="0" borderId="4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2" applyFont="1" applyBorder="1" applyAlignment="1">
      <alignment horizontal="left" vertical="top"/>
    </xf>
    <xf numFmtId="0" fontId="2" fillId="0" borderId="5" xfId="2" applyFont="1" applyBorder="1" applyAlignment="1">
      <alignment horizontal="left" vertical="top"/>
    </xf>
    <xf numFmtId="0" fontId="2" fillId="0" borderId="20" xfId="2" applyFont="1" applyBorder="1" applyAlignment="1" applyProtection="1">
      <alignment horizontal="center" vertical="top"/>
      <protection locked="0"/>
    </xf>
    <xf numFmtId="0" fontId="2" fillId="0" borderId="13" xfId="2" applyFont="1" applyBorder="1" applyAlignment="1" applyProtection="1">
      <alignment horizontal="center" vertical="top"/>
      <protection locked="0"/>
    </xf>
    <xf numFmtId="14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22" xfId="2" applyFont="1" applyBorder="1" applyAlignment="1" applyProtection="1">
      <alignment horizontal="left" vertical="top"/>
      <protection locked="0"/>
    </xf>
    <xf numFmtId="0" fontId="5" fillId="0" borderId="1" xfId="2" applyFont="1" applyBorder="1" applyAlignment="1" applyProtection="1">
      <alignment horizontal="left" vertical="top"/>
      <protection locked="0"/>
    </xf>
    <xf numFmtId="0" fontId="9" fillId="0" borderId="25" xfId="2" applyFont="1" applyBorder="1" applyAlignment="1" applyProtection="1">
      <alignment horizontal="center" vertical="top" wrapText="1"/>
      <protection locked="0"/>
    </xf>
    <xf numFmtId="0" fontId="10" fillId="0" borderId="1" xfId="2" applyFont="1" applyBorder="1" applyAlignment="1">
      <alignment horizontal="left" vertical="top" wrapText="1"/>
    </xf>
    <xf numFmtId="0" fontId="10" fillId="0" borderId="3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14" fontId="15" fillId="0" borderId="3" xfId="7" applyNumberFormat="1" applyBorder="1" applyAlignment="1">
      <alignment horizontal="left" vertical="top" wrapText="1"/>
    </xf>
    <xf numFmtId="0" fontId="4" fillId="0" borderId="1" xfId="2" applyFont="1" applyFill="1" applyBorder="1" applyAlignment="1" applyProtection="1">
      <alignment horizontal="center" vertical="top"/>
      <protection locked="0"/>
    </xf>
    <xf numFmtId="0" fontId="4" fillId="0" borderId="6" xfId="2" applyFont="1" applyFill="1" applyBorder="1" applyAlignment="1" applyProtection="1">
      <alignment horizontal="center" vertical="top"/>
      <protection locked="0"/>
    </xf>
    <xf numFmtId="0" fontId="4" fillId="0" borderId="25" xfId="2" applyFont="1" applyFill="1" applyBorder="1" applyAlignment="1" applyProtection="1">
      <alignment horizontal="center" vertical="top"/>
      <protection locked="0"/>
    </xf>
    <xf numFmtId="0" fontId="5" fillId="0" borderId="3" xfId="2" applyFont="1" applyFill="1" applyBorder="1" applyAlignment="1" applyProtection="1">
      <alignment horizontal="left" vertical="top" wrapText="1"/>
      <protection locked="0"/>
    </xf>
    <xf numFmtId="0" fontId="5" fillId="0" borderId="4" xfId="2" applyFont="1" applyFill="1" applyBorder="1" applyAlignment="1" applyProtection="1">
      <alignment horizontal="left" vertical="top" wrapText="1"/>
      <protection locked="0"/>
    </xf>
    <xf numFmtId="0" fontId="5" fillId="0" borderId="15" xfId="2" applyFont="1" applyFill="1" applyBorder="1" applyAlignment="1" applyProtection="1">
      <alignment horizontal="left" vertical="top" wrapText="1"/>
      <protection locked="0"/>
    </xf>
    <xf numFmtId="14" fontId="5" fillId="0" borderId="11" xfId="2" applyNumberFormat="1" applyFont="1" applyFill="1" applyBorder="1" applyAlignment="1" applyProtection="1">
      <alignment horizontal="left" vertical="top" wrapText="1"/>
      <protection locked="0"/>
    </xf>
    <xf numFmtId="0" fontId="5" fillId="0" borderId="12" xfId="2" applyFont="1" applyFill="1" applyBorder="1" applyAlignment="1" applyProtection="1">
      <alignment horizontal="left" vertical="top" wrapText="1"/>
      <protection locked="0"/>
    </xf>
    <xf numFmtId="0" fontId="5" fillId="0" borderId="14" xfId="2" applyFont="1" applyFill="1" applyBorder="1" applyAlignment="1" applyProtection="1">
      <alignment horizontal="left" vertical="top" wrapText="1"/>
      <protection locked="0"/>
    </xf>
    <xf numFmtId="0" fontId="4" fillId="0" borderId="1" xfId="2" applyFont="1" applyFill="1" applyBorder="1" applyAlignment="1" applyProtection="1">
      <alignment horizontal="center" vertical="top" wrapText="1"/>
      <protection locked="0"/>
    </xf>
    <xf numFmtId="0" fontId="4" fillId="0" borderId="3" xfId="2" applyFont="1" applyFill="1" applyBorder="1" applyAlignment="1" applyProtection="1">
      <alignment horizontal="center" vertical="top" wrapText="1"/>
      <protection locked="0"/>
    </xf>
    <xf numFmtId="0" fontId="4" fillId="0" borderId="6" xfId="2" applyFont="1" applyFill="1" applyBorder="1" applyAlignment="1" applyProtection="1">
      <alignment horizontal="center" vertical="top" wrapText="1"/>
      <protection locked="0"/>
    </xf>
    <xf numFmtId="0" fontId="4" fillId="0" borderId="1" xfId="2" applyFont="1" applyFill="1" applyBorder="1" applyAlignment="1" applyProtection="1">
      <alignment horizontal="center" vertical="top" wrapText="1"/>
      <protection locked="0"/>
    </xf>
    <xf numFmtId="0" fontId="4" fillId="0" borderId="25" xfId="2" applyFont="1" applyFill="1" applyBorder="1" applyAlignment="1" applyProtection="1">
      <alignment horizontal="center" vertical="top" wrapText="1"/>
      <protection locked="0"/>
    </xf>
    <xf numFmtId="0" fontId="4" fillId="0" borderId="1" xfId="2" applyFont="1" applyFill="1" applyBorder="1" applyAlignment="1" applyProtection="1">
      <alignment horizontal="center" wrapText="1"/>
      <protection locked="0"/>
    </xf>
    <xf numFmtId="9" fontId="4" fillId="0" borderId="3" xfId="2" applyNumberFormat="1" applyFont="1" applyFill="1" applyBorder="1" applyAlignment="1" applyProtection="1">
      <alignment horizontal="center" vertical="center" wrapText="1"/>
      <protection hidden="1"/>
    </xf>
    <xf numFmtId="9" fontId="4" fillId="0" borderId="1" xfId="2" applyNumberFormat="1" applyFont="1" applyFill="1" applyBorder="1" applyAlignment="1" applyProtection="1">
      <alignment horizontal="center" vertical="center" wrapText="1"/>
      <protection hidden="1"/>
    </xf>
    <xf numFmtId="9" fontId="4" fillId="0" borderId="7" xfId="2" applyNumberFormat="1" applyFont="1" applyFill="1" applyBorder="1" applyAlignment="1" applyProtection="1">
      <alignment horizontal="center" vertical="center" wrapText="1"/>
      <protection hidden="1"/>
    </xf>
    <xf numFmtId="9" fontId="4" fillId="0" borderId="28" xfId="2" applyNumberFormat="1" applyFont="1" applyFill="1" applyBorder="1" applyAlignment="1" applyProtection="1">
      <alignment horizontal="center" vertical="center" wrapText="1"/>
      <protection hidden="1"/>
    </xf>
    <xf numFmtId="1" fontId="4" fillId="0" borderId="1" xfId="2" applyNumberFormat="1" applyFont="1" applyFill="1" applyBorder="1" applyAlignment="1" applyProtection="1">
      <alignment horizontal="center" wrapText="1"/>
      <protection locked="0"/>
    </xf>
    <xf numFmtId="9" fontId="4" fillId="0" borderId="9" xfId="2" applyNumberFormat="1" applyFont="1" applyFill="1" applyBorder="1" applyAlignment="1" applyProtection="1">
      <alignment horizontal="center" vertical="center" wrapText="1"/>
      <protection hidden="1"/>
    </xf>
    <xf numFmtId="9" fontId="4" fillId="0" borderId="33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18" xfId="2" applyFont="1" applyFill="1" applyBorder="1" applyAlignment="1" applyProtection="1">
      <alignment horizontal="center" wrapText="1"/>
      <protection locked="0"/>
    </xf>
    <xf numFmtId="9" fontId="4" fillId="0" borderId="17" xfId="2" applyNumberFormat="1" applyFont="1" applyFill="1" applyBorder="1" applyAlignment="1" applyProtection="1">
      <alignment horizontal="center" vertical="center" wrapText="1"/>
      <protection hidden="1"/>
    </xf>
    <xf numFmtId="9" fontId="4" fillId="0" borderId="18" xfId="2" applyNumberFormat="1" applyFont="1" applyFill="1" applyBorder="1" applyAlignment="1" applyProtection="1">
      <alignment horizontal="center" vertical="center" wrapText="1"/>
      <protection hidden="1"/>
    </xf>
    <xf numFmtId="9" fontId="4" fillId="0" borderId="27" xfId="2" applyNumberFormat="1" applyFont="1" applyFill="1" applyBorder="1" applyAlignment="1" applyProtection="1">
      <alignment horizontal="center" vertical="center" wrapText="1"/>
      <protection hidden="1"/>
    </xf>
    <xf numFmtId="9" fontId="4" fillId="0" borderId="36" xfId="2" applyNumberFormat="1" applyFont="1" applyFill="1" applyBorder="1" applyAlignment="1" applyProtection="1">
      <alignment horizontal="center" vertical="center" wrapText="1"/>
      <protection hidden="1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1" xfId="2" applyNumberFormat="1" applyFont="1" applyBorder="1" applyAlignment="1">
      <alignment horizontal="left" vertical="top" wrapText="1"/>
    </xf>
    <xf numFmtId="0" fontId="4" fillId="0" borderId="3" xfId="2" applyFont="1" applyBorder="1" applyAlignment="1">
      <alignment horizontal="left" vertical="top" wrapText="1"/>
    </xf>
    <xf numFmtId="0" fontId="4" fillId="0" borderId="6" xfId="2" applyFont="1" applyBorder="1" applyAlignment="1">
      <alignment horizontal="left" vertical="top" wrapText="1"/>
    </xf>
    <xf numFmtId="14" fontId="4" fillId="0" borderId="3" xfId="2" applyNumberFormat="1" applyFont="1" applyBorder="1" applyAlignment="1">
      <alignment horizontal="left" vertical="top" wrapText="1"/>
    </xf>
    <xf numFmtId="0" fontId="16" fillId="0" borderId="0" xfId="2" applyFont="1" applyAlignment="1">
      <alignment horizontal="center" vertical="center"/>
    </xf>
    <xf numFmtId="1" fontId="16" fillId="0" borderId="0" xfId="2" applyNumberFormat="1" applyFont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1" fontId="3" fillId="0" borderId="29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1" fontId="3" fillId="0" borderId="33" xfId="0" applyNumberFormat="1" applyFont="1" applyBorder="1" applyAlignment="1">
      <alignment horizontal="center" vertical="center" wrapText="1"/>
    </xf>
    <xf numFmtId="9" fontId="5" fillId="0" borderId="5" xfId="6" applyFont="1" applyFill="1" applyBorder="1" applyAlignment="1" applyProtection="1">
      <alignment horizontal="center" vertical="top" wrapText="1"/>
      <protection locked="0"/>
    </xf>
    <xf numFmtId="9" fontId="4" fillId="0" borderId="1" xfId="0" applyNumberFormat="1" applyFont="1" applyBorder="1" applyAlignment="1">
      <alignment horizontal="center" vertical="top" wrapText="1"/>
    </xf>
    <xf numFmtId="10" fontId="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7" xfId="2" applyFont="1" applyBorder="1" applyAlignment="1">
      <alignment horizontal="left" vertical="top" wrapText="1"/>
    </xf>
    <xf numFmtId="0" fontId="4" fillId="0" borderId="28" xfId="2" applyFont="1" applyBorder="1" applyAlignment="1">
      <alignment horizontal="left" vertical="top" wrapText="1"/>
    </xf>
    <xf numFmtId="0" fontId="4" fillId="0" borderId="8" xfId="2" applyFont="1" applyBorder="1" applyAlignment="1">
      <alignment horizontal="left" vertical="top" wrapText="1"/>
    </xf>
    <xf numFmtId="0" fontId="4" fillId="0" borderId="9" xfId="2" applyFont="1" applyBorder="1" applyAlignment="1">
      <alignment horizontal="left" vertical="top" wrapText="1"/>
    </xf>
    <xf numFmtId="0" fontId="4" fillId="0" borderId="33" xfId="2" applyFont="1" applyBorder="1" applyAlignment="1">
      <alignment horizontal="left" vertical="top" wrapText="1"/>
    </xf>
    <xf numFmtId="0" fontId="4" fillId="0" borderId="29" xfId="2" applyFont="1" applyBorder="1" applyAlignment="1">
      <alignment horizontal="left" vertical="top" wrapText="1"/>
    </xf>
    <xf numFmtId="0" fontId="4" fillId="0" borderId="30" xfId="2" applyFont="1" applyBorder="1" applyAlignment="1">
      <alignment horizontal="left" vertical="top" wrapText="1"/>
    </xf>
    <xf numFmtId="0" fontId="4" fillId="0" borderId="31" xfId="2" applyFont="1" applyBorder="1" applyAlignment="1">
      <alignment horizontal="left" vertical="top" wrapText="1"/>
    </xf>
    <xf numFmtId="0" fontId="4" fillId="0" borderId="4" xfId="2" applyFont="1" applyBorder="1" applyAlignment="1">
      <alignment horizontal="left" vertical="top" wrapText="1"/>
    </xf>
    <xf numFmtId="1" fontId="4" fillId="0" borderId="2" xfId="0" applyNumberFormat="1" applyFont="1" applyBorder="1" applyAlignment="1" applyProtection="1">
      <alignment horizontal="center" vertical="center" wrapText="1"/>
      <protection locked="0"/>
    </xf>
    <xf numFmtId="1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2" fillId="0" borderId="5" xfId="2" applyFont="1" applyBorder="1" applyAlignment="1">
      <alignment horizontal="center" vertical="top"/>
    </xf>
    <xf numFmtId="1" fontId="5" fillId="0" borderId="37" xfId="0" applyNumberFormat="1" applyFont="1" applyBorder="1" applyAlignment="1" applyProtection="1">
      <alignment horizontal="center" vertical="center" wrapText="1"/>
      <protection locked="0"/>
    </xf>
    <xf numFmtId="1" fontId="5" fillId="0" borderId="38" xfId="0" applyNumberFormat="1" applyFont="1" applyBorder="1" applyAlignment="1" applyProtection="1">
      <alignment horizontal="center" vertical="center" wrapText="1"/>
      <protection locked="0"/>
    </xf>
    <xf numFmtId="1" fontId="5" fillId="0" borderId="38" xfId="0" applyNumberFormat="1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1" fontId="5" fillId="0" borderId="38" xfId="0" applyNumberFormat="1" applyFont="1" applyBorder="1" applyAlignment="1">
      <alignment horizontal="center" vertical="top" wrapText="1"/>
    </xf>
    <xf numFmtId="1" fontId="5" fillId="0" borderId="39" xfId="0" applyNumberFormat="1" applyFont="1" applyBorder="1" applyAlignment="1">
      <alignment horizontal="center" vertical="top" wrapText="1"/>
    </xf>
  </cellXfs>
  <cellStyles count="8">
    <cellStyle name="Comma 2" xfId="5" xr:uid="{00000000-0005-0000-0000-000000000000}"/>
    <cellStyle name="Excel Built-in Normal" xfId="1" xr:uid="{00000000-0005-0000-0000-000001000000}"/>
    <cellStyle name="Excel Built-in Normal 2" xfId="3" xr:uid="{00000000-0005-0000-0000-000002000000}"/>
    <cellStyle name="Hyperlink" xfId="7" builtinId="8"/>
    <cellStyle name="Normal" xfId="0" builtinId="0"/>
    <cellStyle name="Normal 3" xfId="2" xr:uid="{00000000-0005-0000-0000-000004000000}"/>
    <cellStyle name="Normal 4" xfId="4" xr:uid="{00000000-0005-0000-0000-000005000000}"/>
    <cellStyle name="Percent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10</xdr:row>
      <xdr:rowOff>167640</xdr:rowOff>
    </xdr:from>
    <xdr:to>
      <xdr:col>16</xdr:col>
      <xdr:colOff>567240</xdr:colOff>
      <xdr:row>11</xdr:row>
      <xdr:rowOff>418660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4AE04E-22F9-93D3-A55E-78420D11C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55180" y="2903220"/>
          <a:ext cx="3600000" cy="814900"/>
        </a:xfrm>
        <a:prstGeom prst="rect">
          <a:avLst/>
        </a:prstGeom>
      </xdr:spPr>
    </xdr:pic>
    <xdr:clientData/>
  </xdr:twoCellAnchor>
  <xdr:twoCellAnchor editAs="oneCell">
    <xdr:from>
      <xdr:col>9</xdr:col>
      <xdr:colOff>251460</xdr:colOff>
      <xdr:row>24</xdr:row>
      <xdr:rowOff>228600</xdr:rowOff>
    </xdr:from>
    <xdr:to>
      <xdr:col>17</xdr:col>
      <xdr:colOff>7260</xdr:colOff>
      <xdr:row>31</xdr:row>
      <xdr:rowOff>120370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FDBC27-0D85-339E-0EF6-8988C40BD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0040" y="9502140"/>
          <a:ext cx="2880000" cy="2513050"/>
        </a:xfrm>
        <a:prstGeom prst="rect">
          <a:avLst/>
        </a:prstGeom>
      </xdr:spPr>
    </xdr:pic>
    <xdr:clientData/>
  </xdr:twoCellAnchor>
  <xdr:twoCellAnchor>
    <xdr:from>
      <xdr:col>0</xdr:col>
      <xdr:colOff>472440</xdr:colOff>
      <xdr:row>230</xdr:row>
      <xdr:rowOff>22860</xdr:rowOff>
    </xdr:from>
    <xdr:to>
      <xdr:col>7</xdr:col>
      <xdr:colOff>312420</xdr:colOff>
      <xdr:row>273</xdr:row>
      <xdr:rowOff>83820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46ACFFAB-F128-B2F8-0712-015F691D6029}"/>
            </a:ext>
          </a:extLst>
        </xdr:cNvPr>
        <xdr:cNvGrpSpPr/>
      </xdr:nvGrpSpPr>
      <xdr:grpSpPr>
        <a:xfrm>
          <a:off x="472440" y="54444900"/>
          <a:ext cx="5722620" cy="7597140"/>
          <a:chOff x="306878" y="113773"/>
          <a:chExt cx="5938000" cy="8197964"/>
        </a:xfrm>
      </xdr:grpSpPr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53EA0991-C50E-F1DE-7960-F1781523F974}"/>
              </a:ext>
            </a:extLst>
          </xdr:cNvPr>
          <xdr:cNvGrpSpPr/>
        </xdr:nvGrpSpPr>
        <xdr:grpSpPr>
          <a:xfrm>
            <a:off x="667878" y="4152755"/>
            <a:ext cx="5216000" cy="2160000"/>
            <a:chOff x="652478" y="4152755"/>
            <a:chExt cx="5216000" cy="2160000"/>
          </a:xfrm>
        </xdr:grpSpPr>
        <xdr:pic>
          <xdr:nvPicPr>
            <xdr:cNvPr id="12" name="Picture 11">
              <a:extLst>
                <a:ext uri="{FF2B5EF4-FFF2-40B4-BE49-F238E27FC236}">
                  <a16:creationId xmlns:a16="http://schemas.microsoft.com/office/drawing/2014/main" id="{AFA6117D-1BD8-8D8D-3E88-0CD58197FC8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2450478" y="4152755"/>
              <a:ext cx="1620000" cy="216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13" name="Picture 12">
              <a:extLst>
                <a:ext uri="{FF2B5EF4-FFF2-40B4-BE49-F238E27FC236}">
                  <a16:creationId xmlns:a16="http://schemas.microsoft.com/office/drawing/2014/main" id="{99848734-AFCA-2F45-5EE9-D95838D15F4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4248478" y="4152755"/>
              <a:ext cx="1620000" cy="216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14" name="Picture 13">
              <a:extLst>
                <a:ext uri="{FF2B5EF4-FFF2-40B4-BE49-F238E27FC236}">
                  <a16:creationId xmlns:a16="http://schemas.microsoft.com/office/drawing/2014/main" id="{E9D492F8-91B0-E05C-4DDB-6FE2D61A6AB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652478" y="4152755"/>
              <a:ext cx="1620000" cy="216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</xdr:grpSp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D65D3457-D092-0125-EEAD-8C1A793F9EE4}"/>
              </a:ext>
            </a:extLst>
          </xdr:cNvPr>
          <xdr:cNvGrpSpPr/>
        </xdr:nvGrpSpPr>
        <xdr:grpSpPr>
          <a:xfrm>
            <a:off x="306878" y="113773"/>
            <a:ext cx="5938000" cy="3840000"/>
            <a:chOff x="306878" y="113773"/>
            <a:chExt cx="5938000" cy="3840000"/>
          </a:xfrm>
        </xdr:grpSpPr>
        <xdr:pic>
          <xdr:nvPicPr>
            <xdr:cNvPr id="10" name="Picture 9">
              <a:extLst>
                <a:ext uri="{FF2B5EF4-FFF2-40B4-BE49-F238E27FC236}">
                  <a16:creationId xmlns:a16="http://schemas.microsoft.com/office/drawing/2014/main" id="{A0F3D577-97A9-54DB-2F53-A1EF6F4B280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3364878" y="113773"/>
              <a:ext cx="2880000" cy="384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11" name="Picture 10">
              <a:extLst>
                <a:ext uri="{FF2B5EF4-FFF2-40B4-BE49-F238E27FC236}">
                  <a16:creationId xmlns:a16="http://schemas.microsoft.com/office/drawing/2014/main" id="{B5048CBE-2E54-37DD-6CA7-3121E1021BF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306878" y="113773"/>
              <a:ext cx="2880000" cy="384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</xdr:grpSp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34209808-3374-0A13-4FA3-D136584E1F9E}"/>
              </a:ext>
            </a:extLst>
          </xdr:cNvPr>
          <xdr:cNvGrpSpPr/>
        </xdr:nvGrpSpPr>
        <xdr:grpSpPr>
          <a:xfrm>
            <a:off x="911878" y="6511737"/>
            <a:ext cx="4728000" cy="1800000"/>
            <a:chOff x="922478" y="6511737"/>
            <a:chExt cx="4728000" cy="1800000"/>
          </a:xfrm>
        </xdr:grpSpPr>
        <xdr:pic>
          <xdr:nvPicPr>
            <xdr:cNvPr id="8" name="Picture 7">
              <a:extLst>
                <a:ext uri="{FF2B5EF4-FFF2-40B4-BE49-F238E27FC236}">
                  <a16:creationId xmlns:a16="http://schemas.microsoft.com/office/drawing/2014/main" id="{EFBA6C0F-0375-A3AD-A4E8-066C81A5917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2450478" y="6511737"/>
              <a:ext cx="3200000" cy="180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9" name="Picture 8">
              <a:extLst>
                <a:ext uri="{FF2B5EF4-FFF2-40B4-BE49-F238E27FC236}">
                  <a16:creationId xmlns:a16="http://schemas.microsoft.com/office/drawing/2014/main" id="{984D26DC-2F86-5180-F1AF-37F6D954152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922478" y="6511737"/>
              <a:ext cx="1350000" cy="180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</xdr:grpSp>
    </xdr:grpSp>
    <xdr:clientData/>
  </xdr:twoCellAnchor>
  <xdr:twoCellAnchor editAs="oneCell">
    <xdr:from>
      <xdr:col>1</xdr:col>
      <xdr:colOff>281940</xdr:colOff>
      <xdr:row>276</xdr:row>
      <xdr:rowOff>144779</xdr:rowOff>
    </xdr:from>
    <xdr:to>
      <xdr:col>6</xdr:col>
      <xdr:colOff>701040</xdr:colOff>
      <xdr:row>317</xdr:row>
      <xdr:rowOff>90474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F5EEFAF-2D58-05A1-47F1-4A4087E2F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59180" y="61714379"/>
          <a:ext cx="4732020" cy="713135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0</xdr:col>
      <xdr:colOff>716280</xdr:colOff>
      <xdr:row>321</xdr:row>
      <xdr:rowOff>7620</xdr:rowOff>
    </xdr:from>
    <xdr:to>
      <xdr:col>6</xdr:col>
      <xdr:colOff>746760</xdr:colOff>
      <xdr:row>353</xdr:row>
      <xdr:rowOff>106680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2071A4D3-52B4-45CA-A8AD-7999AB45EE4A}"/>
            </a:ext>
          </a:extLst>
        </xdr:cNvPr>
        <xdr:cNvGrpSpPr/>
      </xdr:nvGrpSpPr>
      <xdr:grpSpPr>
        <a:xfrm>
          <a:off x="716280" y="70378320"/>
          <a:ext cx="5120640" cy="5707380"/>
          <a:chOff x="285750" y="54648735"/>
          <a:chExt cx="5908590" cy="6583776"/>
        </a:xfrm>
      </xdr:grpSpPr>
      <xdr:pic>
        <xdr:nvPicPr>
          <xdr:cNvPr id="17" name="Picture 16">
            <a:extLst>
              <a:ext uri="{FF2B5EF4-FFF2-40B4-BE49-F238E27FC236}">
                <a16:creationId xmlns:a16="http://schemas.microsoft.com/office/drawing/2014/main" id="{9CCA0ACA-B094-C050-F7AB-F1ADE2374C9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85750" y="54648735"/>
            <a:ext cx="5908590" cy="244946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18" name="Picture 17">
            <a:extLst>
              <a:ext uri="{FF2B5EF4-FFF2-40B4-BE49-F238E27FC236}">
                <a16:creationId xmlns:a16="http://schemas.microsoft.com/office/drawing/2014/main" id="{A9F0E2D5-3341-169D-F9C2-8F203645A68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85750" y="57263654"/>
            <a:ext cx="5908590" cy="3968857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D8F4FECD-5AF6-4E5C-8571-5F641DFF327F}"/>
              </a:ext>
            </a:extLst>
          </xdr:cNvPr>
          <xdr:cNvSpPr/>
        </xdr:nvSpPr>
        <xdr:spPr>
          <a:xfrm rot="2935010">
            <a:off x="3052763" y="58480642"/>
            <a:ext cx="632460" cy="1223010"/>
          </a:xfrm>
          <a:prstGeom prst="rect">
            <a:avLst/>
          </a:prstGeom>
          <a:noFill/>
          <a:ln w="57150"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IN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510539</xdr:colOff>
      <xdr:row>0</xdr:row>
      <xdr:rowOff>99060</xdr:rowOff>
    </xdr:from>
    <xdr:to>
      <xdr:col>12</xdr:col>
      <xdr:colOff>532054</xdr:colOff>
      <xdr:row>16</xdr:row>
      <xdr:rowOff>99060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C83BF8-594B-351B-6F07-4C52EBBD8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9339" y="99060"/>
          <a:ext cx="5507915" cy="2926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ps.app.goo.gl/V8mBZubUezkNSi5fA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2.v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3"/>
  <sheetViews>
    <sheetView tabSelected="1" view="pageBreakPreview" topLeftCell="A202" zoomScaleNormal="85" zoomScaleSheetLayoutView="100" zoomScalePageLayoutView="85" workbookViewId="0">
      <selection activeCell="I210" sqref="I210"/>
    </sheetView>
  </sheetViews>
  <sheetFormatPr defaultColWidth="9.109375" defaultRowHeight="13.8" x14ac:dyDescent="0.25"/>
  <cols>
    <col min="1" max="1" width="11.33203125" style="11" customWidth="1"/>
    <col min="2" max="2" width="13.33203125" style="11" customWidth="1"/>
    <col min="3" max="3" width="12.109375" style="11" customWidth="1"/>
    <col min="4" max="4" width="12.44140625" style="11" customWidth="1"/>
    <col min="5" max="5" width="11.6640625" style="11" customWidth="1"/>
    <col min="6" max="6" width="13.33203125" style="11" customWidth="1"/>
    <col min="7" max="7" width="11.5546875" style="11" customWidth="1"/>
    <col min="8" max="8" width="11.88671875" style="11" customWidth="1"/>
    <col min="9" max="9" width="14.44140625" style="11" customWidth="1"/>
    <col min="10" max="13" width="9.109375" style="11"/>
    <col min="14" max="16" width="0" style="11" hidden="1" customWidth="1"/>
    <col min="17" max="16384" width="9.109375" style="11"/>
  </cols>
  <sheetData>
    <row r="1" spans="1:9" ht="43.95" customHeight="1" x14ac:dyDescent="0.25">
      <c r="A1" s="88" t="s">
        <v>126</v>
      </c>
      <c r="B1" s="88"/>
      <c r="C1" s="88"/>
      <c r="D1" s="88"/>
      <c r="E1" s="88"/>
      <c r="F1" s="88"/>
      <c r="G1" s="88"/>
      <c r="H1" s="88"/>
    </row>
    <row r="2" spans="1:9" x14ac:dyDescent="0.25">
      <c r="A2" s="154" t="s">
        <v>8</v>
      </c>
      <c r="B2" s="154"/>
      <c r="C2" s="154"/>
      <c r="D2" s="154"/>
      <c r="E2" s="154"/>
      <c r="F2" s="154"/>
      <c r="G2" s="154"/>
      <c r="H2" s="154"/>
    </row>
    <row r="3" spans="1:9" x14ac:dyDescent="0.25">
      <c r="A3" s="12" t="s">
        <v>16</v>
      </c>
      <c r="B3" s="156" t="s">
        <v>14</v>
      </c>
      <c r="C3" s="156"/>
      <c r="D3" s="156"/>
      <c r="E3" s="155" t="s">
        <v>17</v>
      </c>
      <c r="F3" s="155"/>
      <c r="G3" s="155"/>
      <c r="H3" s="155"/>
    </row>
    <row r="4" spans="1:9" ht="15" customHeight="1" x14ac:dyDescent="0.25">
      <c r="A4" s="13">
        <v>1</v>
      </c>
      <c r="B4" s="86" t="s">
        <v>18</v>
      </c>
      <c r="C4" s="86"/>
      <c r="D4" s="86"/>
      <c r="E4" s="157" t="s">
        <v>175</v>
      </c>
      <c r="F4" s="157"/>
      <c r="G4" s="157"/>
      <c r="H4" s="157"/>
    </row>
    <row r="5" spans="1:9" ht="56.4" customHeight="1" x14ac:dyDescent="0.25">
      <c r="A5" s="61">
        <v>2</v>
      </c>
      <c r="B5" s="86" t="s">
        <v>19</v>
      </c>
      <c r="C5" s="86"/>
      <c r="D5" s="86"/>
      <c r="E5" s="82" t="s">
        <v>254</v>
      </c>
      <c r="F5" s="82"/>
      <c r="G5" s="82"/>
      <c r="H5" s="82"/>
    </row>
    <row r="6" spans="1:9" ht="15.75" customHeight="1" x14ac:dyDescent="0.25">
      <c r="A6" s="62"/>
      <c r="B6" s="86"/>
      <c r="C6" s="86"/>
      <c r="D6" s="86"/>
      <c r="E6" s="97" t="s">
        <v>127</v>
      </c>
      <c r="F6" s="98"/>
      <c r="G6" s="152" t="s">
        <v>188</v>
      </c>
      <c r="H6" s="152"/>
    </row>
    <row r="7" spans="1:9" ht="15.75" customHeight="1" x14ac:dyDescent="0.25">
      <c r="A7" s="62"/>
      <c r="B7" s="160" t="s">
        <v>124</v>
      </c>
      <c r="C7" s="161"/>
      <c r="D7" s="161"/>
      <c r="E7" s="179" t="s">
        <v>189</v>
      </c>
      <c r="F7" s="158"/>
      <c r="G7" s="158"/>
      <c r="H7" s="159"/>
    </row>
    <row r="8" spans="1:9" x14ac:dyDescent="0.25">
      <c r="A8" s="62"/>
      <c r="B8" s="86" t="s">
        <v>84</v>
      </c>
      <c r="C8" s="86"/>
      <c r="D8" s="86"/>
      <c r="E8" s="97" t="s">
        <v>175</v>
      </c>
      <c r="F8" s="98"/>
      <c r="G8" s="97" t="s">
        <v>176</v>
      </c>
      <c r="H8" s="98"/>
    </row>
    <row r="9" spans="1:9" x14ac:dyDescent="0.25">
      <c r="A9" s="63"/>
      <c r="B9" s="86" t="s">
        <v>134</v>
      </c>
      <c r="C9" s="86"/>
      <c r="D9" s="86"/>
      <c r="E9" s="82" t="s">
        <v>177</v>
      </c>
      <c r="F9" s="82"/>
      <c r="G9" s="82"/>
      <c r="H9" s="82"/>
    </row>
    <row r="10" spans="1:9" x14ac:dyDescent="0.25">
      <c r="A10" s="13">
        <v>3</v>
      </c>
      <c r="B10" s="86" t="s">
        <v>20</v>
      </c>
      <c r="C10" s="86"/>
      <c r="D10" s="86"/>
      <c r="E10" s="82" t="s">
        <v>252</v>
      </c>
      <c r="F10" s="82"/>
      <c r="G10" s="82"/>
      <c r="H10" s="82"/>
    </row>
    <row r="11" spans="1:9" ht="44.4" customHeight="1" x14ac:dyDescent="0.25">
      <c r="A11" s="13">
        <v>4</v>
      </c>
      <c r="B11" s="86" t="s">
        <v>21</v>
      </c>
      <c r="C11" s="86"/>
      <c r="D11" s="86"/>
      <c r="E11" s="82" t="s">
        <v>178</v>
      </c>
      <c r="F11" s="82"/>
      <c r="G11" s="82"/>
      <c r="H11" s="82"/>
    </row>
    <row r="12" spans="1:9" ht="54.6" customHeight="1" x14ac:dyDescent="0.25">
      <c r="A12" s="13">
        <v>5</v>
      </c>
      <c r="B12" s="86" t="s">
        <v>22</v>
      </c>
      <c r="C12" s="86"/>
      <c r="D12" s="86"/>
      <c r="E12" s="82" t="s">
        <v>179</v>
      </c>
      <c r="F12" s="82"/>
      <c r="G12" s="82"/>
      <c r="H12" s="82"/>
      <c r="I12" s="99" t="s">
        <v>123</v>
      </c>
    </row>
    <row r="13" spans="1:9" ht="55.8" customHeight="1" x14ac:dyDescent="0.25">
      <c r="A13" s="13">
        <v>6</v>
      </c>
      <c r="B13" s="86" t="s">
        <v>23</v>
      </c>
      <c r="C13" s="86"/>
      <c r="D13" s="86"/>
      <c r="E13" s="134" t="str">
        <f>E12</f>
        <v>Proposed redevelopment of existing Building No. 129 known as Nehru Nagar Saubhagya CO-OP HSG, Beasing CTS NO 02(pt) At village Kurla East, Nehru Nahar, Mumbai 400024</v>
      </c>
      <c r="F13" s="134"/>
      <c r="G13" s="134"/>
      <c r="H13" s="134"/>
      <c r="I13" s="99"/>
    </row>
    <row r="14" spans="1:9" ht="15" customHeight="1" x14ac:dyDescent="0.25">
      <c r="A14" s="13">
        <v>7</v>
      </c>
      <c r="B14" s="86" t="s">
        <v>24</v>
      </c>
      <c r="C14" s="86"/>
      <c r="D14" s="86"/>
      <c r="E14" s="82">
        <v>45882</v>
      </c>
      <c r="F14" s="82"/>
      <c r="G14" s="82"/>
      <c r="H14" s="82"/>
    </row>
    <row r="15" spans="1:9" ht="15" customHeight="1" x14ac:dyDescent="0.25">
      <c r="A15" s="13">
        <v>8</v>
      </c>
      <c r="B15" s="86" t="s">
        <v>167</v>
      </c>
      <c r="C15" s="86"/>
      <c r="D15" s="86"/>
      <c r="E15" s="82">
        <v>45881</v>
      </c>
      <c r="F15" s="82"/>
      <c r="G15" s="82"/>
      <c r="H15" s="82"/>
    </row>
    <row r="16" spans="1:9" ht="72.599999999999994" customHeight="1" x14ac:dyDescent="0.25">
      <c r="A16" s="13">
        <v>9</v>
      </c>
      <c r="B16" s="86" t="s">
        <v>25</v>
      </c>
      <c r="C16" s="86"/>
      <c r="D16" s="86"/>
      <c r="E16" s="82" t="s">
        <v>249</v>
      </c>
      <c r="F16" s="82"/>
      <c r="G16" s="82"/>
      <c r="H16" s="82"/>
    </row>
    <row r="17" spans="1:10" ht="30.75" customHeight="1" x14ac:dyDescent="0.25">
      <c r="A17" s="13">
        <v>10</v>
      </c>
      <c r="B17" s="84" t="s">
        <v>26</v>
      </c>
      <c r="C17" s="84"/>
      <c r="D17" s="84"/>
      <c r="E17" s="85" t="s">
        <v>9</v>
      </c>
      <c r="F17" s="85"/>
      <c r="G17" s="85"/>
      <c r="H17" s="85"/>
    </row>
    <row r="18" spans="1:10" x14ac:dyDescent="0.25">
      <c r="A18" s="13">
        <v>11</v>
      </c>
      <c r="B18" s="86" t="s">
        <v>27</v>
      </c>
      <c r="C18" s="86"/>
      <c r="D18" s="86"/>
      <c r="E18" s="85">
        <v>45887</v>
      </c>
      <c r="F18" s="85"/>
      <c r="G18" s="85"/>
      <c r="H18" s="85"/>
    </row>
    <row r="19" spans="1:10" ht="46.5" customHeight="1" x14ac:dyDescent="0.25">
      <c r="A19" s="13">
        <v>12</v>
      </c>
      <c r="B19" s="84" t="s">
        <v>28</v>
      </c>
      <c r="C19" s="84"/>
      <c r="D19" s="84"/>
      <c r="E19" s="85" t="s">
        <v>65</v>
      </c>
      <c r="F19" s="85"/>
      <c r="G19" s="85"/>
      <c r="H19" s="85"/>
    </row>
    <row r="20" spans="1:10" ht="47.25" customHeight="1" x14ac:dyDescent="0.25">
      <c r="A20" s="13">
        <v>13</v>
      </c>
      <c r="B20" s="84" t="s">
        <v>96</v>
      </c>
      <c r="C20" s="84"/>
      <c r="D20" s="84"/>
      <c r="E20" s="82" t="s">
        <v>180</v>
      </c>
      <c r="F20" s="82"/>
      <c r="G20" s="82"/>
      <c r="H20" s="82"/>
    </row>
    <row r="21" spans="1:10" ht="29.25" customHeight="1" x14ac:dyDescent="0.25">
      <c r="A21" s="13">
        <v>14</v>
      </c>
      <c r="B21" s="84" t="s">
        <v>29</v>
      </c>
      <c r="C21" s="84"/>
      <c r="D21" s="84"/>
      <c r="E21" s="82">
        <v>45883</v>
      </c>
      <c r="F21" s="82"/>
      <c r="G21" s="82"/>
      <c r="H21" s="82"/>
    </row>
    <row r="22" spans="1:10" ht="15" customHeight="1" x14ac:dyDescent="0.25">
      <c r="A22" s="13">
        <v>15</v>
      </c>
      <c r="B22" s="84" t="s">
        <v>30</v>
      </c>
      <c r="C22" s="84"/>
      <c r="D22" s="84"/>
      <c r="E22" s="153" t="s">
        <v>181</v>
      </c>
      <c r="F22" s="153"/>
      <c r="G22" s="153"/>
      <c r="H22" s="153"/>
      <c r="I22" s="100"/>
      <c r="J22" s="101"/>
    </row>
    <row r="23" spans="1:10" ht="30" customHeight="1" x14ac:dyDescent="0.25">
      <c r="A23" s="13">
        <v>16</v>
      </c>
      <c r="B23" s="84" t="s">
        <v>31</v>
      </c>
      <c r="C23" s="84"/>
      <c r="D23" s="84"/>
      <c r="E23" s="82" t="s">
        <v>182</v>
      </c>
      <c r="F23" s="82"/>
      <c r="G23" s="82"/>
      <c r="H23" s="82"/>
      <c r="I23" s="100"/>
      <c r="J23" s="101"/>
    </row>
    <row r="24" spans="1:10" ht="46.5" customHeight="1" x14ac:dyDescent="0.25">
      <c r="A24" s="13">
        <v>17</v>
      </c>
      <c r="B24" s="84" t="s">
        <v>97</v>
      </c>
      <c r="C24" s="84"/>
      <c r="D24" s="84"/>
      <c r="E24" s="82" t="s">
        <v>180</v>
      </c>
      <c r="F24" s="82"/>
      <c r="G24" s="82"/>
      <c r="H24" s="82"/>
      <c r="I24" s="100"/>
      <c r="J24" s="101"/>
    </row>
    <row r="25" spans="1:10" ht="31.5" customHeight="1" x14ac:dyDescent="0.25">
      <c r="A25" s="13">
        <v>18</v>
      </c>
      <c r="B25" s="84" t="s">
        <v>32</v>
      </c>
      <c r="C25" s="84"/>
      <c r="D25" s="84"/>
      <c r="E25" s="85" t="s">
        <v>65</v>
      </c>
      <c r="F25" s="85"/>
      <c r="G25" s="85"/>
      <c r="H25" s="85"/>
    </row>
    <row r="26" spans="1:10" x14ac:dyDescent="0.25">
      <c r="A26" s="13">
        <v>19</v>
      </c>
      <c r="B26" s="84" t="s">
        <v>33</v>
      </c>
      <c r="C26" s="84"/>
      <c r="D26" s="84"/>
      <c r="E26" s="82" t="s">
        <v>250</v>
      </c>
      <c r="F26" s="82"/>
      <c r="G26" s="82"/>
      <c r="H26" s="82"/>
      <c r="I26" s="11">
        <f>31+59</f>
        <v>90</v>
      </c>
    </row>
    <row r="27" spans="1:10" ht="45" customHeight="1" x14ac:dyDescent="0.25">
      <c r="A27" s="13">
        <v>20</v>
      </c>
      <c r="B27" s="84" t="s">
        <v>34</v>
      </c>
      <c r="C27" s="84"/>
      <c r="D27" s="84"/>
      <c r="E27" s="85" t="s">
        <v>65</v>
      </c>
      <c r="F27" s="85"/>
      <c r="G27" s="85"/>
      <c r="H27" s="85"/>
    </row>
    <row r="28" spans="1:10" x14ac:dyDescent="0.25">
      <c r="A28" s="13">
        <v>21</v>
      </c>
      <c r="B28" s="84" t="s">
        <v>35</v>
      </c>
      <c r="C28" s="84"/>
      <c r="D28" s="84"/>
      <c r="E28" s="82" t="s">
        <v>183</v>
      </c>
      <c r="F28" s="82"/>
      <c r="G28" s="82"/>
      <c r="H28" s="82"/>
    </row>
    <row r="29" spans="1:10" ht="15" customHeight="1" x14ac:dyDescent="0.25">
      <c r="A29" s="13">
        <v>22</v>
      </c>
      <c r="B29" s="84" t="s">
        <v>36</v>
      </c>
      <c r="C29" s="84"/>
      <c r="D29" s="84"/>
      <c r="E29" s="82" t="s">
        <v>183</v>
      </c>
      <c r="F29" s="82"/>
      <c r="G29" s="82"/>
      <c r="H29" s="82"/>
    </row>
    <row r="30" spans="1:10" ht="31.8" customHeight="1" x14ac:dyDescent="0.25">
      <c r="A30" s="13">
        <v>23</v>
      </c>
      <c r="B30" s="84" t="s">
        <v>37</v>
      </c>
      <c r="C30" s="84"/>
      <c r="D30" s="84"/>
      <c r="E30" s="82" t="s">
        <v>184</v>
      </c>
      <c r="F30" s="82"/>
      <c r="G30" s="82"/>
      <c r="H30" s="82"/>
    </row>
    <row r="31" spans="1:10" ht="55.8" customHeight="1" x14ac:dyDescent="0.25">
      <c r="A31" s="13">
        <v>24</v>
      </c>
      <c r="B31" s="84" t="s">
        <v>38</v>
      </c>
      <c r="C31" s="84"/>
      <c r="D31" s="84"/>
      <c r="E31" s="82" t="s">
        <v>185</v>
      </c>
      <c r="F31" s="82"/>
      <c r="G31" s="82"/>
      <c r="H31" s="82"/>
    </row>
    <row r="32" spans="1:10" ht="28.8" customHeight="1" x14ac:dyDescent="0.25">
      <c r="A32" s="13">
        <v>25</v>
      </c>
      <c r="B32" s="84" t="s">
        <v>39</v>
      </c>
      <c r="C32" s="84"/>
      <c r="D32" s="84"/>
      <c r="E32" s="82" t="s">
        <v>186</v>
      </c>
      <c r="F32" s="82"/>
      <c r="G32" s="82"/>
      <c r="H32" s="82"/>
      <c r="I32" s="102" t="s">
        <v>123</v>
      </c>
      <c r="J32" s="103"/>
    </row>
    <row r="33" spans="1:10" ht="30" customHeight="1" x14ac:dyDescent="0.25">
      <c r="A33" s="13">
        <v>26</v>
      </c>
      <c r="B33" s="84" t="s">
        <v>40</v>
      </c>
      <c r="C33" s="84"/>
      <c r="D33" s="84"/>
      <c r="E33" s="134" t="str">
        <f>E32</f>
        <v>Maharashtra Housing and Area Development Authority (MHADA)</v>
      </c>
      <c r="F33" s="134"/>
      <c r="G33" s="134"/>
      <c r="H33" s="134"/>
      <c r="I33" s="102"/>
      <c r="J33" s="103"/>
    </row>
    <row r="34" spans="1:10" ht="33.75" customHeight="1" x14ac:dyDescent="0.25">
      <c r="A34" s="13">
        <v>27</v>
      </c>
      <c r="B34" s="84" t="s">
        <v>41</v>
      </c>
      <c r="C34" s="84"/>
      <c r="D34" s="84"/>
      <c r="E34" s="85" t="s">
        <v>68</v>
      </c>
      <c r="F34" s="85"/>
      <c r="G34" s="85"/>
      <c r="H34" s="85"/>
    </row>
    <row r="35" spans="1:10" ht="29.25" customHeight="1" x14ac:dyDescent="0.25">
      <c r="A35" s="13">
        <v>28</v>
      </c>
      <c r="B35" s="84" t="s">
        <v>42</v>
      </c>
      <c r="C35" s="84"/>
      <c r="D35" s="84"/>
      <c r="E35" s="85" t="str">
        <f>IF(AND(ISNUMBER(SEARCH("Flat",E175)),ISNUMBER(SEARCH("Shop",E175)),ISNUMBER(SEARCH("Office",E175))),"Residential + Commercial",IF(AND(ISNUMBER(SEARCH("Flat",E175)),ISNUMBER(SEARCH("Shop",E175))),"Residential + Commercial",IF(AND(ISNUMBER(SEARCH("Flat",E175)),ISNUMBER(SEARCH("Office",E175))),"Residential + Commercial",IF(AND(ISNUMBER(SEARCH("Shop",E175)),ISNUMBER(SEARCH("Office",E175))),"Commercial",IF(ISNUMBER(SEARCH("Shop",E175)),"Commercial",IF(ISNUMBER(SEARCH("Office",E175)),"Commercial",IF(ISNUMBER(SEARCH("Flat",E175)),"Residential")))))))</f>
        <v>Residential</v>
      </c>
      <c r="F35" s="85"/>
      <c r="G35" s="85"/>
      <c r="H35" s="85"/>
    </row>
    <row r="36" spans="1:10" ht="15" customHeight="1" x14ac:dyDescent="0.25">
      <c r="A36" s="13">
        <v>29</v>
      </c>
      <c r="B36" s="84" t="s">
        <v>161</v>
      </c>
      <c r="C36" s="84"/>
      <c r="D36" s="84"/>
      <c r="E36" s="104">
        <v>980.94</v>
      </c>
      <c r="F36" s="104"/>
      <c r="G36" s="104"/>
      <c r="H36" s="104"/>
    </row>
    <row r="37" spans="1:10" ht="31.5" customHeight="1" x14ac:dyDescent="0.25">
      <c r="A37" s="13">
        <v>30</v>
      </c>
      <c r="B37" s="84" t="s">
        <v>80</v>
      </c>
      <c r="C37" s="84"/>
      <c r="D37" s="84"/>
      <c r="E37" s="85" t="s">
        <v>9</v>
      </c>
      <c r="F37" s="85"/>
      <c r="G37" s="85"/>
      <c r="H37" s="85"/>
    </row>
    <row r="38" spans="1:10" ht="31.5" customHeight="1" x14ac:dyDescent="0.25">
      <c r="A38" s="13">
        <v>31</v>
      </c>
      <c r="B38" s="84" t="s">
        <v>81</v>
      </c>
      <c r="C38" s="84"/>
      <c r="D38" s="84"/>
      <c r="E38" s="85" t="s">
        <v>69</v>
      </c>
      <c r="F38" s="85"/>
      <c r="G38" s="85"/>
      <c r="H38" s="85"/>
    </row>
    <row r="39" spans="1:10" ht="47.25" customHeight="1" x14ac:dyDescent="0.25">
      <c r="A39" s="13">
        <v>32</v>
      </c>
      <c r="B39" s="84" t="s">
        <v>43</v>
      </c>
      <c r="C39" s="84"/>
      <c r="D39" s="84"/>
      <c r="E39" s="85" t="s">
        <v>9</v>
      </c>
      <c r="F39" s="85"/>
      <c r="G39" s="85"/>
      <c r="H39" s="85"/>
    </row>
    <row r="40" spans="1:10" x14ac:dyDescent="0.25">
      <c r="A40" s="49">
        <v>33</v>
      </c>
      <c r="B40" s="134" t="s">
        <v>160</v>
      </c>
      <c r="C40" s="134"/>
      <c r="D40" s="134"/>
      <c r="E40" s="134">
        <v>980.94</v>
      </c>
      <c r="F40" s="134"/>
      <c r="G40" s="134"/>
      <c r="H40" s="134"/>
    </row>
    <row r="41" spans="1:10" x14ac:dyDescent="0.25">
      <c r="A41" s="50"/>
      <c r="B41" s="134" t="s">
        <v>168</v>
      </c>
      <c r="C41" s="134"/>
      <c r="D41" s="134"/>
      <c r="E41" s="134">
        <v>7340.06</v>
      </c>
      <c r="F41" s="134"/>
      <c r="G41" s="134"/>
      <c r="H41" s="134"/>
      <c r="I41" s="11">
        <f>E41/E40</f>
        <v>7.4826798784839035</v>
      </c>
    </row>
    <row r="42" spans="1:10" x14ac:dyDescent="0.25">
      <c r="A42" s="13">
        <v>34</v>
      </c>
      <c r="B42" s="134" t="s">
        <v>128</v>
      </c>
      <c r="C42" s="134"/>
      <c r="D42" s="134"/>
      <c r="E42" s="83">
        <f>5447.62/E40</f>
        <v>5.5534691214549303</v>
      </c>
      <c r="F42" s="83"/>
      <c r="G42" s="83"/>
      <c r="H42" s="83"/>
    </row>
    <row r="43" spans="1:10" ht="15" customHeight="1" x14ac:dyDescent="0.25">
      <c r="A43" s="13">
        <f>A42+1</f>
        <v>35</v>
      </c>
      <c r="B43" s="169" t="s">
        <v>129</v>
      </c>
      <c r="C43" s="170"/>
      <c r="D43" s="171"/>
      <c r="E43" s="83">
        <v>0</v>
      </c>
      <c r="F43" s="83"/>
      <c r="G43" s="83"/>
      <c r="H43" s="83"/>
    </row>
    <row r="44" spans="1:10" x14ac:dyDescent="0.25">
      <c r="A44" s="13">
        <f t="shared" ref="A44:A46" si="0">A43+1</f>
        <v>36</v>
      </c>
      <c r="B44" s="134" t="s">
        <v>130</v>
      </c>
      <c r="C44" s="134"/>
      <c r="D44" s="134"/>
      <c r="E44" s="83">
        <f>1892.44/E40</f>
        <v>1.9292107570289723</v>
      </c>
      <c r="F44" s="83"/>
      <c r="G44" s="83"/>
      <c r="H44" s="83"/>
    </row>
    <row r="45" spans="1:10" ht="16.5" customHeight="1" x14ac:dyDescent="0.25">
      <c r="A45" s="13">
        <f t="shared" si="0"/>
        <v>37</v>
      </c>
      <c r="B45" s="134" t="s">
        <v>44</v>
      </c>
      <c r="C45" s="134"/>
      <c r="D45" s="134"/>
      <c r="E45" s="83">
        <v>0</v>
      </c>
      <c r="F45" s="83"/>
      <c r="G45" s="83"/>
      <c r="H45" s="83"/>
    </row>
    <row r="46" spans="1:10" ht="16.5" customHeight="1" x14ac:dyDescent="0.25">
      <c r="A46" s="13">
        <f t="shared" si="0"/>
        <v>38</v>
      </c>
      <c r="B46" s="134" t="s">
        <v>131</v>
      </c>
      <c r="C46" s="134"/>
      <c r="D46" s="134"/>
      <c r="E46" s="104">
        <f>SUM(E42:H45)</f>
        <v>7.4826798784839026</v>
      </c>
      <c r="F46" s="104"/>
      <c r="G46" s="104"/>
      <c r="H46" s="104"/>
    </row>
    <row r="47" spans="1:10" x14ac:dyDescent="0.25">
      <c r="A47" s="49">
        <v>39</v>
      </c>
      <c r="B47" s="84" t="s">
        <v>45</v>
      </c>
      <c r="C47" s="84"/>
      <c r="D47" s="84"/>
      <c r="E47" s="82">
        <v>44893</v>
      </c>
      <c r="F47" s="82"/>
      <c r="G47" s="82"/>
      <c r="H47" s="82"/>
    </row>
    <row r="48" spans="1:10" x14ac:dyDescent="0.25">
      <c r="A48" s="51"/>
      <c r="B48" s="84" t="s">
        <v>145</v>
      </c>
      <c r="C48" s="84"/>
      <c r="D48" s="84"/>
      <c r="E48" s="230" t="s">
        <v>253</v>
      </c>
      <c r="F48" s="230"/>
      <c r="G48" s="230"/>
      <c r="H48" s="230"/>
    </row>
    <row r="49" spans="1:10" ht="14.4" thickBot="1" x14ac:dyDescent="0.3">
      <c r="A49" s="38">
        <v>40</v>
      </c>
      <c r="B49" s="133" t="s">
        <v>46</v>
      </c>
      <c r="C49" s="133"/>
      <c r="D49" s="133"/>
      <c r="E49" s="133"/>
      <c r="F49" s="133"/>
      <c r="G49" s="133"/>
      <c r="H49" s="133"/>
    </row>
    <row r="50" spans="1:10" ht="15" customHeight="1" x14ac:dyDescent="0.25">
      <c r="A50" s="165" t="s">
        <v>148</v>
      </c>
      <c r="B50" s="166"/>
      <c r="C50" s="186" t="str">
        <f>E87</f>
        <v>Building No.129 = 1B + Gr + 1st to 17th Floor</v>
      </c>
      <c r="D50" s="187"/>
      <c r="E50" s="187"/>
      <c r="F50" s="187"/>
      <c r="G50" s="187"/>
      <c r="H50" s="188"/>
      <c r="I50" s="5" t="str">
        <f ca="1">(IF(E54&gt;99%,"All work completed. Please provide OC.",IF(E54&gt;89.8%,"Plinth, RCC, Brick, Plaster, Flooring, Painting work Completed. Finishing work is in process.",IF(E54&lt;94%,(IF(C54=0,"Work not yet Started.",IF(D54=25%,"Piling work in process",IF(D54=50%,"Excavation work in process",IF(D54=100%,"Excavation work Completed. ","0")))&amp;(IF(C55=0%,"",IF(C55=J56,"Footing work is process",IF(C55=J57,"Footing work Completed",IF(C55=J58,"1st Basement Completed",IF(C55=J59,"1st &amp; 2nd Basement Completed",IF(C55=J60,"1st to 3rd Basement Completed",IF(C55=J61,"1st to 4th Basement Completed",IF(C55=J62,"Plinth work is process",IF(C55=J63,"Plinth work completed","0")))))))))))&amp;(IF(C56=(D51+F51+H51),", RCC Slab",IF(C56&gt;0,", RCC upto "&amp;C56&amp;" Slab",""))&amp;(IF(C57=H51,", Brickwork",IF(C57&gt;0,", Brickwork upto "&amp;C57&amp;" Floor",""))&amp;(IF(C58=H51,", Internal Plaster",IF(C58&gt;0,", Internal Plaster upto "&amp;C58&amp;" Floor",""))&amp;(IF(C59=H51,", External Plaster",IF(C59&gt;0,", External Plaster upto "&amp;C59&amp;" Floor",""))&amp;(IF(C60=H51,", Flooring",IF(C60&gt;0,", Flooring upto "&amp;C60&amp;" Floor",""))&amp;(IF(C61=H51,", Painting",IF(C61&gt;0,", Painting upto "&amp;C61&amp;" Floor",""))&amp;(IF(C62&gt;0,", Finishing upto "&amp;C62&amp;" Floor","")&amp;(IF(C56&gt;0.5," Completed",""))))))))))))))</f>
        <v>Excavation work Completed. Plinth work completed, RCC upto 11 Slab, Brickwork upto 4 Floor Completed</v>
      </c>
      <c r="J50" s="14"/>
    </row>
    <row r="51" spans="1:10" x14ac:dyDescent="0.25">
      <c r="A51" s="6" t="s">
        <v>85</v>
      </c>
      <c r="B51" s="8">
        <v>1</v>
      </c>
      <c r="C51" s="180" t="s">
        <v>87</v>
      </c>
      <c r="D51" s="180">
        <v>1</v>
      </c>
      <c r="E51" s="181" t="s">
        <v>86</v>
      </c>
      <c r="F51" s="180">
        <v>0</v>
      </c>
      <c r="G51" s="180" t="s">
        <v>98</v>
      </c>
      <c r="H51" s="182">
        <f ca="1">--TRIM(RIGHT(SUBSTITUTE(LEFT(C50,_xlfn.AGGREGATE(16,6,FIND({0,1,2,3,4,5,6,7,8,9},C50,ROW(INDIRECT("1:"&amp;LEN(C50)))),1))," ",REPT(" ",LEN(C50))),LEN(C50)))</f>
        <v>17</v>
      </c>
      <c r="I51" s="10"/>
      <c r="J51" s="15"/>
    </row>
    <row r="52" spans="1:10" ht="30.6" customHeight="1" x14ac:dyDescent="0.25">
      <c r="A52" s="172" t="s">
        <v>99</v>
      </c>
      <c r="B52" s="173"/>
      <c r="C52" s="183" t="str">
        <f ca="1">I50</f>
        <v>Excavation work Completed. Plinth work completed, RCC upto 11 Slab, Brickwork upto 4 Floor Completed</v>
      </c>
      <c r="D52" s="184"/>
      <c r="E52" s="184"/>
      <c r="F52" s="184"/>
      <c r="G52" s="184"/>
      <c r="H52" s="185"/>
      <c r="I52" s="10" t="s">
        <v>100</v>
      </c>
      <c r="J52" s="15"/>
    </row>
    <row r="53" spans="1:10" ht="15" customHeight="1" x14ac:dyDescent="0.25">
      <c r="A53" s="148" t="s">
        <v>4</v>
      </c>
      <c r="B53" s="141"/>
      <c r="C53" s="189" t="s">
        <v>101</v>
      </c>
      <c r="D53" s="189" t="s">
        <v>102</v>
      </c>
      <c r="E53" s="190" t="s">
        <v>103</v>
      </c>
      <c r="F53" s="191"/>
      <c r="G53" s="192" t="s">
        <v>104</v>
      </c>
      <c r="H53" s="193"/>
      <c r="I53" s="3" t="s">
        <v>105</v>
      </c>
      <c r="J53" s="16">
        <f ca="1">H51*25%</f>
        <v>4.25</v>
      </c>
    </row>
    <row r="54" spans="1:10" ht="15" customHeight="1" x14ac:dyDescent="0.25">
      <c r="A54" s="64" t="s">
        <v>106</v>
      </c>
      <c r="B54" s="65"/>
      <c r="C54" s="194">
        <f ca="1">J55</f>
        <v>17</v>
      </c>
      <c r="D54" s="195">
        <f ca="1">((100/H51)*C54)/100</f>
        <v>1</v>
      </c>
      <c r="E54" s="196">
        <f ca="1">(((C55/H51*20)+(30/(D51+F51+H51)*C56)+(10/(H51)*C57)+(5/(H51)*C58)+(5/H51*C59)+(10/H51*C60)+(5/H51*C61)+(5/H51*C62)+(10/H51*C63))/100)</f>
        <v>0.40686274509803921</v>
      </c>
      <c r="F54" s="196"/>
      <c r="G54" s="197">
        <f ca="1">((((C54/H51)*10)+((C55/H51)*20)+(30/(H51+F51+D51)*C56)+(10/H51*C57)+(5/H51*C58)+(5/H51*C59)+(10/H51*C60)+(5/H51*C61)+(5/H51*C62)+(0/H51*C63))/100)</f>
        <v>0.50686274509803919</v>
      </c>
      <c r="H54" s="198"/>
      <c r="I54" s="3" t="s">
        <v>88</v>
      </c>
      <c r="J54" s="18">
        <f ca="1">H51*50%</f>
        <v>8.5</v>
      </c>
    </row>
    <row r="55" spans="1:10" x14ac:dyDescent="0.25">
      <c r="A55" s="64" t="s">
        <v>5</v>
      </c>
      <c r="B55" s="65"/>
      <c r="C55" s="199">
        <f ca="1">J63</f>
        <v>17</v>
      </c>
      <c r="D55" s="195">
        <f ca="1">((100/H51)*C55)/100</f>
        <v>1</v>
      </c>
      <c r="E55" s="196"/>
      <c r="F55" s="196"/>
      <c r="G55" s="200"/>
      <c r="H55" s="201"/>
      <c r="I55" s="3" t="s">
        <v>89</v>
      </c>
      <c r="J55" s="18">
        <f ca="1">H51</f>
        <v>17</v>
      </c>
    </row>
    <row r="56" spans="1:10" ht="15" customHeight="1" x14ac:dyDescent="0.3">
      <c r="A56" s="64" t="s">
        <v>107</v>
      </c>
      <c r="B56" s="65"/>
      <c r="C56" s="199">
        <v>11</v>
      </c>
      <c r="D56" s="195">
        <f ca="1">((100/(D51+F51+H51))*C56)/100</f>
        <v>0.61111111111111105</v>
      </c>
      <c r="E56" s="196"/>
      <c r="F56" s="196"/>
      <c r="G56" s="200"/>
      <c r="H56" s="201"/>
      <c r="I56" s="3" t="s">
        <v>90</v>
      </c>
      <c r="J56" s="20">
        <f ca="1">(IF(B51&gt;1,(H51/(B51+2)),H51/4))</f>
        <v>4.25</v>
      </c>
    </row>
    <row r="57" spans="1:10" ht="15" customHeight="1" x14ac:dyDescent="0.3">
      <c r="A57" s="64" t="s">
        <v>108</v>
      </c>
      <c r="B57" s="65" t="s">
        <v>109</v>
      </c>
      <c r="C57" s="194">
        <v>4</v>
      </c>
      <c r="D57" s="195">
        <f ca="1">((100/H51)*C57)/100</f>
        <v>0.23529411764705885</v>
      </c>
      <c r="E57" s="196"/>
      <c r="F57" s="196"/>
      <c r="G57" s="200"/>
      <c r="H57" s="201"/>
      <c r="I57" s="3" t="s">
        <v>91</v>
      </c>
      <c r="J57" s="20">
        <f ca="1">(IF(B51&gt;1,(H51/(B51+2)+J56),H51/4+J56))</f>
        <v>8.5</v>
      </c>
    </row>
    <row r="58" spans="1:10" ht="15" customHeight="1" x14ac:dyDescent="0.3">
      <c r="A58" s="64" t="s">
        <v>110</v>
      </c>
      <c r="B58" s="65" t="s">
        <v>109</v>
      </c>
      <c r="C58" s="194">
        <v>0</v>
      </c>
      <c r="D58" s="195">
        <f ca="1">((100/H51)*C58)/100</f>
        <v>0</v>
      </c>
      <c r="E58" s="196"/>
      <c r="F58" s="196"/>
      <c r="G58" s="200"/>
      <c r="H58" s="201"/>
      <c r="I58" s="3" t="s">
        <v>111</v>
      </c>
      <c r="J58" s="20">
        <f>(IF(B51&gt;1,(H51/(B51+2)+J57),0))</f>
        <v>0</v>
      </c>
    </row>
    <row r="59" spans="1:10" ht="15" customHeight="1" x14ac:dyDescent="0.3">
      <c r="A59" s="64" t="s">
        <v>172</v>
      </c>
      <c r="B59" s="65" t="s">
        <v>113</v>
      </c>
      <c r="C59" s="194">
        <v>0</v>
      </c>
      <c r="D59" s="195">
        <f ca="1">((100/(H51))*C59)/100</f>
        <v>0</v>
      </c>
      <c r="E59" s="196"/>
      <c r="F59" s="196"/>
      <c r="G59" s="200"/>
      <c r="H59" s="201"/>
      <c r="I59" s="3" t="s">
        <v>114</v>
      </c>
      <c r="J59" s="20">
        <f>(IF(B51&gt;2,(H51/(B51+2)+J58),0))</f>
        <v>0</v>
      </c>
    </row>
    <row r="60" spans="1:10" ht="15" customHeight="1" x14ac:dyDescent="0.3">
      <c r="A60" s="64" t="s">
        <v>115</v>
      </c>
      <c r="B60" s="65" t="s">
        <v>115</v>
      </c>
      <c r="C60" s="194">
        <v>0</v>
      </c>
      <c r="D60" s="195">
        <f ca="1">((100/H51)*C60)/100</f>
        <v>0</v>
      </c>
      <c r="E60" s="196"/>
      <c r="F60" s="196"/>
      <c r="G60" s="200"/>
      <c r="H60" s="201"/>
      <c r="I60" s="3" t="s">
        <v>116</v>
      </c>
      <c r="J60" s="21">
        <f>(IF(B51&gt;3,(H51/(B51+2)+J59),0))</f>
        <v>0</v>
      </c>
    </row>
    <row r="61" spans="1:10" ht="15" customHeight="1" x14ac:dyDescent="0.3">
      <c r="A61" s="64" t="s">
        <v>117</v>
      </c>
      <c r="B61" s="65"/>
      <c r="C61" s="194">
        <v>0</v>
      </c>
      <c r="D61" s="195">
        <f ca="1">((100/H51)*C61)/100</f>
        <v>0</v>
      </c>
      <c r="E61" s="196"/>
      <c r="F61" s="196"/>
      <c r="G61" s="200"/>
      <c r="H61" s="201"/>
      <c r="I61" s="3" t="s">
        <v>118</v>
      </c>
      <c r="J61" s="20">
        <f>(IF(B51&gt;4,(H51/(B51+2)+J60),0))</f>
        <v>0</v>
      </c>
    </row>
    <row r="62" spans="1:10" ht="15" customHeight="1" x14ac:dyDescent="0.3">
      <c r="A62" s="64" t="s">
        <v>171</v>
      </c>
      <c r="B62" s="65" t="s">
        <v>113</v>
      </c>
      <c r="C62" s="194">
        <v>0</v>
      </c>
      <c r="D62" s="195">
        <f ca="1">((100/(H51))*C62)/100</f>
        <v>0</v>
      </c>
      <c r="E62" s="196"/>
      <c r="F62" s="196"/>
      <c r="G62" s="200"/>
      <c r="H62" s="201"/>
      <c r="I62" s="3" t="s">
        <v>92</v>
      </c>
      <c r="J62" s="20">
        <f ca="1">(IF(B51=1,(H51/(B51+3)+J57),IF(B51=0,(H51/4+J57),IF(B51&gt;1,0))))</f>
        <v>12.75</v>
      </c>
    </row>
    <row r="63" spans="1:10" ht="15.75" customHeight="1" thickBot="1" x14ac:dyDescent="0.35">
      <c r="A63" s="74" t="s">
        <v>120</v>
      </c>
      <c r="B63" s="75"/>
      <c r="C63" s="202">
        <v>0</v>
      </c>
      <c r="D63" s="203">
        <f ca="1">((100/(H51))*C63)/100</f>
        <v>0</v>
      </c>
      <c r="E63" s="204"/>
      <c r="F63" s="204"/>
      <c r="G63" s="205"/>
      <c r="H63" s="206"/>
      <c r="I63" s="4" t="s">
        <v>93</v>
      </c>
      <c r="J63" s="23">
        <f ca="1">(IF(B51&gt;1.5,(H51/(B51+2)+J57+MAX(0,J58-J57)+MAX(0,J59-J58)+MAX(0,J60-J59)+MAX(0,J61-J60)+MAX(0,J62-J61)),IF(B51=1,(H51/(B51+3)+J62),IF(B51=0,H51/4+J62))))</f>
        <v>17</v>
      </c>
    </row>
    <row r="64" spans="1:10" hidden="1" x14ac:dyDescent="0.25">
      <c r="A64" s="165" t="s">
        <v>148</v>
      </c>
      <c r="B64" s="166"/>
      <c r="C64" s="149" t="e">
        <f>#REF!</f>
        <v>#REF!</v>
      </c>
      <c r="D64" s="150"/>
      <c r="E64" s="150"/>
      <c r="F64" s="150"/>
      <c r="G64" s="150"/>
      <c r="H64" s="151"/>
      <c r="I64" s="5" t="e">
        <f ca="1">(IF(E68&gt;99%,"All work completed. Please provide OC.",IF(E68&gt;89.8%,"Plinth, RCC, Brick, Plaster, Flooring, Painting work Completed. Finishing work is in process.",IF(E68&lt;94%,(IF(C68=0,"Work not yet Started.",IF(D68=25%,"Piling work in process",IF(D68=50%,"Excavation work in process",IF(D68=100%,"Excavation work Completed. ","0")))&amp;(IF(C69=0%,"",IF(C69=J70,"Footing work is process",IF(C69=J71,"Footing work Completed",IF(C69=J72,"1st Basement Completed",IF(C69=J73,"1st &amp; 2nd Basement Completed",IF(C69=J74,"1st to 3rd Basement Completed",IF(C69=J75,"1st to 4th Basement Completed",IF(C69=J76,"Plinth work is process",IF(C69=J77,"Plinth work completed","0")))))))))))&amp;(IF(C70=(D65+F65+H65),", RCC Slab",IF(C70&gt;0,", RCC upto "&amp;C70&amp;" Slab",""))&amp;(IF(C71=H65,", Brickwork",IF(C71&gt;0,", Brickwork upto "&amp;C71&amp;" Floor",""))&amp;(IF(C72=H65,", Internal Plaster",IF(C72&gt;0,", Internal Plaster upto "&amp;C72&amp;" Floor",""))&amp;(IF(C73=H65,", External Plaster",IF(C73&gt;0,", External Plaster upto "&amp;C73&amp;" Floor",""))&amp;(IF(C74=H65,", Flooring",IF(C74&gt;0,", Flooring upto "&amp;C74&amp;" Floor",""))&amp;(IF(C75=H65,", Painting",IF(C75&gt;0,", Painting upto "&amp;C75&amp;" Floor",""))&amp;(IF(C76&gt;0,", Finishing upto "&amp;C76&amp;" Floor","")&amp;(IF(C70&gt;0.5," Completed",""))))))))))))))</f>
        <v>#REF!</v>
      </c>
      <c r="J64" s="14"/>
    </row>
    <row r="65" spans="1:10" hidden="1" x14ac:dyDescent="0.25">
      <c r="A65" s="6" t="s">
        <v>85</v>
      </c>
      <c r="B65" s="8">
        <f>IF(AND(ISNUMBER(SEARCH("1B",C64))),1,IF(AND(ISNUMBER(SEARCH("2B",C64))),2,IF(AND(ISNUMBER(SEARCH("3B",C64))),3,IF(AND(ISNUMBER(SEARCH("4B",C64))),4,IF(ISNUMBER(SEARCH("5B",C64)),5,0)))))</f>
        <v>0</v>
      </c>
      <c r="C65" s="8" t="s">
        <v>87</v>
      </c>
      <c r="D65" s="8">
        <v>1</v>
      </c>
      <c r="E65" s="39" t="s">
        <v>86</v>
      </c>
      <c r="F65" s="7">
        <v>0</v>
      </c>
      <c r="G65" s="9" t="s">
        <v>98</v>
      </c>
      <c r="H65" s="42" t="e">
        <f ca="1">--TRIM(RIGHT(SUBSTITUTE(LEFT(C64,_xlfn.AGGREGATE(16,6,FIND({0,1,2,3,4,5,6,7,8,9},C64,ROW(INDIRECT("1:"&amp;LEN(C64)))),1))," ",REPT(" ",LEN(C64))),LEN(C64)))</f>
        <v>#REF!</v>
      </c>
      <c r="I65" s="10"/>
      <c r="J65" s="15"/>
    </row>
    <row r="66" spans="1:10" hidden="1" x14ac:dyDescent="0.25">
      <c r="A66" s="172" t="s">
        <v>99</v>
      </c>
      <c r="B66" s="173"/>
      <c r="C66" s="145" t="e">
        <f ca="1">I64</f>
        <v>#REF!</v>
      </c>
      <c r="D66" s="146"/>
      <c r="E66" s="146"/>
      <c r="F66" s="146"/>
      <c r="G66" s="146"/>
      <c r="H66" s="147"/>
      <c r="I66" s="10" t="s">
        <v>100</v>
      </c>
      <c r="J66" s="15"/>
    </row>
    <row r="67" spans="1:10" hidden="1" x14ac:dyDescent="0.25">
      <c r="A67" s="148" t="s">
        <v>4</v>
      </c>
      <c r="B67" s="141"/>
      <c r="C67" s="36" t="s">
        <v>101</v>
      </c>
      <c r="D67" s="36" t="s">
        <v>102</v>
      </c>
      <c r="E67" s="140" t="s">
        <v>103</v>
      </c>
      <c r="F67" s="141"/>
      <c r="G67" s="65" t="s">
        <v>104</v>
      </c>
      <c r="H67" s="174"/>
      <c r="I67" s="3" t="s">
        <v>105</v>
      </c>
      <c r="J67" s="16" t="e">
        <f ca="1">H65*25%</f>
        <v>#REF!</v>
      </c>
    </row>
    <row r="68" spans="1:10" hidden="1" x14ac:dyDescent="0.25">
      <c r="A68" s="64" t="s">
        <v>106</v>
      </c>
      <c r="B68" s="65"/>
      <c r="C68" s="17" t="e">
        <f ca="1">J69</f>
        <v>#REF!</v>
      </c>
      <c r="D68" s="37" t="e">
        <f ca="1">((100/H65)*C68)/100</f>
        <v>#REF!</v>
      </c>
      <c r="E68" s="66" t="e">
        <f ca="1">(((C69/H65*20)+(30/(D65+F65+H65)*C70)+(10/(H65)*C71)+(5/(H65)*C72)+(5/H65*C73)+(10/H65*C74)+(5/H65*C75)+(5/H65*C76)+(10/H65*C77))/100)</f>
        <v>#REF!</v>
      </c>
      <c r="F68" s="66"/>
      <c r="G68" s="68" t="e">
        <f ca="1">((((C68/H65)*10)+((C69/H65)*20)+(30/(H65+F65+D65)*C70)+(10/H65*C71)+(5/H65*C72)+(5/H65*C73)+(10/H65*C74)+(5/H65*C75)+(5/H65*C76)+(0/H65*C77))/100)</f>
        <v>#REF!</v>
      </c>
      <c r="H68" s="69"/>
      <c r="I68" s="3" t="s">
        <v>88</v>
      </c>
      <c r="J68" s="18" t="e">
        <f ca="1">H65*50%</f>
        <v>#REF!</v>
      </c>
    </row>
    <row r="69" spans="1:10" hidden="1" x14ac:dyDescent="0.25">
      <c r="A69" s="64" t="s">
        <v>5</v>
      </c>
      <c r="B69" s="65"/>
      <c r="C69" s="19" t="e">
        <f ca="1">J77</f>
        <v>#REF!</v>
      </c>
      <c r="D69" s="37" t="e">
        <f ca="1">((100/H65)*C69)/100</f>
        <v>#REF!</v>
      </c>
      <c r="E69" s="66"/>
      <c r="F69" s="66"/>
      <c r="G69" s="70"/>
      <c r="H69" s="71"/>
      <c r="I69" s="3" t="s">
        <v>89</v>
      </c>
      <c r="J69" s="18" t="e">
        <f ca="1">H65</f>
        <v>#REF!</v>
      </c>
    </row>
    <row r="70" spans="1:10" ht="14.4" hidden="1" x14ac:dyDescent="0.3">
      <c r="A70" s="64" t="s">
        <v>107</v>
      </c>
      <c r="B70" s="65"/>
      <c r="C70" s="19">
        <v>0</v>
      </c>
      <c r="D70" s="37" t="e">
        <f ca="1">((100/(D65+F65+H65))*C70)/100</f>
        <v>#REF!</v>
      </c>
      <c r="E70" s="66"/>
      <c r="F70" s="66"/>
      <c r="G70" s="70"/>
      <c r="H70" s="71"/>
      <c r="I70" s="3" t="s">
        <v>90</v>
      </c>
      <c r="J70" s="20" t="e">
        <f ca="1">(IF(B65&gt;1,(H65/(B65+2)),H65/4))</f>
        <v>#REF!</v>
      </c>
    </row>
    <row r="71" spans="1:10" ht="14.4" hidden="1" x14ac:dyDescent="0.3">
      <c r="A71" s="64" t="s">
        <v>108</v>
      </c>
      <c r="B71" s="65" t="s">
        <v>109</v>
      </c>
      <c r="C71" s="17">
        <v>0</v>
      </c>
      <c r="D71" s="37" t="e">
        <f ca="1">((100/H65)*C71)/100</f>
        <v>#REF!</v>
      </c>
      <c r="E71" s="66"/>
      <c r="F71" s="66"/>
      <c r="G71" s="70"/>
      <c r="H71" s="71"/>
      <c r="I71" s="3" t="s">
        <v>91</v>
      </c>
      <c r="J71" s="20" t="e">
        <f ca="1">(IF(B65&gt;1,(H65/(B65+2)+J70),H65/4+J70))</f>
        <v>#REF!</v>
      </c>
    </row>
    <row r="72" spans="1:10" ht="14.4" hidden="1" x14ac:dyDescent="0.3">
      <c r="A72" s="64" t="s">
        <v>110</v>
      </c>
      <c r="B72" s="65" t="s">
        <v>109</v>
      </c>
      <c r="C72" s="17">
        <v>0</v>
      </c>
      <c r="D72" s="37" t="e">
        <f ca="1">((100/H65)*C72)/100</f>
        <v>#REF!</v>
      </c>
      <c r="E72" s="66"/>
      <c r="F72" s="66"/>
      <c r="G72" s="70"/>
      <c r="H72" s="71"/>
      <c r="I72" s="3" t="s">
        <v>111</v>
      </c>
      <c r="J72" s="20">
        <f>(IF(B65&gt;1,(H65/(B65+2)+J71),0))</f>
        <v>0</v>
      </c>
    </row>
    <row r="73" spans="1:10" ht="14.4" hidden="1" x14ac:dyDescent="0.3">
      <c r="A73" s="64" t="s">
        <v>112</v>
      </c>
      <c r="B73" s="65" t="s">
        <v>113</v>
      </c>
      <c r="C73" s="17">
        <v>0</v>
      </c>
      <c r="D73" s="37" t="e">
        <f ca="1">((100/(H65))*C73)/100</f>
        <v>#REF!</v>
      </c>
      <c r="E73" s="66"/>
      <c r="F73" s="66"/>
      <c r="G73" s="70"/>
      <c r="H73" s="71"/>
      <c r="I73" s="3" t="s">
        <v>114</v>
      </c>
      <c r="J73" s="20">
        <f>(IF(B65&gt;2,(H65/(B65+2)+J72),0))</f>
        <v>0</v>
      </c>
    </row>
    <row r="74" spans="1:10" ht="14.4" hidden="1" x14ac:dyDescent="0.3">
      <c r="A74" s="64" t="s">
        <v>115</v>
      </c>
      <c r="B74" s="65" t="s">
        <v>115</v>
      </c>
      <c r="C74" s="17">
        <v>0</v>
      </c>
      <c r="D74" s="37" t="e">
        <f ca="1">((100/H65)*C74)/100</f>
        <v>#REF!</v>
      </c>
      <c r="E74" s="66"/>
      <c r="F74" s="66"/>
      <c r="G74" s="70"/>
      <c r="H74" s="71"/>
      <c r="I74" s="3" t="s">
        <v>116</v>
      </c>
      <c r="J74" s="21">
        <f>(IF(B65&gt;3,(H65/(B65+2)+J73),0))</f>
        <v>0</v>
      </c>
    </row>
    <row r="75" spans="1:10" ht="14.4" hidden="1" x14ac:dyDescent="0.3">
      <c r="A75" s="64" t="s">
        <v>117</v>
      </c>
      <c r="B75" s="65"/>
      <c r="C75" s="17">
        <v>0</v>
      </c>
      <c r="D75" s="37" t="e">
        <f ca="1">((100/H65)*C75)/100</f>
        <v>#REF!</v>
      </c>
      <c r="E75" s="66"/>
      <c r="F75" s="66"/>
      <c r="G75" s="70"/>
      <c r="H75" s="71"/>
      <c r="I75" s="3" t="s">
        <v>118</v>
      </c>
      <c r="J75" s="20">
        <f>(IF(B65&gt;4,(H65/(B65+2)+J74),0))</f>
        <v>0</v>
      </c>
    </row>
    <row r="76" spans="1:10" ht="14.4" hidden="1" x14ac:dyDescent="0.3">
      <c r="A76" s="64" t="s">
        <v>119</v>
      </c>
      <c r="B76" s="65" t="s">
        <v>119</v>
      </c>
      <c r="C76" s="17">
        <v>0</v>
      </c>
      <c r="D76" s="37" t="e">
        <f ca="1">((100/(H65))*C76)/100</f>
        <v>#REF!</v>
      </c>
      <c r="E76" s="66"/>
      <c r="F76" s="66"/>
      <c r="G76" s="70"/>
      <c r="H76" s="71"/>
      <c r="I76" s="3" t="s">
        <v>92</v>
      </c>
      <c r="J76" s="20" t="e">
        <f ca="1">(IF(B65=1,(H65/(B65+3)+J71),IF(B65=0,(H65/4+J71),IF(B65&gt;1,0))))</f>
        <v>#REF!</v>
      </c>
    </row>
    <row r="77" spans="1:10" ht="15" hidden="1" thickBot="1" x14ac:dyDescent="0.35">
      <c r="A77" s="74" t="s">
        <v>120</v>
      </c>
      <c r="B77" s="75"/>
      <c r="C77" s="22">
        <v>0</v>
      </c>
      <c r="D77" s="40" t="e">
        <f ca="1">((100/(H65))*C77)/100</f>
        <v>#REF!</v>
      </c>
      <c r="E77" s="67"/>
      <c r="F77" s="67"/>
      <c r="G77" s="72"/>
      <c r="H77" s="73"/>
      <c r="I77" s="4" t="s">
        <v>93</v>
      </c>
      <c r="J77" s="23" t="e">
        <f ca="1">(IF(B65&gt;1.5,(H65/(B65+2)+J71+MAX(0,J72-J71)+MAX(0,J73-J72)+MAX(0,J74-J73)+MAX(0,J75-J74)+MAX(0,J76-J75)),IF(B65=1,(H65/(B65+3)+J76),IF(B65=0,H65/4+J76))))</f>
        <v>#REF!</v>
      </c>
    </row>
    <row r="78" spans="1:10" x14ac:dyDescent="0.25">
      <c r="A78" s="76">
        <v>41</v>
      </c>
      <c r="B78" s="77" t="s">
        <v>165</v>
      </c>
      <c r="C78" s="78"/>
      <c r="D78" s="78"/>
      <c r="E78" s="79" t="s">
        <v>147</v>
      </c>
      <c r="F78" s="80"/>
      <c r="G78" s="81"/>
      <c r="H78" s="43">
        <v>46386</v>
      </c>
    </row>
    <row r="79" spans="1:10" x14ac:dyDescent="0.25">
      <c r="A79" s="51"/>
      <c r="B79" s="59"/>
      <c r="C79" s="60"/>
      <c r="D79" s="60"/>
      <c r="E79" s="82" t="s">
        <v>146</v>
      </c>
      <c r="F79" s="82"/>
      <c r="G79" s="82"/>
      <c r="H79" s="41" t="s">
        <v>187</v>
      </c>
    </row>
    <row r="80" spans="1:10" ht="38.25" customHeight="1" x14ac:dyDescent="0.25">
      <c r="A80" s="13">
        <v>42</v>
      </c>
      <c r="B80" s="84" t="s">
        <v>70</v>
      </c>
      <c r="C80" s="84"/>
      <c r="D80" s="84"/>
      <c r="E80" s="85" t="s">
        <v>10</v>
      </c>
      <c r="F80" s="85"/>
      <c r="G80" s="85"/>
      <c r="H80" s="85"/>
    </row>
    <row r="81" spans="1:11" ht="183" customHeight="1" x14ac:dyDescent="0.25">
      <c r="A81" s="13">
        <v>43</v>
      </c>
      <c r="B81" s="84" t="s">
        <v>62</v>
      </c>
      <c r="C81" s="84"/>
      <c r="D81" s="84"/>
      <c r="E81" s="82" t="s">
        <v>190</v>
      </c>
      <c r="F81" s="82"/>
      <c r="G81" s="82"/>
      <c r="H81" s="82"/>
    </row>
    <row r="82" spans="1:11" s="26" customFormat="1" ht="30" customHeight="1" x14ac:dyDescent="0.25">
      <c r="A82" s="13">
        <v>44</v>
      </c>
      <c r="B82" s="52" t="s">
        <v>158</v>
      </c>
      <c r="C82" s="52"/>
      <c r="D82" s="52"/>
      <c r="E82" s="82" t="s">
        <v>191</v>
      </c>
      <c r="F82" s="82"/>
      <c r="G82" s="82"/>
      <c r="H82" s="82"/>
      <c r="I82" s="11"/>
      <c r="J82" s="11"/>
      <c r="K82" s="11"/>
    </row>
    <row r="83" spans="1:11" s="26" customFormat="1" ht="36" customHeight="1" x14ac:dyDescent="0.25">
      <c r="A83" s="13">
        <v>45</v>
      </c>
      <c r="B83" s="84" t="s">
        <v>63</v>
      </c>
      <c r="C83" s="84"/>
      <c r="D83" s="84"/>
      <c r="E83" s="85" t="s">
        <v>9</v>
      </c>
      <c r="F83" s="85"/>
      <c r="G83" s="85"/>
      <c r="H83" s="85"/>
      <c r="I83" s="11"/>
      <c r="J83" s="11"/>
      <c r="K83" s="11"/>
    </row>
    <row r="84" spans="1:11" ht="15.75" customHeight="1" x14ac:dyDescent="0.25">
      <c r="A84" s="61">
        <v>46</v>
      </c>
      <c r="B84" s="53" t="s">
        <v>64</v>
      </c>
      <c r="C84" s="54"/>
      <c r="D84" s="55"/>
      <c r="E84" s="167" t="s">
        <v>151</v>
      </c>
      <c r="F84" s="167"/>
      <c r="G84" s="167"/>
      <c r="H84" s="167"/>
    </row>
    <row r="85" spans="1:11" ht="31.2" customHeight="1" x14ac:dyDescent="0.25">
      <c r="A85" s="62"/>
      <c r="B85" s="56"/>
      <c r="C85" s="57"/>
      <c r="D85" s="58"/>
      <c r="E85" s="97" t="s">
        <v>258</v>
      </c>
      <c r="F85" s="207"/>
      <c r="G85" s="207"/>
      <c r="H85" s="98"/>
    </row>
    <row r="86" spans="1:11" s="26" customFormat="1" x14ac:dyDescent="0.25">
      <c r="A86" s="62"/>
      <c r="B86" s="56"/>
      <c r="C86" s="57"/>
      <c r="D86" s="58"/>
      <c r="E86" s="142" t="s">
        <v>152</v>
      </c>
      <c r="F86" s="143"/>
      <c r="G86" s="143"/>
      <c r="H86" s="144"/>
      <c r="I86" s="11"/>
      <c r="J86" s="11"/>
      <c r="K86" s="11"/>
    </row>
    <row r="87" spans="1:11" s="26" customFormat="1" x14ac:dyDescent="0.25">
      <c r="A87" s="62"/>
      <c r="B87" s="56"/>
      <c r="C87" s="57"/>
      <c r="D87" s="57"/>
      <c r="E87" s="97" t="s">
        <v>247</v>
      </c>
      <c r="F87" s="207"/>
      <c r="G87" s="207"/>
      <c r="H87" s="98"/>
      <c r="I87" s="11"/>
      <c r="J87" s="11"/>
      <c r="K87" s="11"/>
    </row>
    <row r="88" spans="1:11" x14ac:dyDescent="0.25">
      <c r="A88" s="163" t="s">
        <v>75</v>
      </c>
      <c r="B88" s="163"/>
      <c r="C88" s="163"/>
      <c r="D88" s="163"/>
      <c r="E88" s="164"/>
      <c r="F88" s="164"/>
      <c r="G88" s="164"/>
      <c r="H88" s="164"/>
    </row>
    <row r="89" spans="1:11" x14ac:dyDescent="0.25">
      <c r="A89" s="132" t="s">
        <v>169</v>
      </c>
      <c r="B89" s="132"/>
      <c r="C89" s="111" t="s">
        <v>192</v>
      </c>
      <c r="D89" s="111"/>
      <c r="E89" s="111"/>
      <c r="F89" s="24" t="s">
        <v>76</v>
      </c>
      <c r="G89" s="208">
        <v>45208</v>
      </c>
      <c r="H89" s="111"/>
    </row>
    <row r="90" spans="1:11" x14ac:dyDescent="0.25">
      <c r="A90" s="132" t="s">
        <v>170</v>
      </c>
      <c r="B90" s="132"/>
      <c r="C90" s="111" t="s">
        <v>192</v>
      </c>
      <c r="D90" s="111"/>
      <c r="E90" s="111"/>
      <c r="F90" s="24" t="s">
        <v>76</v>
      </c>
      <c r="G90" s="208">
        <v>45208</v>
      </c>
      <c r="H90" s="111"/>
    </row>
    <row r="91" spans="1:11" ht="30.6" customHeight="1" x14ac:dyDescent="0.25">
      <c r="A91" s="113" t="s">
        <v>153</v>
      </c>
      <c r="B91" s="114"/>
      <c r="C91" s="111" t="s">
        <v>193</v>
      </c>
      <c r="D91" s="111"/>
      <c r="E91" s="111"/>
      <c r="F91" s="25" t="s">
        <v>76</v>
      </c>
      <c r="G91" s="211">
        <v>45750</v>
      </c>
      <c r="H91" s="210"/>
    </row>
    <row r="92" spans="1:11" ht="43.2" customHeight="1" x14ac:dyDescent="0.25">
      <c r="A92" s="115"/>
      <c r="B92" s="116"/>
      <c r="C92" s="111" t="s">
        <v>194</v>
      </c>
      <c r="D92" s="111"/>
      <c r="E92" s="111"/>
      <c r="F92" s="34" t="s">
        <v>150</v>
      </c>
      <c r="G92" s="208">
        <v>45927</v>
      </c>
      <c r="H92" s="111"/>
    </row>
    <row r="93" spans="1:11" ht="22.8" hidden="1" customHeight="1" x14ac:dyDescent="0.25">
      <c r="A93" s="121" t="s">
        <v>173</v>
      </c>
      <c r="B93" s="122"/>
      <c r="C93" s="175"/>
      <c r="D93" s="175"/>
      <c r="E93" s="175"/>
      <c r="F93" s="47" t="s">
        <v>76</v>
      </c>
      <c r="G93" s="175"/>
      <c r="H93" s="175"/>
    </row>
    <row r="94" spans="1:11" ht="15" hidden="1" customHeight="1" x14ac:dyDescent="0.25">
      <c r="A94" s="123"/>
      <c r="B94" s="124"/>
      <c r="C94" s="176"/>
      <c r="D94" s="177"/>
      <c r="E94" s="177"/>
      <c r="F94" s="177"/>
      <c r="G94" s="177"/>
      <c r="H94" s="178"/>
    </row>
    <row r="95" spans="1:11" ht="15" hidden="1" customHeight="1" x14ac:dyDescent="0.25">
      <c r="A95" s="121" t="s">
        <v>174</v>
      </c>
      <c r="B95" s="122"/>
      <c r="C95" s="175"/>
      <c r="D95" s="175"/>
      <c r="E95" s="175"/>
      <c r="F95" s="47" t="s">
        <v>76</v>
      </c>
      <c r="G95" s="175"/>
      <c r="H95" s="175"/>
    </row>
    <row r="96" spans="1:11" ht="15" hidden="1" customHeight="1" x14ac:dyDescent="0.25">
      <c r="A96" s="123"/>
      <c r="B96" s="124"/>
      <c r="C96" s="176"/>
      <c r="D96" s="177"/>
      <c r="E96" s="177"/>
      <c r="F96" s="177"/>
      <c r="G96" s="177"/>
      <c r="H96" s="178"/>
      <c r="I96" s="26"/>
      <c r="J96" s="26"/>
      <c r="K96" s="26"/>
    </row>
    <row r="97" spans="1:16" ht="15" customHeight="1" x14ac:dyDescent="0.25">
      <c r="A97" s="231" t="s">
        <v>257</v>
      </c>
      <c r="B97" s="232"/>
      <c r="C97" s="231" t="s">
        <v>255</v>
      </c>
      <c r="D97" s="233"/>
      <c r="E97" s="232"/>
      <c r="F97" s="25" t="s">
        <v>76</v>
      </c>
      <c r="G97" s="208">
        <v>42968</v>
      </c>
      <c r="H97" s="111"/>
      <c r="I97" s="26"/>
      <c r="J97" s="26"/>
      <c r="K97" s="26"/>
    </row>
    <row r="98" spans="1:16" ht="34.5" hidden="1" customHeight="1" x14ac:dyDescent="0.25">
      <c r="A98" s="234"/>
      <c r="B98" s="235"/>
      <c r="C98" s="236"/>
      <c r="D98" s="237"/>
      <c r="E98" s="238"/>
      <c r="F98" s="34"/>
      <c r="G98" s="208"/>
      <c r="H98" s="111"/>
    </row>
    <row r="99" spans="1:16" ht="43.2" customHeight="1" x14ac:dyDescent="0.25">
      <c r="A99" s="236"/>
      <c r="B99" s="238"/>
      <c r="C99" s="209" t="s">
        <v>256</v>
      </c>
      <c r="D99" s="239"/>
      <c r="E99" s="210"/>
      <c r="F99" s="34" t="s">
        <v>150</v>
      </c>
      <c r="G99" s="208">
        <v>45889</v>
      </c>
      <c r="H99" s="111"/>
      <c r="I99" s="11">
        <f>56.9+2.85-4.05</f>
        <v>55.7</v>
      </c>
    </row>
    <row r="100" spans="1:16" x14ac:dyDescent="0.25">
      <c r="A100" s="119" t="s">
        <v>77</v>
      </c>
      <c r="B100" s="119"/>
      <c r="C100" s="94" t="s">
        <v>78</v>
      </c>
      <c r="D100" s="95"/>
      <c r="E100" s="95" t="s">
        <v>79</v>
      </c>
      <c r="F100" s="45" t="s">
        <v>76</v>
      </c>
      <c r="G100" s="94" t="s">
        <v>10</v>
      </c>
      <c r="H100" s="94" t="s">
        <v>10</v>
      </c>
    </row>
    <row r="101" spans="1:16" x14ac:dyDescent="0.25">
      <c r="A101" s="118" t="s">
        <v>83</v>
      </c>
      <c r="B101" s="118"/>
      <c r="C101" s="118"/>
      <c r="D101" s="118"/>
      <c r="E101" s="118"/>
      <c r="F101" s="118"/>
      <c r="G101" s="118"/>
      <c r="H101" s="118"/>
    </row>
    <row r="102" spans="1:16" x14ac:dyDescent="0.25">
      <c r="A102" s="117" t="s">
        <v>71</v>
      </c>
      <c r="B102" s="117"/>
      <c r="C102" s="110" t="s">
        <v>72</v>
      </c>
      <c r="D102" s="110"/>
      <c r="E102" s="112" t="s">
        <v>73</v>
      </c>
      <c r="F102" s="112"/>
      <c r="G102" s="112" t="s">
        <v>74</v>
      </c>
      <c r="H102" s="112"/>
    </row>
    <row r="103" spans="1:16" x14ac:dyDescent="0.25">
      <c r="A103" s="120" t="s">
        <v>214</v>
      </c>
      <c r="B103" s="120"/>
      <c r="C103" s="135">
        <f>COUNT(D126:D127,D130:D132)*10+COUNT(D137,D140:D142)+COUNT(D144:D152)*3+COUNT(D156:D162)+COUNT(D167:D170)</f>
        <v>92</v>
      </c>
      <c r="D103" s="136"/>
      <c r="E103" s="135">
        <f>SUM(F126:F127,F130:F132)*10+SUM(F137,F140:F142)+SUM(F144:F152)*3+SUM(F156:F162)+SUM(F167:F170)</f>
        <v>45846.566999999995</v>
      </c>
      <c r="F103" s="136"/>
      <c r="G103" s="135">
        <f>SUM(H126:H127,H130:H132)*10+SUM(H137,H140:H142)+SUM(H144:H152)*3+SUM(H156:H162)+SUM(H167:H170)</f>
        <v>68769.8505</v>
      </c>
      <c r="H103" s="136"/>
    </row>
    <row r="104" spans="1:16" ht="14.4" thickBot="1" x14ac:dyDescent="0.3">
      <c r="A104" s="240" t="s">
        <v>215</v>
      </c>
      <c r="B104" s="240"/>
      <c r="C104" s="241">
        <f>COUNT(D124:D125,D128:D129)*10+COUNT(D138:D139)</f>
        <v>42</v>
      </c>
      <c r="D104" s="242"/>
      <c r="E104" s="241">
        <f t="shared" ref="E104" si="1">SUM(F124:F125,F128:F129)*10+SUM(F138:F139)</f>
        <v>23942.257559999998</v>
      </c>
      <c r="F104" s="242"/>
      <c r="G104" s="241">
        <f t="shared" ref="G104" si="2">SUM(H124:H125,H128:H129)*10+SUM(H138:H139)</f>
        <v>35913.386339999997</v>
      </c>
      <c r="H104" s="242"/>
    </row>
    <row r="105" spans="1:16" ht="14.4" thickBot="1" x14ac:dyDescent="0.3">
      <c r="A105" s="244" t="s">
        <v>142</v>
      </c>
      <c r="B105" s="245"/>
      <c r="C105" s="246">
        <f>SUM(C103:D104)</f>
        <v>134</v>
      </c>
      <c r="D105" s="247"/>
      <c r="E105" s="248">
        <f>SUM(E103:F104)</f>
        <v>69788.824559999994</v>
      </c>
      <c r="F105" s="248"/>
      <c r="G105" s="248">
        <f>SUM(G103:H104)</f>
        <v>104683.23684</v>
      </c>
      <c r="H105" s="249"/>
    </row>
    <row r="106" spans="1:16" ht="15" customHeight="1" x14ac:dyDescent="0.25">
      <c r="A106" s="243" t="s">
        <v>144</v>
      </c>
      <c r="B106" s="243"/>
      <c r="C106" s="243"/>
      <c r="D106" s="243"/>
      <c r="E106" s="243"/>
      <c r="F106" s="243"/>
      <c r="G106" s="243"/>
      <c r="H106" s="243"/>
    </row>
    <row r="107" spans="1:16" ht="15" hidden="1" customHeight="1" x14ac:dyDescent="0.25">
      <c r="A107" s="125" t="s">
        <v>164</v>
      </c>
      <c r="B107" s="125"/>
      <c r="C107" s="125"/>
      <c r="D107" s="125"/>
      <c r="E107" s="125"/>
      <c r="F107" s="125"/>
      <c r="G107" s="125"/>
      <c r="H107" s="125"/>
    </row>
    <row r="108" spans="1:16" ht="41.4" hidden="1" x14ac:dyDescent="0.25">
      <c r="A108" s="105" t="s">
        <v>154</v>
      </c>
      <c r="B108" s="108" t="s">
        <v>2</v>
      </c>
      <c r="C108" s="105" t="s">
        <v>159</v>
      </c>
      <c r="D108" s="105" t="s">
        <v>143</v>
      </c>
      <c r="E108" s="126" t="s">
        <v>149</v>
      </c>
      <c r="F108" s="105" t="s">
        <v>156</v>
      </c>
      <c r="G108" s="126" t="s">
        <v>157</v>
      </c>
      <c r="H108" s="1" t="s">
        <v>155</v>
      </c>
    </row>
    <row r="109" spans="1:16" ht="15" hidden="1" customHeight="1" x14ac:dyDescent="0.25">
      <c r="A109" s="105"/>
      <c r="B109" s="108"/>
      <c r="C109" s="105"/>
      <c r="D109" s="105"/>
      <c r="E109" s="127"/>
      <c r="F109" s="105"/>
      <c r="G109" s="127"/>
      <c r="H109" s="46">
        <v>0.5</v>
      </c>
      <c r="N109" s="11" t="e">
        <f ca="1">O109&amp;" to "&amp;P109</f>
        <v>#REF!</v>
      </c>
      <c r="O109" s="11" t="e">
        <f ca="1">(SUMPRODUCT(MID(0&amp;(LEFT(#REF!,SUM(LEN(#REF!)-LEN(SUBSTITUTE(#REF!,{"0","1","2"},""))))), LARGE(INDEX(ISNUMBER(--MID((LEFT(#REF!,SUM(LEN(#REF!)-LEN(SUBSTITUTE(#REF!,{"0","1","2"},""))))), ROW(INDIRECT("1:"&amp;LEN((LEFT(#REF!,SUM(LEN(#REF!)-LEN(SUBSTITUTE(#REF!,{"0","1","2"},"")))))))), 1)) * ROW(INDIRECT("1:"&amp;LEN((LEFT(#REF!,SUM(LEN(#REF!)-LEN(SUBSTITUTE(#REF!,{"0","1","2"},"")))))))), 0), ROW(INDIRECT("1:"&amp;LEN((LEFT(#REF!,SUM(LEN(#REF!)-LEN(SUBSTITUTE(#REF!,{"0","1","2"},"")))))))))+1, 1) * 10^ROW(INDIRECT("1:"&amp;LEN((LEFT(#REF!,SUM(LEN(#REF!)-LEN(SUBSTITUTE(#REF!,{"0","1","2"},""))))))))/10))*100+1</f>
        <v>#REF!</v>
      </c>
      <c r="P109" s="11" t="e">
        <f ca="1">(SUMPRODUCT(MID(0&amp;(--TRIM(RIGHT(SUBSTITUTE(LEFT(#REF!,_xlfn.AGGREGATE(16,6,FIND({0,1,2,3,4,5,6,7,8,9},#REF!,ROW(INDIRECT("1:"&amp;LEN(#REF!)))),1))," ",REPT(" ",LEN(#REF!))),LEN(#REF!)))), LARGE(INDEX(ISNUMBER(--MID((--TRIM(RIGHT(SUBSTITUTE(LEFT(#REF!,_xlfn.AGGREGATE(16,6,FIND({0,1,2,3,4,5,6,7,8,9},#REF!,ROW(INDIRECT("1:"&amp;LEN(#REF!)))),1))," ",REPT(" ",LEN(#REF!))),LEN(#REF!)))), ROW(INDIRECT("1:"&amp;LEN((--TRIM(RIGHT(SUBSTITUTE(LEFT(#REF!,_xlfn.AGGREGATE(16,6,FIND({0,1,2,3,4,5,6,7,8,9},#REF!,ROW(INDIRECT("1:"&amp;LEN(#REF!)))),1))," ",REPT(" ",LEN(#REF!))),LEN(#REF!))))))), 1)) * ROW(INDIRECT("1:"&amp;LEN((--TRIM(RIGHT(SUBSTITUTE(LEFT(#REF!,_xlfn.AGGREGATE(16,6,FIND({0,1,2,3,4,5,6,7,8,9},#REF!,ROW(INDIRECT("1:"&amp;LEN(#REF!)))),1))," ",REPT(" ",LEN(#REF!))),LEN(#REF!))))))), 0), ROW(INDIRECT("1:"&amp;LEN((--TRIM(RIGHT(SUBSTITUTE(LEFT(#REF!,_xlfn.AGGREGATE(16,6,FIND({0,1,2,3,4,5,6,7,8,9},#REF!,ROW(INDIRECT("1:"&amp;LEN(#REF!)))),1))," ",REPT(" ",LEN(#REF!))),LEN(#REF!))))))))+1, 1) * 10^ROW(INDIRECT("1:"&amp;LEN((--TRIM(RIGHT(SUBSTITUTE(LEFT(#REF!,_xlfn.AGGREGATE(16,6,FIND({0,1,2,3,4,5,6,7,8,9},#REF!,ROW(INDIRECT("1:"&amp;LEN(#REF!)))),1))," ",REPT(" ",LEN(#REF!))),LEN(#REF!)))))))/10))*100+1</f>
        <v>#REF!</v>
      </c>
    </row>
    <row r="110" spans="1:16" ht="15" hidden="1" customHeight="1" x14ac:dyDescent="0.25">
      <c r="A110" s="107" t="s">
        <v>162</v>
      </c>
      <c r="B110" s="107"/>
      <c r="C110" s="107"/>
      <c r="D110" s="107"/>
      <c r="E110" s="107"/>
      <c r="F110" s="107"/>
      <c r="G110" s="128"/>
      <c r="H110" s="107"/>
      <c r="N110" s="11" t="e">
        <f t="shared" ref="N110:N118" ca="1" si="3">O110&amp;" to "&amp;P110</f>
        <v>#REF!</v>
      </c>
      <c r="O110" s="11" t="e">
        <f ca="1">O109+1</f>
        <v>#REF!</v>
      </c>
      <c r="P110" s="11" t="e">
        <f ca="1">P109+1</f>
        <v>#REF!</v>
      </c>
    </row>
    <row r="111" spans="1:16" ht="15" hidden="1" customHeight="1" x14ac:dyDescent="0.25">
      <c r="A111" s="27">
        <v>1</v>
      </c>
      <c r="B111" s="2"/>
      <c r="C111" s="2"/>
      <c r="D111" s="2"/>
      <c r="E111" s="2">
        <v>0</v>
      </c>
      <c r="F111" s="2">
        <f>C111+D111+E111</f>
        <v>0</v>
      </c>
      <c r="G111" s="2">
        <v>0</v>
      </c>
      <c r="H111" s="2">
        <f>F111*(($H$109)+1)+G111</f>
        <v>0</v>
      </c>
      <c r="N111" s="11" t="e">
        <f t="shared" ca="1" si="3"/>
        <v>#REF!</v>
      </c>
      <c r="O111" s="11" t="e">
        <f t="shared" ref="O111:O118" ca="1" si="4">O110+1</f>
        <v>#REF!</v>
      </c>
      <c r="P111" s="11" t="e">
        <f t="shared" ref="P111:P118" ca="1" si="5">P110+1</f>
        <v>#REF!</v>
      </c>
    </row>
    <row r="112" spans="1:16" ht="30.75" hidden="1" customHeight="1" x14ac:dyDescent="0.25">
      <c r="A112" s="27">
        <f>A111+1</f>
        <v>2</v>
      </c>
      <c r="B112" s="2"/>
      <c r="C112" s="2"/>
      <c r="D112" s="2"/>
      <c r="E112" s="2">
        <v>0</v>
      </c>
      <c r="F112" s="2">
        <f t="shared" ref="F112:F115" si="6">C112+D112+E112</f>
        <v>0</v>
      </c>
      <c r="G112" s="2">
        <v>0</v>
      </c>
      <c r="H112" s="2">
        <f>F112*(($H$109)+1)+G112</f>
        <v>0</v>
      </c>
      <c r="N112" s="11" t="e">
        <f t="shared" ca="1" si="3"/>
        <v>#REF!</v>
      </c>
      <c r="O112" s="11" t="e">
        <f t="shared" ca="1" si="4"/>
        <v>#REF!</v>
      </c>
      <c r="P112" s="11" t="e">
        <f t="shared" ca="1" si="5"/>
        <v>#REF!</v>
      </c>
    </row>
    <row r="113" spans="1:16" ht="15" hidden="1" customHeight="1" x14ac:dyDescent="0.25">
      <c r="A113" s="27">
        <f>A112+1</f>
        <v>3</v>
      </c>
      <c r="B113" s="2"/>
      <c r="C113" s="2"/>
      <c r="D113" s="2"/>
      <c r="E113" s="2">
        <v>0</v>
      </c>
      <c r="F113" s="2">
        <f t="shared" si="6"/>
        <v>0</v>
      </c>
      <c r="G113" s="2">
        <v>0</v>
      </c>
      <c r="H113" s="2">
        <f>F113*(($H$109)+1)+G113</f>
        <v>0</v>
      </c>
      <c r="N113" s="11" t="e">
        <f t="shared" ca="1" si="3"/>
        <v>#REF!</v>
      </c>
      <c r="O113" s="11" t="e">
        <f t="shared" ca="1" si="4"/>
        <v>#REF!</v>
      </c>
      <c r="P113" s="11" t="e">
        <f t="shared" ca="1" si="5"/>
        <v>#REF!</v>
      </c>
    </row>
    <row r="114" spans="1:16" ht="15" hidden="1" customHeight="1" x14ac:dyDescent="0.25">
      <c r="A114" s="27">
        <f>A113+1</f>
        <v>4</v>
      </c>
      <c r="B114" s="2"/>
      <c r="C114" s="2"/>
      <c r="D114" s="2"/>
      <c r="E114" s="2">
        <v>0</v>
      </c>
      <c r="F114" s="2">
        <f t="shared" si="6"/>
        <v>0</v>
      </c>
      <c r="G114" s="2">
        <v>0</v>
      </c>
      <c r="H114" s="2">
        <f>F114*(($H$109)+1)+G114</f>
        <v>0</v>
      </c>
      <c r="N114" s="11" t="e">
        <f t="shared" ca="1" si="3"/>
        <v>#REF!</v>
      </c>
      <c r="O114" s="11" t="e">
        <f t="shared" ca="1" si="4"/>
        <v>#REF!</v>
      </c>
      <c r="P114" s="11" t="e">
        <f t="shared" ca="1" si="5"/>
        <v>#REF!</v>
      </c>
    </row>
    <row r="115" spans="1:16" ht="15" hidden="1" customHeight="1" x14ac:dyDescent="0.25">
      <c r="A115" s="27">
        <f>A114+1</f>
        <v>5</v>
      </c>
      <c r="B115" s="2"/>
      <c r="C115" s="2"/>
      <c r="D115" s="2"/>
      <c r="E115" s="2">
        <v>0</v>
      </c>
      <c r="F115" s="2">
        <f t="shared" si="6"/>
        <v>0</v>
      </c>
      <c r="G115" s="2">
        <v>0</v>
      </c>
      <c r="H115" s="2">
        <f>F115*(($H$109)+1)+G115</f>
        <v>0</v>
      </c>
      <c r="N115" s="11" t="e">
        <f t="shared" ca="1" si="3"/>
        <v>#REF!</v>
      </c>
      <c r="O115" s="11" t="e">
        <f t="shared" ca="1" si="4"/>
        <v>#REF!</v>
      </c>
      <c r="P115" s="11" t="e">
        <f t="shared" ca="1" si="5"/>
        <v>#REF!</v>
      </c>
    </row>
    <row r="116" spans="1:16" ht="15" hidden="1" customHeight="1" x14ac:dyDescent="0.25">
      <c r="A116" s="130"/>
      <c r="B116" s="130"/>
      <c r="C116" s="130"/>
      <c r="D116" s="130"/>
      <c r="E116" s="130"/>
      <c r="F116" s="130"/>
      <c r="G116" s="131"/>
      <c r="H116" s="130"/>
      <c r="N116" s="11" t="e">
        <f t="shared" ca="1" si="3"/>
        <v>#REF!</v>
      </c>
      <c r="O116" s="11" t="e">
        <f t="shared" ca="1" si="4"/>
        <v>#REF!</v>
      </c>
      <c r="P116" s="11" t="e">
        <f t="shared" ca="1" si="5"/>
        <v>#REF!</v>
      </c>
    </row>
    <row r="117" spans="1:16" ht="15" customHeight="1" x14ac:dyDescent="0.25">
      <c r="A117" s="109" t="s">
        <v>163</v>
      </c>
      <c r="B117" s="109"/>
      <c r="C117" s="109"/>
      <c r="D117" s="109"/>
      <c r="E117" s="109"/>
      <c r="F117" s="109"/>
      <c r="G117" s="109"/>
      <c r="H117" s="109"/>
      <c r="N117" s="11" t="e">
        <f t="shared" ca="1" si="3"/>
        <v>#REF!</v>
      </c>
      <c r="O117" s="11" t="e">
        <f t="shared" ca="1" si="4"/>
        <v>#REF!</v>
      </c>
      <c r="P117" s="11" t="e">
        <f t="shared" ca="1" si="5"/>
        <v>#REF!</v>
      </c>
    </row>
    <row r="118" spans="1:16" ht="50.25" customHeight="1" x14ac:dyDescent="0.25">
      <c r="A118" s="105" t="s">
        <v>154</v>
      </c>
      <c r="B118" s="108" t="s">
        <v>195</v>
      </c>
      <c r="C118" s="105" t="s">
        <v>2</v>
      </c>
      <c r="D118" s="105" t="s">
        <v>159</v>
      </c>
      <c r="E118" s="105" t="s">
        <v>246</v>
      </c>
      <c r="F118" s="126" t="s">
        <v>156</v>
      </c>
      <c r="G118" s="137" t="s">
        <v>157</v>
      </c>
      <c r="H118" s="1" t="s">
        <v>155</v>
      </c>
      <c r="N118" s="11" t="e">
        <f t="shared" ca="1" si="3"/>
        <v>#REF!</v>
      </c>
      <c r="O118" s="11" t="e">
        <f t="shared" ca="1" si="4"/>
        <v>#REF!</v>
      </c>
      <c r="P118" s="11" t="e">
        <f t="shared" ca="1" si="5"/>
        <v>#REF!</v>
      </c>
    </row>
    <row r="119" spans="1:16" x14ac:dyDescent="0.25">
      <c r="A119" s="105"/>
      <c r="B119" s="108"/>
      <c r="C119" s="105"/>
      <c r="D119" s="105"/>
      <c r="E119" s="105"/>
      <c r="F119" s="127"/>
      <c r="G119" s="138"/>
      <c r="H119" s="226">
        <v>0.5</v>
      </c>
    </row>
    <row r="120" spans="1:16" s="212" customFormat="1" ht="15.6" customHeight="1" x14ac:dyDescent="0.3">
      <c r="A120" s="107" t="s">
        <v>196</v>
      </c>
      <c r="B120" s="107"/>
      <c r="C120" s="107"/>
      <c r="D120" s="107"/>
      <c r="E120" s="107"/>
      <c r="F120" s="107"/>
      <c r="G120" s="128"/>
      <c r="H120" s="128"/>
      <c r="J120" s="213"/>
    </row>
    <row r="121" spans="1:16" s="212" customFormat="1" ht="15.6" customHeight="1" x14ac:dyDescent="0.3">
      <c r="A121" s="107" t="s">
        <v>197</v>
      </c>
      <c r="B121" s="107"/>
      <c r="C121" s="107"/>
      <c r="D121" s="107"/>
      <c r="E121" s="107"/>
      <c r="F121" s="107"/>
      <c r="G121" s="128"/>
      <c r="H121" s="128"/>
      <c r="J121" s="213"/>
    </row>
    <row r="122" spans="1:16" s="212" customFormat="1" ht="15.6" customHeight="1" x14ac:dyDescent="0.3">
      <c r="A122" s="107" t="s">
        <v>198</v>
      </c>
      <c r="B122" s="107"/>
      <c r="C122" s="107"/>
      <c r="D122" s="107"/>
      <c r="E122" s="107"/>
      <c r="F122" s="107"/>
      <c r="G122" s="128"/>
      <c r="H122" s="128"/>
      <c r="J122" s="213"/>
    </row>
    <row r="123" spans="1:16" ht="15" customHeight="1" x14ac:dyDescent="0.25">
      <c r="A123" s="107" t="s">
        <v>199</v>
      </c>
      <c r="B123" s="107"/>
      <c r="C123" s="107"/>
      <c r="D123" s="107"/>
      <c r="E123" s="107"/>
      <c r="F123" s="107"/>
      <c r="G123" s="128"/>
      <c r="H123" s="128"/>
      <c r="I123" s="11">
        <f>6+4</f>
        <v>10</v>
      </c>
      <c r="N123" s="11" t="e">
        <f ca="1">O123&amp;" &amp; "&amp;P123</f>
        <v>#REF!</v>
      </c>
      <c r="O123" s="11" t="e">
        <f ca="1">(SUMPRODUCT(MID(0&amp;(LEFT(#REF!,SUM(LEN(#REF!)-LEN(SUBSTITUTE(#REF!,{"0","1","2"},""))))), LARGE(INDEX(ISNUMBER(--MID((LEFT(#REF!,SUM(LEN(#REF!)-LEN(SUBSTITUTE(#REF!,{"0","1","2"},""))))), ROW(INDIRECT("1:"&amp;LEN((LEFT(#REF!,SUM(LEN(#REF!)-LEN(SUBSTITUTE(#REF!,{"0","1","2"},"")))))))), 1)) * ROW(INDIRECT("1:"&amp;LEN((LEFT(#REF!,SUM(LEN(#REF!)-LEN(SUBSTITUTE(#REF!,{"0","1","2"},"")))))))), 0), ROW(INDIRECT("1:"&amp;LEN((LEFT(#REF!,SUM(LEN(#REF!)-LEN(SUBSTITUTE(#REF!,{"0","1","2"},"")))))))))+1, 1) * 10^ROW(INDIRECT("1:"&amp;LEN((LEFT(#REF!,SUM(LEN(#REF!)-LEN(SUBSTITUTE(#REF!,{"0","1","2"},""))))))))/10))*100+1</f>
        <v>#REF!</v>
      </c>
      <c r="P123" s="11" t="e">
        <f ca="1">(SUMPRODUCT(MID(0&amp;(--TRIM(RIGHT(SUBSTITUTE(LEFT(#REF!,_xlfn.AGGREGATE(16,6,FIND({0,1,2,3,4,5,6,7,8,9},#REF!,ROW(INDIRECT("1:"&amp;LEN(#REF!)))),1))," ",REPT(" ",LEN(#REF!))),LEN(#REF!)))), LARGE(INDEX(ISNUMBER(--MID((--TRIM(RIGHT(SUBSTITUTE(LEFT(#REF!,_xlfn.AGGREGATE(16,6,FIND({0,1,2,3,4,5,6,7,8,9},#REF!,ROW(INDIRECT("1:"&amp;LEN(#REF!)))),1))," ",REPT(" ",LEN(#REF!))),LEN(#REF!)))), ROW(INDIRECT("1:"&amp;LEN((--TRIM(RIGHT(SUBSTITUTE(LEFT(#REF!,_xlfn.AGGREGATE(16,6,FIND({0,1,2,3,4,5,6,7,8,9},#REF!,ROW(INDIRECT("1:"&amp;LEN(#REF!)))),1))," ",REPT(" ",LEN(#REF!))),LEN(#REF!))))))), 1)) * ROW(INDIRECT("1:"&amp;LEN((--TRIM(RIGHT(SUBSTITUTE(LEFT(#REF!,_xlfn.AGGREGATE(16,6,FIND({0,1,2,3,4,5,6,7,8,9},#REF!,ROW(INDIRECT("1:"&amp;LEN(#REF!)))),1))," ",REPT(" ",LEN(#REF!))),LEN(#REF!))))))), 0), ROW(INDIRECT("1:"&amp;LEN((--TRIM(RIGHT(SUBSTITUTE(LEFT(#REF!,_xlfn.AGGREGATE(16,6,FIND({0,1,2,3,4,5,6,7,8,9},#REF!,ROW(INDIRECT("1:"&amp;LEN(#REF!)))),1))," ",REPT(" ",LEN(#REF!))),LEN(#REF!))))))))+1, 1) * 10^ROW(INDIRECT("1:"&amp;LEN((--TRIM(RIGHT(SUBSTITUTE(LEFT(#REF!,_xlfn.AGGREGATE(16,6,FIND({0,1,2,3,4,5,6,7,8,9},#REF!,ROW(INDIRECT("1:"&amp;LEN(#REF!)))),1))," ",REPT(" ",LEN(#REF!))),LEN(#REF!)))))))/10))*100+1</f>
        <v>#REF!</v>
      </c>
    </row>
    <row r="124" spans="1:16" ht="15" customHeight="1" x14ac:dyDescent="0.25">
      <c r="A124" s="27">
        <v>1</v>
      </c>
      <c r="B124" s="2" t="s">
        <v>200</v>
      </c>
      <c r="C124" s="2" t="s">
        <v>201</v>
      </c>
      <c r="D124" s="2">
        <f>(54.36)*(10.764)</f>
        <v>585.13103999999998</v>
      </c>
      <c r="E124" s="2">
        <v>0</v>
      </c>
      <c r="F124" s="2">
        <f>D124+E124</f>
        <v>585.13103999999998</v>
      </c>
      <c r="G124" s="2">
        <v>0</v>
      </c>
      <c r="H124" s="2">
        <f>F124*(($H$119)+1)+(IF(G124&lt;101,G124,IF(G124&lt;201,G124/2,IF(G124&lt;=301,G124/3,G124/4))))</f>
        <v>877.69655999999998</v>
      </c>
      <c r="N124" s="11" t="e">
        <f t="shared" ref="N124:N132" ca="1" si="7">O124&amp;" &amp; "&amp;P124</f>
        <v>#REF!</v>
      </c>
      <c r="O124" s="11" t="e">
        <f ca="1">O123+1</f>
        <v>#REF!</v>
      </c>
      <c r="P124" s="11" t="e">
        <f ca="1">P123+1</f>
        <v>#REF!</v>
      </c>
    </row>
    <row r="125" spans="1:16" ht="15" customHeight="1" x14ac:dyDescent="0.25">
      <c r="A125" s="27">
        <f>A124+1</f>
        <v>2</v>
      </c>
      <c r="B125" s="2" t="s">
        <v>200</v>
      </c>
      <c r="C125" s="2" t="s">
        <v>201</v>
      </c>
      <c r="D125" s="2">
        <f>(51.59-(3.04*0.9))*(10.764)</f>
        <v>525.86445600000002</v>
      </c>
      <c r="E125" s="2">
        <f>(3.04*0.9)*(10.764)</f>
        <v>29.450303999999999</v>
      </c>
      <c r="F125" s="2">
        <f>D125+E125</f>
        <v>555.31475999999998</v>
      </c>
      <c r="G125" s="2">
        <v>0</v>
      </c>
      <c r="H125" s="2">
        <f>F125*(($H$119)+1)+(IF(G125&lt;101,G125,IF(G125&lt;201,G125/2,IF(G125&lt;=301,G125/3,G125/4))))</f>
        <v>832.97213999999997</v>
      </c>
      <c r="N125" s="11" t="e">
        <f t="shared" ca="1" si="7"/>
        <v>#REF!</v>
      </c>
      <c r="O125" s="11" t="e">
        <f t="shared" ref="O125:O132" ca="1" si="8">O124+1</f>
        <v>#REF!</v>
      </c>
      <c r="P125" s="11" t="e">
        <f t="shared" ref="P125:P132" ca="1" si="9">P124+1</f>
        <v>#REF!</v>
      </c>
    </row>
    <row r="126" spans="1:16" ht="15" customHeight="1" x14ac:dyDescent="0.25">
      <c r="A126" s="27">
        <f>A125+1</f>
        <v>3</v>
      </c>
      <c r="B126" s="48" t="s">
        <v>202</v>
      </c>
      <c r="C126" s="2" t="s">
        <v>203</v>
      </c>
      <c r="D126" s="2">
        <f>(48.74-(2.74*0.9))*(10.764)</f>
        <v>498.09333599999997</v>
      </c>
      <c r="E126" s="2">
        <f>(2.74*0.9)*(10.764)</f>
        <v>26.544024</v>
      </c>
      <c r="F126" s="2">
        <f t="shared" ref="F126:F132" si="10">D126+E126</f>
        <v>524.63735999999994</v>
      </c>
      <c r="G126" s="2">
        <v>0</v>
      </c>
      <c r="H126" s="2">
        <f>F126*(($H$119)+1)+(IF(G126&lt;101,G126,IF(G126&lt;201,G126/2,IF(G126&lt;=301,G126/3,G126/4))))</f>
        <v>786.95603999999992</v>
      </c>
      <c r="N126" s="11" t="e">
        <f t="shared" ca="1" si="7"/>
        <v>#REF!</v>
      </c>
      <c r="O126" s="11" t="e">
        <f t="shared" ca="1" si="8"/>
        <v>#REF!</v>
      </c>
      <c r="P126" s="11" t="e">
        <f t="shared" ca="1" si="9"/>
        <v>#REF!</v>
      </c>
    </row>
    <row r="127" spans="1:16" ht="15" customHeight="1" x14ac:dyDescent="0.25">
      <c r="A127" s="27">
        <f>A126+1</f>
        <v>4</v>
      </c>
      <c r="B127" s="48" t="s">
        <v>202</v>
      </c>
      <c r="C127" s="2" t="s">
        <v>203</v>
      </c>
      <c r="D127" s="2">
        <f>(48.67-(2.74*0.9))*(10.764)</f>
        <v>497.339856</v>
      </c>
      <c r="E127" s="2">
        <f>(2.74*0.9)*(10.764)</f>
        <v>26.544024</v>
      </c>
      <c r="F127" s="2">
        <f t="shared" si="10"/>
        <v>523.88387999999998</v>
      </c>
      <c r="G127" s="2">
        <v>0</v>
      </c>
      <c r="H127" s="2">
        <f>F127*(($H$119)+1)+(IF(G127&lt;101,G127,IF(G127&lt;201,G127/2,IF(G127&lt;=301,G127/3,G127/4))))</f>
        <v>785.82582000000002</v>
      </c>
      <c r="N127" s="11" t="e">
        <f t="shared" ca="1" si="7"/>
        <v>#REF!</v>
      </c>
      <c r="O127" s="11" t="e">
        <f t="shared" ca="1" si="8"/>
        <v>#REF!</v>
      </c>
      <c r="P127" s="11" t="e">
        <f t="shared" ca="1" si="9"/>
        <v>#REF!</v>
      </c>
    </row>
    <row r="128" spans="1:16" ht="15" customHeight="1" x14ac:dyDescent="0.25">
      <c r="A128" s="27">
        <f>A127+1</f>
        <v>5</v>
      </c>
      <c r="B128" s="2" t="s">
        <v>200</v>
      </c>
      <c r="C128" s="2" t="s">
        <v>201</v>
      </c>
      <c r="D128" s="2">
        <f>(51.53-(3.04*0.9))*(10.764)</f>
        <v>525.218616</v>
      </c>
      <c r="E128" s="2">
        <f>(3.04*0.9)*(10.764)</f>
        <v>29.450303999999999</v>
      </c>
      <c r="F128" s="2">
        <f t="shared" si="10"/>
        <v>554.66891999999996</v>
      </c>
      <c r="G128" s="2">
        <v>0</v>
      </c>
      <c r="H128" s="2">
        <f>F128*(($H$119)+1)+(IF(G128&lt;101,G128,IF(G128&lt;201,G128/2,IF(G128&lt;=301,G128/3,G128/4))))</f>
        <v>832.00337999999988</v>
      </c>
      <c r="N128" s="11" t="e">
        <f t="shared" ca="1" si="7"/>
        <v>#REF!</v>
      </c>
      <c r="O128" s="11" t="e">
        <f t="shared" ca="1" si="8"/>
        <v>#REF!</v>
      </c>
      <c r="P128" s="11" t="e">
        <f t="shared" ca="1" si="9"/>
        <v>#REF!</v>
      </c>
    </row>
    <row r="129" spans="1:17" ht="15" customHeight="1" x14ac:dyDescent="0.25">
      <c r="A129" s="28">
        <f t="shared" ref="A129:A132" si="11">A128+1</f>
        <v>6</v>
      </c>
      <c r="B129" s="2" t="s">
        <v>200</v>
      </c>
      <c r="C129" s="2" t="s">
        <v>201</v>
      </c>
      <c r="D129" s="2">
        <f>(54.36)*(10.764)</f>
        <v>585.13103999999998</v>
      </c>
      <c r="E129" s="2">
        <v>0</v>
      </c>
      <c r="F129" s="2">
        <f t="shared" si="10"/>
        <v>585.13103999999998</v>
      </c>
      <c r="G129" s="2">
        <v>0</v>
      </c>
      <c r="H129" s="2">
        <f>F129*(($H$119)+1)+(IF(G129&lt;101,G129,IF(G129&lt;201,G129/2,IF(G129&lt;=301,G129/3,G129/4))))</f>
        <v>877.69655999999998</v>
      </c>
      <c r="N129" s="11" t="e">
        <f t="shared" ca="1" si="7"/>
        <v>#REF!</v>
      </c>
      <c r="O129" s="11" t="e">
        <f t="shared" ca="1" si="8"/>
        <v>#REF!</v>
      </c>
      <c r="P129" s="11" t="e">
        <f t="shared" ca="1" si="9"/>
        <v>#REF!</v>
      </c>
    </row>
    <row r="130" spans="1:17" ht="15" customHeight="1" x14ac:dyDescent="0.25">
      <c r="A130" s="28">
        <f t="shared" si="11"/>
        <v>7</v>
      </c>
      <c r="B130" s="48" t="s">
        <v>202</v>
      </c>
      <c r="C130" s="2" t="s">
        <v>204</v>
      </c>
      <c r="D130" s="2">
        <f>(42.07)*(10.764)</f>
        <v>452.84147999999999</v>
      </c>
      <c r="E130" s="2">
        <v>0</v>
      </c>
      <c r="F130" s="2">
        <f t="shared" si="10"/>
        <v>452.84147999999999</v>
      </c>
      <c r="G130" s="2">
        <v>0</v>
      </c>
      <c r="H130" s="2">
        <f>F130*(($H$119)+1)+(IF(G130&lt;101,G130,IF(G130&lt;201,G130/2,IF(G130&lt;=301,G130/3,G130/4))))</f>
        <v>679.26221999999996</v>
      </c>
      <c r="N130" s="11" t="e">
        <f t="shared" ca="1" si="7"/>
        <v>#REF!</v>
      </c>
      <c r="O130" s="11" t="e">
        <f t="shared" ca="1" si="8"/>
        <v>#REF!</v>
      </c>
      <c r="P130" s="11" t="e">
        <f t="shared" ca="1" si="9"/>
        <v>#REF!</v>
      </c>
    </row>
    <row r="131" spans="1:17" ht="15" customHeight="1" x14ac:dyDescent="0.25">
      <c r="A131" s="28">
        <f t="shared" si="11"/>
        <v>8</v>
      </c>
      <c r="B131" s="48" t="s">
        <v>202</v>
      </c>
      <c r="C131" s="2" t="s">
        <v>204</v>
      </c>
      <c r="D131" s="2">
        <f>(42.07)*(10.764)</f>
        <v>452.84147999999999</v>
      </c>
      <c r="E131" s="2">
        <v>0</v>
      </c>
      <c r="F131" s="2">
        <f t="shared" si="10"/>
        <v>452.84147999999999</v>
      </c>
      <c r="G131" s="2">
        <v>0</v>
      </c>
      <c r="H131" s="2">
        <f>F131*(($H$119)+1)+(IF(G131&lt;101,G131,IF(G131&lt;201,G131/2,IF(G131&lt;=301,G131/3,G131/4))))</f>
        <v>679.26221999999996</v>
      </c>
      <c r="N131" s="11" t="e">
        <f t="shared" ca="1" si="7"/>
        <v>#REF!</v>
      </c>
      <c r="O131" s="11" t="e">
        <f t="shared" ca="1" si="8"/>
        <v>#REF!</v>
      </c>
      <c r="P131" s="11" t="e">
        <f t="shared" ca="1" si="9"/>
        <v>#REF!</v>
      </c>
    </row>
    <row r="132" spans="1:17" ht="15" customHeight="1" x14ac:dyDescent="0.25">
      <c r="A132" s="28">
        <f t="shared" si="11"/>
        <v>9</v>
      </c>
      <c r="B132" s="48" t="s">
        <v>202</v>
      </c>
      <c r="C132" s="2" t="s">
        <v>204</v>
      </c>
      <c r="D132" s="2">
        <f>(42.07)*(10.764)</f>
        <v>452.84147999999999</v>
      </c>
      <c r="E132" s="2">
        <v>0</v>
      </c>
      <c r="F132" s="2">
        <f t="shared" si="10"/>
        <v>452.84147999999999</v>
      </c>
      <c r="G132" s="2">
        <v>0</v>
      </c>
      <c r="H132" s="2">
        <f>F132*(($H$119)+1)+(IF(G132&lt;101,G132,IF(G132&lt;201,G132/2,IF(G132&lt;=301,G132/3,G132/4))))</f>
        <v>679.26221999999996</v>
      </c>
      <c r="N132" s="11" t="e">
        <f t="shared" ca="1" si="7"/>
        <v>#REF!</v>
      </c>
      <c r="O132" s="11" t="e">
        <f t="shared" ca="1" si="8"/>
        <v>#REF!</v>
      </c>
      <c r="P132" s="11" t="e">
        <f t="shared" ca="1" si="9"/>
        <v>#REF!</v>
      </c>
    </row>
    <row r="133" spans="1:17" ht="15" customHeight="1" x14ac:dyDescent="0.25">
      <c r="A133" s="107" t="s">
        <v>205</v>
      </c>
      <c r="B133" s="107"/>
      <c r="C133" s="107"/>
      <c r="D133" s="107"/>
      <c r="E133" s="107"/>
      <c r="F133" s="107"/>
      <c r="G133" s="128"/>
      <c r="H133" s="128"/>
      <c r="I133" s="11">
        <v>1</v>
      </c>
      <c r="N133" s="11" t="e">
        <f ca="1">O133&amp;" &amp; "&amp;P133</f>
        <v>#REF!</v>
      </c>
      <c r="O133" s="11" t="e">
        <f ca="1">(SUMPRODUCT(MID(0&amp;(LEFT(#REF!,SUM(LEN(#REF!)-LEN(SUBSTITUTE(#REF!,{"0","1","2"},""))))), LARGE(INDEX(ISNUMBER(--MID((LEFT(#REF!,SUM(LEN(#REF!)-LEN(SUBSTITUTE(#REF!,{"0","1","2"},""))))), ROW(INDIRECT("1:"&amp;LEN((LEFT(#REF!,SUM(LEN(#REF!)-LEN(SUBSTITUTE(#REF!,{"0","1","2"},"")))))))), 1)) * ROW(INDIRECT("1:"&amp;LEN((LEFT(#REF!,SUM(LEN(#REF!)-LEN(SUBSTITUTE(#REF!,{"0","1","2"},"")))))))), 0), ROW(INDIRECT("1:"&amp;LEN((LEFT(#REF!,SUM(LEN(#REF!)-LEN(SUBSTITUTE(#REF!,{"0","1","2"},"")))))))))+1, 1) * 10^ROW(INDIRECT("1:"&amp;LEN((LEFT(#REF!,SUM(LEN(#REF!)-LEN(SUBSTITUTE(#REF!,{"0","1","2"},""))))))))/10))*100+1</f>
        <v>#REF!</v>
      </c>
      <c r="P133" s="11" t="e">
        <f ca="1">(SUMPRODUCT(MID(0&amp;(--TRIM(RIGHT(SUBSTITUTE(LEFT(#REF!,_xlfn.AGGREGATE(16,6,FIND({0,1,2,3,4,5,6,7,8,9},#REF!,ROW(INDIRECT("1:"&amp;LEN(#REF!)))),1))," ",REPT(" ",LEN(#REF!))),LEN(#REF!)))), LARGE(INDEX(ISNUMBER(--MID((--TRIM(RIGHT(SUBSTITUTE(LEFT(#REF!,_xlfn.AGGREGATE(16,6,FIND({0,1,2,3,4,5,6,7,8,9},#REF!,ROW(INDIRECT("1:"&amp;LEN(#REF!)))),1))," ",REPT(" ",LEN(#REF!))),LEN(#REF!)))), ROW(INDIRECT("1:"&amp;LEN((--TRIM(RIGHT(SUBSTITUTE(LEFT(#REF!,_xlfn.AGGREGATE(16,6,FIND({0,1,2,3,4,5,6,7,8,9},#REF!,ROW(INDIRECT("1:"&amp;LEN(#REF!)))),1))," ",REPT(" ",LEN(#REF!))),LEN(#REF!))))))), 1)) * ROW(INDIRECT("1:"&amp;LEN((--TRIM(RIGHT(SUBSTITUTE(LEFT(#REF!,_xlfn.AGGREGATE(16,6,FIND({0,1,2,3,4,5,6,7,8,9},#REF!,ROW(INDIRECT("1:"&amp;LEN(#REF!)))),1))," ",REPT(" ",LEN(#REF!))),LEN(#REF!))))))), 0), ROW(INDIRECT("1:"&amp;LEN((--TRIM(RIGHT(SUBSTITUTE(LEFT(#REF!,_xlfn.AGGREGATE(16,6,FIND({0,1,2,3,4,5,6,7,8,9},#REF!,ROW(INDIRECT("1:"&amp;LEN(#REF!)))),1))," ",REPT(" ",LEN(#REF!))),LEN(#REF!))))))))+1, 1) * 10^ROW(INDIRECT("1:"&amp;LEN((--TRIM(RIGHT(SUBSTITUTE(LEFT(#REF!,_xlfn.AGGREGATE(16,6,FIND({0,1,2,3,4,5,6,7,8,9},#REF!,ROW(INDIRECT("1:"&amp;LEN(#REF!)))),1))," ",REPT(" ",LEN(#REF!))),LEN(#REF!)))))))/10))*100+1</f>
        <v>#REF!</v>
      </c>
    </row>
    <row r="134" spans="1:17" ht="15" customHeight="1" x14ac:dyDescent="0.25">
      <c r="A134" s="27">
        <v>1</v>
      </c>
      <c r="B134" s="2" t="s">
        <v>206</v>
      </c>
      <c r="C134" s="214" t="s">
        <v>207</v>
      </c>
      <c r="D134" s="215"/>
      <c r="E134" s="215"/>
      <c r="F134" s="215"/>
      <c r="G134" s="215"/>
      <c r="H134" s="216"/>
      <c r="N134" s="11" t="e">
        <f t="shared" ref="N134:N142" ca="1" si="12">O134&amp;" &amp; "&amp;P134</f>
        <v>#REF!</v>
      </c>
      <c r="O134" s="11" t="e">
        <f ca="1">O133+1</f>
        <v>#REF!</v>
      </c>
      <c r="P134" s="11" t="e">
        <f ca="1">P133+1</f>
        <v>#REF!</v>
      </c>
    </row>
    <row r="135" spans="1:17" ht="15" customHeight="1" x14ac:dyDescent="0.25">
      <c r="A135" s="27">
        <f>A134+1</f>
        <v>2</v>
      </c>
      <c r="B135" s="2" t="s">
        <v>206</v>
      </c>
      <c r="C135" s="217"/>
      <c r="D135" s="218"/>
      <c r="E135" s="218"/>
      <c r="F135" s="218"/>
      <c r="G135" s="218"/>
      <c r="H135" s="219"/>
      <c r="N135" s="11" t="e">
        <f t="shared" ca="1" si="12"/>
        <v>#REF!</v>
      </c>
      <c r="O135" s="11" t="e">
        <f t="shared" ref="O135:P142" ca="1" si="13">O134+1</f>
        <v>#REF!</v>
      </c>
      <c r="P135" s="11" t="e">
        <f t="shared" ca="1" si="13"/>
        <v>#REF!</v>
      </c>
    </row>
    <row r="136" spans="1:17" ht="15" customHeight="1" x14ac:dyDescent="0.25">
      <c r="A136" s="27">
        <f>A135+1</f>
        <v>3</v>
      </c>
      <c r="B136" s="48" t="s">
        <v>206</v>
      </c>
      <c r="C136" s="220" t="s">
        <v>208</v>
      </c>
      <c r="D136" s="221"/>
      <c r="E136" s="221"/>
      <c r="F136" s="221"/>
      <c r="G136" s="221"/>
      <c r="H136" s="222"/>
      <c r="N136" s="11" t="e">
        <f t="shared" ca="1" si="12"/>
        <v>#REF!</v>
      </c>
      <c r="O136" s="11" t="e">
        <f t="shared" ca="1" si="13"/>
        <v>#REF!</v>
      </c>
      <c r="P136" s="11" t="e">
        <f t="shared" ca="1" si="13"/>
        <v>#REF!</v>
      </c>
    </row>
    <row r="137" spans="1:17" ht="15" customHeight="1" x14ac:dyDescent="0.25">
      <c r="A137" s="27">
        <f>A136+1</f>
        <v>4</v>
      </c>
      <c r="B137" s="48" t="s">
        <v>202</v>
      </c>
      <c r="C137" s="2" t="s">
        <v>203</v>
      </c>
      <c r="D137" s="2">
        <f>(48.67-(2.74*0.9))*(10.764)</f>
        <v>497.339856</v>
      </c>
      <c r="E137" s="2">
        <f>(2.74*0.9)*(10.764)</f>
        <v>26.544024</v>
      </c>
      <c r="F137" s="2">
        <f t="shared" ref="F137:F142" si="14">D137+E137</f>
        <v>523.88387999999998</v>
      </c>
      <c r="G137" s="2">
        <v>0</v>
      </c>
      <c r="H137" s="2">
        <f>F137*(($H$119)+1)+(IF(G137&lt;101,G137,IF(G137&lt;201,G137/2,IF(G137&lt;=301,G137/3,G137/4))))</f>
        <v>785.82582000000002</v>
      </c>
      <c r="N137" s="11" t="e">
        <f t="shared" ca="1" si="12"/>
        <v>#REF!</v>
      </c>
      <c r="O137" s="11" t="e">
        <f t="shared" ca="1" si="13"/>
        <v>#REF!</v>
      </c>
      <c r="P137" s="11" t="e">
        <f t="shared" ca="1" si="13"/>
        <v>#REF!</v>
      </c>
    </row>
    <row r="138" spans="1:17" ht="15" customHeight="1" x14ac:dyDescent="0.25">
      <c r="A138" s="27">
        <f>A137+1</f>
        <v>5</v>
      </c>
      <c r="B138" s="2" t="s">
        <v>200</v>
      </c>
      <c r="C138" s="2" t="s">
        <v>201</v>
      </c>
      <c r="D138" s="2">
        <f>(51.53-(3.04*0.9))*(10.764)</f>
        <v>525.218616</v>
      </c>
      <c r="E138" s="2">
        <f>(3.04*0.9)*(10.764)</f>
        <v>29.450303999999999</v>
      </c>
      <c r="F138" s="2">
        <f t="shared" si="14"/>
        <v>554.66891999999996</v>
      </c>
      <c r="G138" s="2">
        <v>0</v>
      </c>
      <c r="H138" s="2">
        <f>F138*(($H$119)+1)+(IF(G138&lt;101,G138,IF(G138&lt;201,G138/2,IF(G138&lt;=301,G138/3,G138/4))))</f>
        <v>832.00337999999988</v>
      </c>
      <c r="N138" s="11" t="e">
        <f t="shared" ca="1" si="12"/>
        <v>#REF!</v>
      </c>
      <c r="O138" s="11" t="e">
        <f t="shared" ca="1" si="13"/>
        <v>#REF!</v>
      </c>
      <c r="P138" s="11" t="e">
        <f t="shared" ca="1" si="13"/>
        <v>#REF!</v>
      </c>
    </row>
    <row r="139" spans="1:17" ht="15" customHeight="1" x14ac:dyDescent="0.25">
      <c r="A139" s="28">
        <f t="shared" ref="A139:A142" si="15">A138+1</f>
        <v>6</v>
      </c>
      <c r="B139" s="2" t="s">
        <v>200</v>
      </c>
      <c r="C139" s="2" t="s">
        <v>201</v>
      </c>
      <c r="D139" s="2">
        <f>(54.36)*(10.764)</f>
        <v>585.13103999999998</v>
      </c>
      <c r="E139" s="2">
        <v>0</v>
      </c>
      <c r="F139" s="2">
        <f t="shared" si="14"/>
        <v>585.13103999999998</v>
      </c>
      <c r="G139" s="2">
        <v>0</v>
      </c>
      <c r="H139" s="2">
        <f>F139*(($H$119)+1)+(IF(G139&lt;101,G139,IF(G139&lt;201,G139/2,IF(G139&lt;=301,G139/3,G139/4))))</f>
        <v>877.69655999999998</v>
      </c>
      <c r="N139" s="11" t="e">
        <f t="shared" ca="1" si="12"/>
        <v>#REF!</v>
      </c>
      <c r="O139" s="11" t="e">
        <f t="shared" ca="1" si="13"/>
        <v>#REF!</v>
      </c>
      <c r="P139" s="11" t="e">
        <f t="shared" ca="1" si="13"/>
        <v>#REF!</v>
      </c>
    </row>
    <row r="140" spans="1:17" ht="15" customHeight="1" x14ac:dyDescent="0.25">
      <c r="A140" s="28">
        <f t="shared" si="15"/>
        <v>7</v>
      </c>
      <c r="B140" s="48" t="s">
        <v>202</v>
      </c>
      <c r="C140" s="2" t="s">
        <v>204</v>
      </c>
      <c r="D140" s="2">
        <f>(42.07)*(10.764)</f>
        <v>452.84147999999999</v>
      </c>
      <c r="E140" s="2">
        <v>0</v>
      </c>
      <c r="F140" s="2">
        <f t="shared" si="14"/>
        <v>452.84147999999999</v>
      </c>
      <c r="G140" s="2">
        <v>0</v>
      </c>
      <c r="H140" s="2">
        <f>F140*(($H$119)+1)+(IF(G140&lt;101,G140,IF(G140&lt;201,G140/2,IF(G140&lt;=301,G140/3,G140/4))))</f>
        <v>679.26221999999996</v>
      </c>
      <c r="N140" s="11" t="e">
        <f t="shared" ca="1" si="12"/>
        <v>#REF!</v>
      </c>
      <c r="O140" s="11" t="e">
        <f t="shared" ca="1" si="13"/>
        <v>#REF!</v>
      </c>
      <c r="P140" s="11" t="e">
        <f t="shared" ca="1" si="13"/>
        <v>#REF!</v>
      </c>
    </row>
    <row r="141" spans="1:17" ht="15" customHeight="1" x14ac:dyDescent="0.25">
      <c r="A141" s="28">
        <f t="shared" si="15"/>
        <v>8</v>
      </c>
      <c r="B141" s="48" t="s">
        <v>202</v>
      </c>
      <c r="C141" s="2" t="s">
        <v>204</v>
      </c>
      <c r="D141" s="2">
        <f>(42.07)*(10.764)</f>
        <v>452.84147999999999</v>
      </c>
      <c r="E141" s="2">
        <v>0</v>
      </c>
      <c r="F141" s="2">
        <f t="shared" si="14"/>
        <v>452.84147999999999</v>
      </c>
      <c r="G141" s="2">
        <v>0</v>
      </c>
      <c r="H141" s="2">
        <f>F141*(($H$119)+1)+(IF(G141&lt;101,G141,IF(G141&lt;201,G141/2,IF(G141&lt;=301,G141/3,G141/4))))</f>
        <v>679.26221999999996</v>
      </c>
      <c r="N141" s="11" t="e">
        <f t="shared" ca="1" si="12"/>
        <v>#REF!</v>
      </c>
      <c r="O141" s="11" t="e">
        <f t="shared" ca="1" si="13"/>
        <v>#REF!</v>
      </c>
      <c r="P141" s="11" t="e">
        <f t="shared" ca="1" si="13"/>
        <v>#REF!</v>
      </c>
    </row>
    <row r="142" spans="1:17" ht="15" customHeight="1" x14ac:dyDescent="0.25">
      <c r="A142" s="28">
        <f t="shared" si="15"/>
        <v>9</v>
      </c>
      <c r="B142" s="48" t="s">
        <v>202</v>
      </c>
      <c r="C142" s="2" t="s">
        <v>204</v>
      </c>
      <c r="D142" s="2">
        <f>(42.07)*(10.764)</f>
        <v>452.84147999999999</v>
      </c>
      <c r="E142" s="2">
        <v>0</v>
      </c>
      <c r="F142" s="2">
        <f t="shared" si="14"/>
        <v>452.84147999999999</v>
      </c>
      <c r="G142" s="2">
        <v>0</v>
      </c>
      <c r="H142" s="2">
        <f>F142*(($H$119)+1)+(IF(G142&lt;101,G142,IF(G142&lt;201,G142/2,IF(G142&lt;=301,G142/3,G142/4))))</f>
        <v>679.26221999999996</v>
      </c>
      <c r="N142" s="11" t="e">
        <f t="shared" ca="1" si="12"/>
        <v>#REF!</v>
      </c>
      <c r="O142" s="11" t="e">
        <f t="shared" ca="1" si="13"/>
        <v>#REF!</v>
      </c>
      <c r="P142" s="11" t="e">
        <f t="shared" ca="1" si="13"/>
        <v>#REF!</v>
      </c>
    </row>
    <row r="143" spans="1:17" ht="15" customHeight="1" x14ac:dyDescent="0.25">
      <c r="A143" s="107" t="s">
        <v>209</v>
      </c>
      <c r="B143" s="107"/>
      <c r="C143" s="107"/>
      <c r="D143" s="107"/>
      <c r="E143" s="107"/>
      <c r="F143" s="107"/>
      <c r="G143" s="128"/>
      <c r="H143" s="128"/>
      <c r="I143" s="11">
        <v>3</v>
      </c>
      <c r="N143" s="11" t="e">
        <f ca="1">O143&amp;" &amp; "&amp;P143</f>
        <v>#REF!</v>
      </c>
      <c r="O143" s="11" t="e">
        <f ca="1">(SUMPRODUCT(MID(0&amp;(LEFT(#REF!,SUM(LEN(#REF!)-LEN(SUBSTITUTE(#REF!,{"0","1","2"},""))))), LARGE(INDEX(ISNUMBER(--MID((LEFT(#REF!,SUM(LEN(#REF!)-LEN(SUBSTITUTE(#REF!,{"0","1","2"},""))))), ROW(INDIRECT("1:"&amp;LEN((LEFT(#REF!,SUM(LEN(#REF!)-LEN(SUBSTITUTE(#REF!,{"0","1","2"},"")))))))), 1)) * ROW(INDIRECT("1:"&amp;LEN((LEFT(#REF!,SUM(LEN(#REF!)-LEN(SUBSTITUTE(#REF!,{"0","1","2"},"")))))))), 0), ROW(INDIRECT("1:"&amp;LEN((LEFT(#REF!,SUM(LEN(#REF!)-LEN(SUBSTITUTE(#REF!,{"0","1","2"},"")))))))))+1, 1) * 10^ROW(INDIRECT("1:"&amp;LEN((LEFT(#REF!,SUM(LEN(#REF!)-LEN(SUBSTITUTE(#REF!,{"0","1","2"},""))))))))/10))*100+1</f>
        <v>#REF!</v>
      </c>
      <c r="P143" s="11" t="e">
        <f ca="1">(SUMPRODUCT(MID(0&amp;(--TRIM(RIGHT(SUBSTITUTE(LEFT(#REF!,_xlfn.AGGREGATE(16,6,FIND({0,1,2,3,4,5,6,7,8,9},#REF!,ROW(INDIRECT("1:"&amp;LEN(#REF!)))),1))," ",REPT(" ",LEN(#REF!))),LEN(#REF!)))), LARGE(INDEX(ISNUMBER(--MID((--TRIM(RIGHT(SUBSTITUTE(LEFT(#REF!,_xlfn.AGGREGATE(16,6,FIND({0,1,2,3,4,5,6,7,8,9},#REF!,ROW(INDIRECT("1:"&amp;LEN(#REF!)))),1))," ",REPT(" ",LEN(#REF!))),LEN(#REF!)))), ROW(INDIRECT("1:"&amp;LEN((--TRIM(RIGHT(SUBSTITUTE(LEFT(#REF!,_xlfn.AGGREGATE(16,6,FIND({0,1,2,3,4,5,6,7,8,9},#REF!,ROW(INDIRECT("1:"&amp;LEN(#REF!)))),1))," ",REPT(" ",LEN(#REF!))),LEN(#REF!))))))), 1)) * ROW(INDIRECT("1:"&amp;LEN((--TRIM(RIGHT(SUBSTITUTE(LEFT(#REF!,_xlfn.AGGREGATE(16,6,FIND({0,1,2,3,4,5,6,7,8,9},#REF!,ROW(INDIRECT("1:"&amp;LEN(#REF!)))),1))," ",REPT(" ",LEN(#REF!))),LEN(#REF!))))))), 0), ROW(INDIRECT("1:"&amp;LEN((--TRIM(RIGHT(SUBSTITUTE(LEFT(#REF!,_xlfn.AGGREGATE(16,6,FIND({0,1,2,3,4,5,6,7,8,9},#REF!,ROW(INDIRECT("1:"&amp;LEN(#REF!)))),1))," ",REPT(" ",LEN(#REF!))),LEN(#REF!))))))))+1, 1) * 10^ROW(INDIRECT("1:"&amp;LEN((--TRIM(RIGHT(SUBSTITUTE(LEFT(#REF!,_xlfn.AGGREGATE(16,6,FIND({0,1,2,3,4,5,6,7,8,9},#REF!,ROW(INDIRECT("1:"&amp;LEN(#REF!)))),1))," ",REPT(" ",LEN(#REF!))),LEN(#REF!)))))))/10))*100+1</f>
        <v>#REF!</v>
      </c>
      <c r="Q143" s="11">
        <v>14500</v>
      </c>
    </row>
    <row r="144" spans="1:17" ht="15" customHeight="1" x14ac:dyDescent="0.25">
      <c r="A144" s="27">
        <v>1</v>
      </c>
      <c r="B144" s="48" t="s">
        <v>202</v>
      </c>
      <c r="C144" s="2" t="s">
        <v>201</v>
      </c>
      <c r="D144" s="2">
        <f>(54.36)*(10.764)</f>
        <v>585.13103999999998</v>
      </c>
      <c r="E144" s="2">
        <v>0</v>
      </c>
      <c r="F144" s="2">
        <f>D144+E144</f>
        <v>585.13103999999998</v>
      </c>
      <c r="G144" s="2">
        <v>0</v>
      </c>
      <c r="H144" s="2">
        <f t="shared" ref="H144:H152" si="16">F144*(($H$119)+1)+(IF(G144&lt;101,G144,IF(G144&lt;201,G144/2,IF(G144&lt;=301,G144/3,G144/4))))</f>
        <v>877.69655999999998</v>
      </c>
      <c r="L144" s="11">
        <v>11700000</v>
      </c>
      <c r="M144" s="11">
        <f>L144/H144</f>
        <v>13330.347335530176</v>
      </c>
      <c r="N144" s="11" t="e">
        <f t="shared" ref="N144:N152" ca="1" si="17">O144&amp;" &amp; "&amp;P144</f>
        <v>#REF!</v>
      </c>
      <c r="O144" s="11" t="e">
        <f ca="1">O143+1</f>
        <v>#REF!</v>
      </c>
      <c r="P144" s="11" t="e">
        <f ca="1">P143+1</f>
        <v>#REF!</v>
      </c>
      <c r="Q144" s="11">
        <f>$Q$143*H144</f>
        <v>12726600.119999999</v>
      </c>
    </row>
    <row r="145" spans="1:17" ht="15" customHeight="1" x14ac:dyDescent="0.25">
      <c r="A145" s="27">
        <f>A144+1</f>
        <v>2</v>
      </c>
      <c r="B145" s="48" t="s">
        <v>202</v>
      </c>
      <c r="C145" s="2" t="s">
        <v>201</v>
      </c>
      <c r="D145" s="2">
        <f>(51.59-(3.04*0.9))*(10.764)</f>
        <v>525.86445600000002</v>
      </c>
      <c r="E145" s="2">
        <f>(3.04*0.9)*(10.764)</f>
        <v>29.450303999999999</v>
      </c>
      <c r="F145" s="2">
        <f>D145+E145</f>
        <v>555.31475999999998</v>
      </c>
      <c r="G145" s="2">
        <v>0</v>
      </c>
      <c r="H145" s="2">
        <f t="shared" si="16"/>
        <v>832.97213999999997</v>
      </c>
      <c r="M145" s="11">
        <f t="shared" ref="M145:M152" si="18">L145/H145</f>
        <v>0</v>
      </c>
      <c r="N145" s="11" t="e">
        <f t="shared" ca="1" si="17"/>
        <v>#REF!</v>
      </c>
      <c r="O145" s="11" t="e">
        <f t="shared" ref="O145:P152" ca="1" si="19">O144+1</f>
        <v>#REF!</v>
      </c>
      <c r="P145" s="11" t="e">
        <f t="shared" ca="1" si="19"/>
        <v>#REF!</v>
      </c>
      <c r="Q145" s="11">
        <f t="shared" ref="Q145:Q152" si="20">$Q$143*H145</f>
        <v>12078096.029999999</v>
      </c>
    </row>
    <row r="146" spans="1:17" ht="15" customHeight="1" x14ac:dyDescent="0.25">
      <c r="A146" s="27">
        <f>A145+1</f>
        <v>3</v>
      </c>
      <c r="B146" s="48" t="s">
        <v>202</v>
      </c>
      <c r="C146" s="2" t="s">
        <v>203</v>
      </c>
      <c r="D146" s="2">
        <f>(48.74-(2.74*0.9))*(10.764)</f>
        <v>498.09333599999997</v>
      </c>
      <c r="E146" s="2">
        <f>(2.74*0.9)*(10.764)</f>
        <v>26.544024</v>
      </c>
      <c r="F146" s="2">
        <f t="shared" ref="F146:F152" si="21">D146+E146</f>
        <v>524.63735999999994</v>
      </c>
      <c r="G146" s="2">
        <v>0</v>
      </c>
      <c r="H146" s="2">
        <f t="shared" si="16"/>
        <v>786.95603999999992</v>
      </c>
      <c r="L146" s="11">
        <v>10800000</v>
      </c>
      <c r="M146" s="11">
        <f t="shared" si="18"/>
        <v>13723.765307144731</v>
      </c>
      <c r="N146" s="11" t="e">
        <f t="shared" ca="1" si="17"/>
        <v>#REF!</v>
      </c>
      <c r="O146" s="11" t="e">
        <f t="shared" ca="1" si="19"/>
        <v>#REF!</v>
      </c>
      <c r="P146" s="11" t="e">
        <f t="shared" ca="1" si="19"/>
        <v>#REF!</v>
      </c>
      <c r="Q146" s="11">
        <f t="shared" si="20"/>
        <v>11410862.579999998</v>
      </c>
    </row>
    <row r="147" spans="1:17" ht="15" customHeight="1" x14ac:dyDescent="0.25">
      <c r="A147" s="27">
        <f>A146+1</f>
        <v>4</v>
      </c>
      <c r="B147" s="48" t="s">
        <v>202</v>
      </c>
      <c r="C147" s="2" t="s">
        <v>203</v>
      </c>
      <c r="D147" s="2">
        <f>(48.67-(2.74*0.9))*(10.764)</f>
        <v>497.339856</v>
      </c>
      <c r="E147" s="2">
        <f>(2.74*0.9)*(10.764)</f>
        <v>26.544024</v>
      </c>
      <c r="F147" s="2">
        <f t="shared" si="21"/>
        <v>523.88387999999998</v>
      </c>
      <c r="G147" s="2">
        <v>0</v>
      </c>
      <c r="H147" s="2">
        <f t="shared" si="16"/>
        <v>785.82582000000002</v>
      </c>
      <c r="L147" s="11">
        <v>10800000</v>
      </c>
      <c r="M147" s="11">
        <f t="shared" si="18"/>
        <v>13743.50361763374</v>
      </c>
      <c r="N147" s="11" t="e">
        <f t="shared" ca="1" si="17"/>
        <v>#REF!</v>
      </c>
      <c r="O147" s="11" t="e">
        <f t="shared" ca="1" si="19"/>
        <v>#REF!</v>
      </c>
      <c r="P147" s="11" t="e">
        <f t="shared" ca="1" si="19"/>
        <v>#REF!</v>
      </c>
      <c r="Q147" s="11">
        <f t="shared" si="20"/>
        <v>11394474.390000001</v>
      </c>
    </row>
    <row r="148" spans="1:17" ht="15" customHeight="1" x14ac:dyDescent="0.25">
      <c r="A148" s="27">
        <f>A147+1</f>
        <v>5</v>
      </c>
      <c r="B148" s="48" t="s">
        <v>202</v>
      </c>
      <c r="C148" s="2" t="s">
        <v>201</v>
      </c>
      <c r="D148" s="2">
        <f>(51.53-(3.04*0.9))*(10.764)</f>
        <v>525.218616</v>
      </c>
      <c r="E148" s="2">
        <f>(3.04*0.9)*(10.764)</f>
        <v>29.450303999999999</v>
      </c>
      <c r="F148" s="2">
        <f t="shared" si="21"/>
        <v>554.66891999999996</v>
      </c>
      <c r="G148" s="2">
        <v>0</v>
      </c>
      <c r="H148" s="2">
        <f t="shared" si="16"/>
        <v>832.00337999999988</v>
      </c>
      <c r="L148" s="11">
        <v>11100000</v>
      </c>
      <c r="M148" s="11">
        <f t="shared" si="18"/>
        <v>13341.291954847589</v>
      </c>
      <c r="N148" s="11" t="e">
        <f t="shared" ca="1" si="17"/>
        <v>#REF!</v>
      </c>
      <c r="O148" s="11" t="e">
        <f t="shared" ca="1" si="19"/>
        <v>#REF!</v>
      </c>
      <c r="P148" s="11" t="e">
        <f t="shared" ca="1" si="19"/>
        <v>#REF!</v>
      </c>
      <c r="Q148" s="11">
        <f t="shared" si="20"/>
        <v>12064049.009999998</v>
      </c>
    </row>
    <row r="149" spans="1:17" ht="15" customHeight="1" x14ac:dyDescent="0.25">
      <c r="A149" s="28">
        <f t="shared" ref="A149:A152" si="22">A148+1</f>
        <v>6</v>
      </c>
      <c r="B149" s="48" t="s">
        <v>202</v>
      </c>
      <c r="C149" s="2" t="s">
        <v>201</v>
      </c>
      <c r="D149" s="2">
        <f>(57.49)*(10.764)</f>
        <v>618.82236</v>
      </c>
      <c r="E149" s="2">
        <v>0</v>
      </c>
      <c r="F149" s="2">
        <f t="shared" si="21"/>
        <v>618.82236</v>
      </c>
      <c r="G149" s="2">
        <v>0</v>
      </c>
      <c r="H149" s="2">
        <f t="shared" si="16"/>
        <v>928.23353999999995</v>
      </c>
      <c r="L149" s="11">
        <v>12300000</v>
      </c>
      <c r="M149" s="11">
        <f t="shared" si="18"/>
        <v>13250.975611159236</v>
      </c>
      <c r="N149" s="11" t="e">
        <f t="shared" ca="1" si="17"/>
        <v>#REF!</v>
      </c>
      <c r="O149" s="11" t="e">
        <f t="shared" ca="1" si="19"/>
        <v>#REF!</v>
      </c>
      <c r="P149" s="11" t="e">
        <f t="shared" ca="1" si="19"/>
        <v>#REF!</v>
      </c>
      <c r="Q149" s="11">
        <f t="shared" si="20"/>
        <v>13459386.33</v>
      </c>
    </row>
    <row r="150" spans="1:17" ht="15" customHeight="1" x14ac:dyDescent="0.25">
      <c r="A150" s="28">
        <f t="shared" si="22"/>
        <v>7</v>
      </c>
      <c r="B150" s="48" t="s">
        <v>202</v>
      </c>
      <c r="C150" s="2" t="s">
        <v>204</v>
      </c>
      <c r="D150" s="2">
        <f>(42.07)*(10.764)</f>
        <v>452.84147999999999</v>
      </c>
      <c r="E150" s="2">
        <v>0</v>
      </c>
      <c r="F150" s="2">
        <f t="shared" si="21"/>
        <v>452.84147999999999</v>
      </c>
      <c r="G150" s="2">
        <v>0</v>
      </c>
      <c r="H150" s="2">
        <f t="shared" si="16"/>
        <v>679.26221999999996</v>
      </c>
      <c r="L150" s="11">
        <v>8800000</v>
      </c>
      <c r="M150" s="11">
        <f t="shared" si="18"/>
        <v>12955.23251683275</v>
      </c>
      <c r="N150" s="11" t="e">
        <f t="shared" ca="1" si="17"/>
        <v>#REF!</v>
      </c>
      <c r="O150" s="11" t="e">
        <f t="shared" ca="1" si="19"/>
        <v>#REF!</v>
      </c>
      <c r="P150" s="11" t="e">
        <f t="shared" ca="1" si="19"/>
        <v>#REF!</v>
      </c>
      <c r="Q150" s="11">
        <f t="shared" si="20"/>
        <v>9849302.1899999995</v>
      </c>
    </row>
    <row r="151" spans="1:17" ht="15" customHeight="1" x14ac:dyDescent="0.25">
      <c r="A151" s="28">
        <f t="shared" si="22"/>
        <v>8</v>
      </c>
      <c r="B151" s="48" t="s">
        <v>202</v>
      </c>
      <c r="C151" s="2" t="s">
        <v>204</v>
      </c>
      <c r="D151" s="2">
        <f>(42.07)*(10.764)</f>
        <v>452.84147999999999</v>
      </c>
      <c r="E151" s="2">
        <v>0</v>
      </c>
      <c r="F151" s="2">
        <f t="shared" si="21"/>
        <v>452.84147999999999</v>
      </c>
      <c r="G151" s="2">
        <v>0</v>
      </c>
      <c r="H151" s="2">
        <f t="shared" si="16"/>
        <v>679.26221999999996</v>
      </c>
      <c r="L151" s="11">
        <v>8800000</v>
      </c>
      <c r="M151" s="11">
        <f t="shared" si="18"/>
        <v>12955.23251683275</v>
      </c>
      <c r="N151" s="11" t="e">
        <f t="shared" ca="1" si="17"/>
        <v>#REF!</v>
      </c>
      <c r="O151" s="11" t="e">
        <f t="shared" ca="1" si="19"/>
        <v>#REF!</v>
      </c>
      <c r="P151" s="11" t="e">
        <f t="shared" ca="1" si="19"/>
        <v>#REF!</v>
      </c>
      <c r="Q151" s="11">
        <f t="shared" si="20"/>
        <v>9849302.1899999995</v>
      </c>
    </row>
    <row r="152" spans="1:17" ht="15" customHeight="1" x14ac:dyDescent="0.25">
      <c r="A152" s="28">
        <f t="shared" si="22"/>
        <v>9</v>
      </c>
      <c r="B152" s="48" t="s">
        <v>202</v>
      </c>
      <c r="C152" s="2" t="s">
        <v>204</v>
      </c>
      <c r="D152" s="2">
        <f>(42.07)*(10.764)</f>
        <v>452.84147999999999</v>
      </c>
      <c r="E152" s="2">
        <v>0</v>
      </c>
      <c r="F152" s="2">
        <f t="shared" si="21"/>
        <v>452.84147999999999</v>
      </c>
      <c r="G152" s="2">
        <v>0</v>
      </c>
      <c r="H152" s="2">
        <f t="shared" si="16"/>
        <v>679.26221999999996</v>
      </c>
      <c r="L152" s="11">
        <v>8800000</v>
      </c>
      <c r="M152" s="11">
        <f t="shared" si="18"/>
        <v>12955.23251683275</v>
      </c>
      <c r="N152" s="11" t="e">
        <f t="shared" ca="1" si="17"/>
        <v>#REF!</v>
      </c>
      <c r="O152" s="11" t="e">
        <f t="shared" ca="1" si="19"/>
        <v>#REF!</v>
      </c>
      <c r="P152" s="11" t="e">
        <f t="shared" ca="1" si="19"/>
        <v>#REF!</v>
      </c>
      <c r="Q152" s="11">
        <f t="shared" si="20"/>
        <v>9849302.1899999995</v>
      </c>
    </row>
    <row r="153" spans="1:17" ht="15" customHeight="1" x14ac:dyDescent="0.25">
      <c r="A153" s="107" t="s">
        <v>210</v>
      </c>
      <c r="B153" s="107"/>
      <c r="C153" s="107"/>
      <c r="D153" s="107"/>
      <c r="E153" s="107"/>
      <c r="F153" s="107"/>
      <c r="G153" s="128"/>
      <c r="H153" s="128"/>
      <c r="I153" s="11">
        <v>1</v>
      </c>
      <c r="N153" s="11" t="e">
        <f ca="1">O153&amp;" &amp; "&amp;P153</f>
        <v>#REF!</v>
      </c>
      <c r="O153" s="11" t="e">
        <f ca="1">(SUMPRODUCT(MID(0&amp;(LEFT(A181,SUM(LEN(A181)-LEN(SUBSTITUTE(A181,{"0","1","2"},""))))), LARGE(INDEX(ISNUMBER(--MID((LEFT(A181,SUM(LEN(A181)-LEN(SUBSTITUTE(A181,{"0","1","2"},""))))), ROW(INDIRECT("1:"&amp;LEN((LEFT(A181,SUM(LEN(A181)-LEN(SUBSTITUTE(A181,{"0","1","2"},"")))))))), 1)) * ROW(INDIRECT("1:"&amp;LEN((LEFT(A181,SUM(LEN(A181)-LEN(SUBSTITUTE(A181,{"0","1","2"},"")))))))), 0), ROW(INDIRECT("1:"&amp;LEN((LEFT(A181,SUM(LEN(A181)-LEN(SUBSTITUTE(A181,{"0","1","2"},"")))))))))+1, 1) * 10^ROW(INDIRECT("1:"&amp;LEN((LEFT(A181,SUM(LEN(A181)-LEN(SUBSTITUTE(A181,{"0","1","2"},""))))))))/10))*100+1</f>
        <v>#REF!</v>
      </c>
      <c r="P153" s="11" t="e">
        <f ca="1">(SUMPRODUCT(MID(0&amp;(--TRIM(RIGHT(SUBSTITUTE(LEFT(A181,_xlfn.AGGREGATE(16,6,FIND({0,1,2,3,4,5,6,7,8,9},A181,ROW(INDIRECT("1:"&amp;LEN(A181)))),1))," ",REPT(" ",LEN(A181))),LEN(A181)))), LARGE(INDEX(ISNUMBER(--MID((--TRIM(RIGHT(SUBSTITUTE(LEFT(A181,_xlfn.AGGREGATE(16,6,FIND({0,1,2,3,4,5,6,7,8,9},A181,ROW(INDIRECT("1:"&amp;LEN(A181)))),1))," ",REPT(" ",LEN(A181))),LEN(A181)))), ROW(INDIRECT("1:"&amp;LEN((--TRIM(RIGHT(SUBSTITUTE(LEFT(A181,_xlfn.AGGREGATE(16,6,FIND({0,1,2,3,4,5,6,7,8,9},A181,ROW(INDIRECT("1:"&amp;LEN(A181)))),1))," ",REPT(" ",LEN(A181))),LEN(A181))))))), 1)) * ROW(INDIRECT("1:"&amp;LEN((--TRIM(RIGHT(SUBSTITUTE(LEFT(A181,_xlfn.AGGREGATE(16,6,FIND({0,1,2,3,4,5,6,7,8,9},A181,ROW(INDIRECT("1:"&amp;LEN(A181)))),1))," ",REPT(" ",LEN(A181))),LEN(A181))))))), 0), ROW(INDIRECT("1:"&amp;LEN((--TRIM(RIGHT(SUBSTITUTE(LEFT(A181,_xlfn.AGGREGATE(16,6,FIND({0,1,2,3,4,5,6,7,8,9},A181,ROW(INDIRECT("1:"&amp;LEN(A181)))),1))," ",REPT(" ",LEN(A181))),LEN(A181))))))))+1, 1) * 10^ROW(INDIRECT("1:"&amp;LEN((--TRIM(RIGHT(SUBSTITUTE(LEFT(A181,_xlfn.AGGREGATE(16,6,FIND({0,1,2,3,4,5,6,7,8,9},A181,ROW(INDIRECT("1:"&amp;LEN(A181)))),1))," ",REPT(" ",LEN(A181))),LEN(A181)))))))/10))*100+1</f>
        <v>#NUM!</v>
      </c>
    </row>
    <row r="154" spans="1:17" ht="15" customHeight="1" x14ac:dyDescent="0.25">
      <c r="A154" s="27">
        <v>1</v>
      </c>
      <c r="B154" s="48" t="s">
        <v>206</v>
      </c>
      <c r="C154" s="220" t="s">
        <v>211</v>
      </c>
      <c r="D154" s="221"/>
      <c r="E154" s="221"/>
      <c r="F154" s="221"/>
      <c r="G154" s="221"/>
      <c r="H154" s="222"/>
      <c r="N154" s="11" t="e">
        <f t="shared" ref="N154:N162" ca="1" si="23">O154&amp;" &amp; "&amp;P154</f>
        <v>#REF!</v>
      </c>
      <c r="O154" s="11" t="e">
        <f ca="1">O153+1</f>
        <v>#REF!</v>
      </c>
      <c r="P154" s="11" t="e">
        <f ca="1">P153+1</f>
        <v>#NUM!</v>
      </c>
    </row>
    <row r="155" spans="1:17" ht="15" customHeight="1" x14ac:dyDescent="0.25">
      <c r="A155" s="27">
        <f>A154+1</f>
        <v>2</v>
      </c>
      <c r="B155" s="48" t="s">
        <v>206</v>
      </c>
      <c r="C155" s="220" t="s">
        <v>207</v>
      </c>
      <c r="D155" s="221">
        <f>(51.59-(3.04*0.9))*(10.764)</f>
        <v>525.86445600000002</v>
      </c>
      <c r="E155" s="221">
        <f>(3.04*0.9)*(10.764)</f>
        <v>29.450303999999999</v>
      </c>
      <c r="F155" s="221">
        <f>D155+E155</f>
        <v>555.31475999999998</v>
      </c>
      <c r="G155" s="221">
        <v>0</v>
      </c>
      <c r="H155" s="222">
        <f>F155*(($H$119)+1)+(IF(G155&lt;101,G155,IF(G155&lt;201,G155/2,IF(G155&lt;=301,G155/3,G155/4))))</f>
        <v>832.97213999999997</v>
      </c>
      <c r="N155" s="11" t="e">
        <f t="shared" ca="1" si="23"/>
        <v>#REF!</v>
      </c>
      <c r="O155" s="11" t="e">
        <f t="shared" ref="O155:P155" ca="1" si="24">O154+1</f>
        <v>#REF!</v>
      </c>
      <c r="P155" s="11" t="e">
        <f t="shared" ca="1" si="24"/>
        <v>#NUM!</v>
      </c>
    </row>
    <row r="156" spans="1:17" ht="15" customHeight="1" x14ac:dyDescent="0.25">
      <c r="A156" s="27">
        <f>A155+1</f>
        <v>3</v>
      </c>
      <c r="B156" s="48" t="s">
        <v>202</v>
      </c>
      <c r="C156" s="2" t="s">
        <v>203</v>
      </c>
      <c r="D156" s="2">
        <f>(48.74-(2.74*0.9))*(10.764)</f>
        <v>498.09333599999997</v>
      </c>
      <c r="E156" s="2">
        <f>(2.74*0.9)*(10.764)</f>
        <v>26.544024</v>
      </c>
      <c r="F156" s="2">
        <f t="shared" ref="F156:F162" si="25">D156+E156</f>
        <v>524.63735999999994</v>
      </c>
      <c r="G156" s="2">
        <v>0</v>
      </c>
      <c r="H156" s="2">
        <f>F156*(($H$119)+1)+(IF(G156&lt;101,G156,IF(G156&lt;201,G156/2,IF(G156&lt;=301,G156/3,G156/4))))</f>
        <v>786.95603999999992</v>
      </c>
      <c r="N156" s="11" t="e">
        <f t="shared" ca="1" si="23"/>
        <v>#REF!</v>
      </c>
      <c r="O156" s="11" t="e">
        <f t="shared" ref="O156:P156" ca="1" si="26">O155+1</f>
        <v>#REF!</v>
      </c>
      <c r="P156" s="11" t="e">
        <f t="shared" ca="1" si="26"/>
        <v>#NUM!</v>
      </c>
    </row>
    <row r="157" spans="1:17" ht="15" customHeight="1" x14ac:dyDescent="0.25">
      <c r="A157" s="27">
        <f>A156+1</f>
        <v>4</v>
      </c>
      <c r="B157" s="48" t="s">
        <v>202</v>
      </c>
      <c r="C157" s="2" t="s">
        <v>203</v>
      </c>
      <c r="D157" s="2">
        <f>(48.67-(2.74*0.9))*(10.764)</f>
        <v>497.339856</v>
      </c>
      <c r="E157" s="2">
        <f>(2.74*0.9)*(10.764)</f>
        <v>26.544024</v>
      </c>
      <c r="F157" s="2">
        <f t="shared" si="25"/>
        <v>523.88387999999998</v>
      </c>
      <c r="G157" s="2">
        <v>0</v>
      </c>
      <c r="H157" s="2">
        <f>F157*(($H$119)+1)+(IF(G157&lt;101,G157,IF(G157&lt;201,G157/2,IF(G157&lt;=301,G157/3,G157/4))))</f>
        <v>785.82582000000002</v>
      </c>
      <c r="N157" s="11" t="e">
        <f t="shared" ca="1" si="23"/>
        <v>#REF!</v>
      </c>
      <c r="O157" s="11" t="e">
        <f t="shared" ref="O157:P157" ca="1" si="27">O156+1</f>
        <v>#REF!</v>
      </c>
      <c r="P157" s="11" t="e">
        <f t="shared" ca="1" si="27"/>
        <v>#NUM!</v>
      </c>
    </row>
    <row r="158" spans="1:17" ht="15" customHeight="1" x14ac:dyDescent="0.25">
      <c r="A158" s="27">
        <f>A157+1</f>
        <v>5</v>
      </c>
      <c r="B158" s="48" t="s">
        <v>202</v>
      </c>
      <c r="C158" s="2" t="s">
        <v>201</v>
      </c>
      <c r="D158" s="2">
        <f>(51.53-(3.04*0.9))*(10.764)</f>
        <v>525.218616</v>
      </c>
      <c r="E158" s="2">
        <f>(3.04*0.9)*(10.764)</f>
        <v>29.450303999999999</v>
      </c>
      <c r="F158" s="2">
        <f t="shared" si="25"/>
        <v>554.66891999999996</v>
      </c>
      <c r="G158" s="2">
        <v>0</v>
      </c>
      <c r="H158" s="2">
        <f>F158*(($H$119)+1)+(IF(G158&lt;101,G158,IF(G158&lt;201,G158/2,IF(G158&lt;=301,G158/3,G158/4))))</f>
        <v>832.00337999999988</v>
      </c>
      <c r="N158" s="11" t="e">
        <f t="shared" ca="1" si="23"/>
        <v>#REF!</v>
      </c>
      <c r="O158" s="11" t="e">
        <f t="shared" ref="O158:P158" ca="1" si="28">O157+1</f>
        <v>#REF!</v>
      </c>
      <c r="P158" s="11" t="e">
        <f t="shared" ca="1" si="28"/>
        <v>#NUM!</v>
      </c>
    </row>
    <row r="159" spans="1:17" ht="15" customHeight="1" x14ac:dyDescent="0.25">
      <c r="A159" s="28">
        <f t="shared" ref="A159:A162" si="29">A158+1</f>
        <v>6</v>
      </c>
      <c r="B159" s="48" t="s">
        <v>202</v>
      </c>
      <c r="C159" s="2" t="s">
        <v>201</v>
      </c>
      <c r="D159" s="2">
        <f>(57.49)*(10.764)</f>
        <v>618.82236</v>
      </c>
      <c r="E159" s="2">
        <v>0</v>
      </c>
      <c r="F159" s="2">
        <f t="shared" si="25"/>
        <v>618.82236</v>
      </c>
      <c r="G159" s="2">
        <v>0</v>
      </c>
      <c r="H159" s="2">
        <f>F159*(($H$119)+1)+(IF(G159&lt;101,G159,IF(G159&lt;201,G159/2,IF(G159&lt;=301,G159/3,G159/4))))</f>
        <v>928.23353999999995</v>
      </c>
      <c r="N159" s="11" t="e">
        <f t="shared" ca="1" si="23"/>
        <v>#REF!</v>
      </c>
      <c r="O159" s="11" t="e">
        <f t="shared" ref="O159:P159" ca="1" si="30">O158+1</f>
        <v>#REF!</v>
      </c>
      <c r="P159" s="11" t="e">
        <f t="shared" ca="1" si="30"/>
        <v>#NUM!</v>
      </c>
    </row>
    <row r="160" spans="1:17" ht="15" customHeight="1" x14ac:dyDescent="0.25">
      <c r="A160" s="28">
        <f t="shared" si="29"/>
        <v>7</v>
      </c>
      <c r="B160" s="48" t="s">
        <v>202</v>
      </c>
      <c r="C160" s="2" t="s">
        <v>204</v>
      </c>
      <c r="D160" s="2">
        <f>(42.07)*(10.764)</f>
        <v>452.84147999999999</v>
      </c>
      <c r="E160" s="2">
        <v>0</v>
      </c>
      <c r="F160" s="2">
        <f t="shared" si="25"/>
        <v>452.84147999999999</v>
      </c>
      <c r="G160" s="2">
        <v>0</v>
      </c>
      <c r="H160" s="2">
        <f>F160*(($H$119)+1)+(IF(G160&lt;101,G160,IF(G160&lt;201,G160/2,IF(G160&lt;=301,G160/3,G160/4))))</f>
        <v>679.26221999999996</v>
      </c>
      <c r="N160" s="11" t="e">
        <f t="shared" ca="1" si="23"/>
        <v>#REF!</v>
      </c>
      <c r="O160" s="11" t="e">
        <f t="shared" ref="O160:P160" ca="1" si="31">O159+1</f>
        <v>#REF!</v>
      </c>
      <c r="P160" s="11" t="e">
        <f t="shared" ca="1" si="31"/>
        <v>#NUM!</v>
      </c>
    </row>
    <row r="161" spans="1:16" ht="15" customHeight="1" x14ac:dyDescent="0.25">
      <c r="A161" s="28">
        <f t="shared" si="29"/>
        <v>8</v>
      </c>
      <c r="B161" s="48" t="s">
        <v>202</v>
      </c>
      <c r="C161" s="2" t="s">
        <v>204</v>
      </c>
      <c r="D161" s="2">
        <f>(42.07)*(10.764)</f>
        <v>452.84147999999999</v>
      </c>
      <c r="E161" s="2">
        <v>0</v>
      </c>
      <c r="F161" s="2">
        <f t="shared" si="25"/>
        <v>452.84147999999999</v>
      </c>
      <c r="G161" s="2">
        <v>0</v>
      </c>
      <c r="H161" s="2">
        <f>F161*(($H$119)+1)+(IF(G161&lt;101,G161,IF(G161&lt;201,G161/2,IF(G161&lt;=301,G161/3,G161/4))))</f>
        <v>679.26221999999996</v>
      </c>
      <c r="N161" s="11" t="e">
        <f t="shared" ca="1" si="23"/>
        <v>#REF!</v>
      </c>
      <c r="O161" s="11" t="e">
        <f t="shared" ref="O161:P161" ca="1" si="32">O160+1</f>
        <v>#REF!</v>
      </c>
      <c r="P161" s="11" t="e">
        <f t="shared" ca="1" si="32"/>
        <v>#NUM!</v>
      </c>
    </row>
    <row r="162" spans="1:16" ht="15" customHeight="1" x14ac:dyDescent="0.25">
      <c r="A162" s="28">
        <f t="shared" si="29"/>
        <v>9</v>
      </c>
      <c r="B162" s="48" t="s">
        <v>202</v>
      </c>
      <c r="C162" s="2" t="s">
        <v>204</v>
      </c>
      <c r="D162" s="2">
        <f>(42.07)*(10.764)</f>
        <v>452.84147999999999</v>
      </c>
      <c r="E162" s="2">
        <v>0</v>
      </c>
      <c r="F162" s="2">
        <f t="shared" si="25"/>
        <v>452.84147999999999</v>
      </c>
      <c r="G162" s="2">
        <v>0</v>
      </c>
      <c r="H162" s="2">
        <f>F162*(($H$119)+1)+(IF(G162&lt;101,G162,IF(G162&lt;201,G162/2,IF(G162&lt;=301,G162/3,G162/4))))</f>
        <v>679.26221999999996</v>
      </c>
      <c r="N162" s="11" t="e">
        <f t="shared" ca="1" si="23"/>
        <v>#REF!</v>
      </c>
      <c r="O162" s="11" t="e">
        <f t="shared" ref="O162:P162" ca="1" si="33">O161+1</f>
        <v>#REF!</v>
      </c>
      <c r="P162" s="11" t="e">
        <f t="shared" ca="1" si="33"/>
        <v>#NUM!</v>
      </c>
    </row>
    <row r="163" spans="1:16" ht="15" customHeight="1" x14ac:dyDescent="0.25">
      <c r="A163" s="107" t="s">
        <v>212</v>
      </c>
      <c r="B163" s="107"/>
      <c r="C163" s="107"/>
      <c r="D163" s="107"/>
      <c r="E163" s="107"/>
      <c r="F163" s="107"/>
      <c r="G163" s="128"/>
      <c r="H163" s="128"/>
      <c r="I163" s="11">
        <v>1</v>
      </c>
      <c r="N163" s="11" t="e">
        <f ca="1">O163&amp;" &amp; "&amp;P163</f>
        <v>#REF!</v>
      </c>
      <c r="O163" s="11" t="e">
        <f ca="1">(SUMPRODUCT(MID(0&amp;(LEFT(A191,SUM(LEN(A191)-LEN(SUBSTITUTE(A191,{"0","1","2"},""))))), LARGE(INDEX(ISNUMBER(--MID((LEFT(A191,SUM(LEN(A191)-LEN(SUBSTITUTE(A191,{"0","1","2"},""))))), ROW(INDIRECT("1:"&amp;LEN((LEFT(A191,SUM(LEN(A191)-LEN(SUBSTITUTE(A191,{"0","1","2"},"")))))))), 1)) * ROW(INDIRECT("1:"&amp;LEN((LEFT(A191,SUM(LEN(A191)-LEN(SUBSTITUTE(A191,{"0","1","2"},"")))))))), 0), ROW(INDIRECT("1:"&amp;LEN((LEFT(A191,SUM(LEN(A191)-LEN(SUBSTITUTE(A191,{"0","1","2"},"")))))))))+1, 1) * 10^ROW(INDIRECT("1:"&amp;LEN((LEFT(A191,SUM(LEN(A191)-LEN(SUBSTITUTE(A191,{"0","1","2"},""))))))))/10))*100+1</f>
        <v>#REF!</v>
      </c>
      <c r="P163" s="11" t="e">
        <f ca="1">(SUMPRODUCT(MID(0&amp;(--TRIM(RIGHT(SUBSTITUTE(LEFT(A191,_xlfn.AGGREGATE(16,6,FIND({0,1,2,3,4,5,6,7,8,9},A191,ROW(INDIRECT("1:"&amp;LEN(A191)))),1))," ",REPT(" ",LEN(A191))),LEN(A191)))), LARGE(INDEX(ISNUMBER(--MID((--TRIM(RIGHT(SUBSTITUTE(LEFT(A191,_xlfn.AGGREGATE(16,6,FIND({0,1,2,3,4,5,6,7,8,9},A191,ROW(INDIRECT("1:"&amp;LEN(A191)))),1))," ",REPT(" ",LEN(A191))),LEN(A191)))), ROW(INDIRECT("1:"&amp;LEN((--TRIM(RIGHT(SUBSTITUTE(LEFT(A191,_xlfn.AGGREGATE(16,6,FIND({0,1,2,3,4,5,6,7,8,9},A191,ROW(INDIRECT("1:"&amp;LEN(A191)))),1))," ",REPT(" ",LEN(A191))),LEN(A191))))))), 1)) * ROW(INDIRECT("1:"&amp;LEN((--TRIM(RIGHT(SUBSTITUTE(LEFT(A191,_xlfn.AGGREGATE(16,6,FIND({0,1,2,3,4,5,6,7,8,9},A191,ROW(INDIRECT("1:"&amp;LEN(A191)))),1))," ",REPT(" ",LEN(A191))),LEN(A191))))))), 0), ROW(INDIRECT("1:"&amp;LEN((--TRIM(RIGHT(SUBSTITUTE(LEFT(A191,_xlfn.AGGREGATE(16,6,FIND({0,1,2,3,4,5,6,7,8,9},A191,ROW(INDIRECT("1:"&amp;LEN(A191)))),1))," ",REPT(" ",LEN(A191))),LEN(A191))))))))+1, 1) * 10^ROW(INDIRECT("1:"&amp;LEN((--TRIM(RIGHT(SUBSTITUTE(LEFT(A191,_xlfn.AGGREGATE(16,6,FIND({0,1,2,3,4,5,6,7,8,9},A191,ROW(INDIRECT("1:"&amp;LEN(A191)))),1))," ",REPT(" ",LEN(A191))),LEN(A191)))))))/10))*100+1</f>
        <v>#NUM!</v>
      </c>
    </row>
    <row r="164" spans="1:16" ht="15" customHeight="1" x14ac:dyDescent="0.25">
      <c r="A164" s="27">
        <v>1</v>
      </c>
      <c r="B164" s="48" t="s">
        <v>206</v>
      </c>
      <c r="C164" s="214" t="s">
        <v>213</v>
      </c>
      <c r="D164" s="215"/>
      <c r="E164" s="215"/>
      <c r="F164" s="215"/>
      <c r="G164" s="215"/>
      <c r="H164" s="216"/>
      <c r="N164" s="11" t="e">
        <f t="shared" ref="N164:N172" ca="1" si="34">O164&amp;" &amp; "&amp;P164</f>
        <v>#REF!</v>
      </c>
      <c r="O164" s="11" t="e">
        <f ca="1">O163+1</f>
        <v>#REF!</v>
      </c>
      <c r="P164" s="11" t="e">
        <f ca="1">P163+1</f>
        <v>#NUM!</v>
      </c>
    </row>
    <row r="165" spans="1:16" ht="15" customHeight="1" x14ac:dyDescent="0.25">
      <c r="A165" s="27">
        <f>A164+1</f>
        <v>2</v>
      </c>
      <c r="B165" s="48" t="s">
        <v>206</v>
      </c>
      <c r="C165" s="223"/>
      <c r="D165" s="224"/>
      <c r="E165" s="224"/>
      <c r="F165" s="224"/>
      <c r="G165" s="224"/>
      <c r="H165" s="225"/>
      <c r="N165" s="11" t="e">
        <f t="shared" ca="1" si="34"/>
        <v>#REF!</v>
      </c>
      <c r="O165" s="11" t="e">
        <f t="shared" ref="O165:P165" ca="1" si="35">O164+1</f>
        <v>#REF!</v>
      </c>
      <c r="P165" s="11" t="e">
        <f t="shared" ca="1" si="35"/>
        <v>#NUM!</v>
      </c>
    </row>
    <row r="166" spans="1:16" ht="15" customHeight="1" x14ac:dyDescent="0.25">
      <c r="A166" s="27">
        <f>A165+1</f>
        <v>3</v>
      </c>
      <c r="B166" s="48" t="s">
        <v>206</v>
      </c>
      <c r="C166" s="217"/>
      <c r="D166" s="218"/>
      <c r="E166" s="218"/>
      <c r="F166" s="218"/>
      <c r="G166" s="218"/>
      <c r="H166" s="219"/>
      <c r="N166" s="11" t="e">
        <f t="shared" ca="1" si="34"/>
        <v>#REF!</v>
      </c>
      <c r="O166" s="11" t="e">
        <f t="shared" ref="O166:P166" ca="1" si="36">O165+1</f>
        <v>#REF!</v>
      </c>
      <c r="P166" s="11" t="e">
        <f t="shared" ca="1" si="36"/>
        <v>#NUM!</v>
      </c>
    </row>
    <row r="167" spans="1:16" ht="15" customHeight="1" x14ac:dyDescent="0.25">
      <c r="A167" s="27">
        <f>A166+1</f>
        <v>4</v>
      </c>
      <c r="B167" s="48" t="s">
        <v>202</v>
      </c>
      <c r="C167" s="2" t="s">
        <v>203</v>
      </c>
      <c r="D167" s="2">
        <f>(48.67-(2.74*0.9))*(10.764)</f>
        <v>497.339856</v>
      </c>
      <c r="E167" s="2">
        <f>(2.74*0.9)*(10.764)</f>
        <v>26.544024</v>
      </c>
      <c r="F167" s="2">
        <f t="shared" ref="F167:F170" si="37">D167+E167</f>
        <v>523.88387999999998</v>
      </c>
      <c r="G167" s="2">
        <v>0</v>
      </c>
      <c r="H167" s="2">
        <f>F167*(($H$119)+1)+(IF(G167&lt;101,G167,IF(G167&lt;201,G167/2,IF(G167&lt;=301,G167/3,G167/4))))</f>
        <v>785.82582000000002</v>
      </c>
      <c r="N167" s="11" t="e">
        <f t="shared" ca="1" si="34"/>
        <v>#REF!</v>
      </c>
      <c r="O167" s="11" t="e">
        <f t="shared" ref="O167:P167" ca="1" si="38">O166+1</f>
        <v>#REF!</v>
      </c>
      <c r="P167" s="11" t="e">
        <f t="shared" ca="1" si="38"/>
        <v>#NUM!</v>
      </c>
    </row>
    <row r="168" spans="1:16" ht="15" customHeight="1" x14ac:dyDescent="0.25">
      <c r="A168" s="27">
        <f>A167+1</f>
        <v>5</v>
      </c>
      <c r="B168" s="48" t="s">
        <v>202</v>
      </c>
      <c r="C168" s="2" t="s">
        <v>201</v>
      </c>
      <c r="D168" s="2">
        <f>(51.53-(3.04*0.9))*(10.764)</f>
        <v>525.218616</v>
      </c>
      <c r="E168" s="2">
        <f>(3.04*0.9)*(10.764)</f>
        <v>29.450303999999999</v>
      </c>
      <c r="F168" s="2">
        <f t="shared" si="37"/>
        <v>554.66891999999996</v>
      </c>
      <c r="G168" s="2">
        <v>0</v>
      </c>
      <c r="H168" s="2">
        <f>F168*(($H$119)+1)+(IF(G168&lt;101,G168,IF(G168&lt;201,G168/2,IF(G168&lt;=301,G168/3,G168/4))))</f>
        <v>832.00337999999988</v>
      </c>
      <c r="N168" s="11" t="e">
        <f t="shared" ca="1" si="34"/>
        <v>#REF!</v>
      </c>
      <c r="O168" s="11" t="e">
        <f t="shared" ref="O168:P168" ca="1" si="39">O167+1</f>
        <v>#REF!</v>
      </c>
      <c r="P168" s="11" t="e">
        <f t="shared" ca="1" si="39"/>
        <v>#NUM!</v>
      </c>
    </row>
    <row r="169" spans="1:16" ht="15" customHeight="1" x14ac:dyDescent="0.25">
      <c r="A169" s="28">
        <f t="shared" ref="A169:A172" si="40">A168+1</f>
        <v>6</v>
      </c>
      <c r="B169" s="48" t="s">
        <v>202</v>
      </c>
      <c r="C169" s="2" t="s">
        <v>201</v>
      </c>
      <c r="D169" s="2">
        <f>(57.49)*(10.764)</f>
        <v>618.82236</v>
      </c>
      <c r="E169" s="2">
        <v>0</v>
      </c>
      <c r="F169" s="2">
        <f t="shared" si="37"/>
        <v>618.82236</v>
      </c>
      <c r="G169" s="2">
        <v>0</v>
      </c>
      <c r="H169" s="2">
        <f>F169*(($H$119)+1)+(IF(G169&lt;101,G169,IF(G169&lt;201,G169/2,IF(G169&lt;=301,G169/3,G169/4))))</f>
        <v>928.23353999999995</v>
      </c>
      <c r="N169" s="11" t="e">
        <f t="shared" ca="1" si="34"/>
        <v>#REF!</v>
      </c>
      <c r="O169" s="11" t="e">
        <f t="shared" ref="O169:P169" ca="1" si="41">O168+1</f>
        <v>#REF!</v>
      </c>
      <c r="P169" s="11" t="e">
        <f t="shared" ca="1" si="41"/>
        <v>#NUM!</v>
      </c>
    </row>
    <row r="170" spans="1:16" ht="15" customHeight="1" x14ac:dyDescent="0.25">
      <c r="A170" s="28">
        <f t="shared" si="40"/>
        <v>7</v>
      </c>
      <c r="B170" s="48" t="s">
        <v>202</v>
      </c>
      <c r="C170" s="2" t="s">
        <v>204</v>
      </c>
      <c r="D170" s="2">
        <f>(42.07)*(10.764)</f>
        <v>452.84147999999999</v>
      </c>
      <c r="E170" s="2">
        <v>0</v>
      </c>
      <c r="F170" s="2">
        <f t="shared" si="37"/>
        <v>452.84147999999999</v>
      </c>
      <c r="G170" s="2">
        <v>0</v>
      </c>
      <c r="H170" s="2">
        <f>F170*(($H$119)+1)+(IF(G170&lt;101,G170,IF(G170&lt;201,G170/2,IF(G170&lt;=301,G170/3,G170/4))))</f>
        <v>679.26221999999996</v>
      </c>
      <c r="N170" s="11" t="e">
        <f t="shared" ca="1" si="34"/>
        <v>#REF!</v>
      </c>
      <c r="O170" s="11" t="e">
        <f t="shared" ref="O170:P170" ca="1" si="42">O169+1</f>
        <v>#REF!</v>
      </c>
      <c r="P170" s="11" t="e">
        <f t="shared" ca="1" si="42"/>
        <v>#NUM!</v>
      </c>
    </row>
    <row r="171" spans="1:16" ht="15" customHeight="1" x14ac:dyDescent="0.25">
      <c r="A171" s="28">
        <f t="shared" si="40"/>
        <v>8</v>
      </c>
      <c r="B171" s="48" t="s">
        <v>206</v>
      </c>
      <c r="C171" s="214" t="s">
        <v>213</v>
      </c>
      <c r="D171" s="215"/>
      <c r="E171" s="215"/>
      <c r="F171" s="215"/>
      <c r="G171" s="215"/>
      <c r="H171" s="216"/>
      <c r="N171" s="11" t="e">
        <f t="shared" ca="1" si="34"/>
        <v>#REF!</v>
      </c>
      <c r="O171" s="11" t="e">
        <f t="shared" ref="O171:P171" ca="1" si="43">O170+1</f>
        <v>#REF!</v>
      </c>
      <c r="P171" s="11" t="e">
        <f t="shared" ca="1" si="43"/>
        <v>#NUM!</v>
      </c>
    </row>
    <row r="172" spans="1:16" ht="15" customHeight="1" x14ac:dyDescent="0.25">
      <c r="A172" s="28">
        <f t="shared" si="40"/>
        <v>9</v>
      </c>
      <c r="B172" s="48" t="s">
        <v>206</v>
      </c>
      <c r="C172" s="217"/>
      <c r="D172" s="218"/>
      <c r="E172" s="218"/>
      <c r="F172" s="218"/>
      <c r="G172" s="218"/>
      <c r="H172" s="219"/>
      <c r="N172" s="11" t="e">
        <f t="shared" ca="1" si="34"/>
        <v>#REF!</v>
      </c>
      <c r="O172" s="11" t="e">
        <f t="shared" ref="O172:P172" ca="1" si="44">O171+1</f>
        <v>#REF!</v>
      </c>
      <c r="P172" s="11" t="e">
        <f t="shared" ca="1" si="44"/>
        <v>#NUM!</v>
      </c>
    </row>
    <row r="173" spans="1:16" x14ac:dyDescent="0.25">
      <c r="A173" s="106"/>
      <c r="B173" s="106"/>
      <c r="C173" s="106"/>
      <c r="D173" s="106"/>
      <c r="E173" s="106"/>
      <c r="F173" s="106"/>
      <c r="G173" s="106"/>
      <c r="H173" s="106"/>
    </row>
    <row r="174" spans="1:16" ht="31.5" customHeight="1" x14ac:dyDescent="0.25">
      <c r="A174" s="13">
        <v>48</v>
      </c>
      <c r="B174" s="84" t="s">
        <v>47</v>
      </c>
      <c r="C174" s="84"/>
      <c r="D174" s="84"/>
      <c r="E174" s="82" t="s">
        <v>247</v>
      </c>
      <c r="F174" s="82"/>
      <c r="G174" s="82"/>
      <c r="H174" s="82"/>
    </row>
    <row r="175" spans="1:16" ht="31.5" customHeight="1" x14ac:dyDescent="0.25">
      <c r="A175" s="13">
        <v>49</v>
      </c>
      <c r="B175" s="84" t="s">
        <v>122</v>
      </c>
      <c r="C175" s="84"/>
      <c r="D175" s="84"/>
      <c r="E175" s="82" t="s">
        <v>216</v>
      </c>
      <c r="F175" s="82"/>
      <c r="G175" s="82"/>
      <c r="H175" s="82"/>
    </row>
    <row r="176" spans="1:16" ht="45" customHeight="1" x14ac:dyDescent="0.25">
      <c r="A176" s="13">
        <v>50</v>
      </c>
      <c r="B176" s="84" t="s">
        <v>48</v>
      </c>
      <c r="C176" s="84"/>
      <c r="D176" s="84"/>
      <c r="E176" s="85" t="s">
        <v>67</v>
      </c>
      <c r="F176" s="85"/>
      <c r="G176" s="85"/>
      <c r="H176" s="85"/>
    </row>
    <row r="177" spans="1:9" ht="23.4" customHeight="1" x14ac:dyDescent="0.25">
      <c r="A177" s="96">
        <v>51</v>
      </c>
      <c r="B177" s="84" t="s">
        <v>49</v>
      </c>
      <c r="C177" s="84"/>
      <c r="D177" s="84"/>
      <c r="E177" s="162" t="s">
        <v>66</v>
      </c>
      <c r="F177" s="162"/>
      <c r="G177" s="162"/>
      <c r="H177" s="162"/>
    </row>
    <row r="178" spans="1:9" ht="32.4" customHeight="1" x14ac:dyDescent="0.25">
      <c r="A178" s="96"/>
      <c r="B178" s="84"/>
      <c r="C178" s="84"/>
      <c r="D178" s="84"/>
      <c r="E178" s="134" t="s">
        <v>141</v>
      </c>
      <c r="F178" s="134"/>
      <c r="G178" s="134"/>
      <c r="H178" s="35">
        <v>14500</v>
      </c>
      <c r="I178" s="11" t="s">
        <v>251</v>
      </c>
    </row>
    <row r="179" spans="1:9" ht="28.8" customHeight="1" x14ac:dyDescent="0.25">
      <c r="A179" s="13">
        <v>52</v>
      </c>
      <c r="B179" s="84" t="s">
        <v>50</v>
      </c>
      <c r="C179" s="84"/>
      <c r="D179" s="84"/>
      <c r="E179" s="82" t="s">
        <v>67</v>
      </c>
      <c r="F179" s="82"/>
      <c r="G179" s="82"/>
      <c r="H179" s="82"/>
    </row>
    <row r="180" spans="1:9" x14ac:dyDescent="0.25">
      <c r="A180" s="96">
        <v>53</v>
      </c>
      <c r="B180" s="84" t="s">
        <v>133</v>
      </c>
      <c r="C180" s="84"/>
      <c r="D180" s="84"/>
      <c r="E180" s="168" t="s">
        <v>132</v>
      </c>
      <c r="F180" s="168"/>
      <c r="G180" s="168"/>
      <c r="H180" s="168"/>
    </row>
    <row r="181" spans="1:9" ht="28.2" customHeight="1" x14ac:dyDescent="0.25">
      <c r="A181" s="96"/>
      <c r="B181" s="84"/>
      <c r="C181" s="84"/>
      <c r="D181" s="84"/>
      <c r="E181" s="134" t="s">
        <v>141</v>
      </c>
      <c r="F181" s="134"/>
      <c r="G181" s="134"/>
      <c r="H181" s="35">
        <f>H178</f>
        <v>14500</v>
      </c>
    </row>
    <row r="182" spans="1:9" ht="16.8" customHeight="1" x14ac:dyDescent="0.25">
      <c r="A182" s="96"/>
      <c r="B182" s="84"/>
      <c r="C182" s="84"/>
      <c r="D182" s="84"/>
      <c r="E182" s="84" t="s">
        <v>13</v>
      </c>
      <c r="F182" s="84"/>
      <c r="G182" s="84"/>
      <c r="H182" s="35">
        <v>700000</v>
      </c>
    </row>
    <row r="183" spans="1:9" ht="46.8" customHeight="1" x14ac:dyDescent="0.25">
      <c r="A183" s="13">
        <v>54</v>
      </c>
      <c r="B183" s="84" t="s">
        <v>51</v>
      </c>
      <c r="C183" s="84"/>
      <c r="D183" s="84"/>
      <c r="E183" s="85" t="s">
        <v>10</v>
      </c>
      <c r="F183" s="85"/>
      <c r="G183" s="85"/>
      <c r="H183" s="85"/>
    </row>
    <row r="184" spans="1:9" x14ac:dyDescent="0.25">
      <c r="A184" s="96">
        <v>55</v>
      </c>
      <c r="B184" s="84" t="s">
        <v>52</v>
      </c>
      <c r="C184" s="84"/>
      <c r="D184" s="84"/>
      <c r="E184" s="129" t="s">
        <v>217</v>
      </c>
      <c r="F184" s="129"/>
      <c r="G184" s="129"/>
      <c r="H184" s="227">
        <v>0.1</v>
      </c>
    </row>
    <row r="185" spans="1:9" x14ac:dyDescent="0.25">
      <c r="A185" s="96"/>
      <c r="B185" s="84"/>
      <c r="C185" s="84"/>
      <c r="D185" s="84"/>
      <c r="E185" s="129" t="s">
        <v>218</v>
      </c>
      <c r="F185" s="129"/>
      <c r="G185" s="129"/>
      <c r="H185" s="227">
        <v>0.2</v>
      </c>
    </row>
    <row r="186" spans="1:9" x14ac:dyDescent="0.25">
      <c r="A186" s="96"/>
      <c r="B186" s="84"/>
      <c r="C186" s="84"/>
      <c r="D186" s="84"/>
      <c r="E186" s="129" t="s">
        <v>219</v>
      </c>
      <c r="F186" s="129"/>
      <c r="G186" s="129"/>
      <c r="H186" s="227">
        <v>0.15</v>
      </c>
    </row>
    <row r="187" spans="1:9" x14ac:dyDescent="0.25">
      <c r="A187" s="96"/>
      <c r="B187" s="84"/>
      <c r="C187" s="84"/>
      <c r="D187" s="84"/>
      <c r="E187" s="129" t="s">
        <v>221</v>
      </c>
      <c r="F187" s="129"/>
      <c r="G187" s="129"/>
      <c r="H187" s="227">
        <v>0.02</v>
      </c>
    </row>
    <row r="188" spans="1:9" x14ac:dyDescent="0.25">
      <c r="A188" s="96"/>
      <c r="B188" s="84"/>
      <c r="C188" s="84"/>
      <c r="D188" s="84"/>
      <c r="E188" s="129" t="s">
        <v>220</v>
      </c>
      <c r="F188" s="129"/>
      <c r="G188" s="129"/>
      <c r="H188" s="227">
        <v>0.02</v>
      </c>
    </row>
    <row r="189" spans="1:9" x14ac:dyDescent="0.25">
      <c r="A189" s="96"/>
      <c r="B189" s="84"/>
      <c r="C189" s="84"/>
      <c r="D189" s="84"/>
      <c r="E189" s="129" t="s">
        <v>222</v>
      </c>
      <c r="F189" s="129"/>
      <c r="G189" s="129"/>
      <c r="H189" s="227">
        <v>0.02</v>
      </c>
    </row>
    <row r="190" spans="1:9" x14ac:dyDescent="0.25">
      <c r="A190" s="96"/>
      <c r="B190" s="84"/>
      <c r="C190" s="84"/>
      <c r="D190" s="84"/>
      <c r="E190" s="129" t="s">
        <v>223</v>
      </c>
      <c r="F190" s="129"/>
      <c r="G190" s="129"/>
      <c r="H190" s="227">
        <v>0.02</v>
      </c>
    </row>
    <row r="191" spans="1:9" x14ac:dyDescent="0.25">
      <c r="A191" s="96"/>
      <c r="B191" s="84"/>
      <c r="C191" s="84"/>
      <c r="D191" s="84"/>
      <c r="E191" s="129" t="s">
        <v>224</v>
      </c>
      <c r="F191" s="129"/>
      <c r="G191" s="129"/>
      <c r="H191" s="227">
        <v>0.02</v>
      </c>
    </row>
    <row r="192" spans="1:9" x14ac:dyDescent="0.25">
      <c r="A192" s="96"/>
      <c r="B192" s="84"/>
      <c r="C192" s="84"/>
      <c r="D192" s="84"/>
      <c r="E192" s="129" t="s">
        <v>225</v>
      </c>
      <c r="F192" s="129"/>
      <c r="G192" s="129"/>
      <c r="H192" s="227">
        <v>0.02</v>
      </c>
    </row>
    <row r="193" spans="1:8" x14ac:dyDescent="0.25">
      <c r="A193" s="96"/>
      <c r="B193" s="84"/>
      <c r="C193" s="84"/>
      <c r="D193" s="84"/>
      <c r="E193" s="129" t="s">
        <v>226</v>
      </c>
      <c r="F193" s="129"/>
      <c r="G193" s="129"/>
      <c r="H193" s="227">
        <v>0.02</v>
      </c>
    </row>
    <row r="194" spans="1:8" x14ac:dyDescent="0.25">
      <c r="A194" s="96"/>
      <c r="B194" s="84"/>
      <c r="C194" s="84"/>
      <c r="D194" s="84"/>
      <c r="E194" s="129" t="s">
        <v>227</v>
      </c>
      <c r="F194" s="129"/>
      <c r="G194" s="129"/>
      <c r="H194" s="227">
        <v>0.02</v>
      </c>
    </row>
    <row r="195" spans="1:8" x14ac:dyDescent="0.25">
      <c r="A195" s="96"/>
      <c r="B195" s="84"/>
      <c r="C195" s="84"/>
      <c r="D195" s="84"/>
      <c r="E195" s="129" t="s">
        <v>228</v>
      </c>
      <c r="F195" s="129"/>
      <c r="G195" s="129"/>
      <c r="H195" s="227">
        <v>0.02</v>
      </c>
    </row>
    <row r="196" spans="1:8" x14ac:dyDescent="0.25">
      <c r="A196" s="96"/>
      <c r="B196" s="84"/>
      <c r="C196" s="84"/>
      <c r="D196" s="84"/>
      <c r="E196" s="129" t="s">
        <v>229</v>
      </c>
      <c r="F196" s="129"/>
      <c r="G196" s="129"/>
      <c r="H196" s="228">
        <v>1.4999999999999999E-2</v>
      </c>
    </row>
    <row r="197" spans="1:8" x14ac:dyDescent="0.25">
      <c r="A197" s="96"/>
      <c r="B197" s="84"/>
      <c r="C197" s="84"/>
      <c r="D197" s="84"/>
      <c r="E197" s="129" t="s">
        <v>230</v>
      </c>
      <c r="F197" s="129"/>
      <c r="G197" s="129"/>
      <c r="H197" s="228">
        <v>0.01</v>
      </c>
    </row>
    <row r="198" spans="1:8" x14ac:dyDescent="0.25">
      <c r="A198" s="96"/>
      <c r="B198" s="84"/>
      <c r="C198" s="84"/>
      <c r="D198" s="84"/>
      <c r="E198" s="129" t="s">
        <v>172</v>
      </c>
      <c r="F198" s="129"/>
      <c r="G198" s="129"/>
      <c r="H198" s="228">
        <v>0.01</v>
      </c>
    </row>
    <row r="199" spans="1:8" x14ac:dyDescent="0.25">
      <c r="A199" s="96"/>
      <c r="B199" s="84"/>
      <c r="C199" s="84"/>
      <c r="D199" s="84"/>
      <c r="E199" s="129" t="s">
        <v>231</v>
      </c>
      <c r="F199" s="129"/>
      <c r="G199" s="129"/>
      <c r="H199" s="228">
        <v>1.4999999999999999E-2</v>
      </c>
    </row>
    <row r="200" spans="1:8" x14ac:dyDescent="0.25">
      <c r="A200" s="96"/>
      <c r="B200" s="84"/>
      <c r="C200" s="84"/>
      <c r="D200" s="84"/>
      <c r="E200" s="129" t="s">
        <v>232</v>
      </c>
      <c r="F200" s="129"/>
      <c r="G200" s="129"/>
      <c r="H200" s="228">
        <v>1.4999999999999999E-2</v>
      </c>
    </row>
    <row r="201" spans="1:8" x14ac:dyDescent="0.25">
      <c r="A201" s="96"/>
      <c r="B201" s="84"/>
      <c r="C201" s="84"/>
      <c r="D201" s="84"/>
      <c r="E201" s="129" t="s">
        <v>235</v>
      </c>
      <c r="F201" s="129"/>
      <c r="G201" s="129"/>
      <c r="H201" s="228">
        <v>2.5000000000000001E-2</v>
      </c>
    </row>
    <row r="202" spans="1:8" x14ac:dyDescent="0.25">
      <c r="A202" s="96"/>
      <c r="B202" s="84"/>
      <c r="C202" s="84"/>
      <c r="D202" s="84"/>
      <c r="E202" s="129" t="s">
        <v>234</v>
      </c>
      <c r="F202" s="129"/>
      <c r="G202" s="129"/>
      <c r="H202" s="228">
        <v>2.5000000000000001E-2</v>
      </c>
    </row>
    <row r="203" spans="1:8" x14ac:dyDescent="0.25">
      <c r="A203" s="96"/>
      <c r="B203" s="84"/>
      <c r="C203" s="84"/>
      <c r="D203" s="84"/>
      <c r="E203" s="129" t="s">
        <v>236</v>
      </c>
      <c r="F203" s="129"/>
      <c r="G203" s="129"/>
      <c r="H203" s="228">
        <v>2.5000000000000001E-2</v>
      </c>
    </row>
    <row r="204" spans="1:8" x14ac:dyDescent="0.25">
      <c r="A204" s="96"/>
      <c r="B204" s="84"/>
      <c r="C204" s="84"/>
      <c r="D204" s="84"/>
      <c r="E204" s="129" t="s">
        <v>237</v>
      </c>
      <c r="F204" s="129"/>
      <c r="G204" s="129"/>
      <c r="H204" s="228">
        <v>2.5000000000000001E-2</v>
      </c>
    </row>
    <row r="205" spans="1:8" x14ac:dyDescent="0.25">
      <c r="A205" s="96"/>
      <c r="B205" s="84"/>
      <c r="C205" s="84"/>
      <c r="D205" s="84"/>
      <c r="E205" s="129" t="s">
        <v>238</v>
      </c>
      <c r="F205" s="129"/>
      <c r="G205" s="129"/>
      <c r="H205" s="228">
        <v>2.5000000000000001E-2</v>
      </c>
    </row>
    <row r="206" spans="1:8" x14ac:dyDescent="0.25">
      <c r="A206" s="96"/>
      <c r="B206" s="84"/>
      <c r="C206" s="84"/>
      <c r="D206" s="84"/>
      <c r="E206" s="129" t="s">
        <v>240</v>
      </c>
      <c r="F206" s="129"/>
      <c r="G206" s="129"/>
      <c r="H206" s="228">
        <v>2.5000000000000001E-2</v>
      </c>
    </row>
    <row r="207" spans="1:8" x14ac:dyDescent="0.25">
      <c r="A207" s="96"/>
      <c r="B207" s="84"/>
      <c r="C207" s="84"/>
      <c r="D207" s="84"/>
      <c r="E207" s="129" t="s">
        <v>239</v>
      </c>
      <c r="F207" s="129"/>
      <c r="G207" s="129"/>
      <c r="H207" s="228">
        <v>2.5000000000000001E-2</v>
      </c>
    </row>
    <row r="208" spans="1:8" x14ac:dyDescent="0.25">
      <c r="A208" s="96"/>
      <c r="B208" s="84"/>
      <c r="C208" s="84"/>
      <c r="D208" s="84"/>
      <c r="E208" s="129" t="s">
        <v>241</v>
      </c>
      <c r="F208" s="129"/>
      <c r="G208" s="129"/>
      <c r="H208" s="228">
        <v>2.5000000000000001E-2</v>
      </c>
    </row>
    <row r="209" spans="1:8" x14ac:dyDescent="0.25">
      <c r="A209" s="96"/>
      <c r="B209" s="84"/>
      <c r="C209" s="84"/>
      <c r="D209" s="84"/>
      <c r="E209" s="129" t="s">
        <v>242</v>
      </c>
      <c r="F209" s="129"/>
      <c r="G209" s="129"/>
      <c r="H209" s="228">
        <v>2.5000000000000001E-2</v>
      </c>
    </row>
    <row r="210" spans="1:8" x14ac:dyDescent="0.25">
      <c r="A210" s="96"/>
      <c r="B210" s="84"/>
      <c r="C210" s="84"/>
      <c r="D210" s="84"/>
      <c r="E210" s="129" t="s">
        <v>243</v>
      </c>
      <c r="F210" s="129"/>
      <c r="G210" s="129"/>
      <c r="H210" s="227">
        <v>0.03</v>
      </c>
    </row>
    <row r="211" spans="1:8" x14ac:dyDescent="0.25">
      <c r="A211" s="96"/>
      <c r="B211" s="84"/>
      <c r="C211" s="84"/>
      <c r="D211" s="84"/>
      <c r="E211" s="129" t="s">
        <v>233</v>
      </c>
      <c r="F211" s="129"/>
      <c r="G211" s="129"/>
      <c r="H211" s="227">
        <v>0.05</v>
      </c>
    </row>
    <row r="212" spans="1:8" x14ac:dyDescent="0.25">
      <c r="A212" s="96"/>
      <c r="B212" s="84"/>
      <c r="C212" s="84"/>
      <c r="D212" s="84"/>
      <c r="E212" s="129" t="s">
        <v>12</v>
      </c>
      <c r="F212" s="129"/>
      <c r="G212" s="129"/>
      <c r="H212" s="227">
        <f>SUM(H184:H211)</f>
        <v>1.0000000000000004</v>
      </c>
    </row>
    <row r="213" spans="1:8" ht="55.8" customHeight="1" x14ac:dyDescent="0.25">
      <c r="A213" s="13">
        <v>56</v>
      </c>
      <c r="B213" s="84" t="s">
        <v>53</v>
      </c>
      <c r="C213" s="84"/>
      <c r="D213" s="84"/>
      <c r="E213" s="85" t="s">
        <v>65</v>
      </c>
      <c r="F213" s="85"/>
      <c r="G213" s="85"/>
      <c r="H213" s="85"/>
    </row>
    <row r="214" spans="1:8" ht="43.8" customHeight="1" x14ac:dyDescent="0.25">
      <c r="A214" s="13">
        <v>57</v>
      </c>
      <c r="B214" s="84" t="s">
        <v>54</v>
      </c>
      <c r="C214" s="84"/>
      <c r="D214" s="84"/>
      <c r="E214" s="85" t="s">
        <v>65</v>
      </c>
      <c r="F214" s="85"/>
      <c r="G214" s="85"/>
      <c r="H214" s="85"/>
    </row>
    <row r="215" spans="1:8" ht="56.4" customHeight="1" x14ac:dyDescent="0.25">
      <c r="A215" s="13">
        <v>58</v>
      </c>
      <c r="B215" s="84" t="s">
        <v>55</v>
      </c>
      <c r="C215" s="84"/>
      <c r="D215" s="84"/>
      <c r="E215" s="85" t="s">
        <v>65</v>
      </c>
      <c r="F215" s="85"/>
      <c r="G215" s="85"/>
      <c r="H215" s="85"/>
    </row>
    <row r="216" spans="1:8" ht="58.8" customHeight="1" x14ac:dyDescent="0.25">
      <c r="A216" s="13">
        <v>59</v>
      </c>
      <c r="B216" s="84" t="s">
        <v>56</v>
      </c>
      <c r="C216" s="84"/>
      <c r="D216" s="84"/>
      <c r="E216" s="85" t="s">
        <v>65</v>
      </c>
      <c r="F216" s="85"/>
      <c r="G216" s="85"/>
      <c r="H216" s="85"/>
    </row>
    <row r="217" spans="1:8" x14ac:dyDescent="0.25">
      <c r="A217" s="13">
        <v>60</v>
      </c>
      <c r="B217" s="84" t="s">
        <v>57</v>
      </c>
      <c r="C217" s="84"/>
      <c r="D217" s="84"/>
      <c r="E217" s="84"/>
      <c r="F217" s="84"/>
      <c r="G217" s="84"/>
      <c r="H217" s="84"/>
    </row>
    <row r="218" spans="1:8" ht="27.6" customHeight="1" x14ac:dyDescent="0.25">
      <c r="A218" s="13" t="s">
        <v>58</v>
      </c>
      <c r="B218" s="84" t="s">
        <v>59</v>
      </c>
      <c r="C218" s="84"/>
      <c r="D218" s="84"/>
      <c r="E218" s="85" t="s">
        <v>65</v>
      </c>
      <c r="F218" s="85"/>
      <c r="G218" s="85"/>
      <c r="H218" s="85"/>
    </row>
    <row r="219" spans="1:8" ht="43.8" customHeight="1" x14ac:dyDescent="0.25">
      <c r="A219" s="38" t="s">
        <v>61</v>
      </c>
      <c r="B219" s="133" t="s">
        <v>60</v>
      </c>
      <c r="C219" s="133"/>
      <c r="D219" s="133"/>
      <c r="E219" s="139" t="s">
        <v>67</v>
      </c>
      <c r="F219" s="139"/>
      <c r="G219" s="139"/>
      <c r="H219" s="139"/>
    </row>
    <row r="220" spans="1:8" x14ac:dyDescent="0.25">
      <c r="A220" s="91" t="s">
        <v>135</v>
      </c>
      <c r="B220" s="91"/>
      <c r="C220" s="91"/>
      <c r="D220" s="91"/>
      <c r="E220" s="91"/>
      <c r="F220" s="91"/>
      <c r="G220" s="91"/>
      <c r="H220" s="91"/>
    </row>
    <row r="221" spans="1:8" x14ac:dyDescent="0.25">
      <c r="A221" s="44">
        <v>1</v>
      </c>
      <c r="B221" s="91" t="s">
        <v>244</v>
      </c>
      <c r="C221" s="91"/>
      <c r="D221" s="91"/>
      <c r="E221" s="91"/>
      <c r="F221" s="91"/>
      <c r="G221" s="91"/>
      <c r="H221" s="91"/>
    </row>
    <row r="222" spans="1:8" x14ac:dyDescent="0.25">
      <c r="A222" s="44">
        <f t="shared" ref="A222:A228" si="45">A221+1</f>
        <v>2</v>
      </c>
      <c r="B222" s="91" t="s">
        <v>136</v>
      </c>
      <c r="C222" s="91"/>
      <c r="D222" s="91"/>
      <c r="E222" s="91"/>
      <c r="F222" s="91"/>
      <c r="G222" s="91"/>
      <c r="H222" s="91"/>
    </row>
    <row r="223" spans="1:8" x14ac:dyDescent="0.25">
      <c r="A223" s="44">
        <f t="shared" si="45"/>
        <v>3</v>
      </c>
      <c r="B223" s="91" t="s">
        <v>137</v>
      </c>
      <c r="C223" s="91"/>
      <c r="D223" s="91"/>
      <c r="E223" s="91"/>
      <c r="F223" s="91"/>
      <c r="G223" s="91"/>
      <c r="H223" s="91"/>
    </row>
    <row r="224" spans="1:8" x14ac:dyDescent="0.25">
      <c r="A224" s="44">
        <f t="shared" si="45"/>
        <v>4</v>
      </c>
      <c r="B224" s="91" t="s">
        <v>245</v>
      </c>
      <c r="C224" s="91"/>
      <c r="D224" s="91"/>
      <c r="E224" s="91"/>
      <c r="F224" s="91"/>
      <c r="G224" s="91"/>
      <c r="H224" s="91"/>
    </row>
    <row r="225" spans="1:8" x14ac:dyDescent="0.25">
      <c r="A225" s="44">
        <f t="shared" si="45"/>
        <v>5</v>
      </c>
      <c r="B225" s="91" t="s">
        <v>138</v>
      </c>
      <c r="C225" s="91"/>
      <c r="D225" s="91"/>
      <c r="E225" s="91"/>
      <c r="F225" s="91"/>
      <c r="G225" s="91"/>
      <c r="H225" s="91"/>
    </row>
    <row r="226" spans="1:8" x14ac:dyDescent="0.25">
      <c r="A226" s="44">
        <f t="shared" si="45"/>
        <v>6</v>
      </c>
      <c r="B226" s="91" t="s">
        <v>139</v>
      </c>
      <c r="C226" s="91"/>
      <c r="D226" s="91"/>
      <c r="E226" s="91"/>
      <c r="F226" s="91"/>
      <c r="G226" s="91"/>
      <c r="H226" s="91"/>
    </row>
    <row r="227" spans="1:8" ht="31.2" customHeight="1" x14ac:dyDescent="0.25">
      <c r="A227" s="44">
        <f t="shared" si="45"/>
        <v>7</v>
      </c>
      <c r="B227" s="91" t="s">
        <v>140</v>
      </c>
      <c r="C227" s="91"/>
      <c r="D227" s="91"/>
      <c r="E227" s="91"/>
      <c r="F227" s="91"/>
      <c r="G227" s="91"/>
      <c r="H227" s="91"/>
    </row>
    <row r="228" spans="1:8" ht="31.2" customHeight="1" x14ac:dyDescent="0.25">
      <c r="A228" s="44">
        <f t="shared" si="45"/>
        <v>8</v>
      </c>
      <c r="B228" s="91" t="s">
        <v>259</v>
      </c>
      <c r="C228" s="91"/>
      <c r="D228" s="91"/>
      <c r="E228" s="91"/>
      <c r="F228" s="91"/>
      <c r="G228" s="91"/>
      <c r="H228" s="91"/>
    </row>
    <row r="229" spans="1:8" x14ac:dyDescent="0.25">
      <c r="A229" s="29" t="s">
        <v>82</v>
      </c>
      <c r="B229" s="30"/>
      <c r="C229" s="30"/>
      <c r="D229" s="92" t="str">
        <f>E4</f>
        <v>Hareshwar Pride</v>
      </c>
      <c r="E229" s="92"/>
      <c r="F229" s="92"/>
      <c r="G229" s="92"/>
      <c r="H229" s="92"/>
    </row>
    <row r="230" spans="1:8" x14ac:dyDescent="0.25">
      <c r="A230" s="30"/>
      <c r="B230" s="30"/>
      <c r="C230" s="30"/>
      <c r="D230" s="30"/>
      <c r="E230" s="30"/>
      <c r="F230" s="30"/>
      <c r="G230" s="30"/>
      <c r="H230" s="30"/>
    </row>
    <row r="231" spans="1:8" x14ac:dyDescent="0.25">
      <c r="A231" s="30"/>
      <c r="B231" s="30"/>
      <c r="C231" s="30"/>
      <c r="D231" s="30"/>
      <c r="E231" s="30"/>
      <c r="F231" s="30"/>
      <c r="G231" s="30"/>
      <c r="H231" s="30"/>
    </row>
    <row r="250" spans="3:7" x14ac:dyDescent="0.25">
      <c r="C250" s="31"/>
      <c r="F250" s="93"/>
      <c r="G250" s="93"/>
    </row>
    <row r="276" spans="1:1" x14ac:dyDescent="0.25">
      <c r="A276" s="32" t="s">
        <v>125</v>
      </c>
    </row>
    <row r="320" spans="1:8" x14ac:dyDescent="0.25">
      <c r="A320" s="32" t="s">
        <v>15</v>
      </c>
      <c r="B320" s="30"/>
      <c r="C320" s="30"/>
      <c r="D320" s="33"/>
      <c r="E320" s="29"/>
      <c r="F320" s="30"/>
      <c r="G320" s="30"/>
      <c r="H320" s="30"/>
    </row>
    <row r="321" spans="1:8" x14ac:dyDescent="0.25">
      <c r="A321" s="30"/>
      <c r="B321" s="30"/>
      <c r="C321" s="30"/>
      <c r="D321" s="30"/>
      <c r="E321" s="30"/>
      <c r="F321" s="30"/>
      <c r="G321" s="30"/>
      <c r="H321" s="30"/>
    </row>
    <row r="322" spans="1:8" x14ac:dyDescent="0.25">
      <c r="A322" s="30"/>
      <c r="B322" s="30"/>
      <c r="C322" s="30"/>
      <c r="D322" s="30"/>
      <c r="E322" s="30"/>
      <c r="F322" s="30"/>
      <c r="G322" s="30"/>
      <c r="H322" s="30"/>
    </row>
    <row r="341" spans="3:7" x14ac:dyDescent="0.25">
      <c r="C341" s="31"/>
      <c r="F341" s="93"/>
      <c r="G341" s="93"/>
    </row>
    <row r="356" spans="1:8" x14ac:dyDescent="0.25">
      <c r="A356" s="86" t="s">
        <v>0</v>
      </c>
      <c r="B356" s="86"/>
      <c r="C356" s="86"/>
      <c r="D356" s="86"/>
      <c r="E356" s="86"/>
      <c r="F356" s="86"/>
      <c r="G356" s="86"/>
      <c r="H356" s="86"/>
    </row>
    <row r="357" spans="1:8" x14ac:dyDescent="0.25">
      <c r="A357" s="86" t="s">
        <v>3</v>
      </c>
      <c r="B357" s="86"/>
      <c r="C357" s="86"/>
      <c r="D357" s="86"/>
      <c r="E357" s="86"/>
      <c r="F357" s="86"/>
      <c r="G357" s="86"/>
      <c r="H357" s="86"/>
    </row>
    <row r="358" spans="1:8" x14ac:dyDescent="0.25">
      <c r="A358" s="86" t="s">
        <v>1</v>
      </c>
      <c r="B358" s="86"/>
      <c r="C358" s="86"/>
      <c r="D358" s="86"/>
      <c r="E358" s="86"/>
      <c r="F358" s="86"/>
      <c r="G358" s="86"/>
      <c r="H358" s="86"/>
    </row>
    <row r="359" spans="1:8" x14ac:dyDescent="0.25">
      <c r="A359" s="86" t="s">
        <v>6</v>
      </c>
      <c r="B359" s="86"/>
      <c r="C359" s="86"/>
      <c r="D359" s="86"/>
      <c r="E359" s="86"/>
      <c r="F359" s="86"/>
      <c r="G359" s="86"/>
      <c r="H359" s="86"/>
    </row>
    <row r="360" spans="1:8" x14ac:dyDescent="0.25">
      <c r="A360" s="86" t="s">
        <v>11</v>
      </c>
      <c r="B360" s="86"/>
      <c r="C360" s="86"/>
      <c r="D360" s="86"/>
      <c r="E360" s="86"/>
      <c r="F360" s="86"/>
      <c r="G360" s="86"/>
      <c r="H360" s="86"/>
    </row>
    <row r="361" spans="1:8" x14ac:dyDescent="0.25">
      <c r="A361" s="86" t="s">
        <v>7</v>
      </c>
      <c r="B361" s="86"/>
      <c r="C361" s="86"/>
      <c r="D361" s="86"/>
      <c r="E361" s="86"/>
      <c r="F361" s="86"/>
      <c r="G361" s="86"/>
      <c r="H361" s="86"/>
    </row>
    <row r="362" spans="1:8" ht="59.25" customHeight="1" x14ac:dyDescent="0.25">
      <c r="A362" s="89" t="s">
        <v>121</v>
      </c>
      <c r="B362" s="90"/>
      <c r="C362" s="229" t="s">
        <v>248</v>
      </c>
      <c r="D362" s="229"/>
      <c r="E362" s="87" t="s">
        <v>166</v>
      </c>
      <c r="F362" s="87"/>
      <c r="G362" s="88"/>
      <c r="H362" s="88"/>
    </row>
    <row r="363" spans="1:8" x14ac:dyDescent="0.25">
      <c r="A363" s="32"/>
    </row>
  </sheetData>
  <mergeCells count="325">
    <mergeCell ref="E207:G207"/>
    <mergeCell ref="E208:G208"/>
    <mergeCell ref="E209:G209"/>
    <mergeCell ref="E210:G210"/>
    <mergeCell ref="E211:G211"/>
    <mergeCell ref="B228:H228"/>
    <mergeCell ref="G99:H99"/>
    <mergeCell ref="C99:E99"/>
    <mergeCell ref="E193:G193"/>
    <mergeCell ref="E194:G194"/>
    <mergeCell ref="E195:G195"/>
    <mergeCell ref="E201:G201"/>
    <mergeCell ref="E202:G202"/>
    <mergeCell ref="E203:G203"/>
    <mergeCell ref="E204:G204"/>
    <mergeCell ref="E205:G205"/>
    <mergeCell ref="E206:G206"/>
    <mergeCell ref="G97:H97"/>
    <mergeCell ref="G98:H98"/>
    <mergeCell ref="C94:H94"/>
    <mergeCell ref="C96:H96"/>
    <mergeCell ref="C93:E93"/>
    <mergeCell ref="G93:H93"/>
    <mergeCell ref="A95:B96"/>
    <mergeCell ref="C95:E95"/>
    <mergeCell ref="G95:H95"/>
    <mergeCell ref="A97:B99"/>
    <mergeCell ref="C97:E98"/>
    <mergeCell ref="A66:B66"/>
    <mergeCell ref="C66:H66"/>
    <mergeCell ref="A67:B67"/>
    <mergeCell ref="E67:F67"/>
    <mergeCell ref="G67:H67"/>
    <mergeCell ref="A63:B63"/>
    <mergeCell ref="C50:H50"/>
    <mergeCell ref="A52:B52"/>
    <mergeCell ref="A59:B59"/>
    <mergeCell ref="G53:H53"/>
    <mergeCell ref="A54:B54"/>
    <mergeCell ref="E54:F63"/>
    <mergeCell ref="A60:B60"/>
    <mergeCell ref="G54:H63"/>
    <mergeCell ref="A55:B55"/>
    <mergeCell ref="A5:A9"/>
    <mergeCell ref="E180:H180"/>
    <mergeCell ref="B27:D27"/>
    <mergeCell ref="A89:B89"/>
    <mergeCell ref="G89:H89"/>
    <mergeCell ref="C102:D102"/>
    <mergeCell ref="B26:D26"/>
    <mergeCell ref="B15:D15"/>
    <mergeCell ref="B16:D16"/>
    <mergeCell ref="B40:D40"/>
    <mergeCell ref="E40:H40"/>
    <mergeCell ref="B41:D41"/>
    <mergeCell ref="E41:H41"/>
    <mergeCell ref="A47:A48"/>
    <mergeCell ref="B48:D48"/>
    <mergeCell ref="E42:H42"/>
    <mergeCell ref="B43:D43"/>
    <mergeCell ref="A64:B64"/>
    <mergeCell ref="E178:G178"/>
    <mergeCell ref="A123:H123"/>
    <mergeCell ref="A177:A178"/>
    <mergeCell ref="E176:H176"/>
    <mergeCell ref="B176:D176"/>
    <mergeCell ref="A133:H133"/>
    <mergeCell ref="C134:H135"/>
    <mergeCell ref="C136:H136"/>
    <mergeCell ref="A143:H143"/>
    <mergeCell ref="A153:H153"/>
    <mergeCell ref="C154:H154"/>
    <mergeCell ref="C155:H155"/>
    <mergeCell ref="A163:H163"/>
    <mergeCell ref="C164:H166"/>
    <mergeCell ref="C171:H172"/>
    <mergeCell ref="E192:G192"/>
    <mergeCell ref="B39:D39"/>
    <mergeCell ref="B38:D38"/>
    <mergeCell ref="B37:D37"/>
    <mergeCell ref="E177:H177"/>
    <mergeCell ref="B183:D183"/>
    <mergeCell ref="E183:H183"/>
    <mergeCell ref="E216:H216"/>
    <mergeCell ref="B80:D80"/>
    <mergeCell ref="B49:H49"/>
    <mergeCell ref="E82:H82"/>
    <mergeCell ref="A56:B56"/>
    <mergeCell ref="A57:B57"/>
    <mergeCell ref="A62:B62"/>
    <mergeCell ref="B42:D42"/>
    <mergeCell ref="A88:H88"/>
    <mergeCell ref="E48:H48"/>
    <mergeCell ref="A50:B50"/>
    <mergeCell ref="A61:B61"/>
    <mergeCell ref="E84:H84"/>
    <mergeCell ref="E85:H85"/>
    <mergeCell ref="B83:D83"/>
    <mergeCell ref="B82:D82"/>
    <mergeCell ref="B81:D81"/>
    <mergeCell ref="E43:H43"/>
    <mergeCell ref="A1:H1"/>
    <mergeCell ref="A2:H2"/>
    <mergeCell ref="E12:H12"/>
    <mergeCell ref="E13:H13"/>
    <mergeCell ref="E14:H14"/>
    <mergeCell ref="B13:D13"/>
    <mergeCell ref="B14:D14"/>
    <mergeCell ref="B5:D6"/>
    <mergeCell ref="B4:D4"/>
    <mergeCell ref="B10:D10"/>
    <mergeCell ref="B11:D11"/>
    <mergeCell ref="E10:H10"/>
    <mergeCell ref="E11:H11"/>
    <mergeCell ref="B8:D8"/>
    <mergeCell ref="E3:H3"/>
    <mergeCell ref="B3:D3"/>
    <mergeCell ref="B12:D12"/>
    <mergeCell ref="E4:H4"/>
    <mergeCell ref="E7:H7"/>
    <mergeCell ref="E6:F6"/>
    <mergeCell ref="E5:H5"/>
    <mergeCell ref="B7:D7"/>
    <mergeCell ref="B36:D36"/>
    <mergeCell ref="B17:D17"/>
    <mergeCell ref="B20:D20"/>
    <mergeCell ref="B18:D18"/>
    <mergeCell ref="B19:D19"/>
    <mergeCell ref="B21:D21"/>
    <mergeCell ref="E21:H21"/>
    <mergeCell ref="B22:D22"/>
    <mergeCell ref="E22:H22"/>
    <mergeCell ref="E17:H17"/>
    <mergeCell ref="E18:H18"/>
    <mergeCell ref="E19:H19"/>
    <mergeCell ref="E20:H20"/>
    <mergeCell ref="G6:H6"/>
    <mergeCell ref="B9:D9"/>
    <mergeCell ref="E9:H9"/>
    <mergeCell ref="B25:D25"/>
    <mergeCell ref="B23:D23"/>
    <mergeCell ref="E26:H26"/>
    <mergeCell ref="E15:H15"/>
    <mergeCell ref="A58:B58"/>
    <mergeCell ref="B28:D28"/>
    <mergeCell ref="E47:H47"/>
    <mergeCell ref="E33:H33"/>
    <mergeCell ref="B47:D47"/>
    <mergeCell ref="B35:D35"/>
    <mergeCell ref="B34:D34"/>
    <mergeCell ref="E34:H34"/>
    <mergeCell ref="B29:D29"/>
    <mergeCell ref="B30:D30"/>
    <mergeCell ref="B31:D31"/>
    <mergeCell ref="B32:D32"/>
    <mergeCell ref="B33:D33"/>
    <mergeCell ref="B44:D44"/>
    <mergeCell ref="E16:H16"/>
    <mergeCell ref="B24:D24"/>
    <mergeCell ref="E24:H24"/>
    <mergeCell ref="B45:D45"/>
    <mergeCell ref="E45:H45"/>
    <mergeCell ref="B46:D46"/>
    <mergeCell ref="E46:H46"/>
    <mergeCell ref="E219:H219"/>
    <mergeCell ref="E186:G186"/>
    <mergeCell ref="A184:A212"/>
    <mergeCell ref="B216:D216"/>
    <mergeCell ref="E189:G189"/>
    <mergeCell ref="E196:G196"/>
    <mergeCell ref="E103:F103"/>
    <mergeCell ref="G103:H103"/>
    <mergeCell ref="F108:F109"/>
    <mergeCell ref="E174:H174"/>
    <mergeCell ref="E179:H179"/>
    <mergeCell ref="E175:H175"/>
    <mergeCell ref="E108:E109"/>
    <mergeCell ref="G90:H90"/>
    <mergeCell ref="E53:F53"/>
    <mergeCell ref="E86:H86"/>
    <mergeCell ref="E87:H87"/>
    <mergeCell ref="C52:H52"/>
    <mergeCell ref="A53:B53"/>
    <mergeCell ref="C64:H64"/>
    <mergeCell ref="C89:E89"/>
    <mergeCell ref="A90:B90"/>
    <mergeCell ref="C90:E90"/>
    <mergeCell ref="E83:H83"/>
    <mergeCell ref="E80:H80"/>
    <mergeCell ref="B177:D178"/>
    <mergeCell ref="B219:D219"/>
    <mergeCell ref="B217:H217"/>
    <mergeCell ref="E199:G199"/>
    <mergeCell ref="E181:G181"/>
    <mergeCell ref="B180:D182"/>
    <mergeCell ref="E188:G188"/>
    <mergeCell ref="E184:G184"/>
    <mergeCell ref="C103:D103"/>
    <mergeCell ref="E182:G182"/>
    <mergeCell ref="E118:E119"/>
    <mergeCell ref="F118:F119"/>
    <mergeCell ref="E191:G191"/>
    <mergeCell ref="G118:G119"/>
    <mergeCell ref="B174:D174"/>
    <mergeCell ref="B175:D175"/>
    <mergeCell ref="A106:H106"/>
    <mergeCell ref="A107:H107"/>
    <mergeCell ref="G108:G109"/>
    <mergeCell ref="A110:H110"/>
    <mergeCell ref="A357:H357"/>
    <mergeCell ref="E214:H214"/>
    <mergeCell ref="E212:G212"/>
    <mergeCell ref="B218:D218"/>
    <mergeCell ref="E215:H215"/>
    <mergeCell ref="B213:D213"/>
    <mergeCell ref="E213:H213"/>
    <mergeCell ref="E197:G197"/>
    <mergeCell ref="E200:G200"/>
    <mergeCell ref="B184:D212"/>
    <mergeCell ref="E187:G187"/>
    <mergeCell ref="B215:D215"/>
    <mergeCell ref="F341:G341"/>
    <mergeCell ref="E198:G198"/>
    <mergeCell ref="E185:G185"/>
    <mergeCell ref="E190:G190"/>
    <mergeCell ref="A116:H116"/>
    <mergeCell ref="A118:A119"/>
    <mergeCell ref="B118:B119"/>
    <mergeCell ref="C105:D105"/>
    <mergeCell ref="C92:E92"/>
    <mergeCell ref="G92:H92"/>
    <mergeCell ref="A91:B92"/>
    <mergeCell ref="A102:B102"/>
    <mergeCell ref="A101:H101"/>
    <mergeCell ref="A100:B100"/>
    <mergeCell ref="G100:H100"/>
    <mergeCell ref="E102:F102"/>
    <mergeCell ref="A103:B103"/>
    <mergeCell ref="G102:H102"/>
    <mergeCell ref="C91:E91"/>
    <mergeCell ref="E105:F105"/>
    <mergeCell ref="G105:H105"/>
    <mergeCell ref="G91:H91"/>
    <mergeCell ref="A104:B104"/>
    <mergeCell ref="C104:D104"/>
    <mergeCell ref="E104:F104"/>
    <mergeCell ref="G104:H104"/>
    <mergeCell ref="A105:B105"/>
    <mergeCell ref="A93:B94"/>
    <mergeCell ref="B179:D179"/>
    <mergeCell ref="C118:C119"/>
    <mergeCell ref="D118:D119"/>
    <mergeCell ref="C108:C109"/>
    <mergeCell ref="A173:H173"/>
    <mergeCell ref="D108:D109"/>
    <mergeCell ref="A108:A109"/>
    <mergeCell ref="B108:B109"/>
    <mergeCell ref="A117:H117"/>
    <mergeCell ref="A120:H120"/>
    <mergeCell ref="A121:H121"/>
    <mergeCell ref="A122:H122"/>
    <mergeCell ref="E8:F8"/>
    <mergeCell ref="G8:H8"/>
    <mergeCell ref="I12:I13"/>
    <mergeCell ref="I23:J23"/>
    <mergeCell ref="I22:J22"/>
    <mergeCell ref="I24:J24"/>
    <mergeCell ref="I32:J33"/>
    <mergeCell ref="E29:H29"/>
    <mergeCell ref="E38:H38"/>
    <mergeCell ref="E25:H25"/>
    <mergeCell ref="E23:H23"/>
    <mergeCell ref="E30:H30"/>
    <mergeCell ref="E31:H31"/>
    <mergeCell ref="E32:H32"/>
    <mergeCell ref="E36:H36"/>
    <mergeCell ref="E37:H37"/>
    <mergeCell ref="E35:H35"/>
    <mergeCell ref="E27:H27"/>
    <mergeCell ref="E28:H28"/>
    <mergeCell ref="B214:D214"/>
    <mergeCell ref="E218:H218"/>
    <mergeCell ref="A360:H360"/>
    <mergeCell ref="A358:H358"/>
    <mergeCell ref="E362:F362"/>
    <mergeCell ref="G362:H362"/>
    <mergeCell ref="E39:H39"/>
    <mergeCell ref="A362:B362"/>
    <mergeCell ref="C362:D362"/>
    <mergeCell ref="A220:H220"/>
    <mergeCell ref="B221:H221"/>
    <mergeCell ref="B222:H222"/>
    <mergeCell ref="B223:H223"/>
    <mergeCell ref="B224:H224"/>
    <mergeCell ref="B225:H225"/>
    <mergeCell ref="B226:H226"/>
    <mergeCell ref="B227:H227"/>
    <mergeCell ref="D229:H229"/>
    <mergeCell ref="A361:H361"/>
    <mergeCell ref="A356:H356"/>
    <mergeCell ref="A359:H359"/>
    <mergeCell ref="F250:G250"/>
    <mergeCell ref="C100:E100"/>
    <mergeCell ref="A180:A182"/>
    <mergeCell ref="A40:A41"/>
    <mergeCell ref="B84:D87"/>
    <mergeCell ref="A84:A87"/>
    <mergeCell ref="A68:B68"/>
    <mergeCell ref="E68:F77"/>
    <mergeCell ref="G68:H77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E81:H81"/>
    <mergeCell ref="A78:A79"/>
    <mergeCell ref="B78:D79"/>
    <mergeCell ref="E78:G78"/>
    <mergeCell ref="E79:G79"/>
    <mergeCell ref="E44:H44"/>
  </mergeCells>
  <dataValidations count="3">
    <dataValidation type="list" allowBlank="1" showInputMessage="1" showErrorMessage="1" sqref="H109 H119" xr:uid="{00000000-0002-0000-0000-000000000000}">
      <formula1>".45,.50,.55,.60"</formula1>
    </dataValidation>
    <dataValidation type="list" allowBlank="1" showInputMessage="1" showErrorMessage="1" sqref="E17:H17" xr:uid="{00000000-0002-0000-0000-000001000000}">
      <formula1>"None,Yes"</formula1>
    </dataValidation>
    <dataValidation type="list" allowBlank="1" showInputMessage="1" showErrorMessage="1" sqref="B227:H227" xr:uid="{00000000-0002-0000-0000-000002000000}">
      <formula1>"Recommended rate should be considered as all inclusive rate if other charges are not mentioned. (Excluding GST &amp; other government Taxes),Other charges can be considered from cost sheet. "</formula1>
    </dataValidation>
  </dataValidations>
  <hyperlinks>
    <hyperlink ref="E7" r:id="rId1" xr:uid="{11E8148E-5660-4521-B11C-D7F34F31A3EF}"/>
  </hyperlinks>
  <printOptions horizontalCentered="1"/>
  <pageMargins left="0.23622047244094491" right="0.23622047244094491" top="0.74803149606299213" bottom="0.59055118110236227" header="0.19685039370078741" footer="0.19685039370078741"/>
  <pageSetup paperSize="2" fitToHeight="0" orientation="portrait" r:id="rId2"/>
  <headerFooter>
    <oddHeader>&amp;C&amp;"Times New Roman,Bold"&amp;20&amp;G</oddHeader>
    <oddFooter>&amp;L&amp;"Times New Roman,Bold"Ref No: &amp;F&amp;R&amp;P</oddFooter>
  </headerFooter>
  <rowBreaks count="5" manualBreakCount="5">
    <brk id="49" max="16383" man="1"/>
    <brk id="90" max="7" man="1"/>
    <brk id="228" max="7" man="1"/>
    <brk id="275" max="7" man="1"/>
    <brk id="319" max="7" man="1"/>
  </rowBreaks>
  <drawing r:id="rId3"/>
  <legacy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K9:O10"/>
  <sheetViews>
    <sheetView workbookViewId="0">
      <selection activeCell="F13" sqref="F13"/>
    </sheetView>
  </sheetViews>
  <sheetFormatPr defaultRowHeight="14.4" x14ac:dyDescent="0.3"/>
  <sheetData>
    <row r="9" spans="11:15" x14ac:dyDescent="0.3">
      <c r="K9" s="82" t="s">
        <v>94</v>
      </c>
      <c r="L9" s="82"/>
      <c r="M9" s="82"/>
      <c r="N9" s="82"/>
      <c r="O9" s="82"/>
    </row>
    <row r="10" spans="11:15" x14ac:dyDescent="0.3">
      <c r="K10" s="82" t="s">
        <v>95</v>
      </c>
      <c r="L10" s="82"/>
      <c r="M10" s="82"/>
      <c r="N10" s="82"/>
      <c r="O10" s="82"/>
    </row>
  </sheetData>
  <mergeCells count="2">
    <mergeCell ref="K9:O9"/>
    <mergeCell ref="K10:O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</vt:lpstr>
      <vt:lpstr>Valuation</vt:lpstr>
      <vt:lpstr>Report!Print_Area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2025-08-23T07:18:10Z</cp:lastPrinted>
  <dcterms:created xsi:type="dcterms:W3CDTF">2013-11-23T05:32:33Z</dcterms:created>
  <dcterms:modified xsi:type="dcterms:W3CDTF">2025-08-23T07:26:07Z</dcterms:modified>
</cp:coreProperties>
</file>