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30-08-2025\"/>
    </mc:Choice>
  </mc:AlternateContent>
  <bookViews>
    <workbookView xWindow="0" yWindow="0" windowWidth="19200" windowHeight="6640" tabRatio="725"/>
  </bookViews>
  <sheets>
    <sheet name="Report" sheetId="1" r:id="rId1"/>
    <sheet name="Area Calcutation" sheetId="7" r:id="rId2"/>
    <sheet name="Construction" sheetId="6" r:id="rId3"/>
    <sheet name="valuation" sheetId="5" r:id="rId4"/>
    <sheet name="Note" sheetId="4" r:id="rId5"/>
  </sheets>
  <definedNames>
    <definedName name="_xlnm._FilterDatabase" localSheetId="0" hidden="1">Report!$A$280:$P$459</definedName>
    <definedName name="_xlnm.Print_Area" localSheetId="0">Report!$A$1:$H$695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4" i="1" l="1"/>
  <c r="B487" i="1" l="1"/>
  <c r="A284" i="1" l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D446" i="1"/>
  <c r="D445" i="1"/>
  <c r="D444" i="1"/>
  <c r="D443" i="1"/>
  <c r="D442" i="1"/>
  <c r="D441" i="1"/>
  <c r="D427" i="1"/>
  <c r="D422" i="1"/>
  <c r="D421" i="1"/>
  <c r="D420" i="1"/>
  <c r="D419" i="1"/>
  <c r="D418" i="1"/>
  <c r="D407" i="1"/>
  <c r="D392" i="1"/>
  <c r="D391" i="1"/>
  <c r="D390" i="1"/>
  <c r="D389" i="1"/>
  <c r="D388" i="1"/>
  <c r="D387" i="1"/>
  <c r="D386" i="1"/>
  <c r="D373" i="1"/>
  <c r="D372" i="1"/>
  <c r="D371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3" i="1"/>
  <c r="D352" i="1"/>
  <c r="D351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299" i="1"/>
  <c r="D303" i="1"/>
  <c r="D302" i="1"/>
  <c r="D301" i="1"/>
  <c r="D300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6" i="1"/>
  <c r="D425" i="1"/>
  <c r="D424" i="1"/>
  <c r="D423" i="1"/>
  <c r="D417" i="1"/>
  <c r="D416" i="1"/>
  <c r="D415" i="1"/>
  <c r="D414" i="1"/>
  <c r="D413" i="1"/>
  <c r="D412" i="1"/>
  <c r="D411" i="1"/>
  <c r="D410" i="1"/>
  <c r="D409" i="1"/>
  <c r="D408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0" i="1"/>
  <c r="D369" i="1"/>
  <c r="D354" i="1"/>
  <c r="D350" i="1"/>
  <c r="D349" i="1"/>
  <c r="D348" i="1"/>
  <c r="D347" i="1"/>
  <c r="D346" i="1"/>
  <c r="D345" i="1"/>
  <c r="D344" i="1"/>
  <c r="D331" i="1"/>
  <c r="D330" i="1"/>
  <c r="D305" i="1"/>
  <c r="D304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E269" i="1" l="1"/>
  <c r="C269" i="1"/>
  <c r="B395" i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E285" i="1"/>
  <c r="P283" i="1"/>
  <c r="I383" i="1" l="1"/>
  <c r="G299" i="1" l="1"/>
  <c r="F299" i="1"/>
  <c r="L299" i="1" s="1"/>
  <c r="E299" i="1"/>
  <c r="H299" i="1" l="1"/>
  <c r="H346" i="1"/>
  <c r="H347" i="1"/>
  <c r="B488" i="1"/>
  <c r="A499" i="1"/>
  <c r="A500" i="1" s="1"/>
  <c r="A501" i="1" s="1"/>
  <c r="A502" i="1" s="1"/>
  <c r="A503" i="1" s="1"/>
  <c r="A504" i="1" s="1"/>
  <c r="A505" i="1" s="1"/>
  <c r="G345" i="1"/>
  <c r="F345" i="1"/>
  <c r="E345" i="1"/>
  <c r="G285" i="1"/>
  <c r="F11" i="5" l="1"/>
  <c r="G11" i="5" s="1"/>
  <c r="F10" i="5"/>
  <c r="G10" i="5" s="1"/>
  <c r="F9" i="5"/>
  <c r="G9" i="5" s="1"/>
  <c r="G8" i="5"/>
  <c r="G7" i="5"/>
  <c r="G6" i="5"/>
  <c r="G5" i="5"/>
  <c r="O178" i="6"/>
  <c r="N178" i="6"/>
  <c r="P178" i="6" s="1"/>
  <c r="B247" i="1" s="1"/>
  <c r="A178" i="6"/>
  <c r="O177" i="6"/>
  <c r="G246" i="1" s="1"/>
  <c r="N177" i="6"/>
  <c r="P177" i="6" s="1"/>
  <c r="B246" i="1" s="1"/>
  <c r="A177" i="6"/>
  <c r="O176" i="6"/>
  <c r="N176" i="6"/>
  <c r="P176" i="6" s="1"/>
  <c r="A176" i="6"/>
  <c r="O175" i="6"/>
  <c r="N175" i="6"/>
  <c r="P175" i="6" s="1"/>
  <c r="B244" i="1" s="1"/>
  <c r="A175" i="6"/>
  <c r="O174" i="6"/>
  <c r="G243" i="1" s="1"/>
  <c r="N174" i="6"/>
  <c r="P174" i="6" s="1"/>
  <c r="B243" i="1" s="1"/>
  <c r="A174" i="6"/>
  <c r="O173" i="6"/>
  <c r="G242" i="1" s="1"/>
  <c r="N173" i="6"/>
  <c r="P173" i="6" s="1"/>
  <c r="B242" i="1" s="1"/>
  <c r="A173" i="6"/>
  <c r="O172" i="6"/>
  <c r="N172" i="6"/>
  <c r="P172" i="6" s="1"/>
  <c r="A172" i="6"/>
  <c r="O171" i="6"/>
  <c r="G240" i="1" s="1"/>
  <c r="N171" i="6"/>
  <c r="P171" i="6" s="1"/>
  <c r="B240" i="1" s="1"/>
  <c r="A171" i="6"/>
  <c r="O170" i="6"/>
  <c r="N170" i="6"/>
  <c r="P170" i="6" s="1"/>
  <c r="A170" i="6"/>
  <c r="O169" i="6"/>
  <c r="G238" i="1" s="1"/>
  <c r="N169" i="6"/>
  <c r="E238" i="1" s="1"/>
  <c r="A169" i="6"/>
  <c r="O168" i="6"/>
  <c r="N168" i="6"/>
  <c r="P168" i="6" s="1"/>
  <c r="A168" i="6"/>
  <c r="O167" i="6"/>
  <c r="N167" i="6"/>
  <c r="P167" i="6" s="1"/>
  <c r="B236" i="1" s="1"/>
  <c r="A167" i="6"/>
  <c r="O166" i="6"/>
  <c r="G235" i="1" s="1"/>
  <c r="N166" i="6"/>
  <c r="P166" i="6" s="1"/>
  <c r="A166" i="6"/>
  <c r="O165" i="6"/>
  <c r="G234" i="1" s="1"/>
  <c r="N165" i="6"/>
  <c r="P165" i="6" s="1"/>
  <c r="B234" i="1" s="1"/>
  <c r="A165" i="6"/>
  <c r="O164" i="6"/>
  <c r="G233" i="1" s="1"/>
  <c r="N164" i="6"/>
  <c r="P164" i="6" s="1"/>
  <c r="A164" i="6"/>
  <c r="O163" i="6"/>
  <c r="N163" i="6"/>
  <c r="P163" i="6" s="1"/>
  <c r="B232" i="1" s="1"/>
  <c r="A163" i="6"/>
  <c r="O162" i="6"/>
  <c r="G231" i="1" s="1"/>
  <c r="N162" i="6"/>
  <c r="P162" i="6" s="1"/>
  <c r="B231" i="1" s="1"/>
  <c r="A162" i="6"/>
  <c r="O161" i="6"/>
  <c r="G230" i="1" s="1"/>
  <c r="N161" i="6"/>
  <c r="P161" i="6" s="1"/>
  <c r="B230" i="1" s="1"/>
  <c r="A161" i="6"/>
  <c r="O160" i="6"/>
  <c r="N160" i="6"/>
  <c r="P160" i="6" s="1"/>
  <c r="A160" i="6"/>
  <c r="O159" i="6"/>
  <c r="N159" i="6"/>
  <c r="P159" i="6" s="1"/>
  <c r="B228" i="1" s="1"/>
  <c r="A159" i="6"/>
  <c r="O158" i="6"/>
  <c r="G227" i="1" s="1"/>
  <c r="N158" i="6"/>
  <c r="P158" i="6" s="1"/>
  <c r="B227" i="1" s="1"/>
  <c r="A158" i="6"/>
  <c r="O157" i="6"/>
  <c r="G226" i="1" s="1"/>
  <c r="N157" i="6"/>
  <c r="P157" i="6" s="1"/>
  <c r="B226" i="1" s="1"/>
  <c r="A157" i="6"/>
  <c r="O156" i="6"/>
  <c r="N156" i="6"/>
  <c r="P156" i="6" s="1"/>
  <c r="A156" i="6"/>
  <c r="O155" i="6"/>
  <c r="G224" i="1" s="1"/>
  <c r="N155" i="6"/>
  <c r="P155" i="6" s="1"/>
  <c r="B224" i="1" s="1"/>
  <c r="A155" i="6"/>
  <c r="O154" i="6"/>
  <c r="N154" i="6"/>
  <c r="P154" i="6" s="1"/>
  <c r="A154" i="6"/>
  <c r="O153" i="6"/>
  <c r="G222" i="1" s="1"/>
  <c r="N153" i="6"/>
  <c r="E222" i="1" s="1"/>
  <c r="A153" i="6"/>
  <c r="O152" i="6"/>
  <c r="N152" i="6"/>
  <c r="P152" i="6" s="1"/>
  <c r="A152" i="6"/>
  <c r="O151" i="6"/>
  <c r="G220" i="1" s="1"/>
  <c r="N151" i="6"/>
  <c r="P151" i="6" s="1"/>
  <c r="B220" i="1" s="1"/>
  <c r="A151" i="6"/>
  <c r="O150" i="6"/>
  <c r="G219" i="1" s="1"/>
  <c r="N150" i="6"/>
  <c r="P150" i="6" s="1"/>
  <c r="B219" i="1" s="1"/>
  <c r="A150" i="6"/>
  <c r="O149" i="6"/>
  <c r="G218" i="1" s="1"/>
  <c r="N149" i="6"/>
  <c r="P149" i="6" s="1"/>
  <c r="B218" i="1" s="1"/>
  <c r="A149" i="6"/>
  <c r="O148" i="6"/>
  <c r="G217" i="1" s="1"/>
  <c r="N148" i="6"/>
  <c r="P148" i="6" s="1"/>
  <c r="A148" i="6"/>
  <c r="O147" i="6"/>
  <c r="G216" i="1" s="1"/>
  <c r="N147" i="6"/>
  <c r="P147" i="6" s="1"/>
  <c r="B216" i="1" s="1"/>
  <c r="A147" i="6"/>
  <c r="O146" i="6"/>
  <c r="G215" i="1" s="1"/>
  <c r="N146" i="6"/>
  <c r="P146" i="6" s="1"/>
  <c r="B215" i="1" s="1"/>
  <c r="A146" i="6"/>
  <c r="O145" i="6"/>
  <c r="G214" i="1" s="1"/>
  <c r="N145" i="6"/>
  <c r="P145" i="6" s="1"/>
  <c r="B214" i="1" s="1"/>
  <c r="A145" i="6"/>
  <c r="O144" i="6"/>
  <c r="G213" i="1" s="1"/>
  <c r="N144" i="6"/>
  <c r="P144" i="6" s="1"/>
  <c r="A144" i="6"/>
  <c r="O143" i="6"/>
  <c r="G212" i="1" s="1"/>
  <c r="N143" i="6"/>
  <c r="P143" i="6" s="1"/>
  <c r="A143" i="6"/>
  <c r="O142" i="6"/>
  <c r="N142" i="6"/>
  <c r="A142" i="6"/>
  <c r="O141" i="6"/>
  <c r="N141" i="6"/>
  <c r="E210" i="1" s="1"/>
  <c r="A141" i="6"/>
  <c r="O140" i="6"/>
  <c r="N140" i="6"/>
  <c r="P140" i="6" s="1"/>
  <c r="A140" i="6"/>
  <c r="O139" i="6"/>
  <c r="G208" i="1" s="1"/>
  <c r="N139" i="6"/>
  <c r="P139" i="6" s="1"/>
  <c r="B208" i="1" s="1"/>
  <c r="A139" i="6"/>
  <c r="O138" i="6"/>
  <c r="G207" i="1" s="1"/>
  <c r="N138" i="6"/>
  <c r="P138" i="6" s="1"/>
  <c r="B207" i="1" s="1"/>
  <c r="A138" i="6"/>
  <c r="O137" i="6"/>
  <c r="G206" i="1" s="1"/>
  <c r="N137" i="6"/>
  <c r="P137" i="6" s="1"/>
  <c r="B206" i="1" s="1"/>
  <c r="A137" i="6"/>
  <c r="O136" i="6"/>
  <c r="G205" i="1" s="1"/>
  <c r="N136" i="6"/>
  <c r="P136" i="6" s="1"/>
  <c r="A136" i="6"/>
  <c r="O135" i="6"/>
  <c r="G204" i="1" s="1"/>
  <c r="N135" i="6"/>
  <c r="P135" i="6" s="1"/>
  <c r="A135" i="6"/>
  <c r="O134" i="6"/>
  <c r="G203" i="1" s="1"/>
  <c r="N134" i="6"/>
  <c r="P134" i="6" s="1"/>
  <c r="B203" i="1" s="1"/>
  <c r="A134" i="6"/>
  <c r="O133" i="6"/>
  <c r="G202" i="1" s="1"/>
  <c r="N133" i="6"/>
  <c r="A133" i="6"/>
  <c r="O132" i="6"/>
  <c r="N132" i="6"/>
  <c r="P132" i="6" s="1"/>
  <c r="A132" i="6"/>
  <c r="O131" i="6"/>
  <c r="N131" i="6"/>
  <c r="P131" i="6" s="1"/>
  <c r="B200" i="1" s="1"/>
  <c r="A131" i="6"/>
  <c r="O130" i="6"/>
  <c r="N130" i="6"/>
  <c r="P130" i="6" s="1"/>
  <c r="B199" i="1" s="1"/>
  <c r="A130" i="6"/>
  <c r="O129" i="6"/>
  <c r="G198" i="1" s="1"/>
  <c r="N129" i="6"/>
  <c r="P129" i="6" s="1"/>
  <c r="B198" i="1" s="1"/>
  <c r="A129" i="6"/>
  <c r="O128" i="6"/>
  <c r="G197" i="1" s="1"/>
  <c r="N128" i="6"/>
  <c r="P128" i="6" s="1"/>
  <c r="A128" i="6"/>
  <c r="O127" i="6"/>
  <c r="N127" i="6"/>
  <c r="P127" i="6" s="1"/>
  <c r="A127" i="6"/>
  <c r="O126" i="6"/>
  <c r="N126" i="6"/>
  <c r="A126" i="6"/>
  <c r="O125" i="6"/>
  <c r="G194" i="1" s="1"/>
  <c r="N125" i="6"/>
  <c r="P125" i="6" s="1"/>
  <c r="B194" i="1" s="1"/>
  <c r="A125" i="6"/>
  <c r="O124" i="6"/>
  <c r="N124" i="6"/>
  <c r="P124" i="6" s="1"/>
  <c r="A124" i="6"/>
  <c r="O123" i="6"/>
  <c r="G192" i="1" s="1"/>
  <c r="N123" i="6"/>
  <c r="P123" i="6" s="1"/>
  <c r="B192" i="1" s="1"/>
  <c r="A123" i="6"/>
  <c r="O122" i="6"/>
  <c r="G191" i="1" s="1"/>
  <c r="N122" i="6"/>
  <c r="P122" i="6" s="1"/>
  <c r="B191" i="1" s="1"/>
  <c r="A122" i="6"/>
  <c r="P121" i="6"/>
  <c r="B190" i="1" s="1"/>
  <c r="O121" i="6"/>
  <c r="G190" i="1" s="1"/>
  <c r="N121" i="6"/>
  <c r="A121" i="6"/>
  <c r="O120" i="6"/>
  <c r="N120" i="6"/>
  <c r="P120" i="6" s="1"/>
  <c r="A120" i="6"/>
  <c r="O119" i="6"/>
  <c r="G188" i="1" s="1"/>
  <c r="N119" i="6"/>
  <c r="P119" i="6" s="1"/>
  <c r="B188" i="1" s="1"/>
  <c r="A119" i="6"/>
  <c r="O118" i="6"/>
  <c r="G187" i="1" s="1"/>
  <c r="N118" i="6"/>
  <c r="P118" i="6" s="1"/>
  <c r="B187" i="1" s="1"/>
  <c r="A118" i="6"/>
  <c r="O117" i="6"/>
  <c r="N117" i="6"/>
  <c r="P117" i="6" s="1"/>
  <c r="A117" i="6"/>
  <c r="O116" i="6"/>
  <c r="N116" i="6"/>
  <c r="P116" i="6" s="1"/>
  <c r="B185" i="1" s="1"/>
  <c r="A116" i="6"/>
  <c r="O115" i="6"/>
  <c r="N115" i="6"/>
  <c r="P115" i="6" s="1"/>
  <c r="A115" i="6"/>
  <c r="O114" i="6"/>
  <c r="N114" i="6"/>
  <c r="P114" i="6" s="1"/>
  <c r="B183" i="1" s="1"/>
  <c r="A114" i="6"/>
  <c r="O113" i="6"/>
  <c r="G182" i="1" s="1"/>
  <c r="N113" i="6"/>
  <c r="P113" i="6" s="1"/>
  <c r="B182" i="1" s="1"/>
  <c r="A113" i="6"/>
  <c r="O112" i="6"/>
  <c r="G181" i="1" s="1"/>
  <c r="N112" i="6"/>
  <c r="P112" i="6" s="1"/>
  <c r="A112" i="6"/>
  <c r="O111" i="6"/>
  <c r="N111" i="6"/>
  <c r="P111" i="6" s="1"/>
  <c r="A111" i="6"/>
  <c r="O110" i="6"/>
  <c r="G179" i="1" s="1"/>
  <c r="N110" i="6"/>
  <c r="A110" i="6"/>
  <c r="O109" i="6"/>
  <c r="N109" i="6"/>
  <c r="P109" i="6" s="1"/>
  <c r="B178" i="1" s="1"/>
  <c r="A109" i="6"/>
  <c r="O108" i="6"/>
  <c r="G177" i="1" s="1"/>
  <c r="N108" i="6"/>
  <c r="P108" i="6" s="1"/>
  <c r="A108" i="6"/>
  <c r="O107" i="6"/>
  <c r="G176" i="1" s="1"/>
  <c r="N107" i="6"/>
  <c r="P107" i="6" s="1"/>
  <c r="B176" i="1" s="1"/>
  <c r="A107" i="6"/>
  <c r="O106" i="6"/>
  <c r="G175" i="1" s="1"/>
  <c r="N106" i="6"/>
  <c r="P106" i="6" s="1"/>
  <c r="B175" i="1" s="1"/>
  <c r="A106" i="6"/>
  <c r="O105" i="6"/>
  <c r="N105" i="6"/>
  <c r="P105" i="6" s="1"/>
  <c r="B174" i="1" s="1"/>
  <c r="A105" i="6"/>
  <c r="O104" i="6"/>
  <c r="N104" i="6"/>
  <c r="P104" i="6" s="1"/>
  <c r="A104" i="6"/>
  <c r="O103" i="6"/>
  <c r="N103" i="6"/>
  <c r="P103" i="6" s="1"/>
  <c r="A103" i="6"/>
  <c r="O102" i="6"/>
  <c r="G171" i="1" s="1"/>
  <c r="N102" i="6"/>
  <c r="P102" i="6" s="1"/>
  <c r="B171" i="1" s="1"/>
  <c r="A102" i="6"/>
  <c r="O101" i="6"/>
  <c r="N101" i="6"/>
  <c r="P101" i="6" s="1"/>
  <c r="B170" i="1" s="1"/>
  <c r="A101" i="6"/>
  <c r="O100" i="6"/>
  <c r="N100" i="6"/>
  <c r="P100" i="6" s="1"/>
  <c r="A100" i="6"/>
  <c r="O99" i="6"/>
  <c r="G168" i="1" s="1"/>
  <c r="N99" i="6"/>
  <c r="P99" i="6" s="1"/>
  <c r="B168" i="1" s="1"/>
  <c r="A99" i="6"/>
  <c r="O98" i="6"/>
  <c r="G167" i="1" s="1"/>
  <c r="N98" i="6"/>
  <c r="P98" i="6" s="1"/>
  <c r="B167" i="1" s="1"/>
  <c r="A98" i="6"/>
  <c r="O97" i="6"/>
  <c r="N97" i="6"/>
  <c r="P97" i="6" s="1"/>
  <c r="B166" i="1" s="1"/>
  <c r="A97" i="6"/>
  <c r="O96" i="6"/>
  <c r="N96" i="6"/>
  <c r="P96" i="6" s="1"/>
  <c r="A96" i="6"/>
  <c r="O95" i="6"/>
  <c r="N95" i="6"/>
  <c r="P95" i="6" s="1"/>
  <c r="B164" i="1" s="1"/>
  <c r="A95" i="6"/>
  <c r="O94" i="6"/>
  <c r="G163" i="1" s="1"/>
  <c r="N94" i="6"/>
  <c r="A94" i="6"/>
  <c r="O93" i="6"/>
  <c r="G162" i="1" s="1"/>
  <c r="N93" i="6"/>
  <c r="P93" i="6" s="1"/>
  <c r="B162" i="1" s="1"/>
  <c r="A93" i="6"/>
  <c r="O92" i="6"/>
  <c r="N92" i="6"/>
  <c r="P92" i="6" s="1"/>
  <c r="A92" i="6"/>
  <c r="O91" i="6"/>
  <c r="N91" i="6"/>
  <c r="E160" i="1" s="1"/>
  <c r="A91" i="6"/>
  <c r="O90" i="6"/>
  <c r="G159" i="1" s="1"/>
  <c r="N90" i="6"/>
  <c r="P90" i="6" s="1"/>
  <c r="A90" i="6"/>
  <c r="O89" i="6"/>
  <c r="N89" i="6"/>
  <c r="P89" i="6" s="1"/>
  <c r="B158" i="1" s="1"/>
  <c r="A89" i="6"/>
  <c r="O88" i="6"/>
  <c r="N88" i="6"/>
  <c r="P88" i="6" s="1"/>
  <c r="A88" i="6"/>
  <c r="O87" i="6"/>
  <c r="N87" i="6"/>
  <c r="P87" i="6" s="1"/>
  <c r="B156" i="1" s="1"/>
  <c r="A87" i="6"/>
  <c r="O86" i="6"/>
  <c r="G155" i="1" s="1"/>
  <c r="N86" i="6"/>
  <c r="P86" i="6" s="1"/>
  <c r="B155" i="1" s="1"/>
  <c r="A86" i="6"/>
  <c r="O85" i="6"/>
  <c r="N85" i="6"/>
  <c r="P85" i="6" s="1"/>
  <c r="A85" i="6"/>
  <c r="O84" i="6"/>
  <c r="N84" i="6"/>
  <c r="P84" i="6" s="1"/>
  <c r="A84" i="6"/>
  <c r="O83" i="6"/>
  <c r="G152" i="1" s="1"/>
  <c r="N83" i="6"/>
  <c r="P83" i="6" s="1"/>
  <c r="B152" i="1" s="1"/>
  <c r="A83" i="6"/>
  <c r="O82" i="6"/>
  <c r="G151" i="1" s="1"/>
  <c r="N82" i="6"/>
  <c r="P82" i="6" s="1"/>
  <c r="B151" i="1" s="1"/>
  <c r="A82" i="6"/>
  <c r="O81" i="6"/>
  <c r="N81" i="6"/>
  <c r="P81" i="6" s="1"/>
  <c r="B150" i="1" s="1"/>
  <c r="A81" i="6"/>
  <c r="O80" i="6"/>
  <c r="N80" i="6"/>
  <c r="P80" i="6" s="1"/>
  <c r="A80" i="6"/>
  <c r="O79" i="6"/>
  <c r="N79" i="6"/>
  <c r="P79" i="6" s="1"/>
  <c r="B148" i="1" s="1"/>
  <c r="A79" i="6"/>
  <c r="O78" i="6"/>
  <c r="G147" i="1" s="1"/>
  <c r="N78" i="6"/>
  <c r="P78" i="6" s="1"/>
  <c r="B147" i="1" s="1"/>
  <c r="A78" i="6"/>
  <c r="O77" i="6"/>
  <c r="N77" i="6"/>
  <c r="P77" i="6" s="1"/>
  <c r="B146" i="1" s="1"/>
  <c r="A77" i="6"/>
  <c r="O76" i="6"/>
  <c r="N76" i="6"/>
  <c r="P76" i="6" s="1"/>
  <c r="B145" i="1" s="1"/>
  <c r="A76" i="6"/>
  <c r="O75" i="6"/>
  <c r="N75" i="6"/>
  <c r="P75" i="6" s="1"/>
  <c r="B144" i="1" s="1"/>
  <c r="A75" i="6"/>
  <c r="O74" i="6"/>
  <c r="G143" i="1" s="1"/>
  <c r="N74" i="6"/>
  <c r="P74" i="6" s="1"/>
  <c r="A74" i="6"/>
  <c r="O73" i="6"/>
  <c r="N73" i="6"/>
  <c r="P73" i="6" s="1"/>
  <c r="B142" i="1" s="1"/>
  <c r="A73" i="6"/>
  <c r="O72" i="6"/>
  <c r="N72" i="6"/>
  <c r="P72" i="6" s="1"/>
  <c r="B141" i="1" s="1"/>
  <c r="A72" i="6"/>
  <c r="O71" i="6"/>
  <c r="G140" i="1" s="1"/>
  <c r="N71" i="6"/>
  <c r="P71" i="6" s="1"/>
  <c r="B140" i="1" s="1"/>
  <c r="A71" i="6"/>
  <c r="O70" i="6"/>
  <c r="G139" i="1" s="1"/>
  <c r="N70" i="6"/>
  <c r="P70" i="6" s="1"/>
  <c r="B139" i="1" s="1"/>
  <c r="A70" i="6"/>
  <c r="O69" i="6"/>
  <c r="N69" i="6"/>
  <c r="P69" i="6" s="1"/>
  <c r="A69" i="6"/>
  <c r="O68" i="6"/>
  <c r="N68" i="6"/>
  <c r="P68" i="6" s="1"/>
  <c r="B137" i="1" s="1"/>
  <c r="A68" i="6"/>
  <c r="O67" i="6"/>
  <c r="G136" i="1" s="1"/>
  <c r="N67" i="6"/>
  <c r="P67" i="6" s="1"/>
  <c r="B136" i="1" s="1"/>
  <c r="A67" i="6"/>
  <c r="O66" i="6"/>
  <c r="G135" i="1" s="1"/>
  <c r="N66" i="6"/>
  <c r="P66" i="6" s="1"/>
  <c r="B135" i="1" s="1"/>
  <c r="A66" i="6"/>
  <c r="O65" i="6"/>
  <c r="N65" i="6"/>
  <c r="P65" i="6" s="1"/>
  <c r="A65" i="6"/>
  <c r="O64" i="6"/>
  <c r="G133" i="1" s="1"/>
  <c r="N64" i="6"/>
  <c r="P64" i="6" s="1"/>
  <c r="B133" i="1" s="1"/>
  <c r="A64" i="6"/>
  <c r="O63" i="6"/>
  <c r="N63" i="6"/>
  <c r="P63" i="6" s="1"/>
  <c r="B132" i="1" s="1"/>
  <c r="A63" i="6"/>
  <c r="O62" i="6"/>
  <c r="G131" i="1" s="1"/>
  <c r="N62" i="6"/>
  <c r="P62" i="6" s="1"/>
  <c r="B131" i="1" s="1"/>
  <c r="A62" i="6"/>
  <c r="O61" i="6"/>
  <c r="G130" i="1" s="1"/>
  <c r="N61" i="6"/>
  <c r="P61" i="6" s="1"/>
  <c r="B130" i="1" s="1"/>
  <c r="A61" i="6"/>
  <c r="O60" i="6"/>
  <c r="N60" i="6"/>
  <c r="P60" i="6" s="1"/>
  <c r="A60" i="6"/>
  <c r="O59" i="6"/>
  <c r="N59" i="6"/>
  <c r="E128" i="1" s="1"/>
  <c r="A59" i="6"/>
  <c r="O58" i="6"/>
  <c r="G127" i="1" s="1"/>
  <c r="N58" i="6"/>
  <c r="P58" i="6" s="1"/>
  <c r="A58" i="6"/>
  <c r="O57" i="6"/>
  <c r="N57" i="6"/>
  <c r="P57" i="6" s="1"/>
  <c r="B126" i="1" s="1"/>
  <c r="A57" i="6"/>
  <c r="O56" i="6"/>
  <c r="N56" i="6"/>
  <c r="P56" i="6" s="1"/>
  <c r="B125" i="1" s="1"/>
  <c r="A56" i="6"/>
  <c r="O55" i="6"/>
  <c r="G124" i="1" s="1"/>
  <c r="N55" i="6"/>
  <c r="P55" i="6" s="1"/>
  <c r="B124" i="1" s="1"/>
  <c r="A55" i="6"/>
  <c r="O54" i="6"/>
  <c r="G123" i="1" s="1"/>
  <c r="N54" i="6"/>
  <c r="P54" i="6" s="1"/>
  <c r="B123" i="1" s="1"/>
  <c r="A54" i="6"/>
  <c r="O53" i="6"/>
  <c r="N53" i="6"/>
  <c r="P53" i="6" s="1"/>
  <c r="A53" i="6"/>
  <c r="O52" i="6"/>
  <c r="N52" i="6"/>
  <c r="P52" i="6" s="1"/>
  <c r="B121" i="1" s="1"/>
  <c r="A52" i="6"/>
  <c r="O51" i="6"/>
  <c r="G120" i="1" s="1"/>
  <c r="N51" i="6"/>
  <c r="E120" i="1" s="1"/>
  <c r="A51" i="6"/>
  <c r="O50" i="6"/>
  <c r="G119" i="1" s="1"/>
  <c r="N50" i="6"/>
  <c r="P50" i="6" s="1"/>
  <c r="A50" i="6"/>
  <c r="O49" i="6"/>
  <c r="N49" i="6"/>
  <c r="P49" i="6" s="1"/>
  <c r="B118" i="1" s="1"/>
  <c r="A49" i="6"/>
  <c r="O48" i="6"/>
  <c r="N48" i="6"/>
  <c r="P48" i="6" s="1"/>
  <c r="A48" i="6"/>
  <c r="O47" i="6"/>
  <c r="G116" i="1" s="1"/>
  <c r="N47" i="6"/>
  <c r="P47" i="6" s="1"/>
  <c r="B116" i="1" s="1"/>
  <c r="A47" i="6"/>
  <c r="O46" i="6"/>
  <c r="G115" i="1" s="1"/>
  <c r="N46" i="6"/>
  <c r="P46" i="6" s="1"/>
  <c r="A46" i="6"/>
  <c r="O45" i="6"/>
  <c r="N45" i="6"/>
  <c r="P45" i="6" s="1"/>
  <c r="B114" i="1" s="1"/>
  <c r="A45" i="6"/>
  <c r="O44" i="6"/>
  <c r="N44" i="6"/>
  <c r="P44" i="6" s="1"/>
  <c r="A44" i="6"/>
  <c r="O43" i="6"/>
  <c r="N43" i="6"/>
  <c r="P43" i="6" s="1"/>
  <c r="B112" i="1" s="1"/>
  <c r="A43" i="6"/>
  <c r="O42" i="6"/>
  <c r="N42" i="6"/>
  <c r="P42" i="6" s="1"/>
  <c r="A42" i="6"/>
  <c r="O41" i="6"/>
  <c r="N41" i="6"/>
  <c r="P41" i="6" s="1"/>
  <c r="B110" i="1" s="1"/>
  <c r="A41" i="6"/>
  <c r="O40" i="6"/>
  <c r="G109" i="1" s="1"/>
  <c r="N40" i="6"/>
  <c r="P40" i="6" s="1"/>
  <c r="A40" i="6"/>
  <c r="O39" i="6"/>
  <c r="G108" i="1" s="1"/>
  <c r="N39" i="6"/>
  <c r="P39" i="6" s="1"/>
  <c r="B108" i="1" s="1"/>
  <c r="A39" i="6"/>
  <c r="O38" i="6"/>
  <c r="G107" i="1" s="1"/>
  <c r="N38" i="6"/>
  <c r="P38" i="6" s="1"/>
  <c r="A38" i="6"/>
  <c r="O37" i="6"/>
  <c r="N37" i="6"/>
  <c r="P37" i="6" s="1"/>
  <c r="A37" i="6"/>
  <c r="O36" i="6"/>
  <c r="G105" i="1" s="1"/>
  <c r="N36" i="6"/>
  <c r="P36" i="6" s="1"/>
  <c r="A36" i="6"/>
  <c r="O35" i="6"/>
  <c r="G104" i="1" s="1"/>
  <c r="N35" i="6"/>
  <c r="P35" i="6" s="1"/>
  <c r="B104" i="1" s="1"/>
  <c r="A35" i="6"/>
  <c r="O34" i="6"/>
  <c r="G103" i="1" s="1"/>
  <c r="N34" i="6"/>
  <c r="P34" i="6" s="1"/>
  <c r="A34" i="6"/>
  <c r="O33" i="6"/>
  <c r="N33" i="6"/>
  <c r="P33" i="6" s="1"/>
  <c r="A33" i="6"/>
  <c r="O32" i="6"/>
  <c r="G101" i="1" s="1"/>
  <c r="N32" i="6"/>
  <c r="P32" i="6" s="1"/>
  <c r="B101" i="1" s="1"/>
  <c r="A32" i="6"/>
  <c r="O31" i="6"/>
  <c r="G100" i="1" s="1"/>
  <c r="N31" i="6"/>
  <c r="P31" i="6" s="1"/>
  <c r="B100" i="1" s="1"/>
  <c r="A31" i="6"/>
  <c r="O30" i="6"/>
  <c r="G99" i="1" s="1"/>
  <c r="N30" i="6"/>
  <c r="P30" i="6" s="1"/>
  <c r="A30" i="6"/>
  <c r="P29" i="6"/>
  <c r="O29" i="6"/>
  <c r="G98" i="1" s="1"/>
  <c r="N29" i="6"/>
  <c r="A29" i="6"/>
  <c r="O28" i="6"/>
  <c r="N28" i="6"/>
  <c r="P28" i="6" s="1"/>
  <c r="B97" i="1" s="1"/>
  <c r="A28" i="6"/>
  <c r="O27" i="6"/>
  <c r="G96" i="1" s="1"/>
  <c r="N27" i="6"/>
  <c r="E96" i="1" s="1"/>
  <c r="A27" i="6"/>
  <c r="O26" i="6"/>
  <c r="N26" i="6"/>
  <c r="P26" i="6" s="1"/>
  <c r="A26" i="6"/>
  <c r="O25" i="6"/>
  <c r="N25" i="6"/>
  <c r="P25" i="6" s="1"/>
  <c r="B94" i="1" s="1"/>
  <c r="A25" i="6"/>
  <c r="O24" i="6"/>
  <c r="N24" i="6"/>
  <c r="P24" i="6" s="1"/>
  <c r="A24" i="6"/>
  <c r="O23" i="6"/>
  <c r="N23" i="6"/>
  <c r="P23" i="6" s="1"/>
  <c r="B92" i="1" s="1"/>
  <c r="A23" i="6"/>
  <c r="O22" i="6"/>
  <c r="N22" i="6"/>
  <c r="P22" i="6" s="1"/>
  <c r="B91" i="1" s="1"/>
  <c r="A22" i="6"/>
  <c r="O21" i="6"/>
  <c r="N21" i="6"/>
  <c r="P21" i="6" s="1"/>
  <c r="A21" i="6"/>
  <c r="O20" i="6"/>
  <c r="N20" i="6"/>
  <c r="P20" i="6" s="1"/>
  <c r="A20" i="6"/>
  <c r="O19" i="6"/>
  <c r="N19" i="6"/>
  <c r="P19" i="6" s="1"/>
  <c r="B88" i="1" s="1"/>
  <c r="A19" i="6"/>
  <c r="O18" i="6"/>
  <c r="G87" i="1" s="1"/>
  <c r="N18" i="6"/>
  <c r="P18" i="6" s="1"/>
  <c r="B87" i="1" s="1"/>
  <c r="A18" i="6"/>
  <c r="O17" i="6"/>
  <c r="N17" i="6"/>
  <c r="P17" i="6" s="1"/>
  <c r="A17" i="6"/>
  <c r="O16" i="6"/>
  <c r="G85" i="1" s="1"/>
  <c r="N16" i="6"/>
  <c r="P16" i="6" s="1"/>
  <c r="B85" i="1" s="1"/>
  <c r="A16" i="6"/>
  <c r="O15" i="6"/>
  <c r="G84" i="1" s="1"/>
  <c r="N15" i="6"/>
  <c r="P15" i="6" s="1"/>
  <c r="B84" i="1" s="1"/>
  <c r="A15" i="6"/>
  <c r="O14" i="6"/>
  <c r="G83" i="1" s="1"/>
  <c r="N14" i="6"/>
  <c r="P14" i="6" s="1"/>
  <c r="A14" i="6"/>
  <c r="O13" i="6"/>
  <c r="N13" i="6"/>
  <c r="P13" i="6" s="1"/>
  <c r="B82" i="1" s="1"/>
  <c r="O12" i="6"/>
  <c r="G81" i="1" s="1"/>
  <c r="N12" i="6"/>
  <c r="P12" i="6" s="1"/>
  <c r="B81" i="1" s="1"/>
  <c r="O11" i="6"/>
  <c r="G80" i="1" s="1"/>
  <c r="N11" i="6"/>
  <c r="P11" i="6" s="1"/>
  <c r="B80" i="1" s="1"/>
  <c r="O10" i="6"/>
  <c r="G79" i="1" s="1"/>
  <c r="N10" i="6"/>
  <c r="P10" i="6" s="1"/>
  <c r="B79" i="1" s="1"/>
  <c r="O9" i="6"/>
  <c r="G78" i="1" s="1"/>
  <c r="N9" i="6"/>
  <c r="E78" i="1" s="1"/>
  <c r="O8" i="6"/>
  <c r="N8" i="6"/>
  <c r="P8" i="6" s="1"/>
  <c r="B77" i="1" s="1"/>
  <c r="O7" i="6"/>
  <c r="N7" i="6"/>
  <c r="P7" i="6" s="1"/>
  <c r="B76" i="1" s="1"/>
  <c r="O6" i="6"/>
  <c r="G75" i="1" s="1"/>
  <c r="N6" i="6"/>
  <c r="P6" i="6" s="1"/>
  <c r="B75" i="1" s="1"/>
  <c r="O5" i="6"/>
  <c r="N5" i="6"/>
  <c r="P5" i="6" s="1"/>
  <c r="B74" i="1" s="1"/>
  <c r="O4" i="6"/>
  <c r="G73" i="1" s="1"/>
  <c r="N4" i="6"/>
  <c r="P4" i="6" s="1"/>
  <c r="B73" i="1" s="1"/>
  <c r="O3" i="6"/>
  <c r="N3" i="6"/>
  <c r="P3" i="6" s="1"/>
  <c r="B72" i="1" s="1"/>
  <c r="O2" i="6"/>
  <c r="N2" i="6"/>
  <c r="P2" i="6" s="1"/>
  <c r="B71" i="1" s="1"/>
  <c r="A2" i="6"/>
  <c r="M39" i="7"/>
  <c r="J39" i="7"/>
  <c r="M38" i="7"/>
  <c r="J38" i="7"/>
  <c r="F38" i="7"/>
  <c r="S37" i="7"/>
  <c r="R37" i="7"/>
  <c r="Q37" i="7"/>
  <c r="P37" i="7"/>
  <c r="O37" i="7"/>
  <c r="M37" i="7"/>
  <c r="J37" i="7"/>
  <c r="F37" i="7"/>
  <c r="F36" i="7"/>
  <c r="M35" i="7"/>
  <c r="J35" i="7"/>
  <c r="F35" i="7"/>
  <c r="M34" i="7"/>
  <c r="J34" i="7"/>
  <c r="F34" i="7"/>
  <c r="M33" i="7"/>
  <c r="J33" i="7"/>
  <c r="F33" i="7"/>
  <c r="M32" i="7"/>
  <c r="J32" i="7"/>
  <c r="F32" i="7"/>
  <c r="M31" i="7"/>
  <c r="J31" i="7"/>
  <c r="F31" i="7"/>
  <c r="M30" i="7"/>
  <c r="J30" i="7"/>
  <c r="F30" i="7"/>
  <c r="R29" i="7"/>
  <c r="Q29" i="7"/>
  <c r="P29" i="7"/>
  <c r="O29" i="7"/>
  <c r="M29" i="7"/>
  <c r="J29" i="7"/>
  <c r="F29" i="7"/>
  <c r="M28" i="7"/>
  <c r="J28" i="7"/>
  <c r="F28" i="7"/>
  <c r="M27" i="7"/>
  <c r="J27" i="7"/>
  <c r="F27" i="7"/>
  <c r="M26" i="7"/>
  <c r="J26" i="7"/>
  <c r="F26" i="7"/>
  <c r="M25" i="7"/>
  <c r="J25" i="7"/>
  <c r="F25" i="7"/>
  <c r="M24" i="7"/>
  <c r="J24" i="7"/>
  <c r="F24" i="7"/>
  <c r="M23" i="7"/>
  <c r="J23" i="7"/>
  <c r="F23" i="7"/>
  <c r="M22" i="7"/>
  <c r="J22" i="7"/>
  <c r="F22" i="7"/>
  <c r="M21" i="7"/>
  <c r="J21" i="7"/>
  <c r="F21" i="7"/>
  <c r="O20" i="7"/>
  <c r="M20" i="7"/>
  <c r="J20" i="7"/>
  <c r="F20" i="7"/>
  <c r="M19" i="7"/>
  <c r="J19" i="7"/>
  <c r="F19" i="7"/>
  <c r="M18" i="7"/>
  <c r="J18" i="7"/>
  <c r="F18" i="7"/>
  <c r="M17" i="7"/>
  <c r="J17" i="7"/>
  <c r="F17" i="7"/>
  <c r="M16" i="7"/>
  <c r="J16" i="7"/>
  <c r="F16" i="7"/>
  <c r="M15" i="7"/>
  <c r="J15" i="7"/>
  <c r="F15" i="7"/>
  <c r="M14" i="7"/>
  <c r="J14" i="7"/>
  <c r="F14" i="7"/>
  <c r="M13" i="7"/>
  <c r="J13" i="7"/>
  <c r="F13" i="7"/>
  <c r="M12" i="7"/>
  <c r="J12" i="7"/>
  <c r="F12" i="7"/>
  <c r="M11" i="7"/>
  <c r="J11" i="7"/>
  <c r="F11" i="7"/>
  <c r="M10" i="7"/>
  <c r="J10" i="7"/>
  <c r="F10" i="7"/>
  <c r="M9" i="7"/>
  <c r="J9" i="7"/>
  <c r="F9" i="7"/>
  <c r="M8" i="7"/>
  <c r="J8" i="7"/>
  <c r="F8" i="7"/>
  <c r="M7" i="7"/>
  <c r="J7" i="7"/>
  <c r="F7" i="7"/>
  <c r="M6" i="7"/>
  <c r="J6" i="7"/>
  <c r="F6" i="7"/>
  <c r="M5" i="7"/>
  <c r="J5" i="7"/>
  <c r="F5" i="7"/>
  <c r="B5" i="7"/>
  <c r="B6" i="7" s="1"/>
  <c r="B7" i="7" s="1"/>
  <c r="D520" i="1"/>
  <c r="F484" i="1"/>
  <c r="F483" i="1"/>
  <c r="F482" i="1"/>
  <c r="F481" i="1"/>
  <c r="G480" i="1"/>
  <c r="G481" i="1" s="1"/>
  <c r="G482" i="1" s="1"/>
  <c r="G483" i="1" s="1"/>
  <c r="G484" i="1" s="1"/>
  <c r="F480" i="1"/>
  <c r="F478" i="1"/>
  <c r="F477" i="1"/>
  <c r="F476" i="1"/>
  <c r="F475" i="1"/>
  <c r="G474" i="1"/>
  <c r="G475" i="1" s="1"/>
  <c r="G476" i="1" s="1"/>
  <c r="G477" i="1" s="1"/>
  <c r="G478" i="1" s="1"/>
  <c r="F474" i="1"/>
  <c r="F472" i="1"/>
  <c r="F471" i="1"/>
  <c r="F470" i="1"/>
  <c r="F469" i="1"/>
  <c r="G468" i="1"/>
  <c r="G469" i="1" s="1"/>
  <c r="G470" i="1" s="1"/>
  <c r="G471" i="1" s="1"/>
  <c r="G472" i="1" s="1"/>
  <c r="F468" i="1"/>
  <c r="F466" i="1"/>
  <c r="F465" i="1"/>
  <c r="F464" i="1"/>
  <c r="F463" i="1"/>
  <c r="G462" i="1"/>
  <c r="G463" i="1" s="1"/>
  <c r="G464" i="1" s="1"/>
  <c r="G465" i="1" s="1"/>
  <c r="G466" i="1" s="1"/>
  <c r="F462" i="1"/>
  <c r="A462" i="1"/>
  <c r="A463" i="1" s="1"/>
  <c r="A464" i="1" s="1"/>
  <c r="A465" i="1" s="1"/>
  <c r="A466" i="1" s="1"/>
  <c r="P459" i="1"/>
  <c r="H459" i="1"/>
  <c r="D459" i="1"/>
  <c r="P458" i="1"/>
  <c r="H458" i="1"/>
  <c r="P457" i="1"/>
  <c r="H457" i="1"/>
  <c r="P456" i="1"/>
  <c r="H456" i="1"/>
  <c r="P455" i="1"/>
  <c r="H455" i="1"/>
  <c r="P454" i="1"/>
  <c r="H454" i="1"/>
  <c r="P453" i="1"/>
  <c r="H453" i="1"/>
  <c r="P452" i="1"/>
  <c r="H452" i="1"/>
  <c r="P451" i="1"/>
  <c r="H451" i="1"/>
  <c r="P450" i="1"/>
  <c r="H450" i="1"/>
  <c r="P449" i="1"/>
  <c r="H449" i="1"/>
  <c r="P448" i="1"/>
  <c r="H448" i="1"/>
  <c r="P447" i="1"/>
  <c r="H447" i="1"/>
  <c r="P446" i="1"/>
  <c r="H446" i="1"/>
  <c r="P445" i="1"/>
  <c r="H445" i="1"/>
  <c r="P444" i="1"/>
  <c r="H444" i="1"/>
  <c r="P443" i="1"/>
  <c r="H443" i="1"/>
  <c r="P442" i="1"/>
  <c r="H442" i="1"/>
  <c r="P441" i="1"/>
  <c r="H441" i="1"/>
  <c r="P440" i="1"/>
  <c r="H440" i="1"/>
  <c r="P439" i="1"/>
  <c r="H439" i="1"/>
  <c r="P438" i="1"/>
  <c r="H438" i="1"/>
  <c r="P437" i="1"/>
  <c r="H437" i="1"/>
  <c r="P436" i="1"/>
  <c r="H436" i="1"/>
  <c r="P435" i="1"/>
  <c r="H435" i="1"/>
  <c r="P434" i="1"/>
  <c r="H434" i="1"/>
  <c r="P433" i="1"/>
  <c r="H433" i="1"/>
  <c r="P432" i="1"/>
  <c r="H432" i="1"/>
  <c r="P431" i="1"/>
  <c r="H431" i="1"/>
  <c r="P430" i="1"/>
  <c r="H430" i="1"/>
  <c r="P429" i="1"/>
  <c r="H429" i="1"/>
  <c r="P428" i="1"/>
  <c r="H428" i="1"/>
  <c r="P427" i="1"/>
  <c r="H427" i="1"/>
  <c r="P426" i="1"/>
  <c r="H426" i="1"/>
  <c r="P425" i="1"/>
  <c r="H425" i="1"/>
  <c r="P424" i="1"/>
  <c r="H424" i="1"/>
  <c r="P423" i="1"/>
  <c r="H423" i="1"/>
  <c r="P422" i="1"/>
  <c r="H422" i="1"/>
  <c r="P421" i="1"/>
  <c r="H421" i="1"/>
  <c r="P420" i="1"/>
  <c r="H420" i="1"/>
  <c r="P419" i="1"/>
  <c r="H419" i="1"/>
  <c r="P418" i="1"/>
  <c r="H418" i="1"/>
  <c r="P417" i="1"/>
  <c r="H417" i="1"/>
  <c r="P416" i="1"/>
  <c r="H416" i="1"/>
  <c r="P415" i="1"/>
  <c r="H415" i="1"/>
  <c r="P414" i="1"/>
  <c r="H414" i="1"/>
  <c r="P413" i="1"/>
  <c r="H413" i="1"/>
  <c r="P412" i="1"/>
  <c r="H412" i="1"/>
  <c r="P411" i="1"/>
  <c r="H411" i="1"/>
  <c r="P410" i="1"/>
  <c r="H410" i="1"/>
  <c r="P409" i="1"/>
  <c r="H409" i="1"/>
  <c r="P408" i="1"/>
  <c r="H408" i="1"/>
  <c r="P407" i="1"/>
  <c r="H407" i="1"/>
  <c r="P406" i="1"/>
  <c r="H406" i="1"/>
  <c r="P405" i="1"/>
  <c r="H405" i="1"/>
  <c r="P404" i="1"/>
  <c r="H404" i="1"/>
  <c r="P403" i="1"/>
  <c r="H403" i="1"/>
  <c r="P402" i="1"/>
  <c r="H402" i="1"/>
  <c r="P401" i="1"/>
  <c r="H401" i="1"/>
  <c r="P400" i="1"/>
  <c r="H400" i="1"/>
  <c r="P399" i="1"/>
  <c r="H399" i="1"/>
  <c r="P398" i="1"/>
  <c r="H398" i="1"/>
  <c r="P397" i="1"/>
  <c r="H397" i="1"/>
  <c r="P396" i="1"/>
  <c r="H396" i="1"/>
  <c r="P395" i="1"/>
  <c r="H395" i="1"/>
  <c r="P394" i="1"/>
  <c r="H394" i="1"/>
  <c r="P393" i="1"/>
  <c r="H393" i="1"/>
  <c r="P392" i="1"/>
  <c r="H392" i="1"/>
  <c r="P391" i="1"/>
  <c r="H391" i="1"/>
  <c r="P390" i="1"/>
  <c r="H390" i="1"/>
  <c r="P389" i="1"/>
  <c r="H389" i="1"/>
  <c r="P388" i="1"/>
  <c r="G388" i="1"/>
  <c r="F388" i="1"/>
  <c r="P387" i="1"/>
  <c r="H387" i="1"/>
  <c r="P386" i="1"/>
  <c r="H386" i="1"/>
  <c r="P385" i="1"/>
  <c r="H385" i="1"/>
  <c r="P384" i="1"/>
  <c r="H384" i="1"/>
  <c r="P383" i="1"/>
  <c r="H383" i="1"/>
  <c r="P382" i="1"/>
  <c r="H382" i="1"/>
  <c r="P381" i="1"/>
  <c r="H381" i="1"/>
  <c r="P380" i="1"/>
  <c r="H380" i="1"/>
  <c r="P379" i="1"/>
  <c r="I379" i="1"/>
  <c r="H379" i="1"/>
  <c r="P378" i="1"/>
  <c r="H378" i="1"/>
  <c r="P377" i="1"/>
  <c r="H377" i="1"/>
  <c r="P376" i="1"/>
  <c r="H376" i="1"/>
  <c r="P375" i="1"/>
  <c r="H375" i="1"/>
  <c r="P374" i="1"/>
  <c r="H374" i="1"/>
  <c r="P373" i="1"/>
  <c r="H373" i="1"/>
  <c r="P372" i="1"/>
  <c r="H372" i="1"/>
  <c r="P371" i="1"/>
  <c r="H371" i="1"/>
  <c r="P370" i="1"/>
  <c r="H370" i="1"/>
  <c r="P369" i="1"/>
  <c r="H369" i="1"/>
  <c r="P368" i="1"/>
  <c r="H368" i="1"/>
  <c r="P367" i="1"/>
  <c r="H367" i="1"/>
  <c r="P366" i="1"/>
  <c r="H366" i="1"/>
  <c r="P365" i="1"/>
  <c r="H365" i="1"/>
  <c r="P364" i="1"/>
  <c r="H364" i="1"/>
  <c r="P363" i="1"/>
  <c r="H363" i="1"/>
  <c r="P362" i="1"/>
  <c r="H362" i="1"/>
  <c r="P361" i="1"/>
  <c r="H361" i="1"/>
  <c r="P360" i="1"/>
  <c r="H360" i="1"/>
  <c r="P359" i="1"/>
  <c r="H359" i="1"/>
  <c r="P358" i="1"/>
  <c r="H358" i="1"/>
  <c r="P357" i="1"/>
  <c r="H357" i="1"/>
  <c r="P356" i="1"/>
  <c r="H356" i="1"/>
  <c r="P355" i="1"/>
  <c r="H355" i="1"/>
  <c r="P354" i="1"/>
  <c r="H354" i="1"/>
  <c r="P353" i="1"/>
  <c r="H353" i="1"/>
  <c r="P352" i="1"/>
  <c r="H352" i="1"/>
  <c r="P351" i="1"/>
  <c r="H351" i="1"/>
  <c r="P350" i="1"/>
  <c r="H350" i="1"/>
  <c r="P349" i="1"/>
  <c r="H349" i="1"/>
  <c r="P348" i="1"/>
  <c r="H348" i="1"/>
  <c r="P347" i="1"/>
  <c r="P346" i="1"/>
  <c r="P345" i="1"/>
  <c r="H345" i="1"/>
  <c r="P344" i="1"/>
  <c r="H344" i="1"/>
  <c r="P343" i="1"/>
  <c r="H343" i="1"/>
  <c r="P342" i="1"/>
  <c r="H342" i="1"/>
  <c r="P341" i="1"/>
  <c r="H341" i="1"/>
  <c r="P340" i="1"/>
  <c r="H340" i="1"/>
  <c r="P339" i="1"/>
  <c r="H339" i="1"/>
  <c r="P338" i="1"/>
  <c r="H338" i="1"/>
  <c r="P337" i="1"/>
  <c r="H337" i="1"/>
  <c r="P336" i="1"/>
  <c r="H336" i="1"/>
  <c r="P335" i="1"/>
  <c r="H335" i="1"/>
  <c r="P334" i="1"/>
  <c r="H334" i="1"/>
  <c r="P333" i="1"/>
  <c r="H333" i="1"/>
  <c r="P332" i="1"/>
  <c r="H332" i="1"/>
  <c r="P331" i="1"/>
  <c r="H331" i="1"/>
  <c r="P330" i="1"/>
  <c r="H330" i="1"/>
  <c r="P329" i="1"/>
  <c r="H329" i="1"/>
  <c r="P328" i="1"/>
  <c r="H328" i="1"/>
  <c r="P327" i="1"/>
  <c r="H327" i="1"/>
  <c r="P326" i="1"/>
  <c r="H326" i="1"/>
  <c r="P325" i="1"/>
  <c r="H325" i="1"/>
  <c r="P324" i="1"/>
  <c r="H324" i="1"/>
  <c r="P323" i="1"/>
  <c r="H323" i="1"/>
  <c r="P322" i="1"/>
  <c r="H322" i="1"/>
  <c r="P321" i="1"/>
  <c r="H321" i="1"/>
  <c r="P320" i="1"/>
  <c r="H320" i="1"/>
  <c r="P319" i="1"/>
  <c r="H319" i="1"/>
  <c r="P318" i="1"/>
  <c r="H318" i="1"/>
  <c r="P317" i="1"/>
  <c r="H317" i="1"/>
  <c r="P316" i="1"/>
  <c r="H316" i="1"/>
  <c r="P315" i="1"/>
  <c r="H315" i="1"/>
  <c r="P314" i="1"/>
  <c r="H314" i="1"/>
  <c r="P313" i="1"/>
  <c r="H313" i="1"/>
  <c r="P312" i="1"/>
  <c r="H312" i="1"/>
  <c r="P311" i="1"/>
  <c r="H311" i="1"/>
  <c r="P310" i="1"/>
  <c r="H310" i="1"/>
  <c r="P309" i="1"/>
  <c r="H309" i="1"/>
  <c r="P308" i="1"/>
  <c r="H308" i="1"/>
  <c r="P307" i="1"/>
  <c r="H307" i="1"/>
  <c r="P306" i="1"/>
  <c r="H306" i="1"/>
  <c r="P305" i="1"/>
  <c r="H305" i="1"/>
  <c r="P304" i="1"/>
  <c r="H304" i="1"/>
  <c r="P303" i="1"/>
  <c r="H303" i="1"/>
  <c r="P302" i="1"/>
  <c r="H302" i="1"/>
  <c r="P301" i="1"/>
  <c r="H301" i="1"/>
  <c r="P300" i="1"/>
  <c r="H300" i="1"/>
  <c r="P299" i="1"/>
  <c r="K299" i="1"/>
  <c r="K300" i="1" s="1"/>
  <c r="P298" i="1"/>
  <c r="H298" i="1"/>
  <c r="P297" i="1"/>
  <c r="H297" i="1"/>
  <c r="P296" i="1"/>
  <c r="H296" i="1"/>
  <c r="P295" i="1"/>
  <c r="H295" i="1"/>
  <c r="P294" i="1"/>
  <c r="H294" i="1"/>
  <c r="P293" i="1"/>
  <c r="K293" i="1"/>
  <c r="L293" i="1" s="1"/>
  <c r="J293" i="1"/>
  <c r="H293" i="1"/>
  <c r="P292" i="1"/>
  <c r="H292" i="1"/>
  <c r="P291" i="1"/>
  <c r="H291" i="1"/>
  <c r="P290" i="1"/>
  <c r="H290" i="1"/>
  <c r="P289" i="1"/>
  <c r="H289" i="1"/>
  <c r="P288" i="1"/>
  <c r="H288" i="1"/>
  <c r="P287" i="1"/>
  <c r="H287" i="1"/>
  <c r="P286" i="1"/>
  <c r="H286" i="1"/>
  <c r="P285" i="1"/>
  <c r="F285" i="1"/>
  <c r="J285" i="1" s="1"/>
  <c r="P284" i="1"/>
  <c r="H284" i="1"/>
  <c r="B284" i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J283" i="1"/>
  <c r="K283" i="1" s="1"/>
  <c r="H283" i="1"/>
  <c r="F278" i="1"/>
  <c r="F277" i="1"/>
  <c r="F276" i="1"/>
  <c r="A276" i="1"/>
  <c r="A277" i="1" s="1"/>
  <c r="A278" i="1" s="1"/>
  <c r="G275" i="1"/>
  <c r="G276" i="1" s="1"/>
  <c r="G277" i="1" s="1"/>
  <c r="G278" i="1" s="1"/>
  <c r="F275" i="1"/>
  <c r="F261" i="1"/>
  <c r="G247" i="1"/>
  <c r="G245" i="1"/>
  <c r="E245" i="1"/>
  <c r="B245" i="1"/>
  <c r="G244" i="1"/>
  <c r="G241" i="1"/>
  <c r="E241" i="1"/>
  <c r="B241" i="1"/>
  <c r="E240" i="1"/>
  <c r="G239" i="1"/>
  <c r="E239" i="1"/>
  <c r="B239" i="1"/>
  <c r="G237" i="1"/>
  <c r="E237" i="1"/>
  <c r="B237" i="1"/>
  <c r="G236" i="1"/>
  <c r="E236" i="1"/>
  <c r="B235" i="1"/>
  <c r="E233" i="1"/>
  <c r="B233" i="1"/>
  <c r="G232" i="1"/>
  <c r="G229" i="1"/>
  <c r="E229" i="1"/>
  <c r="B229" i="1"/>
  <c r="G228" i="1"/>
  <c r="E228" i="1"/>
  <c r="G225" i="1"/>
  <c r="E225" i="1"/>
  <c r="B225" i="1"/>
  <c r="E224" i="1"/>
  <c r="G223" i="1"/>
  <c r="E223" i="1"/>
  <c r="B223" i="1"/>
  <c r="G221" i="1"/>
  <c r="E221" i="1"/>
  <c r="B221" i="1"/>
  <c r="E220" i="1"/>
  <c r="E218" i="1"/>
  <c r="E217" i="1"/>
  <c r="B217" i="1"/>
  <c r="E216" i="1"/>
  <c r="E214" i="1"/>
  <c r="E213" i="1"/>
  <c r="B213" i="1"/>
  <c r="E212" i="1"/>
  <c r="B212" i="1"/>
  <c r="G211" i="1"/>
  <c r="G210" i="1"/>
  <c r="G209" i="1"/>
  <c r="E209" i="1"/>
  <c r="B209" i="1"/>
  <c r="E208" i="1"/>
  <c r="E206" i="1"/>
  <c r="E205" i="1"/>
  <c r="B205" i="1"/>
  <c r="E204" i="1"/>
  <c r="B204" i="1"/>
  <c r="G201" i="1"/>
  <c r="E201" i="1"/>
  <c r="B201" i="1"/>
  <c r="G200" i="1"/>
  <c r="G199" i="1"/>
  <c r="E197" i="1"/>
  <c r="B197" i="1"/>
  <c r="G196" i="1"/>
  <c r="E196" i="1"/>
  <c r="B196" i="1"/>
  <c r="G195" i="1"/>
  <c r="E194" i="1"/>
  <c r="G193" i="1"/>
  <c r="E193" i="1"/>
  <c r="B193" i="1"/>
  <c r="E192" i="1"/>
  <c r="E190" i="1"/>
  <c r="G189" i="1"/>
  <c r="E189" i="1"/>
  <c r="B189" i="1"/>
  <c r="E188" i="1"/>
  <c r="G186" i="1"/>
  <c r="E186" i="1"/>
  <c r="B186" i="1"/>
  <c r="G185" i="1"/>
  <c r="G184" i="1"/>
  <c r="E184" i="1"/>
  <c r="B184" i="1"/>
  <c r="G183" i="1"/>
  <c r="E182" i="1"/>
  <c r="E181" i="1"/>
  <c r="B181" i="1"/>
  <c r="G180" i="1"/>
  <c r="B180" i="1"/>
  <c r="G178" i="1"/>
  <c r="E178" i="1"/>
  <c r="E177" i="1"/>
  <c r="B177" i="1"/>
  <c r="G174" i="1"/>
  <c r="E174" i="1"/>
  <c r="G173" i="1"/>
  <c r="E173" i="1"/>
  <c r="B173" i="1"/>
  <c r="G172" i="1"/>
  <c r="E172" i="1"/>
  <c r="B172" i="1"/>
  <c r="G170" i="1"/>
  <c r="G169" i="1"/>
  <c r="E169" i="1"/>
  <c r="B169" i="1"/>
  <c r="G166" i="1"/>
  <c r="E166" i="1"/>
  <c r="G165" i="1"/>
  <c r="E165" i="1"/>
  <c r="B165" i="1"/>
  <c r="G164" i="1"/>
  <c r="E162" i="1"/>
  <c r="G161" i="1"/>
  <c r="E161" i="1"/>
  <c r="B161" i="1"/>
  <c r="G160" i="1"/>
  <c r="B159" i="1"/>
  <c r="G158" i="1"/>
  <c r="E158" i="1"/>
  <c r="G157" i="1"/>
  <c r="E157" i="1"/>
  <c r="B157" i="1"/>
  <c r="G156" i="1"/>
  <c r="G154" i="1"/>
  <c r="E154" i="1"/>
  <c r="B154" i="1"/>
  <c r="G153" i="1"/>
  <c r="E153" i="1"/>
  <c r="B153" i="1"/>
  <c r="G150" i="1"/>
  <c r="G149" i="1"/>
  <c r="E149" i="1"/>
  <c r="B149" i="1"/>
  <c r="G148" i="1"/>
  <c r="G146" i="1"/>
  <c r="E146" i="1"/>
  <c r="G145" i="1"/>
  <c r="G144" i="1"/>
  <c r="E144" i="1"/>
  <c r="B143" i="1"/>
  <c r="G142" i="1"/>
  <c r="E142" i="1"/>
  <c r="G141" i="1"/>
  <c r="G138" i="1"/>
  <c r="E138" i="1"/>
  <c r="B138" i="1"/>
  <c r="G137" i="1"/>
  <c r="E137" i="1"/>
  <c r="G134" i="1"/>
  <c r="E134" i="1"/>
  <c r="B134" i="1"/>
  <c r="G132" i="1"/>
  <c r="E132" i="1"/>
  <c r="E130" i="1"/>
  <c r="G129" i="1"/>
  <c r="B129" i="1"/>
  <c r="G128" i="1"/>
  <c r="B127" i="1"/>
  <c r="G126" i="1"/>
  <c r="E126" i="1"/>
  <c r="G125" i="1"/>
  <c r="G122" i="1"/>
  <c r="E122" i="1"/>
  <c r="B122" i="1"/>
  <c r="G121" i="1"/>
  <c r="E119" i="1"/>
  <c r="B119" i="1"/>
  <c r="G118" i="1"/>
  <c r="G117" i="1"/>
  <c r="E117" i="1"/>
  <c r="B117" i="1"/>
  <c r="E115" i="1"/>
  <c r="B115" i="1"/>
  <c r="G114" i="1"/>
  <c r="E114" i="1"/>
  <c r="G113" i="1"/>
  <c r="B113" i="1"/>
  <c r="G112" i="1"/>
  <c r="E112" i="1"/>
  <c r="G111" i="1"/>
  <c r="E111" i="1"/>
  <c r="B111" i="1"/>
  <c r="G110" i="1"/>
  <c r="E110" i="1"/>
  <c r="E109" i="1"/>
  <c r="B109" i="1"/>
  <c r="E107" i="1"/>
  <c r="B107" i="1"/>
  <c r="G106" i="1"/>
  <c r="E106" i="1"/>
  <c r="B106" i="1"/>
  <c r="B105" i="1"/>
  <c r="E103" i="1"/>
  <c r="B103" i="1"/>
  <c r="G102" i="1"/>
  <c r="E102" i="1"/>
  <c r="B102" i="1"/>
  <c r="E101" i="1"/>
  <c r="E99" i="1"/>
  <c r="B99" i="1"/>
  <c r="E98" i="1"/>
  <c r="B98" i="1"/>
  <c r="G97" i="1"/>
  <c r="G95" i="1"/>
  <c r="E95" i="1"/>
  <c r="B95" i="1"/>
  <c r="G94" i="1"/>
  <c r="E94" i="1"/>
  <c r="G93" i="1"/>
  <c r="E93" i="1"/>
  <c r="B93" i="1"/>
  <c r="G92" i="1"/>
  <c r="G91" i="1"/>
  <c r="E91" i="1"/>
  <c r="G90" i="1"/>
  <c r="E90" i="1"/>
  <c r="B90" i="1"/>
  <c r="G89" i="1"/>
  <c r="E89" i="1"/>
  <c r="B89" i="1"/>
  <c r="G88" i="1"/>
  <c r="E88" i="1"/>
  <c r="G86" i="1"/>
  <c r="B86" i="1"/>
  <c r="E83" i="1"/>
  <c r="B83" i="1"/>
  <c r="G82" i="1"/>
  <c r="E82" i="1"/>
  <c r="G77" i="1"/>
  <c r="E77" i="1"/>
  <c r="G76" i="1"/>
  <c r="E75" i="1"/>
  <c r="G74" i="1"/>
  <c r="E74" i="1"/>
  <c r="G72" i="1"/>
  <c r="E72" i="1"/>
  <c r="A72" i="1"/>
  <c r="A3" i="6" s="1"/>
  <c r="G71" i="1"/>
  <c r="E71" i="1"/>
  <c r="F68" i="1"/>
  <c r="D63" i="1"/>
  <c r="D56" i="1"/>
  <c r="G50" i="1"/>
  <c r="E42" i="1"/>
  <c r="E43" i="1" s="1"/>
  <c r="E26" i="1"/>
  <c r="E24" i="1"/>
  <c r="C14" i="1"/>
  <c r="E7" i="1"/>
  <c r="E3" i="1"/>
  <c r="A480" i="1"/>
  <c r="A474" i="1"/>
  <c r="A468" i="1"/>
  <c r="E87" i="1" l="1"/>
  <c r="E133" i="1"/>
  <c r="E127" i="1"/>
  <c r="E143" i="1"/>
  <c r="P51" i="6"/>
  <c r="B120" i="1" s="1"/>
  <c r="E124" i="1"/>
  <c r="E129" i="1"/>
  <c r="E180" i="1"/>
  <c r="E207" i="1"/>
  <c r="E230" i="1"/>
  <c r="E108" i="1"/>
  <c r="E85" i="1"/>
  <c r="E140" i="1"/>
  <c r="E79" i="1"/>
  <c r="E100" i="1"/>
  <c r="E105" i="1"/>
  <c r="E167" i="1"/>
  <c r="E203" i="1"/>
  <c r="E231" i="1"/>
  <c r="E242" i="1"/>
  <c r="E246" i="1"/>
  <c r="E156" i="1"/>
  <c r="E125" i="1"/>
  <c r="E135" i="1"/>
  <c r="E141" i="1"/>
  <c r="E152" i="1"/>
  <c r="E168" i="1"/>
  <c r="E226" i="1"/>
  <c r="E151" i="1"/>
  <c r="E80" i="1"/>
  <c r="E131" i="1"/>
  <c r="E136" i="1"/>
  <c r="E187" i="1"/>
  <c r="E232" i="1"/>
  <c r="E243" i="1"/>
  <c r="E159" i="1"/>
  <c r="E235" i="1"/>
  <c r="E116" i="1"/>
  <c r="E121" i="1"/>
  <c r="E147" i="1"/>
  <c r="E227" i="1"/>
  <c r="E234" i="1"/>
  <c r="E104" i="1"/>
  <c r="E219" i="1"/>
  <c r="E191" i="1"/>
  <c r="E92" i="1"/>
  <c r="E97" i="1"/>
  <c r="E148" i="1"/>
  <c r="E164" i="1"/>
  <c r="E183" i="1"/>
  <c r="E199" i="1"/>
  <c r="E244" i="1"/>
  <c r="E171" i="1"/>
  <c r="E198" i="1"/>
  <c r="E176" i="1"/>
  <c r="E139" i="1"/>
  <c r="G12" i="5"/>
  <c r="H285" i="1"/>
  <c r="K285" i="1" s="1"/>
  <c r="F40" i="7"/>
  <c r="E40" i="7" s="1"/>
  <c r="E113" i="1"/>
  <c r="J40" i="7"/>
  <c r="I40" i="7" s="1"/>
  <c r="E41" i="7" s="1"/>
  <c r="E388" i="1" s="1"/>
  <c r="T37" i="7"/>
  <c r="P9" i="6"/>
  <c r="B78" i="1" s="1"/>
  <c r="P27" i="6"/>
  <c r="B96" i="1" s="1"/>
  <c r="P59" i="6"/>
  <c r="B128" i="1" s="1"/>
  <c r="P91" i="6"/>
  <c r="B160" i="1" s="1"/>
  <c r="P141" i="6"/>
  <c r="B210" i="1" s="1"/>
  <c r="P153" i="6"/>
  <c r="B222" i="1" s="1"/>
  <c r="P169" i="6"/>
  <c r="B238" i="1" s="1"/>
  <c r="E73" i="1"/>
  <c r="E81" i="1"/>
  <c r="E84" i="1"/>
  <c r="E175" i="1"/>
  <c r="E76" i="1"/>
  <c r="E155" i="1"/>
  <c r="E200" i="1"/>
  <c r="E215" i="1"/>
  <c r="E170" i="1"/>
  <c r="E86" i="1"/>
  <c r="E150" i="1"/>
  <c r="E185" i="1"/>
  <c r="E123" i="1"/>
  <c r="S29" i="7"/>
  <c r="E118" i="1"/>
  <c r="E145" i="1"/>
  <c r="E247" i="1"/>
  <c r="P126" i="6"/>
  <c r="B195" i="1" s="1"/>
  <c r="E195" i="1"/>
  <c r="P94" i="6"/>
  <c r="B163" i="1" s="1"/>
  <c r="E163" i="1"/>
  <c r="A73" i="1"/>
  <c r="P142" i="6"/>
  <c r="B211" i="1" s="1"/>
  <c r="E211" i="1"/>
  <c r="M40" i="7"/>
  <c r="L40" i="7" s="1"/>
  <c r="P110" i="6"/>
  <c r="B179" i="1" s="1"/>
  <c r="E179" i="1"/>
  <c r="E202" i="1"/>
  <c r="P133" i="6"/>
  <c r="B202" i="1" s="1"/>
  <c r="A469" i="1"/>
  <c r="A481" i="1"/>
  <c r="A475" i="1"/>
  <c r="H388" i="1" l="1"/>
  <c r="G269" i="1"/>
  <c r="A74" i="1"/>
  <c r="A4" i="6"/>
  <c r="A470" i="1"/>
  <c r="A476" i="1"/>
  <c r="A482" i="1"/>
  <c r="A5" i="6" l="1"/>
  <c r="A75" i="1"/>
  <c r="A483" i="1"/>
  <c r="A477" i="1"/>
  <c r="A471" i="1"/>
  <c r="A6" i="6" l="1"/>
  <c r="A76" i="1"/>
  <c r="A484" i="1"/>
  <c r="A472" i="1"/>
  <c r="A478" i="1"/>
  <c r="A7" i="6" l="1"/>
  <c r="A77" i="1"/>
  <c r="A8" i="6" l="1"/>
  <c r="A78" i="1"/>
  <c r="A9" i="6" l="1"/>
  <c r="A79" i="1"/>
  <c r="A80" i="1" l="1"/>
  <c r="A10" i="6"/>
  <c r="A11" i="6" l="1"/>
  <c r="A81" i="1"/>
  <c r="A12" i="6" l="1"/>
  <c r="A82" i="1"/>
  <c r="A13" i="6" s="1"/>
</calcChain>
</file>

<file path=xl/sharedStrings.xml><?xml version="1.0" encoding="utf-8"?>
<sst xmlns="http://schemas.openxmlformats.org/spreadsheetml/2006/main" count="882" uniqueCount="279">
  <si>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</si>
  <si>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</si>
  <si>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</si>
  <si>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</si>
  <si>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</si>
  <si>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</si>
  <si>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</si>
  <si>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</si>
  <si>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</si>
  <si>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</si>
  <si>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</si>
  <si>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</si>
  <si>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</si>
  <si>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</si>
  <si>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</si>
  <si>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</si>
  <si>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</si>
  <si>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</si>
  <si>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</si>
  <si>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</si>
  <si>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</si>
  <si>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</si>
  <si>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</si>
  <si>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</si>
  <si>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</si>
  <si>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</si>
  <si>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</si>
  <si>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</si>
  <si>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</si>
  <si>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</si>
  <si>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</si>
  <si>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</si>
  <si>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</si>
  <si>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</si>
  <si>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</si>
  <si>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</si>
  <si>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</si>
  <si>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</si>
  <si>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</si>
  <si>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</si>
  <si>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 xml:space="preserve">Approval Detail : Plan approval </t>
  </si>
  <si>
    <t xml:space="preserve">Layout Approval No    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</si>
  <si>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</si>
  <si>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</si>
  <si>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</si>
  <si>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</si>
  <si>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</si>
  <si>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</si>
  <si>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</si>
  <si>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</si>
  <si>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</si>
  <si>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</si>
  <si>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</si>
  <si>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</si>
  <si>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</si>
  <si>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</si>
  <si>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</si>
  <si>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</si>
  <si>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</si>
  <si>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</si>
  <si>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</si>
  <si>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</si>
  <si>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</si>
  <si>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</si>
  <si>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</si>
  <si>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</si>
  <si>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Residential Area Details :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</si>
  <si>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</si>
  <si>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</si>
  <si>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</si>
  <si>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</si>
  <si>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</si>
  <si>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</si>
  <si>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</si>
  <si>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</si>
  <si>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Type of Structure</t>
  </si>
  <si>
    <t>RCC Frame Structure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</si>
  <si>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</si>
  <si>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</si>
  <si>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</si>
  <si>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</si>
  <si>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</si>
  <si>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</si>
  <si>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</si>
  <si>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</si>
  <si>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</si>
  <si>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</si>
  <si>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</si>
  <si>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</si>
  <si>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</si>
  <si>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</si>
  <si>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</si>
  <si>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</si>
  <si>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</si>
  <si>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</si>
  <si>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</si>
  <si>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</si>
  <si>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</si>
  <si>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</si>
  <si>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</si>
  <si>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</si>
  <si>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</si>
  <si>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</si>
  <si>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</si>
  <si>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</si>
  <si>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</si>
  <si>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</si>
  <si>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</si>
  <si>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</si>
  <si>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</si>
  <si>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</si>
  <si>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</si>
  <si>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Valid Upto 
Date</t>
  </si>
  <si>
    <t>Nearby Landmark</t>
  </si>
  <si>
    <t>We have considered rate by verifying it from market inquire.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</si>
  <si>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</si>
  <si>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</si>
  <si>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</si>
  <si>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Possession</t>
  </si>
  <si>
    <t>Internal Plaster</t>
  </si>
  <si>
    <t>2nd to 5th Floor</t>
  </si>
  <si>
    <t>2nd &amp; 5th Floor</t>
  </si>
  <si>
    <t>A Wing = G + 1st to 20th Floor</t>
  </si>
  <si>
    <t>B Wing = G + 1st to 20th Floor</t>
  </si>
  <si>
    <t>C Wing = G + 1st to 20th Floor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</si>
  <si>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</si>
  <si>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</si>
  <si>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</si>
  <si>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</si>
  <si>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</si>
  <si>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Only For MCGM &amp; MHADA or SRA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</si>
  <si>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</si>
  <si>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</si>
  <si>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</si>
  <si>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 Wing = G + 1st to 20th Floor
B Wing = G + 1st to 20th Floor
C Wing = G + 1st to 20th Floor</t>
  </si>
  <si>
    <t>Attached Loft area</t>
  </si>
  <si>
    <t xml:space="preserve">Recommended Rates of the Property : </t>
  </si>
  <si>
    <t>Floor Rise Rate</t>
  </si>
  <si>
    <t>Recommended rate of the Office Per Sq. Ft.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</si>
  <si>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</si>
  <si>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</si>
  <si>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</si>
  <si>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</si>
  <si>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</si>
  <si>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</si>
  <si>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 xml:space="preserve">1. Vitrified tiles flooring 2. Granite Kitchen Platform 3. Decorative
Enternace etc.
</t>
  </si>
  <si>
    <t>Axis Goregaon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</si>
  <si>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</si>
  <si>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Macrotech Developers Limited</t>
  </si>
  <si>
    <t>Lodha Villa Royale Palava</t>
  </si>
  <si>
    <t>P51700047245</t>
  </si>
  <si>
    <t>Survey No</t>
  </si>
  <si>
    <t>Internal Road</t>
  </si>
  <si>
    <t>Thane</t>
  </si>
  <si>
    <t>Ambernath</t>
  </si>
  <si>
    <t>Lodha Casa</t>
  </si>
  <si>
    <t>Open Plot</t>
  </si>
  <si>
    <t>Directorate of Town Planning and Pricing</t>
  </si>
  <si>
    <t>Ekatmik Nagarvasahat/ Mouje Antarli, Khoni, Hedutane, Kole, Gharivali, Katai &amp; Mangaon, Taluka-Kalyan &amp; Mouje-Umbroli, Taluka-Ambernath SSTN/2959</t>
  </si>
  <si>
    <t>As per RERA - 30/09/2025</t>
  </si>
  <si>
    <t>Plots</t>
  </si>
  <si>
    <t>600W</t>
  </si>
  <si>
    <t>450C</t>
  </si>
  <si>
    <t>350W</t>
  </si>
  <si>
    <t>450B</t>
  </si>
  <si>
    <t>350E</t>
  </si>
  <si>
    <t>250E</t>
  </si>
  <si>
    <t>450D</t>
  </si>
  <si>
    <t>600E</t>
  </si>
  <si>
    <t>250W</t>
  </si>
  <si>
    <r>
      <t xml:space="preserve">Plot No
</t>
    </r>
    <r>
      <rPr>
        <b/>
        <sz val="11"/>
        <color indexed="8"/>
        <rFont val="Times New Roman"/>
        <family val="1"/>
      </rPr>
      <t>(Approved Plan)</t>
    </r>
  </si>
  <si>
    <t>450A</t>
  </si>
  <si>
    <t>Antarli, Khoni &amp; etc</t>
  </si>
  <si>
    <t>Total Plot Area (Sq.ft)</t>
  </si>
  <si>
    <t>Total Plot Area (Sq.mt)</t>
  </si>
  <si>
    <t>No. of Plot</t>
  </si>
  <si>
    <t xml:space="preserve">Commencement-CC No
Valid Up to: </t>
  </si>
  <si>
    <t>Ekatmik Nagarvasahat/ Mouje Antarli, Khoni &amp; etc/ Sector- D, E, F, I1, I2, O &amp; P /SSTN/2959
Sector D = Row Houses (G +1st Floor)
Ht.7.90m</t>
  </si>
  <si>
    <t>Total number of Plots</t>
  </si>
  <si>
    <t>Residential</t>
  </si>
  <si>
    <t>Plot</t>
  </si>
  <si>
    <t>Sr No.
(Approved Plan)</t>
  </si>
  <si>
    <t>19/2/A, 19/2B, 19/3 &amp; Others, Sector D</t>
  </si>
  <si>
    <t>Palava Township</t>
  </si>
  <si>
    <t>Latitude &amp; Longitude</t>
  </si>
  <si>
    <t>6400 to 7000</t>
  </si>
  <si>
    <t>rushikesh</t>
  </si>
  <si>
    <t>Built Up Area</t>
  </si>
  <si>
    <t>Terrace Area</t>
  </si>
  <si>
    <t>Plots (Gr + 1st Floor)</t>
  </si>
  <si>
    <t>Recommended rate of the Construction Per Sq. Ft. (On Builtup Area)</t>
  </si>
  <si>
    <t>Saleable Area Loading :</t>
  </si>
  <si>
    <t>Carpet Area 
(In Sq.ft)</t>
  </si>
  <si>
    <t>Plot No./Villa No.</t>
  </si>
  <si>
    <t>Approved &amp; C.C Updated date</t>
  </si>
  <si>
    <t>Plot No.3 = Villa No. 3</t>
  </si>
  <si>
    <t>Plot no</t>
  </si>
  <si>
    <t>RCC</t>
  </si>
  <si>
    <t>Brick work</t>
  </si>
  <si>
    <t>Ext. Plaster</t>
  </si>
  <si>
    <t>Flooring</t>
  </si>
  <si>
    <t>Painting</t>
  </si>
  <si>
    <t>Finishing</t>
  </si>
  <si>
    <t>G + 1</t>
  </si>
  <si>
    <t>Structure</t>
  </si>
  <si>
    <t>Plot No.</t>
  </si>
  <si>
    <t>Stage of construction</t>
  </si>
  <si>
    <t>Construction Details :</t>
  </si>
  <si>
    <t>Plot Area
(In Sq.ft)</t>
  </si>
  <si>
    <t>=</t>
  </si>
  <si>
    <t>Approved Plans &amp; CC.</t>
  </si>
  <si>
    <t>19.162756,73.112272</t>
  </si>
  <si>
    <t>https://maps.app.goo.gl/MYkmNeqodGcXHQjW9</t>
  </si>
  <si>
    <t>30.00 M. Wide Road</t>
  </si>
  <si>
    <t>Other Plot</t>
  </si>
  <si>
    <t>10.00KM from Dombivali Railway Station</t>
  </si>
  <si>
    <t>Dombivali East</t>
  </si>
  <si>
    <t>Mr. Rajendra Giri 9820248856</t>
  </si>
  <si>
    <t>At the time of visit Plot No. 3 Demarcation has completed.</t>
  </si>
  <si>
    <t>We considered Gross carpet area = Net carpet + Balcony.</t>
  </si>
  <si>
    <t>Visit Date</t>
  </si>
  <si>
    <t>Updated</t>
  </si>
  <si>
    <t>-</t>
  </si>
  <si>
    <t>Plot No. 19, 136, 166 &amp; 183</t>
  </si>
  <si>
    <t>Plot No. 114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</si>
  <si>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</si>
  <si>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</si>
  <si>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</si>
  <si>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</si>
  <si>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</si>
  <si>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</si>
  <si>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</si>
  <si>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</si>
  <si>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A</t>
  </si>
  <si>
    <t>Living</t>
  </si>
  <si>
    <t>Planter</t>
  </si>
  <si>
    <t>Utility Pass</t>
  </si>
  <si>
    <t>Kitchen</t>
  </si>
  <si>
    <t>Bed1</t>
  </si>
  <si>
    <t>Balcony</t>
  </si>
  <si>
    <t>Bed2</t>
  </si>
  <si>
    <t>CB</t>
  </si>
  <si>
    <t>FB</t>
  </si>
  <si>
    <t>Bed3 Pass</t>
  </si>
  <si>
    <t>Bed4</t>
  </si>
  <si>
    <t>BED4</t>
  </si>
  <si>
    <t>Family Room</t>
  </si>
  <si>
    <t>Toilet</t>
  </si>
  <si>
    <t>Main Balcony</t>
  </si>
  <si>
    <t>Pantry</t>
  </si>
  <si>
    <t>Maid room</t>
  </si>
  <si>
    <t>Fover</t>
  </si>
  <si>
    <t>BT</t>
  </si>
  <si>
    <t xml:space="preserve">Bed3 </t>
  </si>
  <si>
    <t>RH350 E     plan dtd 15/12/2022  plot no 114</t>
  </si>
  <si>
    <t>Plot No.70 = Villa No. 70</t>
  </si>
  <si>
    <t>Plot No.64 = Villa No. 64</t>
  </si>
  <si>
    <t>Ekatmik Nagarvasahat/ Mouje Antarli, Khoni, Hedutane, Kole, Gharivali, Katai &amp; Mangaon, Taluka-Kalyan &amp; Mouje-Umbroli, Taluka-Ambernath SSTN/5051</t>
  </si>
  <si>
    <t>Ekatmik Nagarvasahat/ Mouje Antarli, Khoni &amp; etc/ Sector- D, E, F, I1, I2, O &amp; P /SSTN/5059
Sector D = Row Houses (176) = G +1st Floor Ht.7.90m</t>
  </si>
  <si>
    <t xml:space="preserve">We have updated revised C.C (on 28/10/2024).
</t>
  </si>
  <si>
    <t>RH_250EN</t>
  </si>
  <si>
    <t>Plot No. 18 = Villa No. 18</t>
  </si>
  <si>
    <t>We have Updated Area of Plot No. 3, 114, 18 &amp; 64</t>
  </si>
  <si>
    <t>Plot Type /Building Type</t>
  </si>
  <si>
    <t>Plot No. 108 = Villa No. 108</t>
  </si>
  <si>
    <t xml:space="preserve">Details of Plots   </t>
  </si>
  <si>
    <t>On Plot Area</t>
  </si>
  <si>
    <t>Recommended rate of the Plot Per Sq. Ft.</t>
  </si>
  <si>
    <t>We considered Plot area as per Approved Plan.</t>
  </si>
  <si>
    <t xml:space="preserve">We have updated revised Layout approved plan (On 19/02/2025).
</t>
  </si>
  <si>
    <t xml:space="preserve">We have observed that Number of plot counts has been decreased with respect earlier layout plan.
As per approved layout plan dated 15/12/2022 Total No. of Plots were 177.
But as per revised approved layout plan dated 23/05/2023 Total No. of Plots are 176 (i.e. Plot No. 186 is eliminated).
</t>
  </si>
  <si>
    <t xml:space="preserve">Approved Floor plan No.
Plot No.3 &amp; 114  </t>
  </si>
  <si>
    <t>Approved Floor plan No.
Plot No. 64 &amp; 18</t>
  </si>
  <si>
    <t>176 Plots</t>
  </si>
  <si>
    <t>Plots - 176</t>
  </si>
  <si>
    <t>Mr. Abhishek 8976820721</t>
  </si>
  <si>
    <t>Pooja</t>
  </si>
  <si>
    <t>Krishna Kambali</t>
  </si>
  <si>
    <r>
      <t>Plot demarcation in process.
Plot No. 3, 19, 136 &amp; 183 demarcation is done.
Plot No. 3 = All work completed. Provide OC.
Plot No. 17 = Work is same as last visit (10/12/2024).
Plot No. 18 = Work has recently resumed.
Plot No.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rFont val="Times New Roman"/>
        <family val="1"/>
      </rPr>
      <t>64, 70, 114, 136 = Work is same as last visit (11/07/2025).
Plot No. 108 = Finishing work is in process.
Plot No. 166 = Work is same as last visit (02/05/2024).
Plot No. 18 &amp; 17 = Construction work is in process.
Plot No. 108 = Construction work is in process.
Internal visit was not allowed. Plot were not identified as there was no one available to provide details on site.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</si>
</sst>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55">
    <xf numFmtId="0" fontId="0" fillId="0" borderId="0" xfId="0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19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8" xfId="8" applyFont="1" applyFill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0" fontId="8" fillId="0" borderId="0" xfId="1" applyFont="1"/>
    <xf numFmtId="0" fontId="16" fillId="0" borderId="0" xfId="1" applyFont="1"/>
    <xf numFmtId="0" fontId="13" fillId="0" borderId="0" xfId="1" applyFont="1"/>
    <xf numFmtId="1" fontId="8" fillId="0" borderId="0" xfId="1" applyNumberFormat="1" applyFont="1"/>
    <xf numFmtId="14" fontId="8" fillId="0" borderId="0" xfId="1" applyNumberFormat="1" applyFont="1"/>
    <xf numFmtId="0" fontId="8" fillId="0" borderId="0" xfId="1" applyFont="1" applyProtection="1">
      <protection hidden="1"/>
    </xf>
    <xf numFmtId="0" fontId="23" fillId="0" borderId="0" xfId="1" applyFont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8" fillId="0" borderId="2" xfId="1" applyFont="1" applyBorder="1"/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vertical="center" wrapText="1"/>
      <protection locked="0"/>
    </xf>
    <xf numFmtId="1" fontId="9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6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9" fontId="8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9" fontId="26" fillId="0" borderId="1" xfId="0" applyNumberFormat="1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9" fontId="26" fillId="0" borderId="5" xfId="0" applyNumberFormat="1" applyFont="1" applyBorder="1" applyAlignment="1">
      <alignment horizontal="center"/>
    </xf>
    <xf numFmtId="0" fontId="8" fillId="0" borderId="0" xfId="1" applyFont="1" applyBorder="1"/>
    <xf numFmtId="0" fontId="27" fillId="0" borderId="0" xfId="0" applyFont="1"/>
    <xf numFmtId="0" fontId="28" fillId="0" borderId="0" xfId="0" applyFont="1"/>
    <xf numFmtId="9" fontId="26" fillId="0" borderId="8" xfId="0" applyNumberFormat="1" applyFont="1" applyBorder="1" applyAlignment="1">
      <alignment horizontal="center"/>
    </xf>
    <xf numFmtId="0" fontId="26" fillId="0" borderId="17" xfId="0" applyFont="1" applyBorder="1" applyAlignment="1"/>
    <xf numFmtId="0" fontId="26" fillId="0" borderId="4" xfId="0" applyFont="1" applyBorder="1" applyAlignment="1"/>
    <xf numFmtId="0" fontId="26" fillId="0" borderId="22" xfId="0" applyFont="1" applyBorder="1" applyAlignment="1"/>
    <xf numFmtId="0" fontId="25" fillId="0" borderId="2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/>
    <xf numFmtId="9" fontId="26" fillId="0" borderId="24" xfId="0" applyNumberFormat="1" applyFont="1" applyBorder="1" applyAlignment="1">
      <alignment horizontal="center"/>
    </xf>
    <xf numFmtId="1" fontId="7" fillId="0" borderId="6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1" xfId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1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26" fillId="0" borderId="21" xfId="0" applyNumberFormat="1" applyFont="1" applyBorder="1" applyAlignment="1">
      <alignment horizontal="center"/>
    </xf>
    <xf numFmtId="1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/>
    <xf numFmtId="0" fontId="0" fillId="0" borderId="2" xfId="0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5" borderId="1" xfId="0" applyFill="1" applyBorder="1"/>
    <xf numFmtId="0" fontId="0" fillId="0" borderId="1" xfId="0" applyBorder="1"/>
    <xf numFmtId="0" fontId="0" fillId="4" borderId="6" xfId="0" applyFill="1" applyBorder="1"/>
    <xf numFmtId="0" fontId="31" fillId="0" borderId="1" xfId="0" applyFont="1" applyBorder="1"/>
    <xf numFmtId="0" fontId="30" fillId="0" borderId="1" xfId="0" applyFont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5" borderId="0" xfId="0" applyFill="1"/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26" fillId="4" borderId="21" xfId="0" applyNumberFormat="1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9" fontId="26" fillId="4" borderId="8" xfId="0" applyNumberFormat="1" applyFont="1" applyFill="1" applyBorder="1" applyAlignment="1">
      <alignment horizontal="center"/>
    </xf>
    <xf numFmtId="9" fontId="26" fillId="4" borderId="1" xfId="0" applyNumberFormat="1" applyFont="1" applyFill="1" applyBorder="1" applyAlignment="1">
      <alignment horizontal="center"/>
    </xf>
    <xf numFmtId="0" fontId="26" fillId="4" borderId="4" xfId="0" applyFont="1" applyFill="1" applyBorder="1" applyAlignment="1"/>
    <xf numFmtId="0" fontId="26" fillId="4" borderId="0" xfId="0" applyFont="1" applyFill="1" applyBorder="1" applyAlignment="1"/>
    <xf numFmtId="0" fontId="0" fillId="4" borderId="0" xfId="0" applyFill="1" applyAlignment="1">
      <alignment horizont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1" fontId="13" fillId="0" borderId="6" xfId="1" applyNumberFormat="1" applyFont="1" applyBorder="1" applyAlignment="1" applyProtection="1">
      <alignment horizontal="center" vertical="center" wrapText="1"/>
      <protection locked="0"/>
    </xf>
    <xf numFmtId="2" fontId="13" fillId="0" borderId="1" xfId="1" applyNumberFormat="1" applyFont="1" applyBorder="1" applyAlignment="1">
      <alignment horizontal="center" vertical="center"/>
    </xf>
    <xf numFmtId="1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vertical="center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6" xfId="0" applyNumberFormat="1" applyFont="1" applyBorder="1" applyAlignment="1" applyProtection="1">
      <alignment vertical="top" wrapText="1"/>
      <protection locked="0"/>
    </xf>
    <xf numFmtId="1" fontId="9" fillId="0" borderId="13" xfId="0" applyNumberFormat="1" applyFont="1" applyBorder="1" applyAlignment="1" applyProtection="1">
      <alignment vertical="top" wrapText="1"/>
      <protection locked="0"/>
    </xf>
    <xf numFmtId="1" fontId="9" fillId="0" borderId="7" xfId="0" applyNumberFormat="1" applyFont="1" applyBorder="1" applyAlignment="1" applyProtection="1">
      <alignment vertical="top" wrapText="1"/>
      <protection locked="0"/>
    </xf>
    <xf numFmtId="14" fontId="7" fillId="0" borderId="6" xfId="0" applyNumberFormat="1" applyFont="1" applyBorder="1" applyAlignment="1" applyProtection="1">
      <alignment horizontal="center" vertical="top" wrapText="1"/>
      <protection locked="0"/>
    </xf>
    <xf numFmtId="14" fontId="7" fillId="0" borderId="7" xfId="0" applyNumberFormat="1" applyFont="1" applyBorder="1" applyAlignment="1" applyProtection="1">
      <alignment horizontal="center" vertical="top" wrapText="1"/>
      <protection locked="0"/>
    </xf>
    <xf numFmtId="14" fontId="7" fillId="0" borderId="1" xfId="0" applyNumberFormat="1" applyFont="1" applyBorder="1" applyAlignment="1" applyProtection="1">
      <alignment horizontal="center" vertical="top" wrapText="1"/>
      <protection locked="0"/>
    </xf>
    <xf numFmtId="14" fontId="7" fillId="0" borderId="6" xfId="0" applyNumberFormat="1" applyFont="1" applyFill="1" applyBorder="1" applyAlignment="1" applyProtection="1">
      <alignment horizontal="center" vertical="top" wrapText="1"/>
      <protection locked="0"/>
    </xf>
    <xf numFmtId="14" fontId="7" fillId="0" borderId="7" xfId="0" applyNumberFormat="1" applyFont="1" applyFill="1" applyBorder="1" applyAlignment="1" applyProtection="1">
      <alignment horizontal="center" vertical="top" wrapText="1"/>
      <protection locked="0"/>
    </xf>
    <xf numFmtId="1" fontId="9" fillId="0" borderId="6" xfId="0" applyNumberFormat="1" applyFont="1" applyBorder="1" applyAlignment="1" applyProtection="1">
      <alignment horizontal="center" vertical="top" wrapText="1"/>
      <protection locked="0"/>
    </xf>
    <xf numFmtId="1" fontId="9" fillId="0" borderId="7" xfId="0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vertical="top" wrapText="1"/>
      <protection locked="0"/>
    </xf>
    <xf numFmtId="0" fontId="15" fillId="0" borderId="6" xfId="1" applyFont="1" applyBorder="1" applyAlignment="1" applyProtection="1">
      <alignment horizontal="center" vertical="top" wrapText="1"/>
      <protection locked="0"/>
    </xf>
    <xf numFmtId="0" fontId="15" fillId="0" borderId="13" xfId="1" applyFont="1" applyBorder="1" applyAlignment="1" applyProtection="1">
      <alignment horizontal="center" vertical="top" wrapText="1"/>
      <protection locked="0"/>
    </xf>
    <xf numFmtId="0" fontId="15" fillId="0" borderId="7" xfId="1" applyFont="1" applyBorder="1" applyAlignment="1" applyProtection="1">
      <alignment horizontal="center" vertical="top" wrapText="1"/>
      <protection locked="0"/>
    </xf>
    <xf numFmtId="9" fontId="15" fillId="0" borderId="6" xfId="1" applyNumberFormat="1" applyFont="1" applyBorder="1" applyAlignment="1" applyProtection="1">
      <alignment horizontal="center" vertical="center"/>
      <protection locked="0"/>
    </xf>
    <xf numFmtId="9" fontId="15" fillId="0" borderId="7" xfId="1" applyNumberFormat="1" applyFont="1" applyBorder="1" applyAlignment="1" applyProtection="1">
      <alignment horizontal="center" vertical="center"/>
      <protection locked="0"/>
    </xf>
    <xf numFmtId="9" fontId="15" fillId="0" borderId="23" xfId="1" applyNumberFormat="1" applyFont="1" applyBorder="1" applyAlignment="1" applyProtection="1">
      <alignment horizontal="center" vertical="center"/>
      <protection locked="0"/>
    </xf>
    <xf numFmtId="1" fontId="7" fillId="0" borderId="6" xfId="1" applyNumberFormat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8" xfId="1" applyNumberFormat="1" applyFont="1" applyBorder="1" applyAlignment="1" applyProtection="1">
      <alignment horizontal="center" vertical="top" wrapText="1"/>
      <protection locked="0"/>
    </xf>
    <xf numFmtId="0" fontId="15" fillId="0" borderId="6" xfId="1" applyFont="1" applyFill="1" applyBorder="1" applyAlignment="1" applyProtection="1">
      <alignment horizontal="center" vertical="top" wrapText="1"/>
      <protection locked="0"/>
    </xf>
    <xf numFmtId="0" fontId="15" fillId="0" borderId="13" xfId="1" applyFont="1" applyFill="1" applyBorder="1" applyAlignment="1" applyProtection="1">
      <alignment horizontal="center" vertical="top" wrapText="1"/>
      <protection locked="0"/>
    </xf>
    <xf numFmtId="0" fontId="15" fillId="0" borderId="7" xfId="1" applyFont="1" applyFill="1" applyBorder="1" applyAlignment="1" applyProtection="1">
      <alignment horizontal="center" vertical="top" wrapText="1"/>
      <protection locked="0"/>
    </xf>
    <xf numFmtId="9" fontId="15" fillId="0" borderId="6" xfId="1" applyNumberFormat="1" applyFont="1" applyFill="1" applyBorder="1" applyAlignment="1" applyProtection="1">
      <alignment horizontal="center" vertical="center"/>
      <protection locked="0"/>
    </xf>
    <xf numFmtId="9" fontId="15" fillId="0" borderId="7" xfId="1" applyNumberFormat="1" applyFont="1" applyFill="1" applyBorder="1" applyAlignment="1" applyProtection="1">
      <alignment horizontal="center" vertical="center"/>
      <protection locked="0"/>
    </xf>
    <xf numFmtId="9" fontId="15" fillId="0" borderId="23" xfId="1" applyNumberFormat="1" applyFont="1" applyFill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24" fillId="0" borderId="1" xfId="10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14" fillId="0" borderId="6" xfId="1" applyFont="1" applyBorder="1" applyAlignment="1" applyProtection="1">
      <alignment horizontal="left" vertical="top"/>
      <protection locked="0"/>
    </xf>
    <xf numFmtId="0" fontId="14" fillId="0" borderId="13" xfId="1" applyFont="1" applyBorder="1" applyAlignment="1" applyProtection="1">
      <alignment horizontal="left" vertical="top"/>
      <protection locked="0"/>
    </xf>
    <xf numFmtId="0" fontId="14" fillId="0" borderId="7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9" fillId="0" borderId="8" xfId="1" applyFont="1" applyBorder="1" applyAlignment="1" applyProtection="1">
      <alignment horizontal="left" vertical="top"/>
      <protection locked="0"/>
    </xf>
    <xf numFmtId="0" fontId="9" fillId="0" borderId="8" xfId="1" applyFont="1" applyBorder="1" applyAlignment="1" applyProtection="1">
      <alignment horizontal="center" vertical="top"/>
      <protection locked="0"/>
    </xf>
    <xf numFmtId="0" fontId="8" fillId="0" borderId="0" xfId="1" applyFont="1" applyAlignment="1">
      <alignment horizontal="center" vertical="center"/>
    </xf>
    <xf numFmtId="1" fontId="9" fillId="0" borderId="6" xfId="1" applyNumberFormat="1" applyFont="1" applyBorder="1" applyAlignment="1" applyProtection="1">
      <alignment horizontal="center" vertical="center" wrapText="1"/>
      <protection locked="0"/>
    </xf>
    <xf numFmtId="1" fontId="9" fillId="0" borderId="13" xfId="1" applyNumberFormat="1" applyFont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top" wrapText="1"/>
      <protection locked="0"/>
    </xf>
    <xf numFmtId="1" fontId="9" fillId="0" borderId="11" xfId="1" applyNumberFormat="1" applyFont="1" applyBorder="1" applyAlignment="1" applyProtection="1">
      <alignment horizontal="center" vertical="top" wrapText="1"/>
      <protection locked="0"/>
    </xf>
    <xf numFmtId="1" fontId="7" fillId="0" borderId="13" xfId="1" applyNumberFormat="1" applyFont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16" fillId="0" borderId="3" xfId="1" applyFont="1" applyBorder="1" applyAlignment="1" applyProtection="1">
      <alignment horizontal="left" vertical="top" wrapText="1"/>
      <protection locked="0"/>
    </xf>
    <xf numFmtId="0" fontId="16" fillId="0" borderId="3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14" fontId="7" fillId="0" borderId="6" xfId="1" applyNumberFormat="1" applyFont="1" applyBorder="1" applyAlignment="1" applyProtection="1">
      <alignment horizontal="left" vertical="top" wrapText="1"/>
      <protection locked="0"/>
    </xf>
    <xf numFmtId="14" fontId="7" fillId="0" borderId="7" xfId="1" applyNumberFormat="1" applyFont="1" applyBorder="1" applyAlignment="1" applyProtection="1">
      <alignment horizontal="left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8" xfId="1" applyNumberFormat="1" applyFont="1" applyBorder="1" applyAlignment="1" applyProtection="1">
      <alignment horizontal="center" vertical="top" wrapText="1"/>
      <protection locked="0"/>
    </xf>
    <xf numFmtId="1" fontId="9" fillId="0" borderId="10" xfId="1" applyNumberFormat="1" applyFont="1" applyBorder="1" applyAlignment="1" applyProtection="1">
      <alignment horizontal="center" vertical="top" wrapText="1"/>
      <protection locked="0"/>
    </xf>
    <xf numFmtId="1" fontId="9" fillId="0" borderId="12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14" fontId="13" fillId="0" borderId="1" xfId="1" applyNumberFormat="1" applyFont="1" applyBorder="1" applyAlignment="1" applyProtection="1">
      <alignment horizontal="left" vertical="top"/>
      <protection locked="0"/>
    </xf>
    <xf numFmtId="0" fontId="14" fillId="0" borderId="9" xfId="1" applyFont="1" applyBorder="1" applyAlignment="1" applyProtection="1">
      <alignment horizontal="center" vertical="top" wrapText="1"/>
      <protection locked="0"/>
    </xf>
    <xf numFmtId="0" fontId="14" fillId="0" borderId="14" xfId="1" applyFont="1" applyBorder="1" applyAlignment="1" applyProtection="1">
      <alignment horizontal="center" vertical="top" wrapText="1"/>
      <protection locked="0"/>
    </xf>
    <xf numFmtId="0" fontId="14" fillId="0" borderId="10" xfId="1" applyFont="1" applyBorder="1" applyAlignment="1" applyProtection="1">
      <alignment horizontal="center" vertical="top" wrapText="1"/>
      <protection locked="0"/>
    </xf>
    <xf numFmtId="0" fontId="14" fillId="0" borderId="15" xfId="1" applyFont="1" applyBorder="1" applyAlignment="1" applyProtection="1">
      <alignment horizontal="center" vertical="top" wrapText="1"/>
      <protection locked="0"/>
    </xf>
    <xf numFmtId="0" fontId="14" fillId="0" borderId="0" xfId="1" applyFont="1" applyBorder="1" applyAlignment="1" applyProtection="1">
      <alignment horizontal="center" vertical="top" wrapText="1"/>
      <protection locked="0"/>
    </xf>
    <xf numFmtId="0" fontId="14" fillId="0" borderId="16" xfId="1" applyFont="1" applyBorder="1" applyAlignment="1" applyProtection="1">
      <alignment horizontal="center" vertical="top" wrapText="1"/>
      <protection locked="0"/>
    </xf>
    <xf numFmtId="0" fontId="14" fillId="0" borderId="11" xfId="1" applyFont="1" applyBorder="1" applyAlignment="1" applyProtection="1">
      <alignment horizontal="center" vertical="top" wrapText="1"/>
      <protection locked="0"/>
    </xf>
    <xf numFmtId="0" fontId="14" fillId="0" borderId="2" xfId="1" applyFont="1" applyBorder="1" applyAlignment="1" applyProtection="1">
      <alignment horizontal="center" vertical="top" wrapText="1"/>
      <protection locked="0"/>
    </xf>
    <xf numFmtId="0" fontId="14" fillId="0" borderId="12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left" vertical="top"/>
      <protection locked="0"/>
    </xf>
    <xf numFmtId="0" fontId="7" fillId="0" borderId="13" xfId="1" applyFont="1" applyBorder="1" applyAlignment="1" applyProtection="1">
      <alignment horizontal="left" vertical="top"/>
      <protection locked="0"/>
    </xf>
    <xf numFmtId="0" fontId="7" fillId="0" borderId="7" xfId="1" applyFont="1" applyBorder="1" applyAlignment="1" applyProtection="1">
      <alignment horizontal="left" vertical="top"/>
      <protection locked="0"/>
    </xf>
    <xf numFmtId="0" fontId="7" fillId="0" borderId="13" xfId="1" applyFont="1" applyBorder="1" applyAlignment="1" applyProtection="1">
      <alignment horizontal="left" vertical="top" wrapText="1"/>
      <protection locked="0"/>
    </xf>
    <xf numFmtId="0" fontId="9" fillId="0" borderId="6" xfId="1" applyFont="1" applyBorder="1" applyAlignment="1" applyProtection="1">
      <alignment vertical="top"/>
      <protection locked="0"/>
    </xf>
    <xf numFmtId="0" fontId="9" fillId="0" borderId="13" xfId="1" applyFont="1" applyBorder="1" applyAlignment="1" applyProtection="1">
      <alignment vertical="top"/>
      <protection locked="0"/>
    </xf>
    <xf numFmtId="0" fontId="9" fillId="0" borderId="7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1" fontId="14" fillId="0" borderId="3" xfId="1" applyNumberFormat="1" applyFont="1" applyBorder="1" applyAlignment="1" applyProtection="1">
      <alignment horizontal="center" vertical="top" wrapText="1"/>
      <protection locked="0"/>
    </xf>
    <xf numFmtId="1" fontId="14" fillId="0" borderId="8" xfId="1" applyNumberFormat="1" applyFont="1" applyBorder="1" applyAlignment="1" applyProtection="1">
      <alignment horizontal="center" vertical="top" wrapText="1"/>
      <protection locked="0"/>
    </xf>
    <xf numFmtId="1" fontId="9" fillId="0" borderId="8" xfId="1" applyNumberFormat="1" applyFont="1" applyBorder="1" applyAlignment="1" applyProtection="1">
      <alignment horizontal="center" vertical="top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0" xfId="1" applyFont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6" fillId="0" borderId="9" xfId="1" applyFont="1" applyBorder="1" applyAlignment="1" applyProtection="1">
      <alignment horizontal="left" vertical="top"/>
      <protection locked="0"/>
    </xf>
    <xf numFmtId="0" fontId="16" fillId="0" borderId="14" xfId="1" applyFont="1" applyBorder="1" applyAlignment="1" applyProtection="1">
      <alignment horizontal="left" vertical="top"/>
      <protection locked="0"/>
    </xf>
    <xf numFmtId="0" fontId="16" fillId="0" borderId="10" xfId="1" applyFont="1" applyBorder="1" applyAlignment="1" applyProtection="1">
      <alignment horizontal="left" vertical="top"/>
      <protection locked="0"/>
    </xf>
    <xf numFmtId="0" fontId="16" fillId="0" borderId="15" xfId="1" applyFont="1" applyBorder="1" applyAlignment="1" applyProtection="1">
      <alignment horizontal="left" vertical="top"/>
      <protection locked="0"/>
    </xf>
    <xf numFmtId="0" fontId="16" fillId="0" borderId="0" xfId="1" applyFont="1" applyAlignment="1" applyProtection="1">
      <alignment horizontal="left" vertical="top"/>
      <protection locked="0"/>
    </xf>
    <xf numFmtId="0" fontId="16" fillId="0" borderId="16" xfId="1" applyFont="1" applyBorder="1" applyAlignment="1" applyProtection="1">
      <alignment horizontal="left" vertical="top"/>
      <protection locked="0"/>
    </xf>
    <xf numFmtId="0" fontId="9" fillId="0" borderId="6" xfId="1" applyFont="1" applyBorder="1" applyAlignment="1" applyProtection="1">
      <alignment horizontal="left" vertical="top" wrapText="1"/>
      <protection locked="0"/>
    </xf>
    <xf numFmtId="0" fontId="9" fillId="0" borderId="7" xfId="1" applyFont="1" applyBorder="1" applyAlignment="1" applyProtection="1">
      <alignment horizontal="left" vertical="top" wrapText="1"/>
      <protection locked="0"/>
    </xf>
    <xf numFmtId="0" fontId="9" fillId="0" borderId="13" xfId="1" applyFont="1" applyBorder="1" applyAlignment="1" applyProtection="1">
      <alignment horizontal="left" vertical="top" wrapText="1"/>
      <protection locked="0"/>
    </xf>
    <xf numFmtId="0" fontId="13" fillId="0" borderId="6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9" fillId="0" borderId="6" xfId="1" applyFont="1" applyBorder="1" applyAlignment="1" applyProtection="1">
      <alignment horizontal="left" vertical="top"/>
      <protection locked="0"/>
    </xf>
    <xf numFmtId="0" fontId="9" fillId="0" borderId="7" xfId="1" applyFont="1" applyBorder="1" applyAlignment="1" applyProtection="1">
      <alignment horizontal="left" vertical="top"/>
      <protection locked="0"/>
    </xf>
    <xf numFmtId="0" fontId="16" fillId="0" borderId="11" xfId="1" applyFont="1" applyBorder="1" applyAlignment="1" applyProtection="1">
      <alignment horizontal="left" vertical="top"/>
      <protection locked="0"/>
    </xf>
    <xf numFmtId="0" fontId="16" fillId="0" borderId="2" xfId="1" applyFont="1" applyBorder="1" applyAlignment="1" applyProtection="1">
      <alignment horizontal="left" vertical="top"/>
      <protection locked="0"/>
    </xf>
    <xf numFmtId="0" fontId="16" fillId="0" borderId="12" xfId="1" applyFont="1" applyBorder="1" applyAlignment="1" applyProtection="1">
      <alignment horizontal="left" vertical="top"/>
      <protection locked="0"/>
    </xf>
    <xf numFmtId="14" fontId="9" fillId="0" borderId="6" xfId="0" applyNumberFormat="1" applyFont="1" applyBorder="1" applyAlignment="1" applyProtection="1">
      <alignment horizontal="center" vertical="top" wrapText="1"/>
      <protection locked="0"/>
    </xf>
    <xf numFmtId="14" fontId="9" fillId="0" borderId="13" xfId="0" applyNumberFormat="1" applyFont="1" applyBorder="1" applyAlignment="1" applyProtection="1">
      <alignment horizontal="center" vertical="top" wrapText="1"/>
      <protection locked="0"/>
    </xf>
    <xf numFmtId="14" fontId="9" fillId="0" borderId="7" xfId="0" applyNumberFormat="1" applyFont="1" applyBorder="1" applyAlignment="1" applyProtection="1">
      <alignment horizontal="center" vertical="top" wrapText="1"/>
      <protection locked="0"/>
    </xf>
    <xf numFmtId="1" fontId="13" fillId="0" borderId="8" xfId="0" applyNumberFormat="1" applyFont="1" applyBorder="1" applyAlignment="1" applyProtection="1">
      <alignment horizontal="center" vertical="top" wrapText="1"/>
      <protection locked="0"/>
    </xf>
    <xf numFmtId="1" fontId="14" fillId="0" borderId="1" xfId="0" applyNumberFormat="1" applyFont="1" applyBorder="1" applyAlignment="1" applyProtection="1">
      <alignment vertical="top" wrapText="1"/>
      <protection locked="0"/>
    </xf>
    <xf numFmtId="0" fontId="7" fillId="0" borderId="6" xfId="1" applyFont="1" applyBorder="1" applyAlignment="1" applyProtection="1">
      <alignment vertical="top"/>
      <protection locked="0"/>
    </xf>
    <xf numFmtId="0" fontId="7" fillId="0" borderId="13" xfId="1" applyFont="1" applyBorder="1" applyAlignment="1" applyProtection="1">
      <alignment vertical="top"/>
      <protection locked="0"/>
    </xf>
    <xf numFmtId="0" fontId="7" fillId="0" borderId="7" xfId="1" applyFont="1" applyBorder="1" applyAlignment="1" applyProtection="1">
      <alignment vertical="top"/>
      <protection locked="0"/>
    </xf>
    <xf numFmtId="14" fontId="8" fillId="0" borderId="6" xfId="0" applyNumberFormat="1" applyFont="1" applyBorder="1" applyAlignment="1" applyProtection="1">
      <alignment horizontal="center" vertical="top" wrapText="1"/>
      <protection locked="0"/>
    </xf>
    <xf numFmtId="14" fontId="8" fillId="0" borderId="7" xfId="0" applyNumberFormat="1" applyFont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5" applyFont="1" applyBorder="1" applyAlignment="1">
      <alignment horizontal="left"/>
    </xf>
    <xf numFmtId="0" fontId="8" fillId="0" borderId="1" xfId="1" applyFont="1" applyBorder="1" applyAlignment="1" applyProtection="1">
      <alignment horizontal="left"/>
      <protection locked="0"/>
    </xf>
    <xf numFmtId="0" fontId="29" fillId="0" borderId="1" xfId="1" applyFont="1" applyBorder="1" applyAlignment="1" applyProtection="1">
      <alignment horizontal="left" vertical="center"/>
      <protection locked="0"/>
    </xf>
    <xf numFmtId="0" fontId="29" fillId="0" borderId="1" xfId="1" applyFont="1" applyBorder="1" applyAlignment="1" applyProtection="1">
      <alignment horizontal="center" vertical="center"/>
      <protection locked="0"/>
    </xf>
    <xf numFmtId="0" fontId="29" fillId="0" borderId="1" xfId="1" applyFont="1" applyBorder="1" applyAlignment="1" applyProtection="1">
      <alignment horizontal="center" vertical="center"/>
      <protection locked="0"/>
    </xf>
    <xf numFmtId="9" fontId="15" fillId="0" borderId="1" xfId="1" applyNumberFormat="1" applyFont="1" applyBorder="1" applyAlignment="1" applyProtection="1">
      <alignment horizontal="center" vertical="center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4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609</xdr:row>
      <xdr:rowOff>28575</xdr:rowOff>
    </xdr:from>
    <xdr:to>
      <xdr:col>7</xdr:col>
      <xdr:colOff>543481</xdr:colOff>
      <xdr:row>650</xdr:row>
      <xdr:rowOff>107551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9100" y="41795700"/>
          <a:ext cx="6239431" cy="82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950869</xdr:colOff>
      <xdr:row>520</xdr:row>
      <xdr:rowOff>156281</xdr:rowOff>
    </xdr:from>
    <xdr:to>
      <xdr:col>9</xdr:col>
      <xdr:colOff>749301</xdr:colOff>
      <xdr:row>522</xdr:row>
      <xdr:rowOff>61381</xdr:rowOff>
    </xdr:to>
    <xdr:sp macro="" textlink="">
      <xdr:nvSpPr>
        <xdr:cNvPr id="16" name="TextBox 1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100969" y="67453581"/>
          <a:ext cx="1017632" cy="2988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Plot No. 3</a:t>
          </a:r>
          <a:endParaRPr lang="en-IN" sz="1400" b="0" cap="none" spc="0">
            <a:ln w="0"/>
            <a:solidFill>
              <a:sysClr val="windowText" lastClr="00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27601</xdr:colOff>
      <xdr:row>653</xdr:row>
      <xdr:rowOff>16572</xdr:rowOff>
    </xdr:from>
    <xdr:to>
      <xdr:col>6</xdr:col>
      <xdr:colOff>6284</xdr:colOff>
      <xdr:row>673</xdr:row>
      <xdr:rowOff>922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08971" y="76688681"/>
          <a:ext cx="3554210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720594</xdr:colOff>
      <xdr:row>673</xdr:row>
      <xdr:rowOff>164344</xdr:rowOff>
    </xdr:from>
    <xdr:to>
      <xdr:col>6</xdr:col>
      <xdr:colOff>155558</xdr:colOff>
      <xdr:row>693</xdr:row>
      <xdr:rowOff>148692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1520694" y="97770194"/>
          <a:ext cx="3791064" cy="3921348"/>
          <a:chOff x="1280838" y="4451228"/>
          <a:chExt cx="3891008" cy="3960000"/>
        </a:xfrm>
      </xdr:grpSpPr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280838" y="4451228"/>
            <a:ext cx="3891008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 rot="20398787">
            <a:off x="2363637" y="5814204"/>
            <a:ext cx="1483744" cy="2122098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oneCellAnchor>
    <xdr:from>
      <xdr:col>8</xdr:col>
      <xdr:colOff>164524</xdr:colOff>
      <xdr:row>532</xdr:row>
      <xdr:rowOff>147203</xdr:rowOff>
    </xdr:from>
    <xdr:ext cx="652679" cy="46801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4819" y="64977817"/>
          <a:ext cx="652679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400" b="1">
              <a:solidFill>
                <a:schemeClr val="tx1"/>
              </a:solidFill>
            </a:rPr>
            <a:t>136</a:t>
          </a:r>
        </a:p>
      </xdr:txBody>
    </xdr:sp>
    <xdr:clientData/>
  </xdr:oneCellAnchor>
  <xdr:oneCellAnchor>
    <xdr:from>
      <xdr:col>10</xdr:col>
      <xdr:colOff>178515</xdr:colOff>
      <xdr:row>524</xdr:row>
      <xdr:rowOff>121227</xdr:rowOff>
    </xdr:from>
    <xdr:ext cx="496674" cy="468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621129" y="63358568"/>
          <a:ext cx="496674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400" b="1">
              <a:solidFill>
                <a:schemeClr val="tx1"/>
              </a:solidFill>
            </a:rPr>
            <a:t>19</a:t>
          </a:r>
        </a:p>
      </xdr:txBody>
    </xdr:sp>
    <xdr:clientData/>
  </xdr:oneCellAnchor>
  <xdr:oneCellAnchor>
    <xdr:from>
      <xdr:col>13</xdr:col>
      <xdr:colOff>27985</xdr:colOff>
      <xdr:row>524</xdr:row>
      <xdr:rowOff>121227</xdr:rowOff>
    </xdr:from>
    <xdr:ext cx="652679" cy="46801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0713303" y="63358568"/>
          <a:ext cx="652679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400" b="1">
              <a:solidFill>
                <a:schemeClr val="tx1"/>
              </a:solidFill>
            </a:rPr>
            <a:t>114</a:t>
          </a:r>
        </a:p>
      </xdr:txBody>
    </xdr:sp>
    <xdr:clientData/>
  </xdr:oneCellAnchor>
  <xdr:twoCellAnchor>
    <xdr:from>
      <xdr:col>8</xdr:col>
      <xdr:colOff>950868</xdr:colOff>
      <xdr:row>564</xdr:row>
      <xdr:rowOff>156281</xdr:rowOff>
    </xdr:from>
    <xdr:to>
      <xdr:col>10</xdr:col>
      <xdr:colOff>91025</xdr:colOff>
      <xdr:row>566</xdr:row>
      <xdr:rowOff>127672</xdr:rowOff>
    </xdr:to>
    <xdr:sp macro="" textlink="">
      <xdr:nvSpPr>
        <xdr:cNvPr id="51" name="TextBox 1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100968" y="67453581"/>
          <a:ext cx="1159457" cy="36509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Plot No. 3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oneCellAnchor>
    <xdr:from>
      <xdr:col>8</xdr:col>
      <xdr:colOff>164524</xdr:colOff>
      <xdr:row>576</xdr:row>
      <xdr:rowOff>147203</xdr:rowOff>
    </xdr:from>
    <xdr:ext cx="652679" cy="468013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314624" y="69800353"/>
          <a:ext cx="652679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400" b="1">
              <a:solidFill>
                <a:schemeClr val="tx1"/>
              </a:solidFill>
            </a:rPr>
            <a:t>136</a:t>
          </a:r>
        </a:p>
      </xdr:txBody>
    </xdr:sp>
    <xdr:clientData/>
  </xdr:oneCellAnchor>
  <xdr:oneCellAnchor>
    <xdr:from>
      <xdr:col>10</xdr:col>
      <xdr:colOff>178515</xdr:colOff>
      <xdr:row>568</xdr:row>
      <xdr:rowOff>121227</xdr:rowOff>
    </xdr:from>
    <xdr:ext cx="496674" cy="468013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347915" y="68199577"/>
          <a:ext cx="496674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400" b="1">
              <a:solidFill>
                <a:schemeClr val="tx1"/>
              </a:solidFill>
            </a:rPr>
            <a:t>19</a:t>
          </a:r>
        </a:p>
      </xdr:txBody>
    </xdr:sp>
    <xdr:clientData/>
  </xdr:oneCellAnchor>
  <xdr:oneCellAnchor>
    <xdr:from>
      <xdr:col>13</xdr:col>
      <xdr:colOff>27985</xdr:colOff>
      <xdr:row>568</xdr:row>
      <xdr:rowOff>121227</xdr:rowOff>
    </xdr:from>
    <xdr:ext cx="652679" cy="468013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1546885" y="68199577"/>
          <a:ext cx="652679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400" b="1">
              <a:solidFill>
                <a:schemeClr val="tx1"/>
              </a:solidFill>
            </a:rPr>
            <a:t>114</a:t>
          </a:r>
        </a:p>
      </xdr:txBody>
    </xdr:sp>
    <xdr:clientData/>
  </xdr:oneCellAnchor>
  <xdr:twoCellAnchor>
    <xdr:from>
      <xdr:col>0</xdr:col>
      <xdr:colOff>336550</xdr:colOff>
      <xdr:row>520</xdr:row>
      <xdr:rowOff>50800</xdr:rowOff>
    </xdr:from>
    <xdr:to>
      <xdr:col>7</xdr:col>
      <xdr:colOff>815657</xdr:colOff>
      <xdr:row>562</xdr:row>
      <xdr:rowOff>76200</xdr:rowOff>
    </xdr:to>
    <xdr:grpSp>
      <xdr:nvGrpSpPr>
        <xdr:cNvPr id="4" name="Group 3"/>
        <xdr:cNvGrpSpPr/>
      </xdr:nvGrpSpPr>
      <xdr:grpSpPr>
        <a:xfrm>
          <a:off x="336550" y="67551300"/>
          <a:ext cx="6454457" cy="8286750"/>
          <a:chOff x="336550" y="67341750"/>
          <a:chExt cx="6454457" cy="8286750"/>
        </a:xfrm>
      </xdr:grpSpPr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6550" y="673417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38847" y="673417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41144" y="673417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6550" y="70191824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38847" y="70191824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41144" y="70191824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6550" y="73041898"/>
            <a:ext cx="2049863" cy="258660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34009" y="73041898"/>
            <a:ext cx="2049863" cy="258660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41144" y="73041898"/>
            <a:ext cx="2049863" cy="258660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1" name="TextBox 13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3142096" y="69011800"/>
            <a:ext cx="1144153" cy="29880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Arial" panose="020B0604020202020204" pitchFamily="34" charset="0"/>
                <a:cs typeface="Arial" panose="020B0604020202020204" pitchFamily="34" charset="0"/>
              </a:rPr>
              <a:t>Plot No. 18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2" name="TextBox 13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5007844" y="68757800"/>
            <a:ext cx="1144153" cy="29880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Arial" panose="020B0604020202020204" pitchFamily="34" charset="0"/>
                <a:cs typeface="Arial" panose="020B0604020202020204" pitchFamily="34" charset="0"/>
              </a:rPr>
              <a:t>Plot No. 19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3" name="TextBox 13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825500" y="71684074"/>
            <a:ext cx="1144153" cy="29880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Arial" panose="020B0604020202020204" pitchFamily="34" charset="0"/>
                <a:cs typeface="Arial" panose="020B0604020202020204" pitchFamily="34" charset="0"/>
              </a:rPr>
              <a:t>Plot No. 64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4" name="TextBox 13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951597" y="72388924"/>
            <a:ext cx="1144153" cy="29880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Arial" panose="020B0604020202020204" pitchFamily="34" charset="0"/>
                <a:cs typeface="Arial" panose="020B0604020202020204" pitchFamily="34" charset="0"/>
              </a:rPr>
              <a:t>Plot No. 70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5" name="TextBox 13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5191994" y="72166674"/>
            <a:ext cx="1144153" cy="29880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Arial" panose="020B0604020202020204" pitchFamily="34" charset="0"/>
                <a:cs typeface="Arial" panose="020B0604020202020204" pitchFamily="34" charset="0"/>
              </a:rPr>
              <a:t>Plot No. 70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0</xdr:col>
      <xdr:colOff>457200</xdr:colOff>
      <xdr:row>564</xdr:row>
      <xdr:rowOff>63500</xdr:rowOff>
    </xdr:from>
    <xdr:to>
      <xdr:col>7</xdr:col>
      <xdr:colOff>569826</xdr:colOff>
      <xdr:row>605</xdr:row>
      <xdr:rowOff>101600</xdr:rowOff>
    </xdr:to>
    <xdr:grpSp>
      <xdr:nvGrpSpPr>
        <xdr:cNvPr id="6" name="Group 5"/>
        <xdr:cNvGrpSpPr/>
      </xdr:nvGrpSpPr>
      <xdr:grpSpPr>
        <a:xfrm>
          <a:off x="457200" y="76219050"/>
          <a:ext cx="6087976" cy="8102600"/>
          <a:chOff x="457200" y="76009500"/>
          <a:chExt cx="6087976" cy="8102600"/>
        </a:xfrm>
      </xdr:grpSpPr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1430" y="82406914"/>
            <a:ext cx="1618313" cy="170518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78269" y="80108207"/>
            <a:ext cx="2868608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7" name="Picture 76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6393" y="80108207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9" name="Picture 78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200" y="760095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0" name="Picture 79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78269" y="760095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6" name="TextBox 13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1111250" y="78212950"/>
            <a:ext cx="1301750" cy="29880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Arial" panose="020B0604020202020204" pitchFamily="34" charset="0"/>
                <a:cs typeface="Arial" panose="020B0604020202020204" pitchFamily="34" charset="0"/>
              </a:rPr>
              <a:t>Plot No. 166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7" name="TextBox 13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4441869" y="77920850"/>
            <a:ext cx="1273131" cy="29880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Arial" panose="020B0604020202020204" pitchFamily="34" charset="0"/>
                <a:cs typeface="Arial" panose="020B0604020202020204" pitchFamily="34" charset="0"/>
              </a:rPr>
              <a:t>Plot No. 183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1984994</xdr:colOff>
      <xdr:row>15</xdr:row>
      <xdr:rowOff>0</xdr:rowOff>
    </xdr:from>
    <xdr:to>
      <xdr:col>10</xdr:col>
      <xdr:colOff>326523</xdr:colOff>
      <xdr:row>35</xdr:row>
      <xdr:rowOff>45742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6876" y="2868706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1686055</xdr:colOff>
      <xdr:row>35</xdr:row>
      <xdr:rowOff>45742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2706" y="2868706"/>
          <a:ext cx="3165231" cy="3855742"/>
        </a:xfrm>
        <a:prstGeom prst="rect">
          <a:avLst/>
        </a:prstGeom>
      </xdr:spPr>
    </xdr:pic>
    <xdr:clientData/>
  </xdr:twoCellAnchor>
  <xdr:twoCellAnchor editAs="oneCell">
    <xdr:from>
      <xdr:col>0</xdr:col>
      <xdr:colOff>582705</xdr:colOff>
      <xdr:row>35</xdr:row>
      <xdr:rowOff>179294</xdr:rowOff>
    </xdr:from>
    <xdr:to>
      <xdr:col>6</xdr:col>
      <xdr:colOff>459440</xdr:colOff>
      <xdr:row>54</xdr:row>
      <xdr:rowOff>105450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2705" y="6858000"/>
          <a:ext cx="6858000" cy="354565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17</xdr:col>
      <xdr:colOff>533400</xdr:colOff>
      <xdr:row>56</xdr:row>
      <xdr:rowOff>45742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15325" y="6867525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MYkmNeqodGcXHQjW9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652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29" customWidth="1"/>
    <col min="2" max="2" width="12" style="29" customWidth="1"/>
    <col min="3" max="3" width="12.7265625" style="29" customWidth="1"/>
    <col min="4" max="4" width="14.1796875" style="29" customWidth="1"/>
    <col min="5" max="7" width="11.7265625" style="29" customWidth="1"/>
    <col min="8" max="8" width="16.81640625" style="29" customWidth="1"/>
    <col min="9" max="9" width="17.453125" style="15" customWidth="1"/>
    <col min="10" max="10" width="11.453125" style="15" customWidth="1"/>
    <col min="11" max="11" width="11.26953125" style="15" bestFit="1" customWidth="1"/>
    <col min="12" max="12" width="10.54296875" style="15" customWidth="1"/>
    <col min="13" max="13" width="11.81640625" style="15" customWidth="1"/>
    <col min="14" max="14" width="12.54296875" style="15" customWidth="1"/>
    <col min="15" max="15" width="9.81640625" style="15" customWidth="1"/>
    <col min="16" max="16" width="11.7265625" style="15" customWidth="1"/>
    <col min="17" max="247" width="9.1796875" style="15"/>
    <col min="248" max="248" width="8.7265625" style="15" customWidth="1"/>
    <col min="249" max="249" width="9.81640625" style="15" customWidth="1"/>
    <col min="250" max="250" width="14.453125" style="15" customWidth="1"/>
    <col min="251" max="251" width="7.26953125" style="15" customWidth="1"/>
    <col min="252" max="252" width="5.54296875" style="15" customWidth="1"/>
    <col min="253" max="253" width="9" style="15" customWidth="1"/>
    <col min="254" max="255" width="9.81640625" style="15" customWidth="1"/>
    <col min="256" max="256" width="11.1796875" style="15" customWidth="1"/>
    <col min="257" max="257" width="2.81640625" style="15" customWidth="1"/>
    <col min="258" max="258" width="3.54296875" style="15" customWidth="1"/>
    <col min="259" max="503" width="9.1796875" style="15"/>
    <col min="504" max="504" width="8.7265625" style="15" customWidth="1"/>
    <col min="505" max="505" width="9.81640625" style="15" customWidth="1"/>
    <col min="506" max="506" width="14.453125" style="15" customWidth="1"/>
    <col min="507" max="507" width="7.26953125" style="15" customWidth="1"/>
    <col min="508" max="508" width="5.54296875" style="15" customWidth="1"/>
    <col min="509" max="509" width="9" style="15" customWidth="1"/>
    <col min="510" max="511" width="9.81640625" style="15" customWidth="1"/>
    <col min="512" max="512" width="11.1796875" style="15" customWidth="1"/>
    <col min="513" max="513" width="2.81640625" style="15" customWidth="1"/>
    <col min="514" max="514" width="3.54296875" style="15" customWidth="1"/>
    <col min="515" max="759" width="9.1796875" style="15"/>
    <col min="760" max="760" width="8.7265625" style="15" customWidth="1"/>
    <col min="761" max="761" width="9.81640625" style="15" customWidth="1"/>
    <col min="762" max="762" width="14.453125" style="15" customWidth="1"/>
    <col min="763" max="763" width="7.26953125" style="15" customWidth="1"/>
    <col min="764" max="764" width="5.54296875" style="15" customWidth="1"/>
    <col min="765" max="765" width="9" style="15" customWidth="1"/>
    <col min="766" max="767" width="9.81640625" style="15" customWidth="1"/>
    <col min="768" max="768" width="11.1796875" style="15" customWidth="1"/>
    <col min="769" max="769" width="2.81640625" style="15" customWidth="1"/>
    <col min="770" max="770" width="3.54296875" style="15" customWidth="1"/>
    <col min="771" max="1015" width="9.1796875" style="15"/>
    <col min="1016" max="1016" width="8.7265625" style="15" customWidth="1"/>
    <col min="1017" max="1017" width="9.81640625" style="15" customWidth="1"/>
    <col min="1018" max="1018" width="14.453125" style="15" customWidth="1"/>
    <col min="1019" max="1019" width="7.26953125" style="15" customWidth="1"/>
    <col min="1020" max="1020" width="5.54296875" style="15" customWidth="1"/>
    <col min="1021" max="1021" width="9" style="15" customWidth="1"/>
    <col min="1022" max="1023" width="9.81640625" style="15" customWidth="1"/>
    <col min="1024" max="1024" width="11.1796875" style="15" customWidth="1"/>
    <col min="1025" max="1025" width="2.81640625" style="15" customWidth="1"/>
    <col min="1026" max="1026" width="3.54296875" style="15" customWidth="1"/>
    <col min="1027" max="1271" width="9.1796875" style="15"/>
    <col min="1272" max="1272" width="8.7265625" style="15" customWidth="1"/>
    <col min="1273" max="1273" width="9.81640625" style="15" customWidth="1"/>
    <col min="1274" max="1274" width="14.453125" style="15" customWidth="1"/>
    <col min="1275" max="1275" width="7.26953125" style="15" customWidth="1"/>
    <col min="1276" max="1276" width="5.54296875" style="15" customWidth="1"/>
    <col min="1277" max="1277" width="9" style="15" customWidth="1"/>
    <col min="1278" max="1279" width="9.81640625" style="15" customWidth="1"/>
    <col min="1280" max="1280" width="11.1796875" style="15" customWidth="1"/>
    <col min="1281" max="1281" width="2.81640625" style="15" customWidth="1"/>
    <col min="1282" max="1282" width="3.54296875" style="15" customWidth="1"/>
    <col min="1283" max="1527" width="9.1796875" style="15"/>
    <col min="1528" max="1528" width="8.7265625" style="15" customWidth="1"/>
    <col min="1529" max="1529" width="9.81640625" style="15" customWidth="1"/>
    <col min="1530" max="1530" width="14.453125" style="15" customWidth="1"/>
    <col min="1531" max="1531" width="7.26953125" style="15" customWidth="1"/>
    <col min="1532" max="1532" width="5.54296875" style="15" customWidth="1"/>
    <col min="1533" max="1533" width="9" style="15" customWidth="1"/>
    <col min="1534" max="1535" width="9.81640625" style="15" customWidth="1"/>
    <col min="1536" max="1536" width="11.1796875" style="15" customWidth="1"/>
    <col min="1537" max="1537" width="2.81640625" style="15" customWidth="1"/>
    <col min="1538" max="1538" width="3.54296875" style="15" customWidth="1"/>
    <col min="1539" max="1783" width="9.1796875" style="15"/>
    <col min="1784" max="1784" width="8.7265625" style="15" customWidth="1"/>
    <col min="1785" max="1785" width="9.81640625" style="15" customWidth="1"/>
    <col min="1786" max="1786" width="14.453125" style="15" customWidth="1"/>
    <col min="1787" max="1787" width="7.26953125" style="15" customWidth="1"/>
    <col min="1788" max="1788" width="5.54296875" style="15" customWidth="1"/>
    <col min="1789" max="1789" width="9" style="15" customWidth="1"/>
    <col min="1790" max="1791" width="9.81640625" style="15" customWidth="1"/>
    <col min="1792" max="1792" width="11.1796875" style="15" customWidth="1"/>
    <col min="1793" max="1793" width="2.81640625" style="15" customWidth="1"/>
    <col min="1794" max="1794" width="3.54296875" style="15" customWidth="1"/>
    <col min="1795" max="2039" width="9.1796875" style="15"/>
    <col min="2040" max="2040" width="8.7265625" style="15" customWidth="1"/>
    <col min="2041" max="2041" width="9.81640625" style="15" customWidth="1"/>
    <col min="2042" max="2042" width="14.453125" style="15" customWidth="1"/>
    <col min="2043" max="2043" width="7.26953125" style="15" customWidth="1"/>
    <col min="2044" max="2044" width="5.54296875" style="15" customWidth="1"/>
    <col min="2045" max="2045" width="9" style="15" customWidth="1"/>
    <col min="2046" max="2047" width="9.81640625" style="15" customWidth="1"/>
    <col min="2048" max="2048" width="11.1796875" style="15" customWidth="1"/>
    <col min="2049" max="2049" width="2.81640625" style="15" customWidth="1"/>
    <col min="2050" max="2050" width="3.54296875" style="15" customWidth="1"/>
    <col min="2051" max="2295" width="9.1796875" style="15"/>
    <col min="2296" max="2296" width="8.7265625" style="15" customWidth="1"/>
    <col min="2297" max="2297" width="9.81640625" style="15" customWidth="1"/>
    <col min="2298" max="2298" width="14.453125" style="15" customWidth="1"/>
    <col min="2299" max="2299" width="7.26953125" style="15" customWidth="1"/>
    <col min="2300" max="2300" width="5.54296875" style="15" customWidth="1"/>
    <col min="2301" max="2301" width="9" style="15" customWidth="1"/>
    <col min="2302" max="2303" width="9.81640625" style="15" customWidth="1"/>
    <col min="2304" max="2304" width="11.1796875" style="15" customWidth="1"/>
    <col min="2305" max="2305" width="2.81640625" style="15" customWidth="1"/>
    <col min="2306" max="2306" width="3.54296875" style="15" customWidth="1"/>
    <col min="2307" max="2551" width="9.1796875" style="15"/>
    <col min="2552" max="2552" width="8.7265625" style="15" customWidth="1"/>
    <col min="2553" max="2553" width="9.81640625" style="15" customWidth="1"/>
    <col min="2554" max="2554" width="14.453125" style="15" customWidth="1"/>
    <col min="2555" max="2555" width="7.26953125" style="15" customWidth="1"/>
    <col min="2556" max="2556" width="5.54296875" style="15" customWidth="1"/>
    <col min="2557" max="2557" width="9" style="15" customWidth="1"/>
    <col min="2558" max="2559" width="9.81640625" style="15" customWidth="1"/>
    <col min="2560" max="2560" width="11.1796875" style="15" customWidth="1"/>
    <col min="2561" max="2561" width="2.81640625" style="15" customWidth="1"/>
    <col min="2562" max="2562" width="3.54296875" style="15" customWidth="1"/>
    <col min="2563" max="2807" width="9.1796875" style="15"/>
    <col min="2808" max="2808" width="8.7265625" style="15" customWidth="1"/>
    <col min="2809" max="2809" width="9.81640625" style="15" customWidth="1"/>
    <col min="2810" max="2810" width="14.453125" style="15" customWidth="1"/>
    <col min="2811" max="2811" width="7.26953125" style="15" customWidth="1"/>
    <col min="2812" max="2812" width="5.54296875" style="15" customWidth="1"/>
    <col min="2813" max="2813" width="9" style="15" customWidth="1"/>
    <col min="2814" max="2815" width="9.81640625" style="15" customWidth="1"/>
    <col min="2816" max="2816" width="11.1796875" style="15" customWidth="1"/>
    <col min="2817" max="2817" width="2.81640625" style="15" customWidth="1"/>
    <col min="2818" max="2818" width="3.54296875" style="15" customWidth="1"/>
    <col min="2819" max="3063" width="9.1796875" style="15"/>
    <col min="3064" max="3064" width="8.7265625" style="15" customWidth="1"/>
    <col min="3065" max="3065" width="9.81640625" style="15" customWidth="1"/>
    <col min="3066" max="3066" width="14.453125" style="15" customWidth="1"/>
    <col min="3067" max="3067" width="7.26953125" style="15" customWidth="1"/>
    <col min="3068" max="3068" width="5.54296875" style="15" customWidth="1"/>
    <col min="3069" max="3069" width="9" style="15" customWidth="1"/>
    <col min="3070" max="3071" width="9.81640625" style="15" customWidth="1"/>
    <col min="3072" max="3072" width="11.1796875" style="15" customWidth="1"/>
    <col min="3073" max="3073" width="2.81640625" style="15" customWidth="1"/>
    <col min="3074" max="3074" width="3.54296875" style="15" customWidth="1"/>
    <col min="3075" max="3319" width="9.1796875" style="15"/>
    <col min="3320" max="3320" width="8.7265625" style="15" customWidth="1"/>
    <col min="3321" max="3321" width="9.81640625" style="15" customWidth="1"/>
    <col min="3322" max="3322" width="14.453125" style="15" customWidth="1"/>
    <col min="3323" max="3323" width="7.26953125" style="15" customWidth="1"/>
    <col min="3324" max="3324" width="5.54296875" style="15" customWidth="1"/>
    <col min="3325" max="3325" width="9" style="15" customWidth="1"/>
    <col min="3326" max="3327" width="9.81640625" style="15" customWidth="1"/>
    <col min="3328" max="3328" width="11.1796875" style="15" customWidth="1"/>
    <col min="3329" max="3329" width="2.81640625" style="15" customWidth="1"/>
    <col min="3330" max="3330" width="3.54296875" style="15" customWidth="1"/>
    <col min="3331" max="3575" width="9.1796875" style="15"/>
    <col min="3576" max="3576" width="8.7265625" style="15" customWidth="1"/>
    <col min="3577" max="3577" width="9.81640625" style="15" customWidth="1"/>
    <col min="3578" max="3578" width="14.453125" style="15" customWidth="1"/>
    <col min="3579" max="3579" width="7.26953125" style="15" customWidth="1"/>
    <col min="3580" max="3580" width="5.54296875" style="15" customWidth="1"/>
    <col min="3581" max="3581" width="9" style="15" customWidth="1"/>
    <col min="3582" max="3583" width="9.81640625" style="15" customWidth="1"/>
    <col min="3584" max="3584" width="11.1796875" style="15" customWidth="1"/>
    <col min="3585" max="3585" width="2.81640625" style="15" customWidth="1"/>
    <col min="3586" max="3586" width="3.54296875" style="15" customWidth="1"/>
    <col min="3587" max="3831" width="9.1796875" style="15"/>
    <col min="3832" max="3832" width="8.7265625" style="15" customWidth="1"/>
    <col min="3833" max="3833" width="9.81640625" style="15" customWidth="1"/>
    <col min="3834" max="3834" width="14.453125" style="15" customWidth="1"/>
    <col min="3835" max="3835" width="7.26953125" style="15" customWidth="1"/>
    <col min="3836" max="3836" width="5.54296875" style="15" customWidth="1"/>
    <col min="3837" max="3837" width="9" style="15" customWidth="1"/>
    <col min="3838" max="3839" width="9.81640625" style="15" customWidth="1"/>
    <col min="3840" max="3840" width="11.1796875" style="15" customWidth="1"/>
    <col min="3841" max="3841" width="2.81640625" style="15" customWidth="1"/>
    <col min="3842" max="3842" width="3.54296875" style="15" customWidth="1"/>
    <col min="3843" max="4087" width="9.1796875" style="15"/>
    <col min="4088" max="4088" width="8.7265625" style="15" customWidth="1"/>
    <col min="4089" max="4089" width="9.81640625" style="15" customWidth="1"/>
    <col min="4090" max="4090" width="14.453125" style="15" customWidth="1"/>
    <col min="4091" max="4091" width="7.26953125" style="15" customWidth="1"/>
    <col min="4092" max="4092" width="5.54296875" style="15" customWidth="1"/>
    <col min="4093" max="4093" width="9" style="15" customWidth="1"/>
    <col min="4094" max="4095" width="9.81640625" style="15" customWidth="1"/>
    <col min="4096" max="4096" width="11.1796875" style="15" customWidth="1"/>
    <col min="4097" max="4097" width="2.81640625" style="15" customWidth="1"/>
    <col min="4098" max="4098" width="3.54296875" style="15" customWidth="1"/>
    <col min="4099" max="4343" width="9.1796875" style="15"/>
    <col min="4344" max="4344" width="8.7265625" style="15" customWidth="1"/>
    <col min="4345" max="4345" width="9.81640625" style="15" customWidth="1"/>
    <col min="4346" max="4346" width="14.453125" style="15" customWidth="1"/>
    <col min="4347" max="4347" width="7.26953125" style="15" customWidth="1"/>
    <col min="4348" max="4348" width="5.54296875" style="15" customWidth="1"/>
    <col min="4349" max="4349" width="9" style="15" customWidth="1"/>
    <col min="4350" max="4351" width="9.81640625" style="15" customWidth="1"/>
    <col min="4352" max="4352" width="11.1796875" style="15" customWidth="1"/>
    <col min="4353" max="4353" width="2.81640625" style="15" customWidth="1"/>
    <col min="4354" max="4354" width="3.54296875" style="15" customWidth="1"/>
    <col min="4355" max="4599" width="9.1796875" style="15"/>
    <col min="4600" max="4600" width="8.7265625" style="15" customWidth="1"/>
    <col min="4601" max="4601" width="9.81640625" style="15" customWidth="1"/>
    <col min="4602" max="4602" width="14.453125" style="15" customWidth="1"/>
    <col min="4603" max="4603" width="7.26953125" style="15" customWidth="1"/>
    <col min="4604" max="4604" width="5.54296875" style="15" customWidth="1"/>
    <col min="4605" max="4605" width="9" style="15" customWidth="1"/>
    <col min="4606" max="4607" width="9.81640625" style="15" customWidth="1"/>
    <col min="4608" max="4608" width="11.1796875" style="15" customWidth="1"/>
    <col min="4609" max="4609" width="2.81640625" style="15" customWidth="1"/>
    <col min="4610" max="4610" width="3.54296875" style="15" customWidth="1"/>
    <col min="4611" max="4855" width="9.1796875" style="15"/>
    <col min="4856" max="4856" width="8.7265625" style="15" customWidth="1"/>
    <col min="4857" max="4857" width="9.81640625" style="15" customWidth="1"/>
    <col min="4858" max="4858" width="14.453125" style="15" customWidth="1"/>
    <col min="4859" max="4859" width="7.26953125" style="15" customWidth="1"/>
    <col min="4860" max="4860" width="5.54296875" style="15" customWidth="1"/>
    <col min="4861" max="4861" width="9" style="15" customWidth="1"/>
    <col min="4862" max="4863" width="9.81640625" style="15" customWidth="1"/>
    <col min="4864" max="4864" width="11.1796875" style="15" customWidth="1"/>
    <col min="4865" max="4865" width="2.81640625" style="15" customWidth="1"/>
    <col min="4866" max="4866" width="3.54296875" style="15" customWidth="1"/>
    <col min="4867" max="5111" width="9.1796875" style="15"/>
    <col min="5112" max="5112" width="8.7265625" style="15" customWidth="1"/>
    <col min="5113" max="5113" width="9.81640625" style="15" customWidth="1"/>
    <col min="5114" max="5114" width="14.453125" style="15" customWidth="1"/>
    <col min="5115" max="5115" width="7.26953125" style="15" customWidth="1"/>
    <col min="5116" max="5116" width="5.54296875" style="15" customWidth="1"/>
    <col min="5117" max="5117" width="9" style="15" customWidth="1"/>
    <col min="5118" max="5119" width="9.81640625" style="15" customWidth="1"/>
    <col min="5120" max="5120" width="11.1796875" style="15" customWidth="1"/>
    <col min="5121" max="5121" width="2.81640625" style="15" customWidth="1"/>
    <col min="5122" max="5122" width="3.54296875" style="15" customWidth="1"/>
    <col min="5123" max="5367" width="9.1796875" style="15"/>
    <col min="5368" max="5368" width="8.7265625" style="15" customWidth="1"/>
    <col min="5369" max="5369" width="9.81640625" style="15" customWidth="1"/>
    <col min="5370" max="5370" width="14.453125" style="15" customWidth="1"/>
    <col min="5371" max="5371" width="7.26953125" style="15" customWidth="1"/>
    <col min="5372" max="5372" width="5.54296875" style="15" customWidth="1"/>
    <col min="5373" max="5373" width="9" style="15" customWidth="1"/>
    <col min="5374" max="5375" width="9.81640625" style="15" customWidth="1"/>
    <col min="5376" max="5376" width="11.1796875" style="15" customWidth="1"/>
    <col min="5377" max="5377" width="2.81640625" style="15" customWidth="1"/>
    <col min="5378" max="5378" width="3.54296875" style="15" customWidth="1"/>
    <col min="5379" max="5623" width="9.1796875" style="15"/>
    <col min="5624" max="5624" width="8.7265625" style="15" customWidth="1"/>
    <col min="5625" max="5625" width="9.81640625" style="15" customWidth="1"/>
    <col min="5626" max="5626" width="14.453125" style="15" customWidth="1"/>
    <col min="5627" max="5627" width="7.26953125" style="15" customWidth="1"/>
    <col min="5628" max="5628" width="5.54296875" style="15" customWidth="1"/>
    <col min="5629" max="5629" width="9" style="15" customWidth="1"/>
    <col min="5630" max="5631" width="9.81640625" style="15" customWidth="1"/>
    <col min="5632" max="5632" width="11.1796875" style="15" customWidth="1"/>
    <col min="5633" max="5633" width="2.81640625" style="15" customWidth="1"/>
    <col min="5634" max="5634" width="3.54296875" style="15" customWidth="1"/>
    <col min="5635" max="5879" width="9.1796875" style="15"/>
    <col min="5880" max="5880" width="8.7265625" style="15" customWidth="1"/>
    <col min="5881" max="5881" width="9.81640625" style="15" customWidth="1"/>
    <col min="5882" max="5882" width="14.453125" style="15" customWidth="1"/>
    <col min="5883" max="5883" width="7.26953125" style="15" customWidth="1"/>
    <col min="5884" max="5884" width="5.54296875" style="15" customWidth="1"/>
    <col min="5885" max="5885" width="9" style="15" customWidth="1"/>
    <col min="5886" max="5887" width="9.81640625" style="15" customWidth="1"/>
    <col min="5888" max="5888" width="11.1796875" style="15" customWidth="1"/>
    <col min="5889" max="5889" width="2.81640625" style="15" customWidth="1"/>
    <col min="5890" max="5890" width="3.54296875" style="15" customWidth="1"/>
    <col min="5891" max="6135" width="9.1796875" style="15"/>
    <col min="6136" max="6136" width="8.7265625" style="15" customWidth="1"/>
    <col min="6137" max="6137" width="9.81640625" style="15" customWidth="1"/>
    <col min="6138" max="6138" width="14.453125" style="15" customWidth="1"/>
    <col min="6139" max="6139" width="7.26953125" style="15" customWidth="1"/>
    <col min="6140" max="6140" width="5.54296875" style="15" customWidth="1"/>
    <col min="6141" max="6141" width="9" style="15" customWidth="1"/>
    <col min="6142" max="6143" width="9.81640625" style="15" customWidth="1"/>
    <col min="6144" max="6144" width="11.1796875" style="15" customWidth="1"/>
    <col min="6145" max="6145" width="2.81640625" style="15" customWidth="1"/>
    <col min="6146" max="6146" width="3.54296875" style="15" customWidth="1"/>
    <col min="6147" max="6391" width="9.1796875" style="15"/>
    <col min="6392" max="6392" width="8.7265625" style="15" customWidth="1"/>
    <col min="6393" max="6393" width="9.81640625" style="15" customWidth="1"/>
    <col min="6394" max="6394" width="14.453125" style="15" customWidth="1"/>
    <col min="6395" max="6395" width="7.26953125" style="15" customWidth="1"/>
    <col min="6396" max="6396" width="5.54296875" style="15" customWidth="1"/>
    <col min="6397" max="6397" width="9" style="15" customWidth="1"/>
    <col min="6398" max="6399" width="9.81640625" style="15" customWidth="1"/>
    <col min="6400" max="6400" width="11.1796875" style="15" customWidth="1"/>
    <col min="6401" max="6401" width="2.81640625" style="15" customWidth="1"/>
    <col min="6402" max="6402" width="3.54296875" style="15" customWidth="1"/>
    <col min="6403" max="6647" width="9.1796875" style="15"/>
    <col min="6648" max="6648" width="8.7265625" style="15" customWidth="1"/>
    <col min="6649" max="6649" width="9.81640625" style="15" customWidth="1"/>
    <col min="6650" max="6650" width="14.453125" style="15" customWidth="1"/>
    <col min="6651" max="6651" width="7.26953125" style="15" customWidth="1"/>
    <col min="6652" max="6652" width="5.54296875" style="15" customWidth="1"/>
    <col min="6653" max="6653" width="9" style="15" customWidth="1"/>
    <col min="6654" max="6655" width="9.81640625" style="15" customWidth="1"/>
    <col min="6656" max="6656" width="11.1796875" style="15" customWidth="1"/>
    <col min="6657" max="6657" width="2.81640625" style="15" customWidth="1"/>
    <col min="6658" max="6658" width="3.54296875" style="15" customWidth="1"/>
    <col min="6659" max="6903" width="9.1796875" style="15"/>
    <col min="6904" max="6904" width="8.7265625" style="15" customWidth="1"/>
    <col min="6905" max="6905" width="9.81640625" style="15" customWidth="1"/>
    <col min="6906" max="6906" width="14.453125" style="15" customWidth="1"/>
    <col min="6907" max="6907" width="7.26953125" style="15" customWidth="1"/>
    <col min="6908" max="6908" width="5.54296875" style="15" customWidth="1"/>
    <col min="6909" max="6909" width="9" style="15" customWidth="1"/>
    <col min="6910" max="6911" width="9.81640625" style="15" customWidth="1"/>
    <col min="6912" max="6912" width="11.1796875" style="15" customWidth="1"/>
    <col min="6913" max="6913" width="2.81640625" style="15" customWidth="1"/>
    <col min="6914" max="6914" width="3.54296875" style="15" customWidth="1"/>
    <col min="6915" max="7159" width="9.1796875" style="15"/>
    <col min="7160" max="7160" width="8.7265625" style="15" customWidth="1"/>
    <col min="7161" max="7161" width="9.81640625" style="15" customWidth="1"/>
    <col min="7162" max="7162" width="14.453125" style="15" customWidth="1"/>
    <col min="7163" max="7163" width="7.26953125" style="15" customWidth="1"/>
    <col min="7164" max="7164" width="5.54296875" style="15" customWidth="1"/>
    <col min="7165" max="7165" width="9" style="15" customWidth="1"/>
    <col min="7166" max="7167" width="9.81640625" style="15" customWidth="1"/>
    <col min="7168" max="7168" width="11.1796875" style="15" customWidth="1"/>
    <col min="7169" max="7169" width="2.81640625" style="15" customWidth="1"/>
    <col min="7170" max="7170" width="3.54296875" style="15" customWidth="1"/>
    <col min="7171" max="7415" width="9.1796875" style="15"/>
    <col min="7416" max="7416" width="8.7265625" style="15" customWidth="1"/>
    <col min="7417" max="7417" width="9.81640625" style="15" customWidth="1"/>
    <col min="7418" max="7418" width="14.453125" style="15" customWidth="1"/>
    <col min="7419" max="7419" width="7.26953125" style="15" customWidth="1"/>
    <col min="7420" max="7420" width="5.54296875" style="15" customWidth="1"/>
    <col min="7421" max="7421" width="9" style="15" customWidth="1"/>
    <col min="7422" max="7423" width="9.81640625" style="15" customWidth="1"/>
    <col min="7424" max="7424" width="11.1796875" style="15" customWidth="1"/>
    <col min="7425" max="7425" width="2.81640625" style="15" customWidth="1"/>
    <col min="7426" max="7426" width="3.54296875" style="15" customWidth="1"/>
    <col min="7427" max="7671" width="9.1796875" style="15"/>
    <col min="7672" max="7672" width="8.7265625" style="15" customWidth="1"/>
    <col min="7673" max="7673" width="9.81640625" style="15" customWidth="1"/>
    <col min="7674" max="7674" width="14.453125" style="15" customWidth="1"/>
    <col min="7675" max="7675" width="7.26953125" style="15" customWidth="1"/>
    <col min="7676" max="7676" width="5.54296875" style="15" customWidth="1"/>
    <col min="7677" max="7677" width="9" style="15" customWidth="1"/>
    <col min="7678" max="7679" width="9.81640625" style="15" customWidth="1"/>
    <col min="7680" max="7680" width="11.1796875" style="15" customWidth="1"/>
    <col min="7681" max="7681" width="2.81640625" style="15" customWidth="1"/>
    <col min="7682" max="7682" width="3.54296875" style="15" customWidth="1"/>
    <col min="7683" max="7927" width="9.1796875" style="15"/>
    <col min="7928" max="7928" width="8.7265625" style="15" customWidth="1"/>
    <col min="7929" max="7929" width="9.81640625" style="15" customWidth="1"/>
    <col min="7930" max="7930" width="14.453125" style="15" customWidth="1"/>
    <col min="7931" max="7931" width="7.26953125" style="15" customWidth="1"/>
    <col min="7932" max="7932" width="5.54296875" style="15" customWidth="1"/>
    <col min="7933" max="7933" width="9" style="15" customWidth="1"/>
    <col min="7934" max="7935" width="9.81640625" style="15" customWidth="1"/>
    <col min="7936" max="7936" width="11.1796875" style="15" customWidth="1"/>
    <col min="7937" max="7937" width="2.81640625" style="15" customWidth="1"/>
    <col min="7938" max="7938" width="3.54296875" style="15" customWidth="1"/>
    <col min="7939" max="8183" width="9.1796875" style="15"/>
    <col min="8184" max="8184" width="8.7265625" style="15" customWidth="1"/>
    <col min="8185" max="8185" width="9.81640625" style="15" customWidth="1"/>
    <col min="8186" max="8186" width="14.453125" style="15" customWidth="1"/>
    <col min="8187" max="8187" width="7.26953125" style="15" customWidth="1"/>
    <col min="8188" max="8188" width="5.54296875" style="15" customWidth="1"/>
    <col min="8189" max="8189" width="9" style="15" customWidth="1"/>
    <col min="8190" max="8191" width="9.81640625" style="15" customWidth="1"/>
    <col min="8192" max="8192" width="11.1796875" style="15" customWidth="1"/>
    <col min="8193" max="8193" width="2.81640625" style="15" customWidth="1"/>
    <col min="8194" max="8194" width="3.54296875" style="15" customWidth="1"/>
    <col min="8195" max="8439" width="9.1796875" style="15"/>
    <col min="8440" max="8440" width="8.7265625" style="15" customWidth="1"/>
    <col min="8441" max="8441" width="9.81640625" style="15" customWidth="1"/>
    <col min="8442" max="8442" width="14.453125" style="15" customWidth="1"/>
    <col min="8443" max="8443" width="7.26953125" style="15" customWidth="1"/>
    <col min="8444" max="8444" width="5.54296875" style="15" customWidth="1"/>
    <col min="8445" max="8445" width="9" style="15" customWidth="1"/>
    <col min="8446" max="8447" width="9.81640625" style="15" customWidth="1"/>
    <col min="8448" max="8448" width="11.1796875" style="15" customWidth="1"/>
    <col min="8449" max="8449" width="2.81640625" style="15" customWidth="1"/>
    <col min="8450" max="8450" width="3.54296875" style="15" customWidth="1"/>
    <col min="8451" max="8695" width="9.1796875" style="15"/>
    <col min="8696" max="8696" width="8.7265625" style="15" customWidth="1"/>
    <col min="8697" max="8697" width="9.81640625" style="15" customWidth="1"/>
    <col min="8698" max="8698" width="14.453125" style="15" customWidth="1"/>
    <col min="8699" max="8699" width="7.26953125" style="15" customWidth="1"/>
    <col min="8700" max="8700" width="5.54296875" style="15" customWidth="1"/>
    <col min="8701" max="8701" width="9" style="15" customWidth="1"/>
    <col min="8702" max="8703" width="9.81640625" style="15" customWidth="1"/>
    <col min="8704" max="8704" width="11.1796875" style="15" customWidth="1"/>
    <col min="8705" max="8705" width="2.81640625" style="15" customWidth="1"/>
    <col min="8706" max="8706" width="3.54296875" style="15" customWidth="1"/>
    <col min="8707" max="8951" width="9.1796875" style="15"/>
    <col min="8952" max="8952" width="8.7265625" style="15" customWidth="1"/>
    <col min="8953" max="8953" width="9.81640625" style="15" customWidth="1"/>
    <col min="8954" max="8954" width="14.453125" style="15" customWidth="1"/>
    <col min="8955" max="8955" width="7.26953125" style="15" customWidth="1"/>
    <col min="8956" max="8956" width="5.54296875" style="15" customWidth="1"/>
    <col min="8957" max="8957" width="9" style="15" customWidth="1"/>
    <col min="8958" max="8959" width="9.81640625" style="15" customWidth="1"/>
    <col min="8960" max="8960" width="11.1796875" style="15" customWidth="1"/>
    <col min="8961" max="8961" width="2.81640625" style="15" customWidth="1"/>
    <col min="8962" max="8962" width="3.54296875" style="15" customWidth="1"/>
    <col min="8963" max="9207" width="9.1796875" style="15"/>
    <col min="9208" max="9208" width="8.7265625" style="15" customWidth="1"/>
    <col min="9209" max="9209" width="9.81640625" style="15" customWidth="1"/>
    <col min="9210" max="9210" width="14.453125" style="15" customWidth="1"/>
    <col min="9211" max="9211" width="7.26953125" style="15" customWidth="1"/>
    <col min="9212" max="9212" width="5.54296875" style="15" customWidth="1"/>
    <col min="9213" max="9213" width="9" style="15" customWidth="1"/>
    <col min="9214" max="9215" width="9.81640625" style="15" customWidth="1"/>
    <col min="9216" max="9216" width="11.1796875" style="15" customWidth="1"/>
    <col min="9217" max="9217" width="2.81640625" style="15" customWidth="1"/>
    <col min="9218" max="9218" width="3.54296875" style="15" customWidth="1"/>
    <col min="9219" max="9463" width="9.1796875" style="15"/>
    <col min="9464" max="9464" width="8.7265625" style="15" customWidth="1"/>
    <col min="9465" max="9465" width="9.81640625" style="15" customWidth="1"/>
    <col min="9466" max="9466" width="14.453125" style="15" customWidth="1"/>
    <col min="9467" max="9467" width="7.26953125" style="15" customWidth="1"/>
    <col min="9468" max="9468" width="5.54296875" style="15" customWidth="1"/>
    <col min="9469" max="9469" width="9" style="15" customWidth="1"/>
    <col min="9470" max="9471" width="9.81640625" style="15" customWidth="1"/>
    <col min="9472" max="9472" width="11.1796875" style="15" customWidth="1"/>
    <col min="9473" max="9473" width="2.81640625" style="15" customWidth="1"/>
    <col min="9474" max="9474" width="3.54296875" style="15" customWidth="1"/>
    <col min="9475" max="9719" width="9.1796875" style="15"/>
    <col min="9720" max="9720" width="8.7265625" style="15" customWidth="1"/>
    <col min="9721" max="9721" width="9.81640625" style="15" customWidth="1"/>
    <col min="9722" max="9722" width="14.453125" style="15" customWidth="1"/>
    <col min="9723" max="9723" width="7.26953125" style="15" customWidth="1"/>
    <col min="9724" max="9724" width="5.54296875" style="15" customWidth="1"/>
    <col min="9725" max="9725" width="9" style="15" customWidth="1"/>
    <col min="9726" max="9727" width="9.81640625" style="15" customWidth="1"/>
    <col min="9728" max="9728" width="11.1796875" style="15" customWidth="1"/>
    <col min="9729" max="9729" width="2.81640625" style="15" customWidth="1"/>
    <col min="9730" max="9730" width="3.54296875" style="15" customWidth="1"/>
    <col min="9731" max="9975" width="9.1796875" style="15"/>
    <col min="9976" max="9976" width="8.7265625" style="15" customWidth="1"/>
    <col min="9977" max="9977" width="9.81640625" style="15" customWidth="1"/>
    <col min="9978" max="9978" width="14.453125" style="15" customWidth="1"/>
    <col min="9979" max="9979" width="7.26953125" style="15" customWidth="1"/>
    <col min="9980" max="9980" width="5.54296875" style="15" customWidth="1"/>
    <col min="9981" max="9981" width="9" style="15" customWidth="1"/>
    <col min="9982" max="9983" width="9.81640625" style="15" customWidth="1"/>
    <col min="9984" max="9984" width="11.1796875" style="15" customWidth="1"/>
    <col min="9985" max="9985" width="2.81640625" style="15" customWidth="1"/>
    <col min="9986" max="9986" width="3.54296875" style="15" customWidth="1"/>
    <col min="9987" max="10231" width="9.1796875" style="15"/>
    <col min="10232" max="10232" width="8.7265625" style="15" customWidth="1"/>
    <col min="10233" max="10233" width="9.81640625" style="15" customWidth="1"/>
    <col min="10234" max="10234" width="14.453125" style="15" customWidth="1"/>
    <col min="10235" max="10235" width="7.26953125" style="15" customWidth="1"/>
    <col min="10236" max="10236" width="5.54296875" style="15" customWidth="1"/>
    <col min="10237" max="10237" width="9" style="15" customWidth="1"/>
    <col min="10238" max="10239" width="9.81640625" style="15" customWidth="1"/>
    <col min="10240" max="10240" width="11.1796875" style="15" customWidth="1"/>
    <col min="10241" max="10241" width="2.81640625" style="15" customWidth="1"/>
    <col min="10242" max="10242" width="3.54296875" style="15" customWidth="1"/>
    <col min="10243" max="10487" width="9.1796875" style="15"/>
    <col min="10488" max="10488" width="8.7265625" style="15" customWidth="1"/>
    <col min="10489" max="10489" width="9.81640625" style="15" customWidth="1"/>
    <col min="10490" max="10490" width="14.453125" style="15" customWidth="1"/>
    <col min="10491" max="10491" width="7.26953125" style="15" customWidth="1"/>
    <col min="10492" max="10492" width="5.54296875" style="15" customWidth="1"/>
    <col min="10493" max="10493" width="9" style="15" customWidth="1"/>
    <col min="10494" max="10495" width="9.81640625" style="15" customWidth="1"/>
    <col min="10496" max="10496" width="11.1796875" style="15" customWidth="1"/>
    <col min="10497" max="10497" width="2.81640625" style="15" customWidth="1"/>
    <col min="10498" max="10498" width="3.54296875" style="15" customWidth="1"/>
    <col min="10499" max="10743" width="9.1796875" style="15"/>
    <col min="10744" max="10744" width="8.7265625" style="15" customWidth="1"/>
    <col min="10745" max="10745" width="9.81640625" style="15" customWidth="1"/>
    <col min="10746" max="10746" width="14.453125" style="15" customWidth="1"/>
    <col min="10747" max="10747" width="7.26953125" style="15" customWidth="1"/>
    <col min="10748" max="10748" width="5.54296875" style="15" customWidth="1"/>
    <col min="10749" max="10749" width="9" style="15" customWidth="1"/>
    <col min="10750" max="10751" width="9.81640625" style="15" customWidth="1"/>
    <col min="10752" max="10752" width="11.1796875" style="15" customWidth="1"/>
    <col min="10753" max="10753" width="2.81640625" style="15" customWidth="1"/>
    <col min="10754" max="10754" width="3.54296875" style="15" customWidth="1"/>
    <col min="10755" max="10999" width="9.1796875" style="15"/>
    <col min="11000" max="11000" width="8.7265625" style="15" customWidth="1"/>
    <col min="11001" max="11001" width="9.81640625" style="15" customWidth="1"/>
    <col min="11002" max="11002" width="14.453125" style="15" customWidth="1"/>
    <col min="11003" max="11003" width="7.26953125" style="15" customWidth="1"/>
    <col min="11004" max="11004" width="5.54296875" style="15" customWidth="1"/>
    <col min="11005" max="11005" width="9" style="15" customWidth="1"/>
    <col min="11006" max="11007" width="9.81640625" style="15" customWidth="1"/>
    <col min="11008" max="11008" width="11.1796875" style="15" customWidth="1"/>
    <col min="11009" max="11009" width="2.81640625" style="15" customWidth="1"/>
    <col min="11010" max="11010" width="3.54296875" style="15" customWidth="1"/>
    <col min="11011" max="11255" width="9.1796875" style="15"/>
    <col min="11256" max="11256" width="8.7265625" style="15" customWidth="1"/>
    <col min="11257" max="11257" width="9.81640625" style="15" customWidth="1"/>
    <col min="11258" max="11258" width="14.453125" style="15" customWidth="1"/>
    <col min="11259" max="11259" width="7.26953125" style="15" customWidth="1"/>
    <col min="11260" max="11260" width="5.54296875" style="15" customWidth="1"/>
    <col min="11261" max="11261" width="9" style="15" customWidth="1"/>
    <col min="11262" max="11263" width="9.81640625" style="15" customWidth="1"/>
    <col min="11264" max="11264" width="11.1796875" style="15" customWidth="1"/>
    <col min="11265" max="11265" width="2.81640625" style="15" customWidth="1"/>
    <col min="11266" max="11266" width="3.54296875" style="15" customWidth="1"/>
    <col min="11267" max="11511" width="9.1796875" style="15"/>
    <col min="11512" max="11512" width="8.7265625" style="15" customWidth="1"/>
    <col min="11513" max="11513" width="9.81640625" style="15" customWidth="1"/>
    <col min="11514" max="11514" width="14.453125" style="15" customWidth="1"/>
    <col min="11515" max="11515" width="7.26953125" style="15" customWidth="1"/>
    <col min="11516" max="11516" width="5.54296875" style="15" customWidth="1"/>
    <col min="11517" max="11517" width="9" style="15" customWidth="1"/>
    <col min="11518" max="11519" width="9.81640625" style="15" customWidth="1"/>
    <col min="11520" max="11520" width="11.1796875" style="15" customWidth="1"/>
    <col min="11521" max="11521" width="2.81640625" style="15" customWidth="1"/>
    <col min="11522" max="11522" width="3.54296875" style="15" customWidth="1"/>
    <col min="11523" max="11767" width="9.1796875" style="15"/>
    <col min="11768" max="11768" width="8.7265625" style="15" customWidth="1"/>
    <col min="11769" max="11769" width="9.81640625" style="15" customWidth="1"/>
    <col min="11770" max="11770" width="14.453125" style="15" customWidth="1"/>
    <col min="11771" max="11771" width="7.26953125" style="15" customWidth="1"/>
    <col min="11772" max="11772" width="5.54296875" style="15" customWidth="1"/>
    <col min="11773" max="11773" width="9" style="15" customWidth="1"/>
    <col min="11774" max="11775" width="9.81640625" style="15" customWidth="1"/>
    <col min="11776" max="11776" width="11.1796875" style="15" customWidth="1"/>
    <col min="11777" max="11777" width="2.81640625" style="15" customWidth="1"/>
    <col min="11778" max="11778" width="3.54296875" style="15" customWidth="1"/>
    <col min="11779" max="12023" width="9.1796875" style="15"/>
    <col min="12024" max="12024" width="8.7265625" style="15" customWidth="1"/>
    <col min="12025" max="12025" width="9.81640625" style="15" customWidth="1"/>
    <col min="12026" max="12026" width="14.453125" style="15" customWidth="1"/>
    <col min="12027" max="12027" width="7.26953125" style="15" customWidth="1"/>
    <col min="12028" max="12028" width="5.54296875" style="15" customWidth="1"/>
    <col min="12029" max="12029" width="9" style="15" customWidth="1"/>
    <col min="12030" max="12031" width="9.81640625" style="15" customWidth="1"/>
    <col min="12032" max="12032" width="11.1796875" style="15" customWidth="1"/>
    <col min="12033" max="12033" width="2.81640625" style="15" customWidth="1"/>
    <col min="12034" max="12034" width="3.54296875" style="15" customWidth="1"/>
    <col min="12035" max="12279" width="9.1796875" style="15"/>
    <col min="12280" max="12280" width="8.7265625" style="15" customWidth="1"/>
    <col min="12281" max="12281" width="9.81640625" style="15" customWidth="1"/>
    <col min="12282" max="12282" width="14.453125" style="15" customWidth="1"/>
    <col min="12283" max="12283" width="7.26953125" style="15" customWidth="1"/>
    <col min="12284" max="12284" width="5.54296875" style="15" customWidth="1"/>
    <col min="12285" max="12285" width="9" style="15" customWidth="1"/>
    <col min="12286" max="12287" width="9.81640625" style="15" customWidth="1"/>
    <col min="12288" max="12288" width="11.1796875" style="15" customWidth="1"/>
    <col min="12289" max="12289" width="2.81640625" style="15" customWidth="1"/>
    <col min="12290" max="12290" width="3.54296875" style="15" customWidth="1"/>
    <col min="12291" max="12535" width="9.1796875" style="15"/>
    <col min="12536" max="12536" width="8.7265625" style="15" customWidth="1"/>
    <col min="12537" max="12537" width="9.81640625" style="15" customWidth="1"/>
    <col min="12538" max="12538" width="14.453125" style="15" customWidth="1"/>
    <col min="12539" max="12539" width="7.26953125" style="15" customWidth="1"/>
    <col min="12540" max="12540" width="5.54296875" style="15" customWidth="1"/>
    <col min="12541" max="12541" width="9" style="15" customWidth="1"/>
    <col min="12542" max="12543" width="9.81640625" style="15" customWidth="1"/>
    <col min="12544" max="12544" width="11.1796875" style="15" customWidth="1"/>
    <col min="12545" max="12545" width="2.81640625" style="15" customWidth="1"/>
    <col min="12546" max="12546" width="3.54296875" style="15" customWidth="1"/>
    <col min="12547" max="12791" width="9.1796875" style="15"/>
    <col min="12792" max="12792" width="8.7265625" style="15" customWidth="1"/>
    <col min="12793" max="12793" width="9.81640625" style="15" customWidth="1"/>
    <col min="12794" max="12794" width="14.453125" style="15" customWidth="1"/>
    <col min="12795" max="12795" width="7.26953125" style="15" customWidth="1"/>
    <col min="12796" max="12796" width="5.54296875" style="15" customWidth="1"/>
    <col min="12797" max="12797" width="9" style="15" customWidth="1"/>
    <col min="12798" max="12799" width="9.81640625" style="15" customWidth="1"/>
    <col min="12800" max="12800" width="11.1796875" style="15" customWidth="1"/>
    <col min="12801" max="12801" width="2.81640625" style="15" customWidth="1"/>
    <col min="12802" max="12802" width="3.54296875" style="15" customWidth="1"/>
    <col min="12803" max="13047" width="9.1796875" style="15"/>
    <col min="13048" max="13048" width="8.7265625" style="15" customWidth="1"/>
    <col min="13049" max="13049" width="9.81640625" style="15" customWidth="1"/>
    <col min="13050" max="13050" width="14.453125" style="15" customWidth="1"/>
    <col min="13051" max="13051" width="7.26953125" style="15" customWidth="1"/>
    <col min="13052" max="13052" width="5.54296875" style="15" customWidth="1"/>
    <col min="13053" max="13053" width="9" style="15" customWidth="1"/>
    <col min="13054" max="13055" width="9.81640625" style="15" customWidth="1"/>
    <col min="13056" max="13056" width="11.1796875" style="15" customWidth="1"/>
    <col min="13057" max="13057" width="2.81640625" style="15" customWidth="1"/>
    <col min="13058" max="13058" width="3.54296875" style="15" customWidth="1"/>
    <col min="13059" max="13303" width="9.1796875" style="15"/>
    <col min="13304" max="13304" width="8.7265625" style="15" customWidth="1"/>
    <col min="13305" max="13305" width="9.81640625" style="15" customWidth="1"/>
    <col min="13306" max="13306" width="14.453125" style="15" customWidth="1"/>
    <col min="13307" max="13307" width="7.26953125" style="15" customWidth="1"/>
    <col min="13308" max="13308" width="5.54296875" style="15" customWidth="1"/>
    <col min="13309" max="13309" width="9" style="15" customWidth="1"/>
    <col min="13310" max="13311" width="9.81640625" style="15" customWidth="1"/>
    <col min="13312" max="13312" width="11.1796875" style="15" customWidth="1"/>
    <col min="13313" max="13313" width="2.81640625" style="15" customWidth="1"/>
    <col min="13314" max="13314" width="3.54296875" style="15" customWidth="1"/>
    <col min="13315" max="13559" width="9.1796875" style="15"/>
    <col min="13560" max="13560" width="8.7265625" style="15" customWidth="1"/>
    <col min="13561" max="13561" width="9.81640625" style="15" customWidth="1"/>
    <col min="13562" max="13562" width="14.453125" style="15" customWidth="1"/>
    <col min="13563" max="13563" width="7.26953125" style="15" customWidth="1"/>
    <col min="13564" max="13564" width="5.54296875" style="15" customWidth="1"/>
    <col min="13565" max="13565" width="9" style="15" customWidth="1"/>
    <col min="13566" max="13567" width="9.81640625" style="15" customWidth="1"/>
    <col min="13568" max="13568" width="11.1796875" style="15" customWidth="1"/>
    <col min="13569" max="13569" width="2.81640625" style="15" customWidth="1"/>
    <col min="13570" max="13570" width="3.54296875" style="15" customWidth="1"/>
    <col min="13571" max="13815" width="9.1796875" style="15"/>
    <col min="13816" max="13816" width="8.7265625" style="15" customWidth="1"/>
    <col min="13817" max="13817" width="9.81640625" style="15" customWidth="1"/>
    <col min="13818" max="13818" width="14.453125" style="15" customWidth="1"/>
    <col min="13819" max="13819" width="7.26953125" style="15" customWidth="1"/>
    <col min="13820" max="13820" width="5.54296875" style="15" customWidth="1"/>
    <col min="13821" max="13821" width="9" style="15" customWidth="1"/>
    <col min="13822" max="13823" width="9.81640625" style="15" customWidth="1"/>
    <col min="13824" max="13824" width="11.1796875" style="15" customWidth="1"/>
    <col min="13825" max="13825" width="2.81640625" style="15" customWidth="1"/>
    <col min="13826" max="13826" width="3.54296875" style="15" customWidth="1"/>
    <col min="13827" max="14071" width="9.1796875" style="15"/>
    <col min="14072" max="14072" width="8.7265625" style="15" customWidth="1"/>
    <col min="14073" max="14073" width="9.81640625" style="15" customWidth="1"/>
    <col min="14074" max="14074" width="14.453125" style="15" customWidth="1"/>
    <col min="14075" max="14075" width="7.26953125" style="15" customWidth="1"/>
    <col min="14076" max="14076" width="5.54296875" style="15" customWidth="1"/>
    <col min="14077" max="14077" width="9" style="15" customWidth="1"/>
    <col min="14078" max="14079" width="9.81640625" style="15" customWidth="1"/>
    <col min="14080" max="14080" width="11.1796875" style="15" customWidth="1"/>
    <col min="14081" max="14081" width="2.81640625" style="15" customWidth="1"/>
    <col min="14082" max="14082" width="3.54296875" style="15" customWidth="1"/>
    <col min="14083" max="14327" width="9.1796875" style="15"/>
    <col min="14328" max="14328" width="8.7265625" style="15" customWidth="1"/>
    <col min="14329" max="14329" width="9.81640625" style="15" customWidth="1"/>
    <col min="14330" max="14330" width="14.453125" style="15" customWidth="1"/>
    <col min="14331" max="14331" width="7.26953125" style="15" customWidth="1"/>
    <col min="14332" max="14332" width="5.54296875" style="15" customWidth="1"/>
    <col min="14333" max="14333" width="9" style="15" customWidth="1"/>
    <col min="14334" max="14335" width="9.81640625" style="15" customWidth="1"/>
    <col min="14336" max="14336" width="11.1796875" style="15" customWidth="1"/>
    <col min="14337" max="14337" width="2.81640625" style="15" customWidth="1"/>
    <col min="14338" max="14338" width="3.54296875" style="15" customWidth="1"/>
    <col min="14339" max="14583" width="9.1796875" style="15"/>
    <col min="14584" max="14584" width="8.7265625" style="15" customWidth="1"/>
    <col min="14585" max="14585" width="9.81640625" style="15" customWidth="1"/>
    <col min="14586" max="14586" width="14.453125" style="15" customWidth="1"/>
    <col min="14587" max="14587" width="7.26953125" style="15" customWidth="1"/>
    <col min="14588" max="14588" width="5.54296875" style="15" customWidth="1"/>
    <col min="14589" max="14589" width="9" style="15" customWidth="1"/>
    <col min="14590" max="14591" width="9.81640625" style="15" customWidth="1"/>
    <col min="14592" max="14592" width="11.1796875" style="15" customWidth="1"/>
    <col min="14593" max="14593" width="2.81640625" style="15" customWidth="1"/>
    <col min="14594" max="14594" width="3.54296875" style="15" customWidth="1"/>
    <col min="14595" max="14839" width="9.1796875" style="15"/>
    <col min="14840" max="14840" width="8.7265625" style="15" customWidth="1"/>
    <col min="14841" max="14841" width="9.81640625" style="15" customWidth="1"/>
    <col min="14842" max="14842" width="14.453125" style="15" customWidth="1"/>
    <col min="14843" max="14843" width="7.26953125" style="15" customWidth="1"/>
    <col min="14844" max="14844" width="5.54296875" style="15" customWidth="1"/>
    <col min="14845" max="14845" width="9" style="15" customWidth="1"/>
    <col min="14846" max="14847" width="9.81640625" style="15" customWidth="1"/>
    <col min="14848" max="14848" width="11.1796875" style="15" customWidth="1"/>
    <col min="14849" max="14849" width="2.81640625" style="15" customWidth="1"/>
    <col min="14850" max="14850" width="3.54296875" style="15" customWidth="1"/>
    <col min="14851" max="15095" width="9.1796875" style="15"/>
    <col min="15096" max="15096" width="8.7265625" style="15" customWidth="1"/>
    <col min="15097" max="15097" width="9.81640625" style="15" customWidth="1"/>
    <col min="15098" max="15098" width="14.453125" style="15" customWidth="1"/>
    <col min="15099" max="15099" width="7.26953125" style="15" customWidth="1"/>
    <col min="15100" max="15100" width="5.54296875" style="15" customWidth="1"/>
    <col min="15101" max="15101" width="9" style="15" customWidth="1"/>
    <col min="15102" max="15103" width="9.81640625" style="15" customWidth="1"/>
    <col min="15104" max="15104" width="11.1796875" style="15" customWidth="1"/>
    <col min="15105" max="15105" width="2.81640625" style="15" customWidth="1"/>
    <col min="15106" max="15106" width="3.54296875" style="15" customWidth="1"/>
    <col min="15107" max="15351" width="9.1796875" style="15"/>
    <col min="15352" max="15352" width="8.7265625" style="15" customWidth="1"/>
    <col min="15353" max="15353" width="9.81640625" style="15" customWidth="1"/>
    <col min="15354" max="15354" width="14.453125" style="15" customWidth="1"/>
    <col min="15355" max="15355" width="7.26953125" style="15" customWidth="1"/>
    <col min="15356" max="15356" width="5.54296875" style="15" customWidth="1"/>
    <col min="15357" max="15357" width="9" style="15" customWidth="1"/>
    <col min="15358" max="15359" width="9.81640625" style="15" customWidth="1"/>
    <col min="15360" max="15360" width="11.1796875" style="15" customWidth="1"/>
    <col min="15361" max="15361" width="2.81640625" style="15" customWidth="1"/>
    <col min="15362" max="15362" width="3.54296875" style="15" customWidth="1"/>
    <col min="15363" max="15607" width="9.1796875" style="15"/>
    <col min="15608" max="15608" width="8.7265625" style="15" customWidth="1"/>
    <col min="15609" max="15609" width="9.81640625" style="15" customWidth="1"/>
    <col min="15610" max="15610" width="14.453125" style="15" customWidth="1"/>
    <col min="15611" max="15611" width="7.26953125" style="15" customWidth="1"/>
    <col min="15612" max="15612" width="5.54296875" style="15" customWidth="1"/>
    <col min="15613" max="15613" width="9" style="15" customWidth="1"/>
    <col min="15614" max="15615" width="9.81640625" style="15" customWidth="1"/>
    <col min="15616" max="15616" width="11.1796875" style="15" customWidth="1"/>
    <col min="15617" max="15617" width="2.81640625" style="15" customWidth="1"/>
    <col min="15618" max="15618" width="3.54296875" style="15" customWidth="1"/>
    <col min="15619" max="15863" width="9.1796875" style="15"/>
    <col min="15864" max="15864" width="8.7265625" style="15" customWidth="1"/>
    <col min="15865" max="15865" width="9.81640625" style="15" customWidth="1"/>
    <col min="15866" max="15866" width="14.453125" style="15" customWidth="1"/>
    <col min="15867" max="15867" width="7.26953125" style="15" customWidth="1"/>
    <col min="15868" max="15868" width="5.54296875" style="15" customWidth="1"/>
    <col min="15869" max="15869" width="9" style="15" customWidth="1"/>
    <col min="15870" max="15871" width="9.81640625" style="15" customWidth="1"/>
    <col min="15872" max="15872" width="11.1796875" style="15" customWidth="1"/>
    <col min="15873" max="15873" width="2.81640625" style="15" customWidth="1"/>
    <col min="15874" max="15874" width="3.54296875" style="15" customWidth="1"/>
    <col min="15875" max="16119" width="9.1796875" style="15"/>
    <col min="16120" max="16120" width="8.7265625" style="15" customWidth="1"/>
    <col min="16121" max="16121" width="9.81640625" style="15" customWidth="1"/>
    <col min="16122" max="16122" width="14.453125" style="15" customWidth="1"/>
    <col min="16123" max="16123" width="7.26953125" style="15" customWidth="1"/>
    <col min="16124" max="16124" width="5.54296875" style="15" customWidth="1"/>
    <col min="16125" max="16125" width="9" style="15" customWidth="1"/>
    <col min="16126" max="16127" width="9.81640625" style="15" customWidth="1"/>
    <col min="16128" max="16128" width="11.1796875" style="15" customWidth="1"/>
    <col min="16129" max="16129" width="2.81640625" style="15" customWidth="1"/>
    <col min="16130" max="16130" width="3.54296875" style="15" customWidth="1"/>
    <col min="16131" max="16384" width="9.1796875" style="15"/>
  </cols>
  <sheetData>
    <row r="1" spans="1:9" ht="46.5" customHeight="1" x14ac:dyDescent="0.35">
      <c r="A1" s="190" t="s">
        <v>147</v>
      </c>
      <c r="B1" s="190"/>
      <c r="C1" s="190"/>
      <c r="D1" s="190"/>
      <c r="E1" s="190"/>
      <c r="F1" s="190"/>
      <c r="G1" s="190"/>
      <c r="H1" s="190"/>
    </row>
    <row r="2" spans="1:9" ht="16.5" customHeight="1" x14ac:dyDescent="0.35">
      <c r="A2" s="132" t="s">
        <v>0</v>
      </c>
      <c r="B2" s="132"/>
      <c r="C2" s="132"/>
      <c r="D2" s="132"/>
      <c r="E2" s="132"/>
      <c r="F2" s="132"/>
      <c r="G2" s="132"/>
      <c r="H2" s="132"/>
    </row>
    <row r="3" spans="1:9" x14ac:dyDescent="0.35">
      <c r="A3" s="175" t="s">
        <v>1</v>
      </c>
      <c r="B3" s="175"/>
      <c r="C3" s="175"/>
      <c r="D3" s="175"/>
      <c r="E3" s="175" t="str">
        <f ca="1">TEXT(TODAY(),"DD/MM/YYYY")</f>
        <v>30/08/2025</v>
      </c>
      <c r="F3" s="175"/>
      <c r="G3" s="175"/>
      <c r="H3" s="175"/>
    </row>
    <row r="4" spans="1:9" ht="15" customHeight="1" x14ac:dyDescent="0.35">
      <c r="A4" s="175" t="s">
        <v>2</v>
      </c>
      <c r="B4" s="175"/>
      <c r="C4" s="175"/>
      <c r="D4" s="175"/>
      <c r="E4" s="175" t="s">
        <v>146</v>
      </c>
      <c r="F4" s="175"/>
      <c r="G4" s="175"/>
      <c r="H4" s="175"/>
    </row>
    <row r="5" spans="1:9" x14ac:dyDescent="0.35">
      <c r="A5" s="175" t="s">
        <v>3</v>
      </c>
      <c r="B5" s="175"/>
      <c r="C5" s="175"/>
      <c r="D5" s="175"/>
      <c r="E5" s="193">
        <v>45883</v>
      </c>
      <c r="F5" s="175"/>
      <c r="G5" s="175"/>
      <c r="H5" s="175"/>
    </row>
    <row r="6" spans="1:9" ht="16.5" customHeight="1" x14ac:dyDescent="0.35">
      <c r="A6" s="175" t="s">
        <v>4</v>
      </c>
      <c r="B6" s="175"/>
      <c r="C6" s="175"/>
      <c r="D6" s="175"/>
      <c r="E6" s="175" t="s">
        <v>148</v>
      </c>
      <c r="F6" s="175"/>
      <c r="G6" s="175"/>
      <c r="H6" s="175"/>
    </row>
    <row r="7" spans="1:9" ht="15" customHeight="1" x14ac:dyDescent="0.35">
      <c r="A7" s="175" t="s">
        <v>5</v>
      </c>
      <c r="B7" s="175"/>
      <c r="C7" s="175"/>
      <c r="D7" s="175"/>
      <c r="E7" s="175" t="str">
        <f>E6</f>
        <v>Macrotech Developers Limited</v>
      </c>
      <c r="F7" s="175"/>
      <c r="G7" s="175"/>
      <c r="H7" s="175"/>
    </row>
    <row r="8" spans="1:9" x14ac:dyDescent="0.35">
      <c r="A8" s="175" t="s">
        <v>6</v>
      </c>
      <c r="B8" s="175"/>
      <c r="C8" s="175"/>
      <c r="D8" s="175"/>
      <c r="E8" s="191" t="s">
        <v>149</v>
      </c>
      <c r="F8" s="191"/>
      <c r="G8" s="191"/>
      <c r="H8" s="191"/>
    </row>
    <row r="9" spans="1:9" x14ac:dyDescent="0.35">
      <c r="A9" s="175" t="s">
        <v>142</v>
      </c>
      <c r="B9" s="175"/>
      <c r="C9" s="175"/>
      <c r="D9" s="175"/>
      <c r="E9" s="175" t="s">
        <v>217</v>
      </c>
      <c r="F9" s="175"/>
      <c r="G9" s="175"/>
      <c r="H9" s="175"/>
    </row>
    <row r="10" spans="1:9" x14ac:dyDescent="0.35">
      <c r="A10" s="175" t="s">
        <v>143</v>
      </c>
      <c r="B10" s="175"/>
      <c r="C10" s="175"/>
      <c r="D10" s="175"/>
      <c r="E10" s="143" t="s">
        <v>275</v>
      </c>
      <c r="F10" s="175"/>
      <c r="G10" s="175"/>
      <c r="H10" s="175"/>
      <c r="I10" s="15" t="s">
        <v>275</v>
      </c>
    </row>
    <row r="11" spans="1:9" x14ac:dyDescent="0.35">
      <c r="A11" s="175" t="s">
        <v>7</v>
      </c>
      <c r="B11" s="175"/>
      <c r="C11" s="175"/>
      <c r="D11" s="175"/>
      <c r="E11" s="175" t="s">
        <v>273</v>
      </c>
      <c r="F11" s="175"/>
      <c r="G11" s="175"/>
      <c r="H11" s="175"/>
    </row>
    <row r="12" spans="1:9" ht="18" customHeight="1" x14ac:dyDescent="0.35">
      <c r="A12" s="150" t="s">
        <v>8</v>
      </c>
      <c r="B12" s="150"/>
      <c r="C12" s="150"/>
      <c r="D12" s="150"/>
      <c r="E12" s="143" t="s">
        <v>210</v>
      </c>
      <c r="F12" s="143"/>
      <c r="G12" s="143"/>
      <c r="H12" s="143"/>
    </row>
    <row r="13" spans="1:9" x14ac:dyDescent="0.35">
      <c r="A13" s="150" t="s">
        <v>9</v>
      </c>
      <c r="B13" s="150"/>
      <c r="C13" s="150"/>
      <c r="D13" s="150"/>
      <c r="E13" s="143" t="s">
        <v>150</v>
      </c>
      <c r="F13" s="175"/>
      <c r="G13" s="175"/>
      <c r="H13" s="175"/>
    </row>
    <row r="14" spans="1:9" ht="49.5" customHeight="1" x14ac:dyDescent="0.35">
      <c r="A14" s="149" t="s">
        <v>10</v>
      </c>
      <c r="B14" s="149"/>
      <c r="C14" s="149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Lodha Villa Royale Palava, Survey No.19/2/A, 19/2B, 19/3 &amp; Others, Sector D, near Lodha Casa, Internal Road, Palava Township, Antarli, Khoni &amp; etc, Dombivali East, Ambernath, Thane - 421204.</v>
      </c>
      <c r="D14" s="149"/>
      <c r="E14" s="149"/>
      <c r="F14" s="149"/>
      <c r="G14" s="149"/>
      <c r="H14" s="149"/>
    </row>
    <row r="15" spans="1:9" x14ac:dyDescent="0.35">
      <c r="A15" s="143" t="s">
        <v>151</v>
      </c>
      <c r="B15" s="143"/>
      <c r="C15" s="143" t="s">
        <v>182</v>
      </c>
      <c r="D15" s="143"/>
      <c r="E15" s="143"/>
      <c r="F15" s="143"/>
      <c r="G15" s="143"/>
      <c r="H15" s="143"/>
    </row>
    <row r="16" spans="1:9" ht="15.75" customHeight="1" x14ac:dyDescent="0.35">
      <c r="A16" s="143" t="s">
        <v>141</v>
      </c>
      <c r="B16" s="143"/>
      <c r="C16" s="143" t="s">
        <v>183</v>
      </c>
      <c r="D16" s="143"/>
      <c r="E16" s="143"/>
      <c r="F16" s="143"/>
      <c r="G16" s="143"/>
      <c r="H16" s="143"/>
    </row>
    <row r="17" spans="1:8" ht="15.75" customHeight="1" x14ac:dyDescent="0.35">
      <c r="A17" s="149" t="s">
        <v>11</v>
      </c>
      <c r="B17" s="149"/>
      <c r="C17" s="175" t="s">
        <v>152</v>
      </c>
      <c r="D17" s="175"/>
      <c r="E17" s="149" t="s">
        <v>67</v>
      </c>
      <c r="F17" s="149"/>
      <c r="G17" s="143" t="s">
        <v>172</v>
      </c>
      <c r="H17" s="143"/>
    </row>
    <row r="18" spans="1:8" x14ac:dyDescent="0.35">
      <c r="A18" s="150" t="s">
        <v>13</v>
      </c>
      <c r="B18" s="150"/>
      <c r="C18" s="143" t="s">
        <v>216</v>
      </c>
      <c r="D18" s="143"/>
      <c r="E18" s="149" t="s">
        <v>12</v>
      </c>
      <c r="F18" s="149"/>
      <c r="G18" s="185" t="s">
        <v>153</v>
      </c>
      <c r="H18" s="185"/>
    </row>
    <row r="19" spans="1:8" x14ac:dyDescent="0.35">
      <c r="A19" s="150" t="s">
        <v>68</v>
      </c>
      <c r="B19" s="150"/>
      <c r="C19" s="143" t="s">
        <v>154</v>
      </c>
      <c r="D19" s="143"/>
      <c r="E19" s="149" t="s">
        <v>14</v>
      </c>
      <c r="F19" s="149"/>
      <c r="G19" s="143">
        <v>421204</v>
      </c>
      <c r="H19" s="143"/>
    </row>
    <row r="20" spans="1:8" ht="32.25" customHeight="1" x14ac:dyDescent="0.35">
      <c r="A20" s="150" t="s">
        <v>113</v>
      </c>
      <c r="B20" s="150"/>
      <c r="C20" s="143" t="s">
        <v>155</v>
      </c>
      <c r="D20" s="143"/>
      <c r="E20" s="149" t="s">
        <v>15</v>
      </c>
      <c r="F20" s="149"/>
      <c r="G20" s="143" t="s">
        <v>215</v>
      </c>
      <c r="H20" s="143"/>
    </row>
    <row r="21" spans="1:8" ht="15" customHeight="1" x14ac:dyDescent="0.35">
      <c r="A21" s="149" t="s">
        <v>71</v>
      </c>
      <c r="B21" s="149"/>
      <c r="C21" s="149"/>
      <c r="D21" s="149"/>
      <c r="E21" s="175" t="s">
        <v>16</v>
      </c>
      <c r="F21" s="175"/>
      <c r="G21" s="175"/>
      <c r="H21" s="175"/>
    </row>
    <row r="22" spans="1:8" ht="18.75" customHeight="1" x14ac:dyDescent="0.35">
      <c r="A22" s="149"/>
      <c r="B22" s="149"/>
      <c r="C22" s="149"/>
      <c r="D22" s="149"/>
      <c r="E22" s="175"/>
      <c r="F22" s="175"/>
      <c r="G22" s="175"/>
      <c r="H22" s="175"/>
    </row>
    <row r="23" spans="1:8" ht="15" customHeight="1" x14ac:dyDescent="0.35">
      <c r="A23" s="149" t="s">
        <v>17</v>
      </c>
      <c r="B23" s="149"/>
      <c r="C23" s="149"/>
      <c r="D23" s="149"/>
      <c r="E23" s="143" t="s">
        <v>18</v>
      </c>
      <c r="F23" s="143"/>
      <c r="G23" s="143"/>
      <c r="H23" s="143"/>
    </row>
    <row r="24" spans="1:8" ht="15" customHeight="1" x14ac:dyDescent="0.35">
      <c r="A24" s="150" t="s">
        <v>19</v>
      </c>
      <c r="B24" s="150"/>
      <c r="C24" s="150"/>
      <c r="D24" s="150"/>
      <c r="E24" s="143" t="str">
        <f>IF(AND(G18="Mumbai"),"Upper Class","Middle Class")</f>
        <v>Middle Class</v>
      </c>
      <c r="F24" s="143"/>
      <c r="G24" s="143"/>
      <c r="H24" s="143"/>
    </row>
    <row r="25" spans="1:8" x14ac:dyDescent="0.35">
      <c r="A25" s="150" t="s">
        <v>20</v>
      </c>
      <c r="B25" s="150"/>
      <c r="C25" s="150"/>
      <c r="D25" s="150"/>
      <c r="E25" s="143" t="s">
        <v>21</v>
      </c>
      <c r="F25" s="143"/>
      <c r="G25" s="143"/>
      <c r="H25" s="143"/>
    </row>
    <row r="26" spans="1:8" ht="15.75" customHeight="1" x14ac:dyDescent="0.35">
      <c r="A26" s="150" t="s">
        <v>22</v>
      </c>
      <c r="B26" s="150"/>
      <c r="C26" s="150"/>
      <c r="D26" s="150"/>
      <c r="E26" s="143" t="str">
        <f>IF(AND(G18="Mumbai"),"Developed","Developing")</f>
        <v>Developing</v>
      </c>
      <c r="F26" s="143"/>
      <c r="G26" s="143"/>
      <c r="H26" s="143"/>
    </row>
    <row r="27" spans="1:8" x14ac:dyDescent="0.35">
      <c r="A27" s="150" t="s">
        <v>23</v>
      </c>
      <c r="B27" s="150"/>
      <c r="C27" s="150"/>
      <c r="D27" s="150"/>
      <c r="E27" s="143" t="s">
        <v>24</v>
      </c>
      <c r="F27" s="143"/>
      <c r="G27" s="143"/>
      <c r="H27" s="143"/>
    </row>
    <row r="28" spans="1:8" ht="15.75" customHeight="1" x14ac:dyDescent="0.35">
      <c r="A28" s="150" t="s">
        <v>75</v>
      </c>
      <c r="B28" s="150"/>
      <c r="C28" s="150"/>
      <c r="D28" s="150"/>
      <c r="E28" s="143" t="s">
        <v>76</v>
      </c>
      <c r="F28" s="143"/>
      <c r="G28" s="143"/>
      <c r="H28" s="143"/>
    </row>
    <row r="29" spans="1:8" ht="15" customHeight="1" x14ac:dyDescent="0.35">
      <c r="A29" s="150" t="s">
        <v>33</v>
      </c>
      <c r="B29" s="150"/>
      <c r="C29" s="150"/>
      <c r="D29" s="150"/>
      <c r="E29" s="143" t="s">
        <v>179</v>
      </c>
      <c r="F29" s="143"/>
      <c r="G29" s="143"/>
      <c r="H29" s="143"/>
    </row>
    <row r="30" spans="1:8" ht="15.75" customHeight="1" x14ac:dyDescent="0.35">
      <c r="A30" s="150" t="s">
        <v>86</v>
      </c>
      <c r="B30" s="150"/>
      <c r="C30" s="150"/>
      <c r="D30" s="150"/>
      <c r="E30" s="143" t="s">
        <v>34</v>
      </c>
      <c r="F30" s="143"/>
      <c r="G30" s="143"/>
      <c r="H30" s="143"/>
    </row>
    <row r="31" spans="1:8" s="16" customFormat="1" x14ac:dyDescent="0.35">
      <c r="A31" s="192" t="s">
        <v>87</v>
      </c>
      <c r="B31" s="192"/>
      <c r="C31" s="173" t="s">
        <v>29</v>
      </c>
      <c r="D31" s="173"/>
      <c r="E31" s="173"/>
      <c r="F31" s="173" t="s">
        <v>31</v>
      </c>
      <c r="G31" s="173"/>
      <c r="H31" s="173"/>
    </row>
    <row r="32" spans="1:8" s="16" customFormat="1" x14ac:dyDescent="0.35">
      <c r="A32" s="182" t="s">
        <v>25</v>
      </c>
      <c r="B32" s="182" t="s">
        <v>30</v>
      </c>
      <c r="C32" s="174" t="s">
        <v>213</v>
      </c>
      <c r="D32" s="174"/>
      <c r="E32" s="174"/>
      <c r="F32" s="174" t="s">
        <v>152</v>
      </c>
      <c r="G32" s="174"/>
      <c r="H32" s="174"/>
    </row>
    <row r="33" spans="1:8" x14ac:dyDescent="0.35">
      <c r="A33" s="182" t="s">
        <v>26</v>
      </c>
      <c r="B33" s="182" t="s">
        <v>30</v>
      </c>
      <c r="C33" s="174" t="s">
        <v>214</v>
      </c>
      <c r="D33" s="174"/>
      <c r="E33" s="174"/>
      <c r="F33" s="174" t="s">
        <v>156</v>
      </c>
      <c r="G33" s="174"/>
      <c r="H33" s="174"/>
    </row>
    <row r="34" spans="1:8" s="16" customFormat="1" x14ac:dyDescent="0.35">
      <c r="A34" s="182" t="s">
        <v>28</v>
      </c>
      <c r="B34" s="182" t="s">
        <v>30</v>
      </c>
      <c r="C34" s="174" t="s">
        <v>214</v>
      </c>
      <c r="D34" s="174"/>
      <c r="E34" s="174"/>
      <c r="F34" s="174" t="s">
        <v>156</v>
      </c>
      <c r="G34" s="174"/>
      <c r="H34" s="174"/>
    </row>
    <row r="35" spans="1:8" x14ac:dyDescent="0.35">
      <c r="A35" s="182" t="s">
        <v>27</v>
      </c>
      <c r="B35" s="182" t="s">
        <v>30</v>
      </c>
      <c r="C35" s="174" t="s">
        <v>214</v>
      </c>
      <c r="D35" s="174"/>
      <c r="E35" s="174"/>
      <c r="F35" s="174" t="s">
        <v>156</v>
      </c>
      <c r="G35" s="174"/>
      <c r="H35" s="174"/>
    </row>
    <row r="36" spans="1:8" x14ac:dyDescent="0.35">
      <c r="A36" s="150" t="s">
        <v>32</v>
      </c>
      <c r="B36" s="150"/>
      <c r="C36" s="150"/>
      <c r="D36" s="150"/>
      <c r="E36" s="150"/>
      <c r="F36" s="150"/>
      <c r="G36" s="150"/>
      <c r="H36" s="150"/>
    </row>
    <row r="37" spans="1:8" ht="15.75" customHeight="1" x14ac:dyDescent="0.35">
      <c r="A37" s="141" t="s">
        <v>184</v>
      </c>
      <c r="B37" s="141"/>
      <c r="C37" s="249" t="s">
        <v>211</v>
      </c>
      <c r="D37" s="249"/>
      <c r="E37" s="249"/>
      <c r="F37" s="249"/>
      <c r="G37" s="249"/>
      <c r="H37" s="249"/>
    </row>
    <row r="38" spans="1:8" x14ac:dyDescent="0.35">
      <c r="A38" s="141" t="s">
        <v>140</v>
      </c>
      <c r="B38" s="141"/>
      <c r="C38" s="142" t="s">
        <v>212</v>
      </c>
      <c r="D38" s="143"/>
      <c r="E38" s="143"/>
      <c r="F38" s="143"/>
      <c r="G38" s="143"/>
      <c r="H38" s="143"/>
    </row>
    <row r="39" spans="1:8" x14ac:dyDescent="0.35">
      <c r="A39" s="184" t="s">
        <v>35</v>
      </c>
      <c r="B39" s="184"/>
      <c r="C39" s="184"/>
      <c r="D39" s="184"/>
      <c r="E39" s="184"/>
      <c r="F39" s="184"/>
      <c r="G39" s="184"/>
      <c r="H39" s="184"/>
    </row>
    <row r="40" spans="1:8" x14ac:dyDescent="0.35">
      <c r="A40" s="150" t="s">
        <v>36</v>
      </c>
      <c r="B40" s="150"/>
      <c r="C40" s="150"/>
      <c r="D40" s="150"/>
      <c r="E40" s="183">
        <v>302903.84000000003</v>
      </c>
      <c r="F40" s="183"/>
      <c r="G40" s="183"/>
      <c r="H40" s="183"/>
    </row>
    <row r="41" spans="1:8" x14ac:dyDescent="0.35">
      <c r="A41" s="150" t="s">
        <v>37</v>
      </c>
      <c r="B41" s="150"/>
      <c r="C41" s="150"/>
      <c r="D41" s="150"/>
      <c r="E41" s="187">
        <v>1.8</v>
      </c>
      <c r="F41" s="187"/>
      <c r="G41" s="187"/>
      <c r="H41" s="187"/>
    </row>
    <row r="42" spans="1:8" x14ac:dyDescent="0.35">
      <c r="A42" s="150" t="s">
        <v>38</v>
      </c>
      <c r="B42" s="150"/>
      <c r="C42" s="150"/>
      <c r="D42" s="150"/>
      <c r="E42" s="187">
        <f>E44/E40-E41</f>
        <v>0.20817431036859735</v>
      </c>
      <c r="F42" s="187"/>
      <c r="G42" s="187"/>
      <c r="H42" s="187"/>
    </row>
    <row r="43" spans="1:8" x14ac:dyDescent="0.35">
      <c r="A43" s="150" t="s">
        <v>39</v>
      </c>
      <c r="B43" s="150"/>
      <c r="C43" s="150"/>
      <c r="D43" s="150"/>
      <c r="E43" s="187">
        <f>E41+E42</f>
        <v>2.0081743103685974</v>
      </c>
      <c r="F43" s="187"/>
      <c r="G43" s="187"/>
      <c r="H43" s="187"/>
    </row>
    <row r="44" spans="1:8" x14ac:dyDescent="0.35">
      <c r="A44" s="150" t="s">
        <v>85</v>
      </c>
      <c r="B44" s="150"/>
      <c r="C44" s="150"/>
      <c r="D44" s="150"/>
      <c r="E44" s="188">
        <v>608283.71</v>
      </c>
      <c r="F44" s="188"/>
      <c r="G44" s="188"/>
      <c r="H44" s="188"/>
    </row>
    <row r="45" spans="1:8" x14ac:dyDescent="0.35">
      <c r="A45" s="175" t="s">
        <v>178</v>
      </c>
      <c r="B45" s="175"/>
      <c r="C45" s="175"/>
      <c r="D45" s="175"/>
      <c r="E45" s="175" t="s">
        <v>273</v>
      </c>
      <c r="F45" s="175"/>
      <c r="G45" s="175"/>
      <c r="H45" s="175"/>
    </row>
    <row r="46" spans="1:8" x14ac:dyDescent="0.35">
      <c r="A46" s="184" t="s">
        <v>40</v>
      </c>
      <c r="B46" s="184"/>
      <c r="C46" s="184"/>
      <c r="D46" s="184"/>
      <c r="E46" s="184"/>
      <c r="F46" s="184"/>
      <c r="G46" s="184"/>
      <c r="H46" s="184"/>
    </row>
    <row r="47" spans="1:8" ht="33.75" customHeight="1" x14ac:dyDescent="0.35">
      <c r="A47" s="144" t="s">
        <v>129</v>
      </c>
      <c r="B47" s="145"/>
      <c r="C47" s="146" t="s">
        <v>157</v>
      </c>
      <c r="D47" s="147"/>
      <c r="E47" s="147"/>
      <c r="F47" s="147"/>
      <c r="G47" s="147"/>
      <c r="H47" s="148"/>
    </row>
    <row r="48" spans="1:8" ht="63.75" customHeight="1" x14ac:dyDescent="0.35">
      <c r="A48" s="144" t="s">
        <v>41</v>
      </c>
      <c r="B48" s="145"/>
      <c r="C48" s="144" t="s">
        <v>257</v>
      </c>
      <c r="D48" s="208"/>
      <c r="E48" s="145"/>
      <c r="F48" s="14" t="s">
        <v>42</v>
      </c>
      <c r="G48" s="168">
        <v>45069</v>
      </c>
      <c r="H48" s="169"/>
    </row>
    <row r="49" spans="1:14" ht="63.75" customHeight="1" x14ac:dyDescent="0.35">
      <c r="A49" s="229" t="s">
        <v>271</v>
      </c>
      <c r="B49" s="230"/>
      <c r="C49" s="144" t="s">
        <v>158</v>
      </c>
      <c r="D49" s="208"/>
      <c r="E49" s="145"/>
      <c r="F49" s="14" t="s">
        <v>42</v>
      </c>
      <c r="G49" s="168">
        <v>44910</v>
      </c>
      <c r="H49" s="169"/>
    </row>
    <row r="50" spans="1:14" s="17" customFormat="1" ht="79.5" hidden="1" customHeight="1" x14ac:dyDescent="0.35">
      <c r="A50" s="165" t="s">
        <v>176</v>
      </c>
      <c r="B50" s="167"/>
      <c r="C50" s="144" t="s">
        <v>177</v>
      </c>
      <c r="D50" s="208"/>
      <c r="E50" s="145"/>
      <c r="F50" s="14" t="s">
        <v>42</v>
      </c>
      <c r="G50" s="168">
        <f>G49</f>
        <v>44910</v>
      </c>
      <c r="H50" s="169"/>
    </row>
    <row r="51" spans="1:14" s="17" customFormat="1" ht="33.75" hidden="1" customHeight="1" x14ac:dyDescent="0.35">
      <c r="A51" s="170"/>
      <c r="B51" s="171"/>
      <c r="C51" s="144"/>
      <c r="D51" s="208"/>
      <c r="E51" s="145"/>
      <c r="F51" s="14" t="s">
        <v>112</v>
      </c>
      <c r="G51" s="144" t="s">
        <v>130</v>
      </c>
      <c r="H51" s="145"/>
    </row>
    <row r="52" spans="1:14" ht="63.75" customHeight="1" x14ac:dyDescent="0.35">
      <c r="A52" s="229" t="s">
        <v>272</v>
      </c>
      <c r="B52" s="230"/>
      <c r="C52" s="144" t="s">
        <v>257</v>
      </c>
      <c r="D52" s="208"/>
      <c r="E52" s="145"/>
      <c r="F52" s="14" t="s">
        <v>42</v>
      </c>
      <c r="G52" s="168">
        <v>45069</v>
      </c>
      <c r="H52" s="169"/>
    </row>
    <row r="53" spans="1:14" s="17" customFormat="1" ht="79.5" customHeight="1" x14ac:dyDescent="0.35">
      <c r="A53" s="144" t="s">
        <v>176</v>
      </c>
      <c r="B53" s="145"/>
      <c r="C53" s="144" t="s">
        <v>258</v>
      </c>
      <c r="D53" s="208"/>
      <c r="E53" s="145"/>
      <c r="F53" s="14" t="s">
        <v>42</v>
      </c>
      <c r="G53" s="168">
        <v>45069</v>
      </c>
      <c r="H53" s="169"/>
    </row>
    <row r="54" spans="1:14" x14ac:dyDescent="0.35">
      <c r="A54" s="226" t="s">
        <v>43</v>
      </c>
      <c r="B54" s="227"/>
      <c r="C54" s="226" t="s">
        <v>94</v>
      </c>
      <c r="D54" s="228"/>
      <c r="E54" s="227"/>
      <c r="F54" s="33" t="s">
        <v>42</v>
      </c>
      <c r="G54" s="231" t="s">
        <v>30</v>
      </c>
      <c r="H54" s="232"/>
    </row>
    <row r="55" spans="1:14" x14ac:dyDescent="0.35">
      <c r="A55" s="189" t="s">
        <v>45</v>
      </c>
      <c r="B55" s="189"/>
      <c r="C55" s="189"/>
      <c r="D55" s="189"/>
      <c r="E55" s="189"/>
      <c r="F55" s="189"/>
      <c r="G55" s="189"/>
      <c r="H55" s="189"/>
    </row>
    <row r="56" spans="1:14" x14ac:dyDescent="0.35">
      <c r="A56" s="149" t="s">
        <v>84</v>
      </c>
      <c r="B56" s="149"/>
      <c r="C56" s="149"/>
      <c r="D56" s="150">
        <f>E44</f>
        <v>608283.71</v>
      </c>
      <c r="E56" s="150"/>
      <c r="F56" s="150"/>
      <c r="G56" s="150"/>
      <c r="H56" s="150"/>
    </row>
    <row r="57" spans="1:14" x14ac:dyDescent="0.35">
      <c r="A57" s="143" t="s">
        <v>46</v>
      </c>
      <c r="B57" s="175"/>
      <c r="C57" s="175"/>
      <c r="D57" s="175" t="s">
        <v>274</v>
      </c>
      <c r="E57" s="175"/>
      <c r="F57" s="175"/>
      <c r="G57" s="175"/>
      <c r="H57" s="175"/>
      <c r="I57" s="18"/>
    </row>
    <row r="58" spans="1:14" ht="48.75" hidden="1" customHeight="1" x14ac:dyDescent="0.35">
      <c r="A58" s="165" t="s">
        <v>47</v>
      </c>
      <c r="B58" s="166"/>
      <c r="C58" s="167"/>
      <c r="D58" s="163" t="s">
        <v>134</v>
      </c>
      <c r="E58" s="164"/>
      <c r="F58" s="164"/>
      <c r="G58" s="164"/>
      <c r="H58" s="164"/>
    </row>
    <row r="59" spans="1:14" ht="15.75" hidden="1" customHeight="1" x14ac:dyDescent="0.35">
      <c r="A59" s="165" t="s">
        <v>82</v>
      </c>
      <c r="B59" s="166"/>
      <c r="C59" s="166"/>
      <c r="D59" s="220" t="s">
        <v>122</v>
      </c>
      <c r="E59" s="221"/>
      <c r="F59" s="221"/>
      <c r="G59" s="221"/>
      <c r="H59" s="222"/>
    </row>
    <row r="60" spans="1:14" ht="15.75" hidden="1" customHeight="1" x14ac:dyDescent="0.35">
      <c r="A60" s="217"/>
      <c r="B60" s="218"/>
      <c r="C60" s="218"/>
      <c r="D60" s="223" t="s">
        <v>123</v>
      </c>
      <c r="E60" s="224"/>
      <c r="F60" s="224"/>
      <c r="G60" s="224"/>
      <c r="H60" s="225"/>
    </row>
    <row r="61" spans="1:14" ht="15.75" hidden="1" customHeight="1" x14ac:dyDescent="0.35">
      <c r="A61" s="170"/>
      <c r="B61" s="219"/>
      <c r="C61" s="219"/>
      <c r="D61" s="233" t="s">
        <v>124</v>
      </c>
      <c r="E61" s="234"/>
      <c r="F61" s="234"/>
      <c r="G61" s="234"/>
      <c r="H61" s="235"/>
    </row>
    <row r="62" spans="1:14" ht="15.75" customHeight="1" x14ac:dyDescent="0.35">
      <c r="A62" s="150" t="s">
        <v>44</v>
      </c>
      <c r="B62" s="150"/>
      <c r="C62" s="150"/>
      <c r="D62" s="149" t="s">
        <v>159</v>
      </c>
      <c r="E62" s="149"/>
      <c r="F62" s="149"/>
      <c r="G62" s="149"/>
      <c r="H62" s="149"/>
      <c r="J62" s="19"/>
      <c r="K62" s="18"/>
      <c r="N62" s="18"/>
    </row>
    <row r="63" spans="1:14" ht="15.75" customHeight="1" x14ac:dyDescent="0.35">
      <c r="A63" s="150" t="s">
        <v>80</v>
      </c>
      <c r="B63" s="150"/>
      <c r="C63" s="150"/>
      <c r="D63" s="186" t="str">
        <f>(IF(G54="NA","60 Years After Completion",IF(G54&lt;&gt;"NA",""&amp;60-ROUNDDOWN((E3-G54)/360,0)&amp;" Years"," ")))</f>
        <v>60 Years After Completion</v>
      </c>
      <c r="E63" s="186"/>
      <c r="F63" s="186"/>
      <c r="G63" s="186"/>
      <c r="H63" s="186"/>
      <c r="N63" s="18"/>
    </row>
    <row r="64" spans="1:14" ht="15.75" customHeight="1" x14ac:dyDescent="0.35">
      <c r="A64" s="150" t="s">
        <v>81</v>
      </c>
      <c r="B64" s="150"/>
      <c r="C64" s="150"/>
      <c r="D64" s="149" t="s">
        <v>24</v>
      </c>
      <c r="E64" s="149"/>
      <c r="F64" s="149"/>
      <c r="G64" s="149"/>
      <c r="H64" s="149"/>
      <c r="J64" s="20"/>
      <c r="K64" s="20"/>
    </row>
    <row r="65" spans="1:18" ht="30" hidden="1" customHeight="1" x14ac:dyDescent="0.35">
      <c r="A65" s="150" t="s">
        <v>69</v>
      </c>
      <c r="B65" s="150"/>
      <c r="C65" s="150"/>
      <c r="D65" s="143" t="s">
        <v>145</v>
      </c>
      <c r="E65" s="149"/>
      <c r="F65" s="149"/>
      <c r="G65" s="149"/>
      <c r="H65" s="149"/>
    </row>
    <row r="66" spans="1:18" x14ac:dyDescent="0.35">
      <c r="A66" s="149" t="s">
        <v>125</v>
      </c>
      <c r="B66" s="149"/>
      <c r="C66" s="149"/>
      <c r="D66" s="149" t="s">
        <v>30</v>
      </c>
      <c r="E66" s="149"/>
      <c r="F66" s="149"/>
      <c r="G66" s="149"/>
      <c r="H66" s="149"/>
      <c r="I66" s="21"/>
      <c r="J66" s="21"/>
      <c r="K66" s="21"/>
      <c r="L66" s="21"/>
      <c r="M66" s="21"/>
      <c r="N66" s="21"/>
    </row>
    <row r="67" spans="1:18" ht="15.75" customHeight="1" x14ac:dyDescent="0.35">
      <c r="A67" s="150" t="s">
        <v>79</v>
      </c>
      <c r="B67" s="150"/>
      <c r="C67" s="150"/>
      <c r="D67" s="143" t="s">
        <v>30</v>
      </c>
      <c r="E67" s="143"/>
      <c r="F67" s="143"/>
      <c r="G67" s="143"/>
      <c r="H67" s="143"/>
      <c r="J67" s="20"/>
    </row>
    <row r="68" spans="1:18" s="34" customFormat="1" ht="33.75" customHeight="1" x14ac:dyDescent="0.35">
      <c r="A68" s="149" t="s">
        <v>107</v>
      </c>
      <c r="B68" s="149"/>
      <c r="C68" s="149"/>
      <c r="D68" s="143" t="s">
        <v>30</v>
      </c>
      <c r="E68" s="143"/>
      <c r="F68" s="143" t="b">
        <f>(IF(D67="Nothing","Yes",IF(D67="Cement, Aggregate, Steel, etc","Under Construction",IF(D67="Work not yet Started","Work not yet Started"))))</f>
        <v>0</v>
      </c>
      <c r="G68" s="143"/>
      <c r="H68" s="143"/>
      <c r="I68" s="51"/>
      <c r="J68" s="51"/>
      <c r="K68" s="51"/>
      <c r="L68" s="51"/>
      <c r="M68" s="51"/>
      <c r="N68" s="51"/>
      <c r="O68" s="51"/>
      <c r="P68" s="51"/>
      <c r="Q68" s="51"/>
      <c r="R68" s="51"/>
    </row>
    <row r="69" spans="1:18" s="52" customFormat="1" ht="14.5" x14ac:dyDescent="0.35">
      <c r="A69" s="250" t="s">
        <v>207</v>
      </c>
      <c r="B69" s="250"/>
      <c r="C69" s="250"/>
      <c r="D69" s="250"/>
      <c r="E69" s="250"/>
      <c r="F69" s="250"/>
      <c r="G69" s="250"/>
      <c r="H69" s="250"/>
    </row>
    <row r="70" spans="1:18" s="52" customFormat="1" ht="19.5" customHeight="1" x14ac:dyDescent="0.35">
      <c r="A70" s="251" t="s">
        <v>205</v>
      </c>
      <c r="B70" s="252" t="s">
        <v>206</v>
      </c>
      <c r="C70" s="252"/>
      <c r="D70" s="252"/>
      <c r="E70" s="252" t="s">
        <v>78</v>
      </c>
      <c r="F70" s="252"/>
      <c r="G70" s="252" t="s">
        <v>77</v>
      </c>
      <c r="H70" s="252"/>
    </row>
    <row r="71" spans="1:18" s="52" customFormat="1" hidden="1" x14ac:dyDescent="0.35">
      <c r="A71" s="106">
        <v>1</v>
      </c>
      <c r="B71" s="203" t="str">
        <f>Construction!P2</f>
        <v>Work not yet Started.</v>
      </c>
      <c r="C71" s="203"/>
      <c r="D71" s="203"/>
      <c r="E71" s="253">
        <f>Construction!N2</f>
        <v>0</v>
      </c>
      <c r="F71" s="253"/>
      <c r="G71" s="253">
        <f>Construction!O2</f>
        <v>0</v>
      </c>
      <c r="H71" s="253"/>
    </row>
    <row r="72" spans="1:18" s="52" customFormat="1" hidden="1" x14ac:dyDescent="0.35">
      <c r="A72" s="106">
        <f t="shared" ref="A72:A82" si="0">A71+1</f>
        <v>2</v>
      </c>
      <c r="B72" s="203" t="str">
        <f>Construction!P3</f>
        <v>Work not yet Started.</v>
      </c>
      <c r="C72" s="203"/>
      <c r="D72" s="203"/>
      <c r="E72" s="253">
        <f>Construction!N3</f>
        <v>0</v>
      </c>
      <c r="F72" s="253"/>
      <c r="G72" s="253">
        <f>Construction!O3</f>
        <v>0</v>
      </c>
      <c r="H72" s="253"/>
    </row>
    <row r="73" spans="1:18" s="52" customFormat="1" x14ac:dyDescent="0.35">
      <c r="A73" s="68">
        <f t="shared" si="0"/>
        <v>3</v>
      </c>
      <c r="B73" s="203" t="str">
        <f>Construction!P4</f>
        <v>All work completed. Please provide OC.</v>
      </c>
      <c r="C73" s="203"/>
      <c r="D73" s="203"/>
      <c r="E73" s="253">
        <f>Construction!N4</f>
        <v>1</v>
      </c>
      <c r="F73" s="253"/>
      <c r="G73" s="253">
        <f>Construction!O4</f>
        <v>1</v>
      </c>
      <c r="H73" s="253"/>
    </row>
    <row r="74" spans="1:18" s="52" customFormat="1" hidden="1" x14ac:dyDescent="0.35">
      <c r="A74" s="106">
        <f t="shared" si="0"/>
        <v>4</v>
      </c>
      <c r="B74" s="203" t="str">
        <f>Construction!P5</f>
        <v>Work not yet Started.</v>
      </c>
      <c r="C74" s="203"/>
      <c r="D74" s="203"/>
      <c r="E74" s="253">
        <f>Construction!N5</f>
        <v>0</v>
      </c>
      <c r="F74" s="253"/>
      <c r="G74" s="253">
        <f>Construction!O5</f>
        <v>0</v>
      </c>
      <c r="H74" s="253"/>
    </row>
    <row r="75" spans="1:18" s="52" customFormat="1" hidden="1" x14ac:dyDescent="0.35">
      <c r="A75" s="106">
        <f t="shared" si="0"/>
        <v>5</v>
      </c>
      <c r="B75" s="203" t="str">
        <f>Construction!P6</f>
        <v>Work not yet Started.</v>
      </c>
      <c r="C75" s="203"/>
      <c r="D75" s="203"/>
      <c r="E75" s="253">
        <f>Construction!N6</f>
        <v>0</v>
      </c>
      <c r="F75" s="253"/>
      <c r="G75" s="253">
        <f>Construction!O6</f>
        <v>0</v>
      </c>
      <c r="H75" s="253"/>
    </row>
    <row r="76" spans="1:18" s="52" customFormat="1" hidden="1" x14ac:dyDescent="0.35">
      <c r="A76" s="106">
        <f t="shared" si="0"/>
        <v>6</v>
      </c>
      <c r="B76" s="203" t="str">
        <f>Construction!P7</f>
        <v>Work not yet Started.</v>
      </c>
      <c r="C76" s="203"/>
      <c r="D76" s="203"/>
      <c r="E76" s="253">
        <f>Construction!N7</f>
        <v>0</v>
      </c>
      <c r="F76" s="253"/>
      <c r="G76" s="253">
        <f>Construction!O7</f>
        <v>0</v>
      </c>
      <c r="H76" s="253"/>
    </row>
    <row r="77" spans="1:18" s="52" customFormat="1" hidden="1" x14ac:dyDescent="0.35">
      <c r="A77" s="106">
        <f t="shared" si="0"/>
        <v>7</v>
      </c>
      <c r="B77" s="203" t="str">
        <f>Construction!P8</f>
        <v>Work not yet Started.</v>
      </c>
      <c r="C77" s="203"/>
      <c r="D77" s="203"/>
      <c r="E77" s="253">
        <f>Construction!N8</f>
        <v>0</v>
      </c>
      <c r="F77" s="253"/>
      <c r="G77" s="253">
        <f>Construction!O8</f>
        <v>0</v>
      </c>
      <c r="H77" s="253"/>
    </row>
    <row r="78" spans="1:18" s="52" customFormat="1" hidden="1" x14ac:dyDescent="0.35">
      <c r="A78" s="106">
        <f t="shared" si="0"/>
        <v>8</v>
      </c>
      <c r="B78" s="203" t="str">
        <f>Construction!P9</f>
        <v>Work not yet Started.</v>
      </c>
      <c r="C78" s="203"/>
      <c r="D78" s="203"/>
      <c r="E78" s="253">
        <f>Construction!N9</f>
        <v>0</v>
      </c>
      <c r="F78" s="253"/>
      <c r="G78" s="253">
        <f>Construction!O9</f>
        <v>0</v>
      </c>
      <c r="H78" s="253"/>
    </row>
    <row r="79" spans="1:18" s="52" customFormat="1" hidden="1" x14ac:dyDescent="0.35">
      <c r="A79" s="106">
        <f t="shared" si="0"/>
        <v>9</v>
      </c>
      <c r="B79" s="203" t="str">
        <f>Construction!P10</f>
        <v>Work not yet Started.</v>
      </c>
      <c r="C79" s="203"/>
      <c r="D79" s="203"/>
      <c r="E79" s="253">
        <f>Construction!N10</f>
        <v>0</v>
      </c>
      <c r="F79" s="253"/>
      <c r="G79" s="253">
        <f>Construction!O10</f>
        <v>0</v>
      </c>
      <c r="H79" s="253"/>
    </row>
    <row r="80" spans="1:18" s="52" customFormat="1" hidden="1" x14ac:dyDescent="0.35">
      <c r="A80" s="106">
        <f t="shared" si="0"/>
        <v>10</v>
      </c>
      <c r="B80" s="203" t="str">
        <f>Construction!P11</f>
        <v>Work not yet Started.</v>
      </c>
      <c r="C80" s="203"/>
      <c r="D80" s="203"/>
      <c r="E80" s="253">
        <f>Construction!N11</f>
        <v>0</v>
      </c>
      <c r="F80" s="253"/>
      <c r="G80" s="253">
        <f>Construction!O11</f>
        <v>0</v>
      </c>
      <c r="H80" s="253"/>
    </row>
    <row r="81" spans="1:8" s="53" customFormat="1" hidden="1" x14ac:dyDescent="0.35">
      <c r="A81" s="106">
        <f t="shared" si="0"/>
        <v>11</v>
      </c>
      <c r="B81" s="203" t="str">
        <f>Construction!P12</f>
        <v>Work not yet Started.</v>
      </c>
      <c r="C81" s="203"/>
      <c r="D81" s="203"/>
      <c r="E81" s="253">
        <f>Construction!N12</f>
        <v>0</v>
      </c>
      <c r="F81" s="253"/>
      <c r="G81" s="253">
        <f>Construction!O12</f>
        <v>0</v>
      </c>
      <c r="H81" s="253"/>
    </row>
    <row r="82" spans="1:8" s="53" customFormat="1" hidden="1" x14ac:dyDescent="0.35">
      <c r="A82" s="106">
        <f t="shared" si="0"/>
        <v>12</v>
      </c>
      <c r="B82" s="203" t="str">
        <f>Construction!P13</f>
        <v>Work not yet Started.</v>
      </c>
      <c r="C82" s="203"/>
      <c r="D82" s="203"/>
      <c r="E82" s="253">
        <f>Construction!N13</f>
        <v>0</v>
      </c>
      <c r="F82" s="253"/>
      <c r="G82" s="253">
        <f>Construction!O13</f>
        <v>0</v>
      </c>
      <c r="H82" s="253"/>
    </row>
    <row r="83" spans="1:8" s="53" customFormat="1" hidden="1" x14ac:dyDescent="0.35">
      <c r="A83" s="106">
        <v>14</v>
      </c>
      <c r="B83" s="203" t="str">
        <f>Construction!P14</f>
        <v>Work not yet Started.</v>
      </c>
      <c r="C83" s="203"/>
      <c r="D83" s="203"/>
      <c r="E83" s="253">
        <f>Construction!N14</f>
        <v>0</v>
      </c>
      <c r="F83" s="253"/>
      <c r="G83" s="253">
        <f>Construction!O14</f>
        <v>0</v>
      </c>
      <c r="H83" s="253"/>
    </row>
    <row r="84" spans="1:8" s="53" customFormat="1" hidden="1" x14ac:dyDescent="0.35">
      <c r="A84" s="106">
        <v>15</v>
      </c>
      <c r="B84" s="203" t="str">
        <f>Construction!P15</f>
        <v>Work not yet Started.</v>
      </c>
      <c r="C84" s="203"/>
      <c r="D84" s="203"/>
      <c r="E84" s="253">
        <f>Construction!N15</f>
        <v>0</v>
      </c>
      <c r="F84" s="253"/>
      <c r="G84" s="253">
        <f>Construction!O15</f>
        <v>0</v>
      </c>
      <c r="H84" s="253"/>
    </row>
    <row r="85" spans="1:8" s="53" customFormat="1" hidden="1" x14ac:dyDescent="0.35">
      <c r="A85" s="106">
        <v>16</v>
      </c>
      <c r="B85" s="203" t="str">
        <f>Construction!P16</f>
        <v>Work not yet Started.</v>
      </c>
      <c r="C85" s="203"/>
      <c r="D85" s="203"/>
      <c r="E85" s="253">
        <f>Construction!N16</f>
        <v>0</v>
      </c>
      <c r="F85" s="253"/>
      <c r="G85" s="253">
        <f>Construction!O16</f>
        <v>0</v>
      </c>
      <c r="H85" s="253"/>
    </row>
    <row r="86" spans="1:8" s="53" customFormat="1" x14ac:dyDescent="0.35">
      <c r="A86" s="106">
        <v>17</v>
      </c>
      <c r="B86" s="203" t="str">
        <f>Construction!P17</f>
        <v>Excavation work in process</v>
      </c>
      <c r="C86" s="203"/>
      <c r="D86" s="203"/>
      <c r="E86" s="253">
        <f>Construction!N17</f>
        <v>0</v>
      </c>
      <c r="F86" s="253"/>
      <c r="G86" s="253">
        <f>Construction!O17</f>
        <v>0.1</v>
      </c>
      <c r="H86" s="253"/>
    </row>
    <row r="87" spans="1:8" s="53" customFormat="1" ht="30.75" customHeight="1" x14ac:dyDescent="0.35">
      <c r="A87" s="106">
        <v>18</v>
      </c>
      <c r="B87" s="203" t="str">
        <f>Construction!P18</f>
        <v>Excavation work Completed. Plinth work completed</v>
      </c>
      <c r="C87" s="203"/>
      <c r="D87" s="203"/>
      <c r="E87" s="253">
        <f>Construction!N18</f>
        <v>0.1</v>
      </c>
      <c r="F87" s="253"/>
      <c r="G87" s="253">
        <f>Construction!O18</f>
        <v>0.45</v>
      </c>
      <c r="H87" s="253"/>
    </row>
    <row r="88" spans="1:8" s="53" customFormat="1" x14ac:dyDescent="0.35">
      <c r="A88" s="106">
        <v>19</v>
      </c>
      <c r="B88" s="203" t="str">
        <f>Construction!P19</f>
        <v>Work not yet Started.</v>
      </c>
      <c r="C88" s="203"/>
      <c r="D88" s="203"/>
      <c r="E88" s="253">
        <f>Construction!N19</f>
        <v>0</v>
      </c>
      <c r="F88" s="253"/>
      <c r="G88" s="253">
        <f>Construction!O19</f>
        <v>0</v>
      </c>
      <c r="H88" s="253"/>
    </row>
    <row r="89" spans="1:8" s="53" customFormat="1" hidden="1" x14ac:dyDescent="0.35">
      <c r="A89" s="106">
        <v>20</v>
      </c>
      <c r="B89" s="203" t="str">
        <f>Construction!P20</f>
        <v>Work not yet Started.</v>
      </c>
      <c r="C89" s="203"/>
      <c r="D89" s="203"/>
      <c r="E89" s="253">
        <f>Construction!N20</f>
        <v>0</v>
      </c>
      <c r="F89" s="253"/>
      <c r="G89" s="253">
        <f>Construction!O20</f>
        <v>0</v>
      </c>
      <c r="H89" s="253"/>
    </row>
    <row r="90" spans="1:8" s="53" customFormat="1" hidden="1" x14ac:dyDescent="0.35">
      <c r="A90" s="106">
        <v>21</v>
      </c>
      <c r="B90" s="203" t="str">
        <f>Construction!P21</f>
        <v>Work not yet Started.</v>
      </c>
      <c r="C90" s="203"/>
      <c r="D90" s="203"/>
      <c r="E90" s="253">
        <f>Construction!N21</f>
        <v>0</v>
      </c>
      <c r="F90" s="253"/>
      <c r="G90" s="253">
        <f>Construction!O21</f>
        <v>0</v>
      </c>
      <c r="H90" s="253"/>
    </row>
    <row r="91" spans="1:8" s="53" customFormat="1" hidden="1" x14ac:dyDescent="0.35">
      <c r="A91" s="106">
        <v>22</v>
      </c>
      <c r="B91" s="203" t="str">
        <f>Construction!P22</f>
        <v>Work not yet Started.</v>
      </c>
      <c r="C91" s="203"/>
      <c r="D91" s="203"/>
      <c r="E91" s="253">
        <f>Construction!N22</f>
        <v>0</v>
      </c>
      <c r="F91" s="253"/>
      <c r="G91" s="253">
        <f>Construction!O22</f>
        <v>0</v>
      </c>
      <c r="H91" s="253"/>
    </row>
    <row r="92" spans="1:8" s="53" customFormat="1" hidden="1" x14ac:dyDescent="0.35">
      <c r="A92" s="106">
        <v>23</v>
      </c>
      <c r="B92" s="203" t="str">
        <f>Construction!P23</f>
        <v>Work not yet Started.</v>
      </c>
      <c r="C92" s="203"/>
      <c r="D92" s="203"/>
      <c r="E92" s="253">
        <f>Construction!N23</f>
        <v>0</v>
      </c>
      <c r="F92" s="253"/>
      <c r="G92" s="253">
        <f>Construction!O23</f>
        <v>0</v>
      </c>
      <c r="H92" s="253"/>
    </row>
    <row r="93" spans="1:8" s="53" customFormat="1" hidden="1" x14ac:dyDescent="0.35">
      <c r="A93" s="106">
        <v>24</v>
      </c>
      <c r="B93" s="203" t="str">
        <f>Construction!P24</f>
        <v>Work not yet Started.</v>
      </c>
      <c r="C93" s="203"/>
      <c r="D93" s="203"/>
      <c r="E93" s="253">
        <f>Construction!N24</f>
        <v>0</v>
      </c>
      <c r="F93" s="253"/>
      <c r="G93" s="253">
        <f>Construction!O24</f>
        <v>0</v>
      </c>
      <c r="H93" s="253"/>
    </row>
    <row r="94" spans="1:8" s="53" customFormat="1" hidden="1" x14ac:dyDescent="0.35">
      <c r="A94" s="106">
        <v>25</v>
      </c>
      <c r="B94" s="203" t="str">
        <f>Construction!P25</f>
        <v>Work not yet Started.</v>
      </c>
      <c r="C94" s="203"/>
      <c r="D94" s="203"/>
      <c r="E94" s="253">
        <f>Construction!N25</f>
        <v>0</v>
      </c>
      <c r="F94" s="253"/>
      <c r="G94" s="253">
        <f>Construction!O25</f>
        <v>0</v>
      </c>
      <c r="H94" s="253"/>
    </row>
    <row r="95" spans="1:8" s="53" customFormat="1" hidden="1" x14ac:dyDescent="0.35">
      <c r="A95" s="106">
        <v>26</v>
      </c>
      <c r="B95" s="203" t="str">
        <f>Construction!P26</f>
        <v>Work not yet Started.</v>
      </c>
      <c r="C95" s="203"/>
      <c r="D95" s="203"/>
      <c r="E95" s="253">
        <f>Construction!N26</f>
        <v>0</v>
      </c>
      <c r="F95" s="253"/>
      <c r="G95" s="253">
        <f>Construction!O26</f>
        <v>0</v>
      </c>
      <c r="H95" s="253"/>
    </row>
    <row r="96" spans="1:8" s="53" customFormat="1" hidden="1" x14ac:dyDescent="0.35">
      <c r="A96" s="106">
        <v>27</v>
      </c>
      <c r="B96" s="203" t="str">
        <f>Construction!P27</f>
        <v>Work not yet Started.</v>
      </c>
      <c r="C96" s="203"/>
      <c r="D96" s="203"/>
      <c r="E96" s="253">
        <f>Construction!N27</f>
        <v>0</v>
      </c>
      <c r="F96" s="253"/>
      <c r="G96" s="253">
        <f>Construction!O27</f>
        <v>0</v>
      </c>
      <c r="H96" s="253"/>
    </row>
    <row r="97" spans="1:8" s="53" customFormat="1" hidden="1" x14ac:dyDescent="0.35">
      <c r="A97" s="106">
        <v>28</v>
      </c>
      <c r="B97" s="203" t="str">
        <f>Construction!P28</f>
        <v>Work not yet Started.</v>
      </c>
      <c r="C97" s="203"/>
      <c r="D97" s="203"/>
      <c r="E97" s="253">
        <f>Construction!N28</f>
        <v>0</v>
      </c>
      <c r="F97" s="253"/>
      <c r="G97" s="253">
        <f>Construction!O28</f>
        <v>0</v>
      </c>
      <c r="H97" s="253"/>
    </row>
    <row r="98" spans="1:8" s="53" customFormat="1" hidden="1" x14ac:dyDescent="0.35">
      <c r="A98" s="106">
        <v>29</v>
      </c>
      <c r="B98" s="203" t="str">
        <f>Construction!P29</f>
        <v>Work not yet Started.</v>
      </c>
      <c r="C98" s="203"/>
      <c r="D98" s="203"/>
      <c r="E98" s="253">
        <f>Construction!N29</f>
        <v>0</v>
      </c>
      <c r="F98" s="253"/>
      <c r="G98" s="253">
        <f>Construction!O29</f>
        <v>0</v>
      </c>
      <c r="H98" s="253"/>
    </row>
    <row r="99" spans="1:8" s="53" customFormat="1" hidden="1" x14ac:dyDescent="0.35">
      <c r="A99" s="106">
        <v>30</v>
      </c>
      <c r="B99" s="203" t="str">
        <f>Construction!P30</f>
        <v>Work not yet Started.</v>
      </c>
      <c r="C99" s="203"/>
      <c r="D99" s="203"/>
      <c r="E99" s="253">
        <f>Construction!N30</f>
        <v>0</v>
      </c>
      <c r="F99" s="253"/>
      <c r="G99" s="253">
        <f>Construction!O30</f>
        <v>0</v>
      </c>
      <c r="H99" s="253"/>
    </row>
    <row r="100" spans="1:8" s="53" customFormat="1" hidden="1" x14ac:dyDescent="0.35">
      <c r="A100" s="106">
        <v>31</v>
      </c>
      <c r="B100" s="203" t="str">
        <f>Construction!P31</f>
        <v>Work not yet Started.</v>
      </c>
      <c r="C100" s="203"/>
      <c r="D100" s="203"/>
      <c r="E100" s="253">
        <f>Construction!N31</f>
        <v>0</v>
      </c>
      <c r="F100" s="253"/>
      <c r="G100" s="253">
        <f>Construction!O31</f>
        <v>0</v>
      </c>
      <c r="H100" s="253"/>
    </row>
    <row r="101" spans="1:8" s="53" customFormat="1" hidden="1" x14ac:dyDescent="0.35">
      <c r="A101" s="106">
        <v>32</v>
      </c>
      <c r="B101" s="203" t="str">
        <f>Construction!P32</f>
        <v>Work not yet Started.</v>
      </c>
      <c r="C101" s="203"/>
      <c r="D101" s="203"/>
      <c r="E101" s="253">
        <f>Construction!N32</f>
        <v>0</v>
      </c>
      <c r="F101" s="253"/>
      <c r="G101" s="253">
        <f>Construction!O32</f>
        <v>0</v>
      </c>
      <c r="H101" s="253"/>
    </row>
    <row r="102" spans="1:8" s="53" customFormat="1" hidden="1" x14ac:dyDescent="0.35">
      <c r="A102" s="106">
        <v>33</v>
      </c>
      <c r="B102" s="203" t="str">
        <f>Construction!P33</f>
        <v>Work not yet Started.</v>
      </c>
      <c r="C102" s="203"/>
      <c r="D102" s="203"/>
      <c r="E102" s="253">
        <f>Construction!N33</f>
        <v>0</v>
      </c>
      <c r="F102" s="253"/>
      <c r="G102" s="253">
        <f>Construction!O33</f>
        <v>0</v>
      </c>
      <c r="H102" s="253"/>
    </row>
    <row r="103" spans="1:8" s="53" customFormat="1" hidden="1" x14ac:dyDescent="0.35">
      <c r="A103" s="106">
        <v>34</v>
      </c>
      <c r="B103" s="203" t="str">
        <f>Construction!P34</f>
        <v>Work not yet Started.</v>
      </c>
      <c r="C103" s="203"/>
      <c r="D103" s="203"/>
      <c r="E103" s="253">
        <f>Construction!N34</f>
        <v>0</v>
      </c>
      <c r="F103" s="253"/>
      <c r="G103" s="253">
        <f>Construction!O34</f>
        <v>0</v>
      </c>
      <c r="H103" s="253"/>
    </row>
    <row r="104" spans="1:8" s="53" customFormat="1" hidden="1" x14ac:dyDescent="0.35">
      <c r="A104" s="106">
        <v>35</v>
      </c>
      <c r="B104" s="203" t="str">
        <f>Construction!P35</f>
        <v>Work not yet Started.</v>
      </c>
      <c r="C104" s="203"/>
      <c r="D104" s="203"/>
      <c r="E104" s="253">
        <f>Construction!N35</f>
        <v>0</v>
      </c>
      <c r="F104" s="253"/>
      <c r="G104" s="253">
        <f>Construction!O35</f>
        <v>0</v>
      </c>
      <c r="H104" s="253"/>
    </row>
    <row r="105" spans="1:8" s="53" customFormat="1" hidden="1" x14ac:dyDescent="0.35">
      <c r="A105" s="106">
        <v>36</v>
      </c>
      <c r="B105" s="203" t="str">
        <f>Construction!P36</f>
        <v>Work not yet Started.</v>
      </c>
      <c r="C105" s="203"/>
      <c r="D105" s="203"/>
      <c r="E105" s="253">
        <f>Construction!N36</f>
        <v>0</v>
      </c>
      <c r="F105" s="253"/>
      <c r="G105" s="253">
        <f>Construction!O36</f>
        <v>0</v>
      </c>
      <c r="H105" s="253"/>
    </row>
    <row r="106" spans="1:8" s="53" customFormat="1" hidden="1" x14ac:dyDescent="0.35">
      <c r="A106" s="106">
        <v>37</v>
      </c>
      <c r="B106" s="203" t="str">
        <f>Construction!P37</f>
        <v>Work not yet Started.</v>
      </c>
      <c r="C106" s="203"/>
      <c r="D106" s="203"/>
      <c r="E106" s="253">
        <f>Construction!N37</f>
        <v>0</v>
      </c>
      <c r="F106" s="253"/>
      <c r="G106" s="253">
        <f>Construction!O37</f>
        <v>0</v>
      </c>
      <c r="H106" s="253"/>
    </row>
    <row r="107" spans="1:8" s="53" customFormat="1" hidden="1" x14ac:dyDescent="0.35">
      <c r="A107" s="106">
        <v>38</v>
      </c>
      <c r="B107" s="203" t="str">
        <f>Construction!P38</f>
        <v>Work not yet Started.</v>
      </c>
      <c r="C107" s="203"/>
      <c r="D107" s="203"/>
      <c r="E107" s="253">
        <f>Construction!N38</f>
        <v>0</v>
      </c>
      <c r="F107" s="253"/>
      <c r="G107" s="253">
        <f>Construction!O38</f>
        <v>0</v>
      </c>
      <c r="H107" s="253"/>
    </row>
    <row r="108" spans="1:8" s="53" customFormat="1" hidden="1" x14ac:dyDescent="0.35">
      <c r="A108" s="106">
        <v>39</v>
      </c>
      <c r="B108" s="203" t="str">
        <f>Construction!P39</f>
        <v>Work not yet Started.</v>
      </c>
      <c r="C108" s="203"/>
      <c r="D108" s="203"/>
      <c r="E108" s="253">
        <f>Construction!N39</f>
        <v>0</v>
      </c>
      <c r="F108" s="253"/>
      <c r="G108" s="253">
        <f>Construction!O39</f>
        <v>0</v>
      </c>
      <c r="H108" s="253"/>
    </row>
    <row r="109" spans="1:8" s="53" customFormat="1" hidden="1" x14ac:dyDescent="0.35">
      <c r="A109" s="106">
        <v>40</v>
      </c>
      <c r="B109" s="203" t="str">
        <f>Construction!P40</f>
        <v>Work not yet Started.</v>
      </c>
      <c r="C109" s="203"/>
      <c r="D109" s="203"/>
      <c r="E109" s="253">
        <f>Construction!N40</f>
        <v>0</v>
      </c>
      <c r="F109" s="253"/>
      <c r="G109" s="253">
        <f>Construction!O40</f>
        <v>0</v>
      </c>
      <c r="H109" s="253"/>
    </row>
    <row r="110" spans="1:8" s="53" customFormat="1" hidden="1" x14ac:dyDescent="0.35">
      <c r="A110" s="106">
        <v>41</v>
      </c>
      <c r="B110" s="203" t="str">
        <f>Construction!P41</f>
        <v>Work not yet Started.</v>
      </c>
      <c r="C110" s="203"/>
      <c r="D110" s="203"/>
      <c r="E110" s="253">
        <f>Construction!N41</f>
        <v>0</v>
      </c>
      <c r="F110" s="253"/>
      <c r="G110" s="253">
        <f>Construction!O41</f>
        <v>0</v>
      </c>
      <c r="H110" s="253"/>
    </row>
    <row r="111" spans="1:8" s="53" customFormat="1" hidden="1" x14ac:dyDescent="0.35">
      <c r="A111" s="106">
        <v>42</v>
      </c>
      <c r="B111" s="203" t="str">
        <f>Construction!P42</f>
        <v>Work not yet Started.</v>
      </c>
      <c r="C111" s="203"/>
      <c r="D111" s="203"/>
      <c r="E111" s="253">
        <f>Construction!N42</f>
        <v>0</v>
      </c>
      <c r="F111" s="253"/>
      <c r="G111" s="253">
        <f>Construction!O42</f>
        <v>0</v>
      </c>
      <c r="H111" s="253"/>
    </row>
    <row r="112" spans="1:8" s="53" customFormat="1" hidden="1" x14ac:dyDescent="0.35">
      <c r="A112" s="106">
        <v>43</v>
      </c>
      <c r="B112" s="203" t="str">
        <f>Construction!P43</f>
        <v>Work not yet Started.</v>
      </c>
      <c r="C112" s="203"/>
      <c r="D112" s="203"/>
      <c r="E112" s="253">
        <f>Construction!N43</f>
        <v>0</v>
      </c>
      <c r="F112" s="253"/>
      <c r="G112" s="253">
        <f>Construction!O43</f>
        <v>0</v>
      </c>
      <c r="H112" s="253"/>
    </row>
    <row r="113" spans="1:8" s="53" customFormat="1" hidden="1" x14ac:dyDescent="0.35">
      <c r="A113" s="106">
        <v>44</v>
      </c>
      <c r="B113" s="203" t="str">
        <f>Construction!P44</f>
        <v>Work not yet Started.</v>
      </c>
      <c r="C113" s="203"/>
      <c r="D113" s="203"/>
      <c r="E113" s="253">
        <f>Construction!N44</f>
        <v>0</v>
      </c>
      <c r="F113" s="253"/>
      <c r="G113" s="253">
        <f>Construction!O44</f>
        <v>0</v>
      </c>
      <c r="H113" s="253"/>
    </row>
    <row r="114" spans="1:8" s="53" customFormat="1" hidden="1" x14ac:dyDescent="0.35">
      <c r="A114" s="106">
        <v>45</v>
      </c>
      <c r="B114" s="203" t="str">
        <f>Construction!P45</f>
        <v>Work not yet Started.</v>
      </c>
      <c r="C114" s="203"/>
      <c r="D114" s="203"/>
      <c r="E114" s="253">
        <f>Construction!N45</f>
        <v>0</v>
      </c>
      <c r="F114" s="253"/>
      <c r="G114" s="253">
        <f>Construction!O45</f>
        <v>0</v>
      </c>
      <c r="H114" s="253"/>
    </row>
    <row r="115" spans="1:8" s="53" customFormat="1" hidden="1" x14ac:dyDescent="0.35">
      <c r="A115" s="106">
        <v>46</v>
      </c>
      <c r="B115" s="203" t="str">
        <f>Construction!P46</f>
        <v>Work not yet Started.</v>
      </c>
      <c r="C115" s="203"/>
      <c r="D115" s="203"/>
      <c r="E115" s="253">
        <f>Construction!N46</f>
        <v>0</v>
      </c>
      <c r="F115" s="253"/>
      <c r="G115" s="253">
        <f>Construction!O46</f>
        <v>0</v>
      </c>
      <c r="H115" s="253"/>
    </row>
    <row r="116" spans="1:8" s="53" customFormat="1" hidden="1" x14ac:dyDescent="0.35">
      <c r="A116" s="106">
        <v>47</v>
      </c>
      <c r="B116" s="203" t="str">
        <f>Construction!P47</f>
        <v>Work not yet Started.</v>
      </c>
      <c r="C116" s="203"/>
      <c r="D116" s="203"/>
      <c r="E116" s="253">
        <f>Construction!N47</f>
        <v>0</v>
      </c>
      <c r="F116" s="253"/>
      <c r="G116" s="253">
        <f>Construction!O47</f>
        <v>0</v>
      </c>
      <c r="H116" s="253"/>
    </row>
    <row r="117" spans="1:8" s="53" customFormat="1" hidden="1" x14ac:dyDescent="0.35">
      <c r="A117" s="106">
        <v>48</v>
      </c>
      <c r="B117" s="203" t="str">
        <f>Construction!P48</f>
        <v>Work not yet Started.</v>
      </c>
      <c r="C117" s="203"/>
      <c r="D117" s="203"/>
      <c r="E117" s="253">
        <f>Construction!N48</f>
        <v>0</v>
      </c>
      <c r="F117" s="253"/>
      <c r="G117" s="253">
        <f>Construction!O48</f>
        <v>0</v>
      </c>
      <c r="H117" s="253"/>
    </row>
    <row r="118" spans="1:8" s="53" customFormat="1" hidden="1" x14ac:dyDescent="0.35">
      <c r="A118" s="106">
        <v>49</v>
      </c>
      <c r="B118" s="203" t="str">
        <f>Construction!P49</f>
        <v>Work not yet Started.</v>
      </c>
      <c r="C118" s="203"/>
      <c r="D118" s="203"/>
      <c r="E118" s="253">
        <f>Construction!N49</f>
        <v>0</v>
      </c>
      <c r="F118" s="253"/>
      <c r="G118" s="253">
        <f>Construction!O49</f>
        <v>0</v>
      </c>
      <c r="H118" s="253"/>
    </row>
    <row r="119" spans="1:8" s="53" customFormat="1" hidden="1" x14ac:dyDescent="0.35">
      <c r="A119" s="106">
        <v>50</v>
      </c>
      <c r="B119" s="203" t="str">
        <f>Construction!P50</f>
        <v>Work not yet Started.</v>
      </c>
      <c r="C119" s="203"/>
      <c r="D119" s="203"/>
      <c r="E119" s="253">
        <f>Construction!N50</f>
        <v>0</v>
      </c>
      <c r="F119" s="253"/>
      <c r="G119" s="253">
        <f>Construction!O50</f>
        <v>0</v>
      </c>
      <c r="H119" s="253"/>
    </row>
    <row r="120" spans="1:8" s="53" customFormat="1" hidden="1" x14ac:dyDescent="0.35">
      <c r="A120" s="106">
        <v>51</v>
      </c>
      <c r="B120" s="203" t="str">
        <f>Construction!P51</f>
        <v>Work not yet Started.</v>
      </c>
      <c r="C120" s="203"/>
      <c r="D120" s="203"/>
      <c r="E120" s="253">
        <f>Construction!N51</f>
        <v>0</v>
      </c>
      <c r="F120" s="253"/>
      <c r="G120" s="253">
        <f>Construction!O51</f>
        <v>0</v>
      </c>
      <c r="H120" s="253"/>
    </row>
    <row r="121" spans="1:8" s="53" customFormat="1" hidden="1" x14ac:dyDescent="0.35">
      <c r="A121" s="106">
        <v>52</v>
      </c>
      <c r="B121" s="203" t="str">
        <f>Construction!P52</f>
        <v>Work not yet Started.</v>
      </c>
      <c r="C121" s="203"/>
      <c r="D121" s="203"/>
      <c r="E121" s="253">
        <f>Construction!N52</f>
        <v>0</v>
      </c>
      <c r="F121" s="253"/>
      <c r="G121" s="253">
        <f>Construction!O52</f>
        <v>0</v>
      </c>
      <c r="H121" s="253"/>
    </row>
    <row r="122" spans="1:8" s="53" customFormat="1" hidden="1" x14ac:dyDescent="0.35">
      <c r="A122" s="106">
        <v>53</v>
      </c>
      <c r="B122" s="203" t="str">
        <f>Construction!P53</f>
        <v>Work not yet Started.</v>
      </c>
      <c r="C122" s="203"/>
      <c r="D122" s="203"/>
      <c r="E122" s="253">
        <f>Construction!N53</f>
        <v>0</v>
      </c>
      <c r="F122" s="253"/>
      <c r="G122" s="253">
        <f>Construction!O53</f>
        <v>0</v>
      </c>
      <c r="H122" s="253"/>
    </row>
    <row r="123" spans="1:8" s="53" customFormat="1" ht="21" hidden="1" customHeight="1" x14ac:dyDescent="0.35">
      <c r="A123" s="106">
        <v>54</v>
      </c>
      <c r="B123" s="203" t="str">
        <f>Construction!P54</f>
        <v>Work not yet Started.</v>
      </c>
      <c r="C123" s="203"/>
      <c r="D123" s="203"/>
      <c r="E123" s="253">
        <f>Construction!N54</f>
        <v>0</v>
      </c>
      <c r="F123" s="253"/>
      <c r="G123" s="253">
        <f>Construction!O54</f>
        <v>0</v>
      </c>
      <c r="H123" s="253"/>
    </row>
    <row r="124" spans="1:8" s="53" customFormat="1" hidden="1" x14ac:dyDescent="0.35">
      <c r="A124" s="106">
        <v>55</v>
      </c>
      <c r="B124" s="203" t="str">
        <f>Construction!P55</f>
        <v>Work not yet Started.</v>
      </c>
      <c r="C124" s="203"/>
      <c r="D124" s="203"/>
      <c r="E124" s="253">
        <f>Construction!N55</f>
        <v>0</v>
      </c>
      <c r="F124" s="253"/>
      <c r="G124" s="253">
        <f>Construction!O55</f>
        <v>0</v>
      </c>
      <c r="H124" s="253"/>
    </row>
    <row r="125" spans="1:8" s="53" customFormat="1" hidden="1" x14ac:dyDescent="0.35">
      <c r="A125" s="106">
        <v>56</v>
      </c>
      <c r="B125" s="203" t="str">
        <f>Construction!P56</f>
        <v>Work not yet Started.</v>
      </c>
      <c r="C125" s="203"/>
      <c r="D125" s="203"/>
      <c r="E125" s="253">
        <f>Construction!N56</f>
        <v>0</v>
      </c>
      <c r="F125" s="253"/>
      <c r="G125" s="253">
        <f>Construction!O56</f>
        <v>0</v>
      </c>
      <c r="H125" s="253"/>
    </row>
    <row r="126" spans="1:8" s="53" customFormat="1" hidden="1" x14ac:dyDescent="0.35">
      <c r="A126" s="106">
        <v>57</v>
      </c>
      <c r="B126" s="203" t="str">
        <f>Construction!P57</f>
        <v>Work not yet Started.</v>
      </c>
      <c r="C126" s="203"/>
      <c r="D126" s="203"/>
      <c r="E126" s="253">
        <f>Construction!N57</f>
        <v>0</v>
      </c>
      <c r="F126" s="253"/>
      <c r="G126" s="253">
        <f>Construction!O57</f>
        <v>0</v>
      </c>
      <c r="H126" s="253"/>
    </row>
    <row r="127" spans="1:8" s="53" customFormat="1" hidden="1" x14ac:dyDescent="0.35">
      <c r="A127" s="106">
        <v>58</v>
      </c>
      <c r="B127" s="203" t="str">
        <f>Construction!P58</f>
        <v>Work not yet Started.</v>
      </c>
      <c r="C127" s="203"/>
      <c r="D127" s="203"/>
      <c r="E127" s="253">
        <f>Construction!N58</f>
        <v>0</v>
      </c>
      <c r="F127" s="253"/>
      <c r="G127" s="253">
        <f>Construction!O58</f>
        <v>0</v>
      </c>
      <c r="H127" s="253"/>
    </row>
    <row r="128" spans="1:8" s="53" customFormat="1" hidden="1" x14ac:dyDescent="0.35">
      <c r="A128" s="106">
        <v>59</v>
      </c>
      <c r="B128" s="203" t="str">
        <f>Construction!P59</f>
        <v>Work not yet Started.</v>
      </c>
      <c r="C128" s="203"/>
      <c r="D128" s="203"/>
      <c r="E128" s="253">
        <f>Construction!N59</f>
        <v>0</v>
      </c>
      <c r="F128" s="253"/>
      <c r="G128" s="253">
        <f>Construction!O59</f>
        <v>0</v>
      </c>
      <c r="H128" s="253"/>
    </row>
    <row r="129" spans="1:8" s="53" customFormat="1" hidden="1" x14ac:dyDescent="0.35">
      <c r="A129" s="106">
        <v>60</v>
      </c>
      <c r="B129" s="203" t="str">
        <f>Construction!P60</f>
        <v>Work not yet Started.</v>
      </c>
      <c r="C129" s="203"/>
      <c r="D129" s="203"/>
      <c r="E129" s="253">
        <f>Construction!N60</f>
        <v>0</v>
      </c>
      <c r="F129" s="253"/>
      <c r="G129" s="253">
        <f>Construction!O60</f>
        <v>0</v>
      </c>
      <c r="H129" s="253"/>
    </row>
    <row r="130" spans="1:8" s="53" customFormat="1" hidden="1" x14ac:dyDescent="0.35">
      <c r="A130" s="106">
        <v>61</v>
      </c>
      <c r="B130" s="203" t="str">
        <f>Construction!P61</f>
        <v>Work not yet Started.</v>
      </c>
      <c r="C130" s="203"/>
      <c r="D130" s="203"/>
      <c r="E130" s="253">
        <f>Construction!N61</f>
        <v>0</v>
      </c>
      <c r="F130" s="253"/>
      <c r="G130" s="253">
        <f>Construction!O61</f>
        <v>0</v>
      </c>
      <c r="H130" s="253"/>
    </row>
    <row r="131" spans="1:8" s="53" customFormat="1" hidden="1" x14ac:dyDescent="0.35">
      <c r="A131" s="106">
        <v>62</v>
      </c>
      <c r="B131" s="203" t="str">
        <f>Construction!P62</f>
        <v>Work not yet Started.</v>
      </c>
      <c r="C131" s="203"/>
      <c r="D131" s="203"/>
      <c r="E131" s="253">
        <f>Construction!N62</f>
        <v>0</v>
      </c>
      <c r="F131" s="253"/>
      <c r="G131" s="253">
        <f>Construction!O62</f>
        <v>0</v>
      </c>
      <c r="H131" s="253"/>
    </row>
    <row r="132" spans="1:8" s="53" customFormat="1" hidden="1" x14ac:dyDescent="0.35">
      <c r="A132" s="106">
        <v>63</v>
      </c>
      <c r="B132" s="203" t="str">
        <f>Construction!P63</f>
        <v>Work not yet Started.</v>
      </c>
      <c r="C132" s="203"/>
      <c r="D132" s="203"/>
      <c r="E132" s="253">
        <f>Construction!N63</f>
        <v>0</v>
      </c>
      <c r="F132" s="253"/>
      <c r="G132" s="253">
        <f>Construction!O63</f>
        <v>0</v>
      </c>
      <c r="H132" s="253"/>
    </row>
    <row r="133" spans="1:8" s="53" customFormat="1" ht="33.75" customHeight="1" x14ac:dyDescent="0.35">
      <c r="A133" s="106">
        <v>64</v>
      </c>
      <c r="B133" s="203" t="str">
        <f>Construction!P64</f>
        <v>Excavation work Completed. Plinth work completed</v>
      </c>
      <c r="C133" s="203"/>
      <c r="D133" s="203"/>
      <c r="E133" s="253">
        <f>Construction!N64</f>
        <v>0.1</v>
      </c>
      <c r="F133" s="253"/>
      <c r="G133" s="253">
        <f>Construction!O64</f>
        <v>0.45</v>
      </c>
      <c r="H133" s="253"/>
    </row>
    <row r="134" spans="1:8" s="53" customFormat="1" hidden="1" x14ac:dyDescent="0.35">
      <c r="A134" s="69">
        <v>65</v>
      </c>
      <c r="B134" s="118" t="str">
        <f>Construction!P65</f>
        <v>Work not yet Started.</v>
      </c>
      <c r="C134" s="119"/>
      <c r="D134" s="120"/>
      <c r="E134" s="121">
        <f>Construction!N65</f>
        <v>0</v>
      </c>
      <c r="F134" s="122"/>
      <c r="G134" s="121">
        <f>Construction!O65</f>
        <v>0</v>
      </c>
      <c r="H134" s="123"/>
    </row>
    <row r="135" spans="1:8" s="53" customFormat="1" hidden="1" x14ac:dyDescent="0.35">
      <c r="A135" s="69">
        <v>66</v>
      </c>
      <c r="B135" s="118" t="str">
        <f>Construction!P66</f>
        <v>Work not yet Started.</v>
      </c>
      <c r="C135" s="119"/>
      <c r="D135" s="120"/>
      <c r="E135" s="121">
        <f>Construction!N66</f>
        <v>0</v>
      </c>
      <c r="F135" s="122"/>
      <c r="G135" s="121">
        <f>Construction!O66</f>
        <v>0</v>
      </c>
      <c r="H135" s="123"/>
    </row>
    <row r="136" spans="1:8" s="53" customFormat="1" hidden="1" x14ac:dyDescent="0.35">
      <c r="A136" s="69">
        <v>67</v>
      </c>
      <c r="B136" s="118" t="str">
        <f>Construction!P67</f>
        <v>Work not yet Started.</v>
      </c>
      <c r="C136" s="119"/>
      <c r="D136" s="120"/>
      <c r="E136" s="121">
        <f>Construction!N67</f>
        <v>0</v>
      </c>
      <c r="F136" s="122"/>
      <c r="G136" s="121">
        <f>Construction!O67</f>
        <v>0</v>
      </c>
      <c r="H136" s="123"/>
    </row>
    <row r="137" spans="1:8" s="53" customFormat="1" hidden="1" x14ac:dyDescent="0.35">
      <c r="A137" s="69">
        <v>68</v>
      </c>
      <c r="B137" s="118" t="str">
        <f>Construction!P68</f>
        <v>Work not yet Started.</v>
      </c>
      <c r="C137" s="119"/>
      <c r="D137" s="120"/>
      <c r="E137" s="121">
        <f>Construction!N68</f>
        <v>0</v>
      </c>
      <c r="F137" s="122"/>
      <c r="G137" s="121">
        <f>Construction!O68</f>
        <v>0</v>
      </c>
      <c r="H137" s="123"/>
    </row>
    <row r="138" spans="1:8" s="53" customFormat="1" hidden="1" x14ac:dyDescent="0.35">
      <c r="A138" s="69">
        <v>69</v>
      </c>
      <c r="B138" s="118" t="str">
        <f>Construction!P69</f>
        <v>Work not yet Started.</v>
      </c>
      <c r="C138" s="119"/>
      <c r="D138" s="120"/>
      <c r="E138" s="121">
        <f>Construction!N69</f>
        <v>0</v>
      </c>
      <c r="F138" s="122"/>
      <c r="G138" s="121">
        <f>Construction!O69</f>
        <v>0</v>
      </c>
      <c r="H138" s="123"/>
    </row>
    <row r="139" spans="1:8" s="53" customFormat="1" ht="47.25" customHeight="1" x14ac:dyDescent="0.35">
      <c r="A139" s="69">
        <v>70</v>
      </c>
      <c r="B139" s="118" t="str">
        <f>Construction!P70</f>
        <v>Excavation work Completed. Plinth work completed, RCC Slab, Brickwork, Internal Plaster, External Plaster Completed</v>
      </c>
      <c r="C139" s="119"/>
      <c r="D139" s="120"/>
      <c r="E139" s="121">
        <f>Construction!N70</f>
        <v>0.75</v>
      </c>
      <c r="F139" s="122"/>
      <c r="G139" s="121">
        <f>Construction!O70</f>
        <v>0.9</v>
      </c>
      <c r="H139" s="123"/>
    </row>
    <row r="140" spans="1:8" s="53" customFormat="1" hidden="1" x14ac:dyDescent="0.35">
      <c r="A140" s="69">
        <v>71</v>
      </c>
      <c r="B140" s="118" t="str">
        <f>Construction!P71</f>
        <v>Work not yet Started.</v>
      </c>
      <c r="C140" s="119"/>
      <c r="D140" s="120"/>
      <c r="E140" s="121">
        <f>Construction!N71</f>
        <v>0</v>
      </c>
      <c r="F140" s="122"/>
      <c r="G140" s="121">
        <f>Construction!O71</f>
        <v>0</v>
      </c>
      <c r="H140" s="123"/>
    </row>
    <row r="141" spans="1:8" s="53" customFormat="1" hidden="1" x14ac:dyDescent="0.35">
      <c r="A141" s="69">
        <v>72</v>
      </c>
      <c r="B141" s="118" t="str">
        <f>Construction!P72</f>
        <v>Work not yet Started.</v>
      </c>
      <c r="C141" s="119"/>
      <c r="D141" s="120"/>
      <c r="E141" s="121">
        <f>Construction!N72</f>
        <v>0</v>
      </c>
      <c r="F141" s="122"/>
      <c r="G141" s="121">
        <f>Construction!O72</f>
        <v>0</v>
      </c>
      <c r="H141" s="123"/>
    </row>
    <row r="142" spans="1:8" s="53" customFormat="1" hidden="1" x14ac:dyDescent="0.35">
      <c r="A142" s="69">
        <v>73</v>
      </c>
      <c r="B142" s="118" t="str">
        <f>Construction!P73</f>
        <v>Work not yet Started.</v>
      </c>
      <c r="C142" s="119"/>
      <c r="D142" s="120"/>
      <c r="E142" s="121">
        <f>Construction!N73</f>
        <v>0</v>
      </c>
      <c r="F142" s="122"/>
      <c r="G142" s="121">
        <f>Construction!O73</f>
        <v>0</v>
      </c>
      <c r="H142" s="123"/>
    </row>
    <row r="143" spans="1:8" s="53" customFormat="1" hidden="1" x14ac:dyDescent="0.35">
      <c r="A143" s="69">
        <v>76</v>
      </c>
      <c r="B143" s="118" t="str">
        <f>Construction!P74</f>
        <v>Work not yet Started.</v>
      </c>
      <c r="C143" s="119"/>
      <c r="D143" s="120"/>
      <c r="E143" s="121">
        <f>Construction!N74</f>
        <v>0</v>
      </c>
      <c r="F143" s="122"/>
      <c r="G143" s="121">
        <f>Construction!O74</f>
        <v>0</v>
      </c>
      <c r="H143" s="123"/>
    </row>
    <row r="144" spans="1:8" s="53" customFormat="1" hidden="1" x14ac:dyDescent="0.35">
      <c r="A144" s="69">
        <v>77</v>
      </c>
      <c r="B144" s="118" t="str">
        <f>Construction!P75</f>
        <v>Work not yet Started.</v>
      </c>
      <c r="C144" s="119"/>
      <c r="D144" s="120"/>
      <c r="E144" s="121">
        <f>Construction!N75</f>
        <v>0</v>
      </c>
      <c r="F144" s="122"/>
      <c r="G144" s="121">
        <f>Construction!O75</f>
        <v>0</v>
      </c>
      <c r="H144" s="123"/>
    </row>
    <row r="145" spans="1:8" s="53" customFormat="1" hidden="1" x14ac:dyDescent="0.35">
      <c r="A145" s="69">
        <v>78</v>
      </c>
      <c r="B145" s="118" t="str">
        <f>Construction!P76</f>
        <v>Work not yet Started.</v>
      </c>
      <c r="C145" s="119"/>
      <c r="D145" s="120"/>
      <c r="E145" s="121">
        <f>Construction!N76</f>
        <v>0</v>
      </c>
      <c r="F145" s="122"/>
      <c r="G145" s="121">
        <f>Construction!O76</f>
        <v>0</v>
      </c>
      <c r="H145" s="123"/>
    </row>
    <row r="146" spans="1:8" s="53" customFormat="1" hidden="1" x14ac:dyDescent="0.35">
      <c r="A146" s="69">
        <v>79</v>
      </c>
      <c r="B146" s="118" t="str">
        <f>Construction!P77</f>
        <v>Work not yet Started.</v>
      </c>
      <c r="C146" s="119"/>
      <c r="D146" s="120"/>
      <c r="E146" s="121">
        <f>Construction!N77</f>
        <v>0</v>
      </c>
      <c r="F146" s="122"/>
      <c r="G146" s="121">
        <f>Construction!O77</f>
        <v>0</v>
      </c>
      <c r="H146" s="123"/>
    </row>
    <row r="147" spans="1:8" s="53" customFormat="1" hidden="1" x14ac:dyDescent="0.35">
      <c r="A147" s="69">
        <v>80</v>
      </c>
      <c r="B147" s="118" t="str">
        <f>Construction!P78</f>
        <v>Work not yet Started.</v>
      </c>
      <c r="C147" s="119"/>
      <c r="D147" s="120"/>
      <c r="E147" s="121">
        <f>Construction!N78</f>
        <v>0</v>
      </c>
      <c r="F147" s="122"/>
      <c r="G147" s="121">
        <f>Construction!O78</f>
        <v>0</v>
      </c>
      <c r="H147" s="123"/>
    </row>
    <row r="148" spans="1:8" s="53" customFormat="1" hidden="1" x14ac:dyDescent="0.35">
      <c r="A148" s="69">
        <v>81</v>
      </c>
      <c r="B148" s="118" t="str">
        <f>Construction!P79</f>
        <v>Work not yet Started.</v>
      </c>
      <c r="C148" s="119"/>
      <c r="D148" s="120"/>
      <c r="E148" s="121">
        <f>Construction!N79</f>
        <v>0</v>
      </c>
      <c r="F148" s="122"/>
      <c r="G148" s="121">
        <f>Construction!O79</f>
        <v>0</v>
      </c>
      <c r="H148" s="123"/>
    </row>
    <row r="149" spans="1:8" s="53" customFormat="1" hidden="1" x14ac:dyDescent="0.35">
      <c r="A149" s="69">
        <v>82</v>
      </c>
      <c r="B149" s="118" t="str">
        <f>Construction!P80</f>
        <v>Work not yet Started.</v>
      </c>
      <c r="C149" s="119"/>
      <c r="D149" s="120"/>
      <c r="E149" s="121">
        <f>Construction!N80</f>
        <v>0</v>
      </c>
      <c r="F149" s="122"/>
      <c r="G149" s="121">
        <f>Construction!O80</f>
        <v>0</v>
      </c>
      <c r="H149" s="123"/>
    </row>
    <row r="150" spans="1:8" s="53" customFormat="1" hidden="1" x14ac:dyDescent="0.35">
      <c r="A150" s="69">
        <v>83</v>
      </c>
      <c r="B150" s="118" t="str">
        <f>Construction!P81</f>
        <v>Work not yet Started.</v>
      </c>
      <c r="C150" s="119"/>
      <c r="D150" s="120"/>
      <c r="E150" s="121">
        <f>Construction!N81</f>
        <v>0</v>
      </c>
      <c r="F150" s="122"/>
      <c r="G150" s="121">
        <f>Construction!O81</f>
        <v>0</v>
      </c>
      <c r="H150" s="123"/>
    </row>
    <row r="151" spans="1:8" s="53" customFormat="1" hidden="1" x14ac:dyDescent="0.35">
      <c r="A151" s="69">
        <v>84</v>
      </c>
      <c r="B151" s="118" t="str">
        <f>Construction!P82</f>
        <v>Work not yet Started.</v>
      </c>
      <c r="C151" s="119"/>
      <c r="D151" s="120"/>
      <c r="E151" s="121">
        <f>Construction!N82</f>
        <v>0</v>
      </c>
      <c r="F151" s="122"/>
      <c r="G151" s="121">
        <f>Construction!O82</f>
        <v>0</v>
      </c>
      <c r="H151" s="123"/>
    </row>
    <row r="152" spans="1:8" s="53" customFormat="1" hidden="1" x14ac:dyDescent="0.35">
      <c r="A152" s="69">
        <v>85</v>
      </c>
      <c r="B152" s="118" t="str">
        <f>Construction!P83</f>
        <v>Work not yet Started.</v>
      </c>
      <c r="C152" s="119"/>
      <c r="D152" s="120"/>
      <c r="E152" s="121">
        <f>Construction!N83</f>
        <v>0</v>
      </c>
      <c r="F152" s="122"/>
      <c r="G152" s="121">
        <f>Construction!O83</f>
        <v>0</v>
      </c>
      <c r="H152" s="123"/>
    </row>
    <row r="153" spans="1:8" s="53" customFormat="1" hidden="1" x14ac:dyDescent="0.35">
      <c r="A153" s="69">
        <v>90</v>
      </c>
      <c r="B153" s="118" t="str">
        <f>Construction!P84</f>
        <v>Work not yet Started.</v>
      </c>
      <c r="C153" s="119"/>
      <c r="D153" s="120"/>
      <c r="E153" s="121">
        <f>Construction!N84</f>
        <v>0</v>
      </c>
      <c r="F153" s="122"/>
      <c r="G153" s="121">
        <f>Construction!O84</f>
        <v>0</v>
      </c>
      <c r="H153" s="123"/>
    </row>
    <row r="154" spans="1:8" s="53" customFormat="1" hidden="1" x14ac:dyDescent="0.35">
      <c r="A154" s="69">
        <v>91</v>
      </c>
      <c r="B154" s="118" t="str">
        <f>Construction!P85</f>
        <v>Work not yet Started.</v>
      </c>
      <c r="C154" s="119"/>
      <c r="D154" s="120"/>
      <c r="E154" s="121">
        <f>Construction!N85</f>
        <v>0</v>
      </c>
      <c r="F154" s="122"/>
      <c r="G154" s="121">
        <f>Construction!O85</f>
        <v>0</v>
      </c>
      <c r="H154" s="123"/>
    </row>
    <row r="155" spans="1:8" s="53" customFormat="1" hidden="1" x14ac:dyDescent="0.35">
      <c r="A155" s="69">
        <v>92</v>
      </c>
      <c r="B155" s="118" t="str">
        <f>Construction!P86</f>
        <v>Work not yet Started.</v>
      </c>
      <c r="C155" s="119"/>
      <c r="D155" s="120"/>
      <c r="E155" s="121">
        <f>Construction!N86</f>
        <v>0</v>
      </c>
      <c r="F155" s="122"/>
      <c r="G155" s="121">
        <f>Construction!O86</f>
        <v>0</v>
      </c>
      <c r="H155" s="123"/>
    </row>
    <row r="156" spans="1:8" s="53" customFormat="1" hidden="1" x14ac:dyDescent="0.35">
      <c r="A156" s="69">
        <v>93</v>
      </c>
      <c r="B156" s="118" t="str">
        <f>Construction!P87</f>
        <v>Work not yet Started.</v>
      </c>
      <c r="C156" s="119"/>
      <c r="D156" s="120"/>
      <c r="E156" s="121">
        <f>Construction!N87</f>
        <v>0</v>
      </c>
      <c r="F156" s="122"/>
      <c r="G156" s="121">
        <f>Construction!O87</f>
        <v>0</v>
      </c>
      <c r="H156" s="123"/>
    </row>
    <row r="157" spans="1:8" s="53" customFormat="1" hidden="1" x14ac:dyDescent="0.35">
      <c r="A157" s="69">
        <v>94</v>
      </c>
      <c r="B157" s="118" t="str">
        <f>Construction!P88</f>
        <v>Work not yet Started.</v>
      </c>
      <c r="C157" s="119"/>
      <c r="D157" s="120"/>
      <c r="E157" s="121">
        <f>Construction!N88</f>
        <v>0</v>
      </c>
      <c r="F157" s="122"/>
      <c r="G157" s="121">
        <f>Construction!O88</f>
        <v>0</v>
      </c>
      <c r="H157" s="123"/>
    </row>
    <row r="158" spans="1:8" s="53" customFormat="1" hidden="1" x14ac:dyDescent="0.35">
      <c r="A158" s="69">
        <v>95</v>
      </c>
      <c r="B158" s="118" t="str">
        <f>Construction!P89</f>
        <v>Work not yet Started.</v>
      </c>
      <c r="C158" s="119"/>
      <c r="D158" s="120"/>
      <c r="E158" s="121">
        <f>Construction!N89</f>
        <v>0</v>
      </c>
      <c r="F158" s="122"/>
      <c r="G158" s="121">
        <f>Construction!O89</f>
        <v>0</v>
      </c>
      <c r="H158" s="123"/>
    </row>
    <row r="159" spans="1:8" s="53" customFormat="1" hidden="1" x14ac:dyDescent="0.35">
      <c r="A159" s="69">
        <v>96</v>
      </c>
      <c r="B159" s="118" t="str">
        <f>Construction!P90</f>
        <v>Work not yet Started.</v>
      </c>
      <c r="C159" s="119"/>
      <c r="D159" s="120"/>
      <c r="E159" s="121">
        <f>Construction!N90</f>
        <v>0</v>
      </c>
      <c r="F159" s="122"/>
      <c r="G159" s="121">
        <f>Construction!O90</f>
        <v>0</v>
      </c>
      <c r="H159" s="123"/>
    </row>
    <row r="160" spans="1:8" s="53" customFormat="1" hidden="1" x14ac:dyDescent="0.35">
      <c r="A160" s="69">
        <v>97</v>
      </c>
      <c r="B160" s="118" t="str">
        <f>Construction!P91</f>
        <v>Work not yet Started.</v>
      </c>
      <c r="C160" s="119"/>
      <c r="D160" s="120"/>
      <c r="E160" s="121">
        <f>Construction!N91</f>
        <v>0</v>
      </c>
      <c r="F160" s="122"/>
      <c r="G160" s="121">
        <f>Construction!O91</f>
        <v>0</v>
      </c>
      <c r="H160" s="123"/>
    </row>
    <row r="161" spans="1:8" s="53" customFormat="1" hidden="1" x14ac:dyDescent="0.35">
      <c r="A161" s="69">
        <v>98</v>
      </c>
      <c r="B161" s="118" t="str">
        <f>Construction!P92</f>
        <v>Work not yet Started.</v>
      </c>
      <c r="C161" s="119"/>
      <c r="D161" s="120"/>
      <c r="E161" s="121">
        <f>Construction!N92</f>
        <v>0</v>
      </c>
      <c r="F161" s="122"/>
      <c r="G161" s="121">
        <f>Construction!O92</f>
        <v>0</v>
      </c>
      <c r="H161" s="123"/>
    </row>
    <row r="162" spans="1:8" s="53" customFormat="1" hidden="1" x14ac:dyDescent="0.35">
      <c r="A162" s="69">
        <v>99</v>
      </c>
      <c r="B162" s="118" t="str">
        <f>Construction!P93</f>
        <v>Work not yet Started.</v>
      </c>
      <c r="C162" s="119"/>
      <c r="D162" s="120"/>
      <c r="E162" s="121">
        <f>Construction!N93</f>
        <v>0</v>
      </c>
      <c r="F162" s="122"/>
      <c r="G162" s="121">
        <f>Construction!O93</f>
        <v>0</v>
      </c>
      <c r="H162" s="123"/>
    </row>
    <row r="163" spans="1:8" s="53" customFormat="1" hidden="1" x14ac:dyDescent="0.35">
      <c r="A163" s="69">
        <v>100</v>
      </c>
      <c r="B163" s="118" t="str">
        <f>Construction!P94</f>
        <v>Work not yet Started.</v>
      </c>
      <c r="C163" s="119"/>
      <c r="D163" s="120"/>
      <c r="E163" s="121">
        <f>Construction!N94</f>
        <v>0</v>
      </c>
      <c r="F163" s="122"/>
      <c r="G163" s="121">
        <f>Construction!O94</f>
        <v>0</v>
      </c>
      <c r="H163" s="123"/>
    </row>
    <row r="164" spans="1:8" s="53" customFormat="1" hidden="1" x14ac:dyDescent="0.35">
      <c r="A164" s="69">
        <v>101</v>
      </c>
      <c r="B164" s="118" t="str">
        <f>Construction!P95</f>
        <v>Work not yet Started.</v>
      </c>
      <c r="C164" s="119"/>
      <c r="D164" s="120"/>
      <c r="E164" s="121">
        <f>Construction!N95</f>
        <v>0</v>
      </c>
      <c r="F164" s="122"/>
      <c r="G164" s="121">
        <f>Construction!O95</f>
        <v>0</v>
      </c>
      <c r="H164" s="123"/>
    </row>
    <row r="165" spans="1:8" s="53" customFormat="1" hidden="1" x14ac:dyDescent="0.35">
      <c r="A165" s="69">
        <v>102</v>
      </c>
      <c r="B165" s="118" t="str">
        <f>Construction!P96</f>
        <v>Work not yet Started.</v>
      </c>
      <c r="C165" s="119"/>
      <c r="D165" s="120"/>
      <c r="E165" s="121">
        <f>Construction!N96</f>
        <v>0</v>
      </c>
      <c r="F165" s="122"/>
      <c r="G165" s="121">
        <f>Construction!O96</f>
        <v>0</v>
      </c>
      <c r="H165" s="123"/>
    </row>
    <row r="166" spans="1:8" s="53" customFormat="1" hidden="1" x14ac:dyDescent="0.35">
      <c r="A166" s="69">
        <v>103</v>
      </c>
      <c r="B166" s="118" t="str">
        <f>Construction!P97</f>
        <v>Work not yet Started.</v>
      </c>
      <c r="C166" s="119"/>
      <c r="D166" s="120"/>
      <c r="E166" s="121">
        <f>Construction!N97</f>
        <v>0</v>
      </c>
      <c r="F166" s="122"/>
      <c r="G166" s="121">
        <f>Construction!O97</f>
        <v>0</v>
      </c>
      <c r="H166" s="123"/>
    </row>
    <row r="167" spans="1:8" s="53" customFormat="1" hidden="1" x14ac:dyDescent="0.35">
      <c r="A167" s="69">
        <v>104</v>
      </c>
      <c r="B167" s="118" t="str">
        <f>Construction!P98</f>
        <v>Work not yet Started.</v>
      </c>
      <c r="C167" s="119"/>
      <c r="D167" s="120"/>
      <c r="E167" s="121">
        <f>Construction!N98</f>
        <v>0</v>
      </c>
      <c r="F167" s="122"/>
      <c r="G167" s="121">
        <f>Construction!O98</f>
        <v>0</v>
      </c>
      <c r="H167" s="123"/>
    </row>
    <row r="168" spans="1:8" s="53" customFormat="1" hidden="1" x14ac:dyDescent="0.35">
      <c r="A168" s="69">
        <v>105</v>
      </c>
      <c r="B168" s="118" t="str">
        <f>Construction!P99</f>
        <v>Work not yet Started.</v>
      </c>
      <c r="C168" s="119"/>
      <c r="D168" s="120"/>
      <c r="E168" s="121">
        <f>Construction!N99</f>
        <v>0</v>
      </c>
      <c r="F168" s="122"/>
      <c r="G168" s="121">
        <f>Construction!O99</f>
        <v>0</v>
      </c>
      <c r="H168" s="123"/>
    </row>
    <row r="169" spans="1:8" s="53" customFormat="1" hidden="1" x14ac:dyDescent="0.35">
      <c r="A169" s="69">
        <v>106</v>
      </c>
      <c r="B169" s="118" t="str">
        <f>Construction!P100</f>
        <v>Work not yet Started.</v>
      </c>
      <c r="C169" s="119"/>
      <c r="D169" s="120"/>
      <c r="E169" s="121">
        <f>Construction!N100</f>
        <v>0</v>
      </c>
      <c r="F169" s="122"/>
      <c r="G169" s="121">
        <f>Construction!O100</f>
        <v>0</v>
      </c>
      <c r="H169" s="123"/>
    </row>
    <row r="170" spans="1:8" s="53" customFormat="1" hidden="1" x14ac:dyDescent="0.35">
      <c r="A170" s="69">
        <v>107</v>
      </c>
      <c r="B170" s="118" t="str">
        <f>Construction!P101</f>
        <v>Work not yet Started.</v>
      </c>
      <c r="C170" s="119"/>
      <c r="D170" s="120"/>
      <c r="E170" s="121">
        <f>Construction!N101</f>
        <v>0</v>
      </c>
      <c r="F170" s="122"/>
      <c r="G170" s="121">
        <f>Construction!O101</f>
        <v>0</v>
      </c>
      <c r="H170" s="123"/>
    </row>
    <row r="171" spans="1:8" s="53" customFormat="1" ht="34.5" customHeight="1" x14ac:dyDescent="0.35">
      <c r="A171" s="69">
        <v>108</v>
      </c>
      <c r="B171" s="118" t="str">
        <f>Construction!P102</f>
        <v>Plinth, RCC, Brick, Plaster, Flooring, Painting work Completed. Finishing work is in process.</v>
      </c>
      <c r="C171" s="119"/>
      <c r="D171" s="120"/>
      <c r="E171" s="121">
        <f>Construction!N102</f>
        <v>0.91500000000000004</v>
      </c>
      <c r="F171" s="122"/>
      <c r="G171" s="121">
        <f>Construction!O102</f>
        <v>0.95</v>
      </c>
      <c r="H171" s="123"/>
    </row>
    <row r="172" spans="1:8" s="53" customFormat="1" hidden="1" x14ac:dyDescent="0.35">
      <c r="A172" s="69">
        <v>109</v>
      </c>
      <c r="B172" s="118" t="str">
        <f>Construction!P103</f>
        <v>Work not yet Started.</v>
      </c>
      <c r="C172" s="119"/>
      <c r="D172" s="120"/>
      <c r="E172" s="121">
        <f>Construction!N103</f>
        <v>0</v>
      </c>
      <c r="F172" s="122"/>
      <c r="G172" s="121">
        <f>Construction!O103</f>
        <v>0</v>
      </c>
      <c r="H172" s="123"/>
    </row>
    <row r="173" spans="1:8" s="53" customFormat="1" hidden="1" x14ac:dyDescent="0.35">
      <c r="A173" s="69">
        <v>110</v>
      </c>
      <c r="B173" s="118" t="str">
        <f>Construction!P104</f>
        <v>Work not yet Started.</v>
      </c>
      <c r="C173" s="119"/>
      <c r="D173" s="120"/>
      <c r="E173" s="121">
        <f>Construction!N104</f>
        <v>0</v>
      </c>
      <c r="F173" s="122"/>
      <c r="G173" s="121">
        <f>Construction!O104</f>
        <v>0</v>
      </c>
      <c r="H173" s="123"/>
    </row>
    <row r="174" spans="1:8" s="53" customFormat="1" hidden="1" x14ac:dyDescent="0.35">
      <c r="A174" s="69">
        <v>111</v>
      </c>
      <c r="B174" s="118" t="str">
        <f>Construction!P105</f>
        <v>Work not yet Started.</v>
      </c>
      <c r="C174" s="119"/>
      <c r="D174" s="120"/>
      <c r="E174" s="121">
        <f>Construction!N105</f>
        <v>0</v>
      </c>
      <c r="F174" s="122"/>
      <c r="G174" s="121">
        <f>Construction!O105</f>
        <v>0</v>
      </c>
      <c r="H174" s="123"/>
    </row>
    <row r="175" spans="1:8" s="53" customFormat="1" hidden="1" x14ac:dyDescent="0.35">
      <c r="A175" s="69">
        <v>112</v>
      </c>
      <c r="B175" s="118" t="str">
        <f>Construction!P106</f>
        <v>Work not yet Started.</v>
      </c>
      <c r="C175" s="119"/>
      <c r="D175" s="120"/>
      <c r="E175" s="121">
        <f>Construction!N106</f>
        <v>0</v>
      </c>
      <c r="F175" s="122"/>
      <c r="G175" s="121">
        <f>Construction!O106</f>
        <v>0</v>
      </c>
      <c r="H175" s="123"/>
    </row>
    <row r="176" spans="1:8" s="53" customFormat="1" ht="60.5" customHeight="1" x14ac:dyDescent="0.35">
      <c r="A176" s="87">
        <v>114</v>
      </c>
      <c r="B176" s="135" t="str">
        <f>Construction!P107</f>
        <v>Excavation work Completed. Plinth work completed, RCC Slab, Brickwork, Internal Plaster, External Plaster, Flooring upto 0.3 Floor Completed</v>
      </c>
      <c r="C176" s="136"/>
      <c r="D176" s="137"/>
      <c r="E176" s="138">
        <f>Construction!N107</f>
        <v>0.78</v>
      </c>
      <c r="F176" s="139"/>
      <c r="G176" s="138">
        <f>Construction!O107</f>
        <v>0.91500000000000004</v>
      </c>
      <c r="H176" s="140"/>
    </row>
    <row r="177" spans="1:8" s="53" customFormat="1" hidden="1" x14ac:dyDescent="0.35">
      <c r="A177" s="69">
        <v>115</v>
      </c>
      <c r="B177" s="118" t="str">
        <f>Construction!P108</f>
        <v>Work not yet Started.</v>
      </c>
      <c r="C177" s="119"/>
      <c r="D177" s="120"/>
      <c r="E177" s="121">
        <f>Construction!N108</f>
        <v>0</v>
      </c>
      <c r="F177" s="122"/>
      <c r="G177" s="121">
        <f>Construction!O108</f>
        <v>0</v>
      </c>
      <c r="H177" s="123"/>
    </row>
    <row r="178" spans="1:8" s="53" customFormat="1" hidden="1" x14ac:dyDescent="0.35">
      <c r="A178" s="69">
        <v>116</v>
      </c>
      <c r="B178" s="118" t="str">
        <f>Construction!P109</f>
        <v>Excavation work Completed. Plinth work completed</v>
      </c>
      <c r="C178" s="119"/>
      <c r="D178" s="120"/>
      <c r="E178" s="121">
        <f>Construction!N109</f>
        <v>0.1</v>
      </c>
      <c r="F178" s="122"/>
      <c r="G178" s="121">
        <f>Construction!O109</f>
        <v>0.45</v>
      </c>
      <c r="H178" s="123"/>
    </row>
    <row r="179" spans="1:8" s="53" customFormat="1" hidden="1" x14ac:dyDescent="0.35">
      <c r="A179" s="69">
        <v>117</v>
      </c>
      <c r="B179" s="118" t="str">
        <f>Construction!P110</f>
        <v>Work not yet Started.</v>
      </c>
      <c r="C179" s="119"/>
      <c r="D179" s="120"/>
      <c r="E179" s="121">
        <f>Construction!N110</f>
        <v>0</v>
      </c>
      <c r="F179" s="122"/>
      <c r="G179" s="121">
        <f>Construction!O110</f>
        <v>0</v>
      </c>
      <c r="H179" s="123"/>
    </row>
    <row r="180" spans="1:8" s="53" customFormat="1" hidden="1" x14ac:dyDescent="0.35">
      <c r="A180" s="69">
        <v>118</v>
      </c>
      <c r="B180" s="118" t="str">
        <f>Construction!P111</f>
        <v>Work not yet Started.</v>
      </c>
      <c r="C180" s="119"/>
      <c r="D180" s="120"/>
      <c r="E180" s="121">
        <f>Construction!N111</f>
        <v>0</v>
      </c>
      <c r="F180" s="122"/>
      <c r="G180" s="121">
        <f>Construction!O111</f>
        <v>0</v>
      </c>
      <c r="H180" s="123"/>
    </row>
    <row r="181" spans="1:8" s="53" customFormat="1" hidden="1" x14ac:dyDescent="0.35">
      <c r="A181" s="69">
        <v>119</v>
      </c>
      <c r="B181" s="118" t="str">
        <f>Construction!P112</f>
        <v>Work not yet Started.</v>
      </c>
      <c r="C181" s="119"/>
      <c r="D181" s="120"/>
      <c r="E181" s="121">
        <f>Construction!N112</f>
        <v>0</v>
      </c>
      <c r="F181" s="122"/>
      <c r="G181" s="121">
        <f>Construction!O112</f>
        <v>0</v>
      </c>
      <c r="H181" s="123"/>
    </row>
    <row r="182" spans="1:8" s="53" customFormat="1" hidden="1" x14ac:dyDescent="0.35">
      <c r="A182" s="69">
        <v>120</v>
      </c>
      <c r="B182" s="118" t="str">
        <f>Construction!P113</f>
        <v>Work not yet Started.</v>
      </c>
      <c r="C182" s="119"/>
      <c r="D182" s="120"/>
      <c r="E182" s="121">
        <f>Construction!N113</f>
        <v>0</v>
      </c>
      <c r="F182" s="122"/>
      <c r="G182" s="121">
        <f>Construction!O113</f>
        <v>0</v>
      </c>
      <c r="H182" s="123"/>
    </row>
    <row r="183" spans="1:8" s="53" customFormat="1" hidden="1" x14ac:dyDescent="0.35">
      <c r="A183" s="69">
        <v>121</v>
      </c>
      <c r="B183" s="118" t="str">
        <f>Construction!P114</f>
        <v>Work not yet Started.</v>
      </c>
      <c r="C183" s="119"/>
      <c r="D183" s="120"/>
      <c r="E183" s="121">
        <f>Construction!N114</f>
        <v>0</v>
      </c>
      <c r="F183" s="122"/>
      <c r="G183" s="121">
        <f>Construction!O114</f>
        <v>0</v>
      </c>
      <c r="H183" s="123"/>
    </row>
    <row r="184" spans="1:8" s="53" customFormat="1" hidden="1" x14ac:dyDescent="0.35">
      <c r="A184" s="69">
        <v>122</v>
      </c>
      <c r="B184" s="118" t="str">
        <f>Construction!P115</f>
        <v>Work not yet Started.</v>
      </c>
      <c r="C184" s="119"/>
      <c r="D184" s="120"/>
      <c r="E184" s="121">
        <f>Construction!N115</f>
        <v>0</v>
      </c>
      <c r="F184" s="122"/>
      <c r="G184" s="121">
        <f>Construction!O115</f>
        <v>0</v>
      </c>
      <c r="H184" s="123"/>
    </row>
    <row r="185" spans="1:8" s="53" customFormat="1" hidden="1" x14ac:dyDescent="0.35">
      <c r="A185" s="69">
        <v>123</v>
      </c>
      <c r="B185" s="118" t="str">
        <f>Construction!P116</f>
        <v>Work not yet Started.</v>
      </c>
      <c r="C185" s="119"/>
      <c r="D185" s="120"/>
      <c r="E185" s="121">
        <f>Construction!N116</f>
        <v>0</v>
      </c>
      <c r="F185" s="122"/>
      <c r="G185" s="121">
        <f>Construction!O116</f>
        <v>0</v>
      </c>
      <c r="H185" s="123"/>
    </row>
    <row r="186" spans="1:8" s="53" customFormat="1" hidden="1" x14ac:dyDescent="0.35">
      <c r="A186" s="69">
        <v>124</v>
      </c>
      <c r="B186" s="118" t="str">
        <f>Construction!P117</f>
        <v>Work not yet Started.</v>
      </c>
      <c r="C186" s="119"/>
      <c r="D186" s="120"/>
      <c r="E186" s="121">
        <f>Construction!N117</f>
        <v>0</v>
      </c>
      <c r="F186" s="122"/>
      <c r="G186" s="121">
        <f>Construction!O117</f>
        <v>0</v>
      </c>
      <c r="H186" s="123"/>
    </row>
    <row r="187" spans="1:8" s="53" customFormat="1" hidden="1" x14ac:dyDescent="0.35">
      <c r="A187" s="69">
        <v>125</v>
      </c>
      <c r="B187" s="118" t="str">
        <f>Construction!P118</f>
        <v>Work not yet Started.</v>
      </c>
      <c r="C187" s="119"/>
      <c r="D187" s="120"/>
      <c r="E187" s="121">
        <f>Construction!N118</f>
        <v>0</v>
      </c>
      <c r="F187" s="122"/>
      <c r="G187" s="121">
        <f>Construction!O118</f>
        <v>0</v>
      </c>
      <c r="H187" s="123"/>
    </row>
    <row r="188" spans="1:8" s="53" customFormat="1" hidden="1" x14ac:dyDescent="0.35">
      <c r="A188" s="69">
        <v>126</v>
      </c>
      <c r="B188" s="118" t="str">
        <f>Construction!P119</f>
        <v>Work not yet Started.</v>
      </c>
      <c r="C188" s="119"/>
      <c r="D188" s="120"/>
      <c r="E188" s="121">
        <f>Construction!N119</f>
        <v>0</v>
      </c>
      <c r="F188" s="122"/>
      <c r="G188" s="121">
        <f>Construction!O119</f>
        <v>0</v>
      </c>
      <c r="H188" s="123"/>
    </row>
    <row r="189" spans="1:8" s="53" customFormat="1" hidden="1" x14ac:dyDescent="0.35">
      <c r="A189" s="69">
        <v>127</v>
      </c>
      <c r="B189" s="118" t="str">
        <f>Construction!P120</f>
        <v>Work not yet Started.</v>
      </c>
      <c r="C189" s="119"/>
      <c r="D189" s="120"/>
      <c r="E189" s="121">
        <f>Construction!N120</f>
        <v>0</v>
      </c>
      <c r="F189" s="122"/>
      <c r="G189" s="121">
        <f>Construction!O120</f>
        <v>0</v>
      </c>
      <c r="H189" s="123"/>
    </row>
    <row r="190" spans="1:8" s="53" customFormat="1" hidden="1" x14ac:dyDescent="0.35">
      <c r="A190" s="69">
        <v>128</v>
      </c>
      <c r="B190" s="118" t="str">
        <f>Construction!P121</f>
        <v>Work not yet Started.</v>
      </c>
      <c r="C190" s="119"/>
      <c r="D190" s="120"/>
      <c r="E190" s="121">
        <f>Construction!N121</f>
        <v>0</v>
      </c>
      <c r="F190" s="122"/>
      <c r="G190" s="121">
        <f>Construction!O121</f>
        <v>0</v>
      </c>
      <c r="H190" s="123"/>
    </row>
    <row r="191" spans="1:8" s="53" customFormat="1" hidden="1" x14ac:dyDescent="0.35">
      <c r="A191" s="69">
        <v>129</v>
      </c>
      <c r="B191" s="118" t="str">
        <f>Construction!P122</f>
        <v>Work not yet Started.</v>
      </c>
      <c r="C191" s="119"/>
      <c r="D191" s="120"/>
      <c r="E191" s="121">
        <f>Construction!N122</f>
        <v>0</v>
      </c>
      <c r="F191" s="122"/>
      <c r="G191" s="121">
        <f>Construction!O122</f>
        <v>0</v>
      </c>
      <c r="H191" s="123"/>
    </row>
    <row r="192" spans="1:8" s="53" customFormat="1" hidden="1" x14ac:dyDescent="0.35">
      <c r="A192" s="69">
        <v>130</v>
      </c>
      <c r="B192" s="118" t="str">
        <f>Construction!P123</f>
        <v>Work not yet Started.</v>
      </c>
      <c r="C192" s="119"/>
      <c r="D192" s="120"/>
      <c r="E192" s="121">
        <f>Construction!N123</f>
        <v>0</v>
      </c>
      <c r="F192" s="122"/>
      <c r="G192" s="121">
        <f>Construction!O123</f>
        <v>0</v>
      </c>
      <c r="H192" s="123"/>
    </row>
    <row r="193" spans="1:8" s="53" customFormat="1" hidden="1" x14ac:dyDescent="0.35">
      <c r="A193" s="69">
        <v>131</v>
      </c>
      <c r="B193" s="118" t="str">
        <f>Construction!P124</f>
        <v>Work not yet Started.</v>
      </c>
      <c r="C193" s="119"/>
      <c r="D193" s="120"/>
      <c r="E193" s="121">
        <f>Construction!N124</f>
        <v>0</v>
      </c>
      <c r="F193" s="122"/>
      <c r="G193" s="121">
        <f>Construction!O124</f>
        <v>0</v>
      </c>
      <c r="H193" s="123"/>
    </row>
    <row r="194" spans="1:8" s="53" customFormat="1" hidden="1" x14ac:dyDescent="0.35">
      <c r="A194" s="69">
        <v>132</v>
      </c>
      <c r="B194" s="118" t="str">
        <f>Construction!P125</f>
        <v>Work not yet Started.</v>
      </c>
      <c r="C194" s="119"/>
      <c r="D194" s="120"/>
      <c r="E194" s="121">
        <f>Construction!N125</f>
        <v>0</v>
      </c>
      <c r="F194" s="122"/>
      <c r="G194" s="121">
        <f>Construction!O125</f>
        <v>0</v>
      </c>
      <c r="H194" s="123"/>
    </row>
    <row r="195" spans="1:8" s="53" customFormat="1" hidden="1" x14ac:dyDescent="0.35">
      <c r="A195" s="69">
        <v>133</v>
      </c>
      <c r="B195" s="118" t="str">
        <f>Construction!P126</f>
        <v>Work not yet Started.</v>
      </c>
      <c r="C195" s="119"/>
      <c r="D195" s="120"/>
      <c r="E195" s="121">
        <f>Construction!N126</f>
        <v>0</v>
      </c>
      <c r="F195" s="122"/>
      <c r="G195" s="121">
        <f>Construction!O126</f>
        <v>0</v>
      </c>
      <c r="H195" s="123"/>
    </row>
    <row r="196" spans="1:8" s="53" customFormat="1" hidden="1" x14ac:dyDescent="0.35">
      <c r="A196" s="69">
        <v>134</v>
      </c>
      <c r="B196" s="118" t="str">
        <f>Construction!P127</f>
        <v>Work not yet Started.</v>
      </c>
      <c r="C196" s="119"/>
      <c r="D196" s="120"/>
      <c r="E196" s="121">
        <f>Construction!N127</f>
        <v>0</v>
      </c>
      <c r="F196" s="122"/>
      <c r="G196" s="121">
        <f>Construction!O127</f>
        <v>0</v>
      </c>
      <c r="H196" s="123"/>
    </row>
    <row r="197" spans="1:8" s="53" customFormat="1" hidden="1" x14ac:dyDescent="0.35">
      <c r="A197" s="69">
        <v>135</v>
      </c>
      <c r="B197" s="118" t="str">
        <f>Construction!P128</f>
        <v>Work not yet Started.</v>
      </c>
      <c r="C197" s="119"/>
      <c r="D197" s="120"/>
      <c r="E197" s="121">
        <f>Construction!N128</f>
        <v>0</v>
      </c>
      <c r="F197" s="122"/>
      <c r="G197" s="121">
        <f>Construction!O128</f>
        <v>0</v>
      </c>
      <c r="H197" s="123"/>
    </row>
    <row r="198" spans="1:8" s="53" customFormat="1" ht="46.5" customHeight="1" x14ac:dyDescent="0.35">
      <c r="A198" s="69">
        <v>136</v>
      </c>
      <c r="B198" s="118" t="str">
        <f>Construction!P129</f>
        <v>Excavation work Completed. Plinth work completed, RCC Slab, Brickwork, Internal Plaster, External Plaster upto 0.5 Floor Completed</v>
      </c>
      <c r="C198" s="119"/>
      <c r="D198" s="120"/>
      <c r="E198" s="121">
        <f>Construction!N129</f>
        <v>0.7</v>
      </c>
      <c r="F198" s="122"/>
      <c r="G198" s="121">
        <f>Construction!O129</f>
        <v>0.875</v>
      </c>
      <c r="H198" s="123"/>
    </row>
    <row r="199" spans="1:8" s="53" customFormat="1" hidden="1" x14ac:dyDescent="0.35">
      <c r="A199" s="69">
        <v>137</v>
      </c>
      <c r="B199" s="118" t="str">
        <f>Construction!P130</f>
        <v>Work not yet Started.</v>
      </c>
      <c r="C199" s="119"/>
      <c r="D199" s="120"/>
      <c r="E199" s="121">
        <f>Construction!N130</f>
        <v>0</v>
      </c>
      <c r="F199" s="122"/>
      <c r="G199" s="121">
        <f>Construction!O130</f>
        <v>0</v>
      </c>
      <c r="H199" s="123"/>
    </row>
    <row r="200" spans="1:8" s="53" customFormat="1" hidden="1" x14ac:dyDescent="0.35">
      <c r="A200" s="69">
        <v>138</v>
      </c>
      <c r="B200" s="118" t="str">
        <f>Construction!P131</f>
        <v>Work not yet Started.</v>
      </c>
      <c r="C200" s="119"/>
      <c r="D200" s="120"/>
      <c r="E200" s="121">
        <f>Construction!N131</f>
        <v>0</v>
      </c>
      <c r="F200" s="122"/>
      <c r="G200" s="121">
        <f>Construction!O131</f>
        <v>0</v>
      </c>
      <c r="H200" s="123"/>
    </row>
    <row r="201" spans="1:8" s="53" customFormat="1" hidden="1" x14ac:dyDescent="0.35">
      <c r="A201" s="69">
        <v>139</v>
      </c>
      <c r="B201" s="118" t="str">
        <f>Construction!P132</f>
        <v>Work not yet Started.</v>
      </c>
      <c r="C201" s="119"/>
      <c r="D201" s="120"/>
      <c r="E201" s="121">
        <f>Construction!N132</f>
        <v>0</v>
      </c>
      <c r="F201" s="122"/>
      <c r="G201" s="121">
        <f>Construction!O132</f>
        <v>0</v>
      </c>
      <c r="H201" s="123"/>
    </row>
    <row r="202" spans="1:8" s="53" customFormat="1" hidden="1" x14ac:dyDescent="0.35">
      <c r="A202" s="69">
        <v>140</v>
      </c>
      <c r="B202" s="118" t="str">
        <f>Construction!P133</f>
        <v>Work not yet Started.</v>
      </c>
      <c r="C202" s="119"/>
      <c r="D202" s="120"/>
      <c r="E202" s="121">
        <f>Construction!N133</f>
        <v>0</v>
      </c>
      <c r="F202" s="122"/>
      <c r="G202" s="121">
        <f>Construction!O133</f>
        <v>0</v>
      </c>
      <c r="H202" s="123"/>
    </row>
    <row r="203" spans="1:8" s="53" customFormat="1" hidden="1" x14ac:dyDescent="0.35">
      <c r="A203" s="69">
        <v>141</v>
      </c>
      <c r="B203" s="118" t="str">
        <f>Construction!P134</f>
        <v>Work not yet Started.</v>
      </c>
      <c r="C203" s="119"/>
      <c r="D203" s="120"/>
      <c r="E203" s="121">
        <f>Construction!N134</f>
        <v>0</v>
      </c>
      <c r="F203" s="122"/>
      <c r="G203" s="121">
        <f>Construction!O134</f>
        <v>0</v>
      </c>
      <c r="H203" s="123"/>
    </row>
    <row r="204" spans="1:8" s="53" customFormat="1" hidden="1" x14ac:dyDescent="0.35">
      <c r="A204" s="69">
        <v>142</v>
      </c>
      <c r="B204" s="118" t="str">
        <f>Construction!P135</f>
        <v>Work not yet Started.</v>
      </c>
      <c r="C204" s="119"/>
      <c r="D204" s="120"/>
      <c r="E204" s="121">
        <f>Construction!N135</f>
        <v>0</v>
      </c>
      <c r="F204" s="122"/>
      <c r="G204" s="121">
        <f>Construction!O135</f>
        <v>0</v>
      </c>
      <c r="H204" s="123"/>
    </row>
    <row r="205" spans="1:8" s="53" customFormat="1" hidden="1" x14ac:dyDescent="0.35">
      <c r="A205" s="69">
        <v>143</v>
      </c>
      <c r="B205" s="118" t="str">
        <f>Construction!P136</f>
        <v>Work not yet Started.</v>
      </c>
      <c r="C205" s="119"/>
      <c r="D205" s="120"/>
      <c r="E205" s="121">
        <f>Construction!N136</f>
        <v>0</v>
      </c>
      <c r="F205" s="122"/>
      <c r="G205" s="121">
        <f>Construction!O136</f>
        <v>0</v>
      </c>
      <c r="H205" s="123"/>
    </row>
    <row r="206" spans="1:8" s="53" customFormat="1" hidden="1" x14ac:dyDescent="0.35">
      <c r="A206" s="69">
        <v>144</v>
      </c>
      <c r="B206" s="118" t="str">
        <f>Construction!P137</f>
        <v>Work not yet Started.</v>
      </c>
      <c r="C206" s="119"/>
      <c r="D206" s="120"/>
      <c r="E206" s="121">
        <f>Construction!N137</f>
        <v>0</v>
      </c>
      <c r="F206" s="122"/>
      <c r="G206" s="121">
        <f>Construction!O137</f>
        <v>0</v>
      </c>
      <c r="H206" s="123"/>
    </row>
    <row r="207" spans="1:8" s="53" customFormat="1" hidden="1" x14ac:dyDescent="0.35">
      <c r="A207" s="69">
        <v>145</v>
      </c>
      <c r="B207" s="118" t="str">
        <f>Construction!P138</f>
        <v>Work not yet Started.</v>
      </c>
      <c r="C207" s="119"/>
      <c r="D207" s="120"/>
      <c r="E207" s="121">
        <f>Construction!N138</f>
        <v>0</v>
      </c>
      <c r="F207" s="122"/>
      <c r="G207" s="121">
        <f>Construction!O138</f>
        <v>0</v>
      </c>
      <c r="H207" s="123"/>
    </row>
    <row r="208" spans="1:8" s="53" customFormat="1" hidden="1" x14ac:dyDescent="0.35">
      <c r="A208" s="69">
        <v>146</v>
      </c>
      <c r="B208" s="118" t="str">
        <f>Construction!P139</f>
        <v>Work not yet Started.</v>
      </c>
      <c r="C208" s="119"/>
      <c r="D208" s="120"/>
      <c r="E208" s="121">
        <f>Construction!N139</f>
        <v>0</v>
      </c>
      <c r="F208" s="122"/>
      <c r="G208" s="121">
        <f>Construction!O139</f>
        <v>0</v>
      </c>
      <c r="H208" s="123"/>
    </row>
    <row r="209" spans="1:8" s="53" customFormat="1" hidden="1" x14ac:dyDescent="0.35">
      <c r="A209" s="69">
        <v>147</v>
      </c>
      <c r="B209" s="118" t="str">
        <f>Construction!P140</f>
        <v>Work not yet Started.</v>
      </c>
      <c r="C209" s="119"/>
      <c r="D209" s="120"/>
      <c r="E209" s="121">
        <f>Construction!N140</f>
        <v>0</v>
      </c>
      <c r="F209" s="122"/>
      <c r="G209" s="121">
        <f>Construction!O140</f>
        <v>0</v>
      </c>
      <c r="H209" s="123"/>
    </row>
    <row r="210" spans="1:8" s="53" customFormat="1" hidden="1" x14ac:dyDescent="0.35">
      <c r="A210" s="69">
        <v>148</v>
      </c>
      <c r="B210" s="118" t="str">
        <f>Construction!P141</f>
        <v>Work not yet Started.</v>
      </c>
      <c r="C210" s="119"/>
      <c r="D210" s="120"/>
      <c r="E210" s="121">
        <f>Construction!N141</f>
        <v>0</v>
      </c>
      <c r="F210" s="122"/>
      <c r="G210" s="121">
        <f>Construction!O141</f>
        <v>0</v>
      </c>
      <c r="H210" s="123"/>
    </row>
    <row r="211" spans="1:8" s="53" customFormat="1" hidden="1" x14ac:dyDescent="0.35">
      <c r="A211" s="69">
        <v>149</v>
      </c>
      <c r="B211" s="118" t="str">
        <f>Construction!P142</f>
        <v>Work not yet Started.</v>
      </c>
      <c r="C211" s="119"/>
      <c r="D211" s="120"/>
      <c r="E211" s="121">
        <f>Construction!N142</f>
        <v>0</v>
      </c>
      <c r="F211" s="122"/>
      <c r="G211" s="121">
        <f>Construction!O142</f>
        <v>0</v>
      </c>
      <c r="H211" s="123"/>
    </row>
    <row r="212" spans="1:8" s="53" customFormat="1" hidden="1" x14ac:dyDescent="0.35">
      <c r="A212" s="69">
        <v>150</v>
      </c>
      <c r="B212" s="118" t="str">
        <f>Construction!P143</f>
        <v>Work not yet Started.</v>
      </c>
      <c r="C212" s="119"/>
      <c r="D212" s="120"/>
      <c r="E212" s="121">
        <f>Construction!N143</f>
        <v>0</v>
      </c>
      <c r="F212" s="122"/>
      <c r="G212" s="121">
        <f>Construction!O143</f>
        <v>0</v>
      </c>
      <c r="H212" s="123"/>
    </row>
    <row r="213" spans="1:8" s="53" customFormat="1" hidden="1" x14ac:dyDescent="0.35">
      <c r="A213" s="69">
        <v>151</v>
      </c>
      <c r="B213" s="118" t="str">
        <f>Construction!P144</f>
        <v>Work not yet Started.</v>
      </c>
      <c r="C213" s="119"/>
      <c r="D213" s="120"/>
      <c r="E213" s="121">
        <f>Construction!N144</f>
        <v>0</v>
      </c>
      <c r="F213" s="122"/>
      <c r="G213" s="121">
        <f>Construction!O144</f>
        <v>0</v>
      </c>
      <c r="H213" s="123"/>
    </row>
    <row r="214" spans="1:8" s="53" customFormat="1" hidden="1" x14ac:dyDescent="0.35">
      <c r="A214" s="69">
        <v>152</v>
      </c>
      <c r="B214" s="118" t="str">
        <f>Construction!P145</f>
        <v>Work not yet Started.</v>
      </c>
      <c r="C214" s="119"/>
      <c r="D214" s="120"/>
      <c r="E214" s="121">
        <f>Construction!N145</f>
        <v>0</v>
      </c>
      <c r="F214" s="122"/>
      <c r="G214" s="121">
        <f>Construction!O145</f>
        <v>0</v>
      </c>
      <c r="H214" s="123"/>
    </row>
    <row r="215" spans="1:8" s="53" customFormat="1" hidden="1" x14ac:dyDescent="0.35">
      <c r="A215" s="69">
        <v>153</v>
      </c>
      <c r="B215" s="118" t="str">
        <f>Construction!P146</f>
        <v>Work not yet Started.</v>
      </c>
      <c r="C215" s="119"/>
      <c r="D215" s="120"/>
      <c r="E215" s="121">
        <f>Construction!N146</f>
        <v>0</v>
      </c>
      <c r="F215" s="122"/>
      <c r="G215" s="121">
        <f>Construction!O146</f>
        <v>0</v>
      </c>
      <c r="H215" s="123"/>
    </row>
    <row r="216" spans="1:8" s="53" customFormat="1" hidden="1" x14ac:dyDescent="0.35">
      <c r="A216" s="69">
        <v>154</v>
      </c>
      <c r="B216" s="118" t="str">
        <f>Construction!P147</f>
        <v>Work not yet Started.</v>
      </c>
      <c r="C216" s="119"/>
      <c r="D216" s="120"/>
      <c r="E216" s="121">
        <f>Construction!N147</f>
        <v>0</v>
      </c>
      <c r="F216" s="122"/>
      <c r="G216" s="121">
        <f>Construction!O147</f>
        <v>0</v>
      </c>
      <c r="H216" s="123"/>
    </row>
    <row r="217" spans="1:8" s="53" customFormat="1" hidden="1" x14ac:dyDescent="0.35">
      <c r="A217" s="69">
        <v>155</v>
      </c>
      <c r="B217" s="118" t="str">
        <f>Construction!P148</f>
        <v>Work not yet Started.</v>
      </c>
      <c r="C217" s="119"/>
      <c r="D217" s="120"/>
      <c r="E217" s="121">
        <f>Construction!N148</f>
        <v>0</v>
      </c>
      <c r="F217" s="122"/>
      <c r="G217" s="121">
        <f>Construction!O148</f>
        <v>0</v>
      </c>
      <c r="H217" s="123"/>
    </row>
    <row r="218" spans="1:8" s="53" customFormat="1" hidden="1" x14ac:dyDescent="0.35">
      <c r="A218" s="69">
        <v>156</v>
      </c>
      <c r="B218" s="118" t="str">
        <f>Construction!P149</f>
        <v>Work not yet Started.</v>
      </c>
      <c r="C218" s="119"/>
      <c r="D218" s="120"/>
      <c r="E218" s="121">
        <f>Construction!N149</f>
        <v>0</v>
      </c>
      <c r="F218" s="122"/>
      <c r="G218" s="121">
        <f>Construction!O149</f>
        <v>0</v>
      </c>
      <c r="H218" s="123"/>
    </row>
    <row r="219" spans="1:8" s="53" customFormat="1" hidden="1" x14ac:dyDescent="0.35">
      <c r="A219" s="69">
        <v>157</v>
      </c>
      <c r="B219" s="118" t="str">
        <f>Construction!P150</f>
        <v>Work not yet Started.</v>
      </c>
      <c r="C219" s="119"/>
      <c r="D219" s="120"/>
      <c r="E219" s="121">
        <f>Construction!N150</f>
        <v>0</v>
      </c>
      <c r="F219" s="122"/>
      <c r="G219" s="121">
        <f>Construction!O150</f>
        <v>0</v>
      </c>
      <c r="H219" s="123"/>
    </row>
    <row r="220" spans="1:8" s="53" customFormat="1" hidden="1" x14ac:dyDescent="0.35">
      <c r="A220" s="69">
        <v>158</v>
      </c>
      <c r="B220" s="118" t="str">
        <f>Construction!P151</f>
        <v>Work not yet Started.</v>
      </c>
      <c r="C220" s="119"/>
      <c r="D220" s="120"/>
      <c r="E220" s="121">
        <f>Construction!N151</f>
        <v>0</v>
      </c>
      <c r="F220" s="122"/>
      <c r="G220" s="121">
        <f>Construction!O151</f>
        <v>0</v>
      </c>
      <c r="H220" s="123"/>
    </row>
    <row r="221" spans="1:8" s="53" customFormat="1" hidden="1" x14ac:dyDescent="0.35">
      <c r="A221" s="69">
        <v>159</v>
      </c>
      <c r="B221" s="118" t="str">
        <f>Construction!P152</f>
        <v>Work not yet Started.</v>
      </c>
      <c r="C221" s="119"/>
      <c r="D221" s="120"/>
      <c r="E221" s="121">
        <f>Construction!N152</f>
        <v>0</v>
      </c>
      <c r="F221" s="122"/>
      <c r="G221" s="121">
        <f>Construction!O152</f>
        <v>0</v>
      </c>
      <c r="H221" s="123"/>
    </row>
    <row r="222" spans="1:8" s="53" customFormat="1" hidden="1" x14ac:dyDescent="0.35">
      <c r="A222" s="69">
        <v>160</v>
      </c>
      <c r="B222" s="118" t="str">
        <f>Construction!P153</f>
        <v>Work not yet Started.</v>
      </c>
      <c r="C222" s="119"/>
      <c r="D222" s="120"/>
      <c r="E222" s="121">
        <f>Construction!N153</f>
        <v>0</v>
      </c>
      <c r="F222" s="122"/>
      <c r="G222" s="121">
        <f>Construction!O153</f>
        <v>0</v>
      </c>
      <c r="H222" s="123"/>
    </row>
    <row r="223" spans="1:8" s="53" customFormat="1" hidden="1" x14ac:dyDescent="0.35">
      <c r="A223" s="69">
        <v>161</v>
      </c>
      <c r="B223" s="118" t="str">
        <f>Construction!P154</f>
        <v>Work not yet Started.</v>
      </c>
      <c r="C223" s="119"/>
      <c r="D223" s="120"/>
      <c r="E223" s="121">
        <f>Construction!N154</f>
        <v>0</v>
      </c>
      <c r="F223" s="122"/>
      <c r="G223" s="121">
        <f>Construction!O154</f>
        <v>0</v>
      </c>
      <c r="H223" s="123"/>
    </row>
    <row r="224" spans="1:8" s="53" customFormat="1" hidden="1" x14ac:dyDescent="0.35">
      <c r="A224" s="69">
        <v>162</v>
      </c>
      <c r="B224" s="118" t="str">
        <f>Construction!P155</f>
        <v>Work not yet Started.</v>
      </c>
      <c r="C224" s="119"/>
      <c r="D224" s="120"/>
      <c r="E224" s="121">
        <f>Construction!N155</f>
        <v>0</v>
      </c>
      <c r="F224" s="122"/>
      <c r="G224" s="121">
        <f>Construction!O155</f>
        <v>0</v>
      </c>
      <c r="H224" s="123"/>
    </row>
    <row r="225" spans="1:8" s="53" customFormat="1" hidden="1" x14ac:dyDescent="0.35">
      <c r="A225" s="69">
        <v>163</v>
      </c>
      <c r="B225" s="118" t="str">
        <f>Construction!P156</f>
        <v>Work not yet Started.</v>
      </c>
      <c r="C225" s="119"/>
      <c r="D225" s="120"/>
      <c r="E225" s="121">
        <f>Construction!N156</f>
        <v>0</v>
      </c>
      <c r="F225" s="122"/>
      <c r="G225" s="121">
        <f>Construction!O156</f>
        <v>0</v>
      </c>
      <c r="H225" s="123"/>
    </row>
    <row r="226" spans="1:8" s="53" customFormat="1" hidden="1" x14ac:dyDescent="0.35">
      <c r="A226" s="69">
        <v>164</v>
      </c>
      <c r="B226" s="118" t="str">
        <f>Construction!P157</f>
        <v>Work not yet Started.</v>
      </c>
      <c r="C226" s="119"/>
      <c r="D226" s="120"/>
      <c r="E226" s="121">
        <f>Construction!N157</f>
        <v>0</v>
      </c>
      <c r="F226" s="122"/>
      <c r="G226" s="121">
        <f>Construction!O157</f>
        <v>0</v>
      </c>
      <c r="H226" s="123"/>
    </row>
    <row r="227" spans="1:8" s="53" customFormat="1" hidden="1" x14ac:dyDescent="0.35">
      <c r="A227" s="69">
        <v>165</v>
      </c>
      <c r="B227" s="118" t="str">
        <f>Construction!P158</f>
        <v>Work not yet Started.</v>
      </c>
      <c r="C227" s="119"/>
      <c r="D227" s="120"/>
      <c r="E227" s="121">
        <f>Construction!N158</f>
        <v>0</v>
      </c>
      <c r="F227" s="122"/>
      <c r="G227" s="121">
        <f>Construction!O158</f>
        <v>0</v>
      </c>
      <c r="H227" s="123"/>
    </row>
    <row r="228" spans="1:8" s="53" customFormat="1" ht="33.75" customHeight="1" x14ac:dyDescent="0.35">
      <c r="A228" s="69">
        <v>166</v>
      </c>
      <c r="B228" s="118" t="str">
        <f>Construction!P159</f>
        <v>Excavation work Completed. Plinth work completed</v>
      </c>
      <c r="C228" s="119"/>
      <c r="D228" s="120"/>
      <c r="E228" s="121">
        <f>Construction!N159</f>
        <v>0.1</v>
      </c>
      <c r="F228" s="122"/>
      <c r="G228" s="121">
        <f>Construction!O159</f>
        <v>0.45</v>
      </c>
      <c r="H228" s="123"/>
    </row>
    <row r="229" spans="1:8" s="53" customFormat="1" hidden="1" x14ac:dyDescent="0.35">
      <c r="A229" s="69">
        <v>167</v>
      </c>
      <c r="B229" s="118" t="str">
        <f>Construction!P160</f>
        <v>Work not yet Started.</v>
      </c>
      <c r="C229" s="119"/>
      <c r="D229" s="120"/>
      <c r="E229" s="121">
        <f>Construction!N160</f>
        <v>0</v>
      </c>
      <c r="F229" s="122"/>
      <c r="G229" s="121">
        <f>Construction!O160</f>
        <v>0</v>
      </c>
      <c r="H229" s="123"/>
    </row>
    <row r="230" spans="1:8" s="53" customFormat="1" hidden="1" x14ac:dyDescent="0.35">
      <c r="A230" s="69">
        <v>168</v>
      </c>
      <c r="B230" s="118" t="str">
        <f>Construction!P161</f>
        <v>Work not yet Started.</v>
      </c>
      <c r="C230" s="119"/>
      <c r="D230" s="120"/>
      <c r="E230" s="121">
        <f>Construction!N161</f>
        <v>0</v>
      </c>
      <c r="F230" s="122"/>
      <c r="G230" s="121">
        <f>Construction!O161</f>
        <v>0</v>
      </c>
      <c r="H230" s="123"/>
    </row>
    <row r="231" spans="1:8" s="53" customFormat="1" hidden="1" x14ac:dyDescent="0.35">
      <c r="A231" s="69">
        <v>169</v>
      </c>
      <c r="B231" s="118" t="str">
        <f>Construction!P162</f>
        <v>Work not yet Started.</v>
      </c>
      <c r="C231" s="119"/>
      <c r="D231" s="120"/>
      <c r="E231" s="121">
        <f>Construction!N162</f>
        <v>0</v>
      </c>
      <c r="F231" s="122"/>
      <c r="G231" s="121">
        <f>Construction!O162</f>
        <v>0</v>
      </c>
      <c r="H231" s="123"/>
    </row>
    <row r="232" spans="1:8" s="53" customFormat="1" hidden="1" x14ac:dyDescent="0.35">
      <c r="A232" s="69">
        <v>170</v>
      </c>
      <c r="B232" s="118" t="str">
        <f>Construction!P163</f>
        <v>Work not yet Started.</v>
      </c>
      <c r="C232" s="119"/>
      <c r="D232" s="120"/>
      <c r="E232" s="121">
        <f>Construction!N163</f>
        <v>0</v>
      </c>
      <c r="F232" s="122"/>
      <c r="G232" s="121">
        <f>Construction!O163</f>
        <v>0</v>
      </c>
      <c r="H232" s="123"/>
    </row>
    <row r="233" spans="1:8" s="53" customFormat="1" hidden="1" x14ac:dyDescent="0.35">
      <c r="A233" s="69">
        <v>171</v>
      </c>
      <c r="B233" s="118" t="str">
        <f>Construction!P164</f>
        <v>Work not yet Started.</v>
      </c>
      <c r="C233" s="119"/>
      <c r="D233" s="120"/>
      <c r="E233" s="121">
        <f>Construction!N164</f>
        <v>0</v>
      </c>
      <c r="F233" s="122"/>
      <c r="G233" s="121">
        <f>Construction!O164</f>
        <v>0</v>
      </c>
      <c r="H233" s="123"/>
    </row>
    <row r="234" spans="1:8" s="53" customFormat="1" hidden="1" x14ac:dyDescent="0.35">
      <c r="A234" s="69">
        <v>172</v>
      </c>
      <c r="B234" s="118" t="str">
        <f>Construction!P165</f>
        <v>Work not yet Started.</v>
      </c>
      <c r="C234" s="119"/>
      <c r="D234" s="120"/>
      <c r="E234" s="121">
        <f>Construction!N165</f>
        <v>0</v>
      </c>
      <c r="F234" s="122"/>
      <c r="G234" s="121">
        <f>Construction!O165</f>
        <v>0</v>
      </c>
      <c r="H234" s="123"/>
    </row>
    <row r="235" spans="1:8" s="53" customFormat="1" hidden="1" x14ac:dyDescent="0.35">
      <c r="A235" s="69">
        <v>173</v>
      </c>
      <c r="B235" s="118" t="str">
        <f>Construction!P166</f>
        <v>Work not yet Started.</v>
      </c>
      <c r="C235" s="119"/>
      <c r="D235" s="120"/>
      <c r="E235" s="121">
        <f>Construction!N166</f>
        <v>0</v>
      </c>
      <c r="F235" s="122"/>
      <c r="G235" s="121">
        <f>Construction!O166</f>
        <v>0</v>
      </c>
      <c r="H235" s="123"/>
    </row>
    <row r="236" spans="1:8" s="53" customFormat="1" hidden="1" x14ac:dyDescent="0.35">
      <c r="A236" s="69">
        <v>174</v>
      </c>
      <c r="B236" s="118" t="str">
        <f>Construction!P167</f>
        <v>Work not yet Started.</v>
      </c>
      <c r="C236" s="119"/>
      <c r="D236" s="120"/>
      <c r="E236" s="121">
        <f>Construction!N167</f>
        <v>0</v>
      </c>
      <c r="F236" s="122"/>
      <c r="G236" s="121">
        <f>Construction!O167</f>
        <v>0</v>
      </c>
      <c r="H236" s="123"/>
    </row>
    <row r="237" spans="1:8" s="53" customFormat="1" hidden="1" x14ac:dyDescent="0.35">
      <c r="A237" s="69">
        <v>175</v>
      </c>
      <c r="B237" s="118" t="str">
        <f>Construction!P168</f>
        <v>Work not yet Started.</v>
      </c>
      <c r="C237" s="119"/>
      <c r="D237" s="120"/>
      <c r="E237" s="121">
        <f>Construction!N168</f>
        <v>0</v>
      </c>
      <c r="F237" s="122"/>
      <c r="G237" s="121">
        <f>Construction!O168</f>
        <v>0</v>
      </c>
      <c r="H237" s="123"/>
    </row>
    <row r="238" spans="1:8" s="53" customFormat="1" hidden="1" x14ac:dyDescent="0.35">
      <c r="A238" s="69">
        <v>176</v>
      </c>
      <c r="B238" s="118" t="str">
        <f>Construction!P169</f>
        <v>Work not yet Started.</v>
      </c>
      <c r="C238" s="119"/>
      <c r="D238" s="120"/>
      <c r="E238" s="121">
        <f>Construction!N169</f>
        <v>0</v>
      </c>
      <c r="F238" s="122"/>
      <c r="G238" s="121">
        <f>Construction!O169</f>
        <v>0</v>
      </c>
      <c r="H238" s="123"/>
    </row>
    <row r="239" spans="1:8" s="53" customFormat="1" hidden="1" x14ac:dyDescent="0.35">
      <c r="A239" s="69">
        <v>177</v>
      </c>
      <c r="B239" s="118" t="str">
        <f>Construction!P170</f>
        <v>Work not yet Started.</v>
      </c>
      <c r="C239" s="119"/>
      <c r="D239" s="120"/>
      <c r="E239" s="121">
        <f>Construction!N170</f>
        <v>0</v>
      </c>
      <c r="F239" s="122"/>
      <c r="G239" s="121">
        <f>Construction!O170</f>
        <v>0</v>
      </c>
      <c r="H239" s="123"/>
    </row>
    <row r="240" spans="1:8" s="53" customFormat="1" hidden="1" x14ac:dyDescent="0.35">
      <c r="A240" s="69">
        <v>178</v>
      </c>
      <c r="B240" s="118" t="str">
        <f>Construction!P171</f>
        <v>Work not yet Started.</v>
      </c>
      <c r="C240" s="119"/>
      <c r="D240" s="120"/>
      <c r="E240" s="121">
        <f>Construction!N171</f>
        <v>0</v>
      </c>
      <c r="F240" s="122"/>
      <c r="G240" s="121">
        <f>Construction!O171</f>
        <v>0</v>
      </c>
      <c r="H240" s="123"/>
    </row>
    <row r="241" spans="1:12" s="53" customFormat="1" hidden="1" x14ac:dyDescent="0.35">
      <c r="A241" s="69">
        <v>179</v>
      </c>
      <c r="B241" s="118" t="str">
        <f>Construction!P172</f>
        <v>Work not yet Started.</v>
      </c>
      <c r="C241" s="119"/>
      <c r="D241" s="120"/>
      <c r="E241" s="121">
        <f>Construction!N172</f>
        <v>0</v>
      </c>
      <c r="F241" s="122"/>
      <c r="G241" s="121">
        <f>Construction!O172</f>
        <v>0</v>
      </c>
      <c r="H241" s="123"/>
    </row>
    <row r="242" spans="1:12" s="53" customFormat="1" hidden="1" x14ac:dyDescent="0.35">
      <c r="A242" s="69">
        <v>180</v>
      </c>
      <c r="B242" s="118" t="str">
        <f>Construction!P173</f>
        <v>Work not yet Started.</v>
      </c>
      <c r="C242" s="119"/>
      <c r="D242" s="120"/>
      <c r="E242" s="121">
        <f>Construction!N173</f>
        <v>0</v>
      </c>
      <c r="F242" s="122"/>
      <c r="G242" s="121">
        <f>Construction!O173</f>
        <v>0</v>
      </c>
      <c r="H242" s="123"/>
    </row>
    <row r="243" spans="1:12" s="53" customFormat="1" hidden="1" x14ac:dyDescent="0.35">
      <c r="A243" s="69">
        <v>181</v>
      </c>
      <c r="B243" s="118" t="str">
        <f>Construction!P174</f>
        <v>Work not yet Started.</v>
      </c>
      <c r="C243" s="119"/>
      <c r="D243" s="120"/>
      <c r="E243" s="121">
        <f>Construction!N174</f>
        <v>0</v>
      </c>
      <c r="F243" s="122"/>
      <c r="G243" s="121">
        <f>Construction!O174</f>
        <v>0</v>
      </c>
      <c r="H243" s="123"/>
    </row>
    <row r="244" spans="1:12" s="53" customFormat="1" hidden="1" x14ac:dyDescent="0.35">
      <c r="A244" s="69">
        <v>182</v>
      </c>
      <c r="B244" s="118" t="str">
        <f>Construction!P175</f>
        <v>Work not yet Started.</v>
      </c>
      <c r="C244" s="119"/>
      <c r="D244" s="120"/>
      <c r="E244" s="121">
        <f>Construction!N175</f>
        <v>0</v>
      </c>
      <c r="F244" s="122"/>
      <c r="G244" s="121">
        <f>Construction!O175</f>
        <v>0</v>
      </c>
      <c r="H244" s="123"/>
    </row>
    <row r="245" spans="1:12" s="53" customFormat="1" x14ac:dyDescent="0.35">
      <c r="A245" s="69">
        <v>183</v>
      </c>
      <c r="B245" s="118" t="str">
        <f>Construction!P176</f>
        <v>Work not yet Started.</v>
      </c>
      <c r="C245" s="119"/>
      <c r="D245" s="120"/>
      <c r="E245" s="121">
        <f>Construction!N176</f>
        <v>0</v>
      </c>
      <c r="F245" s="122"/>
      <c r="G245" s="121">
        <f>Construction!O176</f>
        <v>0</v>
      </c>
      <c r="H245" s="123"/>
    </row>
    <row r="246" spans="1:12" s="53" customFormat="1" hidden="1" x14ac:dyDescent="0.35">
      <c r="A246" s="69">
        <v>184</v>
      </c>
      <c r="B246" s="118" t="str">
        <f>Construction!P177</f>
        <v>Work not yet Started.</v>
      </c>
      <c r="C246" s="119"/>
      <c r="D246" s="120"/>
      <c r="E246" s="121">
        <f>Construction!N177</f>
        <v>0</v>
      </c>
      <c r="F246" s="122"/>
      <c r="G246" s="121">
        <f>Construction!O177</f>
        <v>0</v>
      </c>
      <c r="H246" s="123"/>
    </row>
    <row r="247" spans="1:12" s="53" customFormat="1" hidden="1" x14ac:dyDescent="0.35">
      <c r="A247" s="69">
        <v>185</v>
      </c>
      <c r="B247" s="118" t="str">
        <f>Construction!P178</f>
        <v>Work not yet Started.</v>
      </c>
      <c r="C247" s="119"/>
      <c r="D247" s="120"/>
      <c r="E247" s="121">
        <f>Construction!N178</f>
        <v>0</v>
      </c>
      <c r="F247" s="122"/>
      <c r="G247" s="121">
        <f>Construction!O178</f>
        <v>0</v>
      </c>
      <c r="H247" s="123"/>
    </row>
    <row r="248" spans="1:12" x14ac:dyDescent="0.35">
      <c r="A248" s="151" t="s">
        <v>136</v>
      </c>
      <c r="B248" s="151"/>
      <c r="C248" s="151"/>
      <c r="D248" s="151"/>
      <c r="E248" s="151"/>
      <c r="F248" s="152" t="s">
        <v>266</v>
      </c>
      <c r="G248" s="152"/>
      <c r="H248" s="152"/>
    </row>
    <row r="249" spans="1:12" x14ac:dyDescent="0.35">
      <c r="A249" s="150" t="s">
        <v>267</v>
      </c>
      <c r="B249" s="150"/>
      <c r="C249" s="150"/>
      <c r="D249" s="150"/>
      <c r="E249" s="150"/>
      <c r="F249" s="128">
        <v>7000</v>
      </c>
      <c r="G249" s="128"/>
      <c r="H249" s="128"/>
      <c r="J249" s="15" t="s">
        <v>185</v>
      </c>
      <c r="K249" s="19">
        <v>45167</v>
      </c>
      <c r="L249" s="15" t="s">
        <v>186</v>
      </c>
    </row>
    <row r="250" spans="1:12" ht="33" customHeight="1" x14ac:dyDescent="0.35">
      <c r="A250" s="149" t="s">
        <v>190</v>
      </c>
      <c r="B250" s="149"/>
      <c r="C250" s="149"/>
      <c r="D250" s="149"/>
      <c r="E250" s="149"/>
      <c r="F250" s="128">
        <v>2500</v>
      </c>
      <c r="G250" s="128"/>
      <c r="H250" s="128"/>
    </row>
    <row r="251" spans="1:12" hidden="1" x14ac:dyDescent="0.35">
      <c r="A251" s="150" t="s">
        <v>138</v>
      </c>
      <c r="B251" s="150"/>
      <c r="C251" s="150"/>
      <c r="D251" s="150"/>
      <c r="E251" s="150"/>
      <c r="F251" s="128"/>
      <c r="G251" s="128"/>
      <c r="H251" s="128"/>
    </row>
    <row r="252" spans="1:12" s="22" customFormat="1" hidden="1" x14ac:dyDescent="0.3">
      <c r="A252" s="150" t="s">
        <v>137</v>
      </c>
      <c r="B252" s="150"/>
      <c r="C252" s="150"/>
      <c r="D252" s="150"/>
      <c r="E252" s="150"/>
      <c r="F252" s="128"/>
      <c r="G252" s="128"/>
      <c r="H252" s="128"/>
    </row>
    <row r="253" spans="1:12" s="22" customFormat="1" hidden="1" x14ac:dyDescent="0.3">
      <c r="A253" s="150" t="s">
        <v>88</v>
      </c>
      <c r="B253" s="150"/>
      <c r="C253" s="150"/>
      <c r="D253" s="150"/>
      <c r="E253" s="150"/>
      <c r="F253" s="128"/>
      <c r="G253" s="128"/>
      <c r="H253" s="128"/>
    </row>
    <row r="254" spans="1:12" s="22" customFormat="1" hidden="1" x14ac:dyDescent="0.3">
      <c r="A254" s="150" t="s">
        <v>89</v>
      </c>
      <c r="B254" s="150"/>
      <c r="C254" s="150"/>
      <c r="D254" s="150"/>
      <c r="E254" s="150"/>
      <c r="F254" s="128"/>
      <c r="G254" s="128"/>
      <c r="H254" s="128"/>
    </row>
    <row r="255" spans="1:12" s="22" customFormat="1" hidden="1" x14ac:dyDescent="0.3">
      <c r="A255" s="150" t="s">
        <v>139</v>
      </c>
      <c r="B255" s="150"/>
      <c r="C255" s="150"/>
      <c r="D255" s="150"/>
      <c r="E255" s="150"/>
      <c r="F255" s="128"/>
      <c r="G255" s="128"/>
      <c r="H255" s="128"/>
    </row>
    <row r="256" spans="1:12" s="22" customFormat="1" hidden="1" x14ac:dyDescent="0.3">
      <c r="A256" s="150" t="s">
        <v>90</v>
      </c>
      <c r="B256" s="150"/>
      <c r="C256" s="150"/>
      <c r="D256" s="150"/>
      <c r="E256" s="150"/>
      <c r="F256" s="128"/>
      <c r="G256" s="128"/>
      <c r="H256" s="128"/>
    </row>
    <row r="257" spans="1:8" s="22" customFormat="1" hidden="1" x14ac:dyDescent="0.3">
      <c r="A257" s="150" t="s">
        <v>91</v>
      </c>
      <c r="B257" s="150"/>
      <c r="C257" s="150"/>
      <c r="D257" s="150"/>
      <c r="E257" s="150"/>
      <c r="F257" s="128"/>
      <c r="G257" s="128"/>
      <c r="H257" s="128"/>
    </row>
    <row r="258" spans="1:8" s="22" customFormat="1" hidden="1" x14ac:dyDescent="0.3">
      <c r="A258" s="150" t="s">
        <v>92</v>
      </c>
      <c r="B258" s="150"/>
      <c r="C258" s="150"/>
      <c r="D258" s="150"/>
      <c r="E258" s="150"/>
      <c r="F258" s="128"/>
      <c r="G258" s="128"/>
      <c r="H258" s="128"/>
    </row>
    <row r="259" spans="1:8" s="22" customFormat="1" hidden="1" x14ac:dyDescent="0.3">
      <c r="A259" s="150" t="s">
        <v>93</v>
      </c>
      <c r="B259" s="150"/>
      <c r="C259" s="150"/>
      <c r="D259" s="150"/>
      <c r="E259" s="150"/>
      <c r="F259" s="128"/>
      <c r="G259" s="128"/>
      <c r="H259" s="128"/>
    </row>
    <row r="260" spans="1:8" hidden="1" x14ac:dyDescent="0.35">
      <c r="A260" s="150" t="s">
        <v>49</v>
      </c>
      <c r="B260" s="150"/>
      <c r="C260" s="150"/>
      <c r="D260" s="150"/>
      <c r="E260" s="150"/>
      <c r="F260" s="128"/>
      <c r="G260" s="128"/>
      <c r="H260" s="128"/>
    </row>
    <row r="261" spans="1:8" s="23" customFormat="1" x14ac:dyDescent="0.35">
      <c r="A261" s="184" t="s">
        <v>50</v>
      </c>
      <c r="B261" s="184"/>
      <c r="C261" s="184"/>
      <c r="D261" s="184"/>
      <c r="E261" s="184"/>
      <c r="F261" s="128">
        <f>F249*0.8</f>
        <v>5600</v>
      </c>
      <c r="G261" s="128"/>
      <c r="H261" s="128"/>
    </row>
    <row r="262" spans="1:8" s="24" customFormat="1" ht="15.75" hidden="1" customHeight="1" x14ac:dyDescent="0.35">
      <c r="A262" s="204" t="s">
        <v>70</v>
      </c>
      <c r="B262" s="204"/>
      <c r="C262" s="204"/>
      <c r="D262" s="204"/>
      <c r="E262" s="204"/>
      <c r="F262" s="204"/>
      <c r="G262" s="204"/>
      <c r="H262" s="204"/>
    </row>
    <row r="263" spans="1:8" s="24" customFormat="1" ht="15.75" hidden="1" customHeight="1" x14ac:dyDescent="0.35">
      <c r="A263" s="130" t="s">
        <v>51</v>
      </c>
      <c r="B263" s="130"/>
      <c r="C263" s="172" t="s">
        <v>73</v>
      </c>
      <c r="D263" s="172"/>
      <c r="E263" s="129" t="s">
        <v>52</v>
      </c>
      <c r="F263" s="129"/>
      <c r="G263" s="130" t="s">
        <v>53</v>
      </c>
      <c r="H263" s="130"/>
    </row>
    <row r="264" spans="1:8" s="24" customFormat="1" hidden="1" x14ac:dyDescent="0.35">
      <c r="A264" s="131"/>
      <c r="B264" s="131"/>
      <c r="C264" s="126"/>
      <c r="D264" s="126"/>
      <c r="E264" s="127"/>
      <c r="F264" s="127"/>
      <c r="G264" s="212"/>
      <c r="H264" s="212"/>
    </row>
    <row r="265" spans="1:8" s="24" customFormat="1" hidden="1" x14ac:dyDescent="0.35">
      <c r="A265" s="131"/>
      <c r="B265" s="131"/>
      <c r="C265" s="126"/>
      <c r="D265" s="126"/>
      <c r="E265" s="127"/>
      <c r="F265" s="127"/>
      <c r="G265" s="212"/>
      <c r="H265" s="212"/>
    </row>
    <row r="266" spans="1:8" s="24" customFormat="1" hidden="1" x14ac:dyDescent="0.35">
      <c r="A266" s="204" t="s">
        <v>128</v>
      </c>
      <c r="B266" s="204"/>
      <c r="C266" s="172"/>
      <c r="D266" s="172"/>
      <c r="E266" s="129"/>
      <c r="F266" s="129"/>
      <c r="G266" s="130"/>
      <c r="H266" s="130"/>
    </row>
    <row r="267" spans="1:8" s="24" customFormat="1" x14ac:dyDescent="0.35">
      <c r="A267" s="204" t="s">
        <v>66</v>
      </c>
      <c r="B267" s="204"/>
      <c r="C267" s="204"/>
      <c r="D267" s="204"/>
      <c r="E267" s="204"/>
      <c r="F267" s="204"/>
      <c r="G267" s="204"/>
      <c r="H267" s="204"/>
    </row>
    <row r="268" spans="1:8" s="24" customFormat="1" ht="15.75" customHeight="1" x14ac:dyDescent="0.35">
      <c r="A268" s="130" t="s">
        <v>51</v>
      </c>
      <c r="B268" s="130"/>
      <c r="C268" s="172" t="s">
        <v>175</v>
      </c>
      <c r="D268" s="172"/>
      <c r="E268" s="129" t="s">
        <v>174</v>
      </c>
      <c r="F268" s="129"/>
      <c r="G268" s="129" t="s">
        <v>173</v>
      </c>
      <c r="H268" s="129"/>
    </row>
    <row r="269" spans="1:8" s="24" customFormat="1" x14ac:dyDescent="0.35">
      <c r="A269" s="131" t="s">
        <v>160</v>
      </c>
      <c r="B269" s="131"/>
      <c r="C269" s="176">
        <f>COUNT(D283:D458)</f>
        <v>176</v>
      </c>
      <c r="D269" s="126"/>
      <c r="E269" s="177">
        <f>SUM(D283:D458)</f>
        <v>584465.3942399997</v>
      </c>
      <c r="F269" s="127"/>
      <c r="G269" s="177">
        <f>SUM(E283:E458)</f>
        <v>9995.3739755999995</v>
      </c>
      <c r="H269" s="127"/>
    </row>
    <row r="270" spans="1:8" s="23" customFormat="1" hidden="1" x14ac:dyDescent="0.35">
      <c r="A270" s="132" t="s">
        <v>54</v>
      </c>
      <c r="B270" s="132"/>
      <c r="C270" s="132"/>
      <c r="D270" s="132"/>
      <c r="E270" s="132"/>
      <c r="F270" s="132"/>
      <c r="G270" s="132"/>
      <c r="H270" s="132"/>
    </row>
    <row r="271" spans="1:8" x14ac:dyDescent="0.35">
      <c r="A271" s="132" t="s">
        <v>265</v>
      </c>
      <c r="B271" s="132"/>
      <c r="C271" s="132"/>
      <c r="D271" s="132"/>
      <c r="E271" s="132"/>
      <c r="F271" s="132"/>
      <c r="G271" s="132"/>
      <c r="H271" s="132"/>
    </row>
    <row r="272" spans="1:8" ht="47.25" hidden="1" customHeight="1" x14ac:dyDescent="0.35">
      <c r="A272" s="133" t="s">
        <v>111</v>
      </c>
      <c r="B272" s="133" t="s">
        <v>110</v>
      </c>
      <c r="C272" s="133" t="s">
        <v>55</v>
      </c>
      <c r="D272" s="133" t="s">
        <v>56</v>
      </c>
      <c r="E272" s="178" t="s">
        <v>135</v>
      </c>
      <c r="F272" s="32" t="s">
        <v>126</v>
      </c>
      <c r="G272" s="158" t="s">
        <v>57</v>
      </c>
      <c r="H272" s="180"/>
    </row>
    <row r="273" spans="1:16" s="26" customFormat="1" hidden="1" x14ac:dyDescent="0.35">
      <c r="A273" s="134"/>
      <c r="B273" s="134"/>
      <c r="C273" s="134"/>
      <c r="D273" s="134"/>
      <c r="E273" s="179"/>
      <c r="F273" s="13">
        <v>0.6</v>
      </c>
      <c r="G273" s="159"/>
      <c r="H273" s="181"/>
    </row>
    <row r="274" spans="1:16" s="26" customFormat="1" hidden="1" x14ac:dyDescent="0.35">
      <c r="A274" s="154" t="s">
        <v>108</v>
      </c>
      <c r="B274" s="155"/>
      <c r="C274" s="155"/>
      <c r="D274" s="155"/>
      <c r="E274" s="155"/>
      <c r="F274" s="155"/>
      <c r="G274" s="155"/>
      <c r="H274" s="156"/>
      <c r="J274" s="25"/>
    </row>
    <row r="275" spans="1:16" s="26" customFormat="1" hidden="1" x14ac:dyDescent="0.35">
      <c r="A275" s="124">
        <v>1</v>
      </c>
      <c r="B275" s="125"/>
      <c r="C275" s="31"/>
      <c r="D275" s="31"/>
      <c r="E275" s="31">
        <v>0</v>
      </c>
      <c r="F275" s="31">
        <f>(D275+E275)*(($F$273)+1)</f>
        <v>0</v>
      </c>
      <c r="G275" s="124" t="str">
        <f>A274</f>
        <v>Ground Floor</v>
      </c>
      <c r="H275" s="125"/>
      <c r="I275" s="25"/>
      <c r="L275" s="153"/>
      <c r="M275" s="153"/>
      <c r="N275" s="25"/>
    </row>
    <row r="276" spans="1:16" s="26" customFormat="1" hidden="1" x14ac:dyDescent="0.35">
      <c r="A276" s="124">
        <f>A275+1</f>
        <v>2</v>
      </c>
      <c r="B276" s="125"/>
      <c r="C276" s="31"/>
      <c r="D276" s="31"/>
      <c r="E276" s="31">
        <v>0</v>
      </c>
      <c r="F276" s="31">
        <f>(D276+E276)*(($F$273)+1)</f>
        <v>0</v>
      </c>
      <c r="G276" s="124" t="str">
        <f>G275</f>
        <v>Ground Floor</v>
      </c>
      <c r="H276" s="125"/>
      <c r="I276" s="25"/>
      <c r="L276" s="153"/>
      <c r="M276" s="153"/>
      <c r="N276" s="25"/>
    </row>
    <row r="277" spans="1:16" s="26" customFormat="1" hidden="1" x14ac:dyDescent="0.35">
      <c r="A277" s="124">
        <f>A276+1</f>
        <v>3</v>
      </c>
      <c r="B277" s="125"/>
      <c r="C277" s="31"/>
      <c r="D277" s="31"/>
      <c r="E277" s="31">
        <v>0</v>
      </c>
      <c r="F277" s="31">
        <f>(D277+E277)*(($F$273)+1)</f>
        <v>0</v>
      </c>
      <c r="G277" s="124" t="str">
        <f>G276</f>
        <v>Ground Floor</v>
      </c>
      <c r="H277" s="125"/>
      <c r="I277" s="25"/>
      <c r="L277" s="153"/>
      <c r="M277" s="153"/>
      <c r="N277" s="25"/>
    </row>
    <row r="278" spans="1:16" s="26" customFormat="1" hidden="1" x14ac:dyDescent="0.35">
      <c r="A278" s="124">
        <f>A277+1</f>
        <v>4</v>
      </c>
      <c r="B278" s="125"/>
      <c r="C278" s="31"/>
      <c r="D278" s="31"/>
      <c r="E278" s="31">
        <v>0</v>
      </c>
      <c r="F278" s="31">
        <f>(D278+E278)*(($F$273)+1)</f>
        <v>0</v>
      </c>
      <c r="G278" s="124" t="str">
        <f>G277</f>
        <v>Ground Floor</v>
      </c>
      <c r="H278" s="125"/>
      <c r="I278" s="25"/>
      <c r="L278" s="153"/>
      <c r="M278" s="153"/>
      <c r="N278" s="25"/>
    </row>
    <row r="279" spans="1:16" s="26" customFormat="1" x14ac:dyDescent="0.35">
      <c r="A279" s="124"/>
      <c r="B279" s="160"/>
      <c r="C279" s="160"/>
      <c r="D279" s="160"/>
      <c r="E279" s="160"/>
      <c r="F279" s="160"/>
      <c r="G279" s="160"/>
      <c r="H279" s="125"/>
      <c r="I279" s="25"/>
      <c r="N279" s="25"/>
    </row>
    <row r="280" spans="1:16" ht="52.5" customHeight="1" x14ac:dyDescent="0.35">
      <c r="A280" s="133" t="s">
        <v>181</v>
      </c>
      <c r="B280" s="133" t="s">
        <v>170</v>
      </c>
      <c r="C280" s="133" t="s">
        <v>263</v>
      </c>
      <c r="D280" s="214" t="s">
        <v>208</v>
      </c>
      <c r="E280" s="133" t="s">
        <v>192</v>
      </c>
      <c r="F280" s="133" t="s">
        <v>187</v>
      </c>
      <c r="G280" s="158" t="s">
        <v>188</v>
      </c>
      <c r="H280" s="40" t="s">
        <v>191</v>
      </c>
      <c r="I280" s="25"/>
    </row>
    <row r="281" spans="1:16" s="26" customFormat="1" x14ac:dyDescent="0.35">
      <c r="A281" s="134"/>
      <c r="B281" s="134"/>
      <c r="C281" s="134"/>
      <c r="D281" s="215"/>
      <c r="E281" s="216"/>
      <c r="F281" s="134"/>
      <c r="G281" s="159"/>
      <c r="H281" s="13">
        <v>0.5</v>
      </c>
      <c r="I281" s="63">
        <v>10.763999999999999</v>
      </c>
      <c r="N281" s="65"/>
      <c r="O281" s="65"/>
      <c r="P281" s="65"/>
    </row>
    <row r="282" spans="1:16" s="26" customFormat="1" x14ac:dyDescent="0.35">
      <c r="A282" s="254" t="s">
        <v>189</v>
      </c>
      <c r="B282" s="254"/>
      <c r="C282" s="254"/>
      <c r="D282" s="254"/>
      <c r="E282" s="254"/>
      <c r="F282" s="254"/>
      <c r="G282" s="254"/>
      <c r="H282" s="254"/>
      <c r="J282" s="25"/>
      <c r="N282" s="65"/>
      <c r="O282" s="65"/>
      <c r="P282" s="65"/>
    </row>
    <row r="283" spans="1:16" s="26" customFormat="1" x14ac:dyDescent="0.35">
      <c r="A283" s="106">
        <v>1</v>
      </c>
      <c r="B283" s="106">
        <v>1</v>
      </c>
      <c r="C283" s="106" t="s">
        <v>161</v>
      </c>
      <c r="D283" s="106">
        <f>(515.52)*10.764</f>
        <v>5549.0572799999991</v>
      </c>
      <c r="E283" s="106">
        <v>0</v>
      </c>
      <c r="F283" s="106"/>
      <c r="G283" s="39"/>
      <c r="H283" s="106">
        <f>E283*(($H$281)+1)+(IF(G283&lt;101,G283,IF(G283&lt;201,G283/2,IF(G283&lt;=301,G283/3,G283/4))))</f>
        <v>0</v>
      </c>
      <c r="I283" s="25"/>
      <c r="J283" s="26">
        <f>404.63*10.764</f>
        <v>4355.43732</v>
      </c>
      <c r="K283" s="26">
        <f>26500000/J283</f>
        <v>6084.3488387062816</v>
      </c>
      <c r="L283" s="153"/>
      <c r="M283" s="153"/>
      <c r="N283" s="63">
        <v>757.75</v>
      </c>
      <c r="O283" s="65" t="s">
        <v>209</v>
      </c>
      <c r="P283" s="66" t="str">
        <f>O283&amp;""&amp;N283</f>
        <v>=757.75</v>
      </c>
    </row>
    <row r="284" spans="1:16" s="26" customFormat="1" x14ac:dyDescent="0.35">
      <c r="A284" s="106">
        <f>A283+1</f>
        <v>2</v>
      </c>
      <c r="B284" s="106">
        <f>B283+1</f>
        <v>2</v>
      </c>
      <c r="C284" s="106" t="s">
        <v>162</v>
      </c>
      <c r="D284" s="106">
        <f>(505.57)*10.764</f>
        <v>5441.9554799999996</v>
      </c>
      <c r="E284" s="106">
        <v>0</v>
      </c>
      <c r="F284" s="106"/>
      <c r="G284" s="39"/>
      <c r="H284" s="106">
        <f>E284*(($H$281)+1)+(IF(G284&lt;101,G284,IF(G284&lt;201,G284/2,IF(G284&lt;=301,G284/3,G284/4))))</f>
        <v>0</v>
      </c>
      <c r="I284" s="25"/>
      <c r="L284" s="153"/>
      <c r="M284" s="153"/>
      <c r="N284" s="63">
        <v>494.3</v>
      </c>
      <c r="O284" s="65" t="s">
        <v>209</v>
      </c>
      <c r="P284" s="66" t="str">
        <f t="shared" ref="P284:P347" si="1">O284&amp;""&amp;N284</f>
        <v>=494.3</v>
      </c>
    </row>
    <row r="285" spans="1:16" s="100" customFormat="1" x14ac:dyDescent="0.35">
      <c r="A285" s="98">
        <f t="shared" ref="A285:A348" si="2">A284+1</f>
        <v>3</v>
      </c>
      <c r="B285" s="68">
        <f>B284+1</f>
        <v>3</v>
      </c>
      <c r="C285" s="68" t="s">
        <v>163</v>
      </c>
      <c r="D285" s="98">
        <f>(297)*10.764</f>
        <v>3196.9079999999999</v>
      </c>
      <c r="E285" s="68">
        <f>(5.5*6.54+3.7*2.5+1.65*2.45+4*3.72+2.9*2.6+2.8*1.7+1.9*1.05+6.05*1.53+2.05*1.75+2*1.75+3.15*1.75+1.15*0.85+1.75*0.9+1.7*0.85+1.18*1.85+2*1.75+1.35*1.35+0.75*0.4+2.8*2.9+3*1.35+1.5*1.35+4.83*5.55+4*3.7+4*3.7+3.48*2.6+3.38*2.2+2.95*3.5+2.45*3.5+1.15*0.8+1.75*0.98+1.7*0.83+1.95*0.95+1.1*2.33+2.65*1.4+2.2*0.4+1.8*1.74+1*1.14+1.1*1+1.5*4.74)*10.764</f>
        <v>2622.2826240000004</v>
      </c>
      <c r="F285" s="68">
        <f>290.97*10.764</f>
        <v>3132.00108</v>
      </c>
      <c r="G285" s="68">
        <f>(6.2*1.8+2.4*1.9+5*2.4+1.7*4.5+1.2*3.6+3.4*3.5)*10.764</f>
        <v>555.31475999999998</v>
      </c>
      <c r="H285" s="68">
        <f>E285*(($H$281)+1)+(IF(G285&lt;101,G285,IF(G285&lt;201,G285/2,IF(G285&lt;=301,G285/3,G285/4))))</f>
        <v>4072.2526260000004</v>
      </c>
      <c r="I285" s="99"/>
      <c r="J285" s="100">
        <f>2500*F285</f>
        <v>7830002.7000000002</v>
      </c>
      <c r="K285" s="100">
        <f>7000*H285</f>
        <v>28505768.382000003</v>
      </c>
      <c r="L285" s="161"/>
      <c r="M285" s="161"/>
      <c r="N285" s="103">
        <v>312.35000000000002</v>
      </c>
      <c r="O285" s="104" t="s">
        <v>209</v>
      </c>
      <c r="P285" s="102" t="str">
        <f t="shared" si="1"/>
        <v>=312.35</v>
      </c>
    </row>
    <row r="286" spans="1:16" s="26" customFormat="1" x14ac:dyDescent="0.35">
      <c r="A286" s="106">
        <f t="shared" si="2"/>
        <v>4</v>
      </c>
      <c r="B286" s="106">
        <f t="shared" ref="B286:B289" si="3">B285+1</f>
        <v>4</v>
      </c>
      <c r="C286" s="106" t="s">
        <v>163</v>
      </c>
      <c r="D286" s="106">
        <f>(325.22)*10.764</f>
        <v>3500.6680799999999</v>
      </c>
      <c r="E286" s="106">
        <v>0</v>
      </c>
      <c r="F286" s="106"/>
      <c r="G286" s="39"/>
      <c r="H286" s="106">
        <f t="shared" ref="H286:H345" si="4">E286*(($H$281)+1)+(IF(G286&lt;101,G286,IF(G286&lt;201,G286/2,IF(G286&lt;=301,G286/3,G286/4))))</f>
        <v>0</v>
      </c>
      <c r="I286" s="25"/>
      <c r="L286" s="153"/>
      <c r="M286" s="153"/>
      <c r="N286" s="63">
        <v>340.68</v>
      </c>
      <c r="O286" s="65" t="s">
        <v>209</v>
      </c>
      <c r="P286" s="67" t="str">
        <f t="shared" si="1"/>
        <v>=340.68</v>
      </c>
    </row>
    <row r="287" spans="1:16" s="26" customFormat="1" x14ac:dyDescent="0.35">
      <c r="A287" s="106">
        <f t="shared" si="2"/>
        <v>5</v>
      </c>
      <c r="B287" s="106">
        <f>B286+1</f>
        <v>5</v>
      </c>
      <c r="C287" s="106" t="s">
        <v>163</v>
      </c>
      <c r="D287" s="106">
        <f>(353.55)*10.764</f>
        <v>3805.6122</v>
      </c>
      <c r="E287" s="106">
        <v>0</v>
      </c>
      <c r="F287" s="106"/>
      <c r="G287" s="39"/>
      <c r="H287" s="106">
        <f t="shared" si="4"/>
        <v>0</v>
      </c>
      <c r="I287" s="25"/>
      <c r="L287" s="153"/>
      <c r="M287" s="153"/>
      <c r="N287" s="63">
        <v>369.05</v>
      </c>
      <c r="O287" s="65" t="s">
        <v>209</v>
      </c>
      <c r="P287" s="67" t="str">
        <f t="shared" si="1"/>
        <v>=369.05</v>
      </c>
    </row>
    <row r="288" spans="1:16" s="26" customFormat="1" x14ac:dyDescent="0.35">
      <c r="A288" s="106">
        <f t="shared" si="2"/>
        <v>6</v>
      </c>
      <c r="B288" s="106">
        <f t="shared" si="3"/>
        <v>6</v>
      </c>
      <c r="C288" s="106" t="s">
        <v>163</v>
      </c>
      <c r="D288" s="106">
        <f>(376.51)*10.764</f>
        <v>4052.7536399999995</v>
      </c>
      <c r="E288" s="106">
        <v>0</v>
      </c>
      <c r="F288" s="106"/>
      <c r="G288" s="39"/>
      <c r="H288" s="106">
        <f t="shared" si="4"/>
        <v>0</v>
      </c>
      <c r="I288" s="25"/>
      <c r="L288" s="153"/>
      <c r="M288" s="153"/>
      <c r="N288" s="63">
        <v>363.55</v>
      </c>
      <c r="O288" s="65" t="s">
        <v>209</v>
      </c>
      <c r="P288" s="67" t="str">
        <f t="shared" si="1"/>
        <v>=363.55</v>
      </c>
    </row>
    <row r="289" spans="1:16" s="26" customFormat="1" x14ac:dyDescent="0.35">
      <c r="A289" s="106">
        <f t="shared" si="2"/>
        <v>7</v>
      </c>
      <c r="B289" s="106">
        <f t="shared" si="3"/>
        <v>7</v>
      </c>
      <c r="C289" s="106" t="s">
        <v>163</v>
      </c>
      <c r="D289" s="106">
        <f>(404.75)*10.764</f>
        <v>4356.7289999999994</v>
      </c>
      <c r="E289" s="106">
        <v>0</v>
      </c>
      <c r="F289" s="106"/>
      <c r="G289" s="39"/>
      <c r="H289" s="106">
        <f t="shared" si="4"/>
        <v>0</v>
      </c>
      <c r="I289" s="25"/>
      <c r="L289" s="153"/>
      <c r="M289" s="153"/>
      <c r="N289" s="63">
        <v>391.66</v>
      </c>
      <c r="O289" s="65" t="s">
        <v>209</v>
      </c>
      <c r="P289" s="67" t="str">
        <f t="shared" si="1"/>
        <v>=391.66</v>
      </c>
    </row>
    <row r="290" spans="1:16" s="26" customFormat="1" x14ac:dyDescent="0.35">
      <c r="A290" s="106">
        <f t="shared" si="2"/>
        <v>8</v>
      </c>
      <c r="B290" s="106">
        <f>B289+1</f>
        <v>8</v>
      </c>
      <c r="C290" s="106" t="s">
        <v>163</v>
      </c>
      <c r="D290" s="106">
        <f>(404.75)*10.764</f>
        <v>4356.7289999999994</v>
      </c>
      <c r="E290" s="106">
        <v>0</v>
      </c>
      <c r="F290" s="106"/>
      <c r="G290" s="39"/>
      <c r="H290" s="106">
        <f t="shared" si="4"/>
        <v>0</v>
      </c>
      <c r="I290" s="25"/>
      <c r="L290" s="153"/>
      <c r="M290" s="153"/>
      <c r="N290" s="63">
        <v>402.45</v>
      </c>
      <c r="O290" s="65" t="s">
        <v>209</v>
      </c>
      <c r="P290" s="67" t="str">
        <f t="shared" si="1"/>
        <v>=402.45</v>
      </c>
    </row>
    <row r="291" spans="1:16" s="26" customFormat="1" x14ac:dyDescent="0.35">
      <c r="A291" s="106">
        <f t="shared" si="2"/>
        <v>9</v>
      </c>
      <c r="B291" s="106">
        <f>B290+1</f>
        <v>9</v>
      </c>
      <c r="C291" s="106" t="s">
        <v>164</v>
      </c>
      <c r="D291" s="106">
        <f>(514.66)*10.764</f>
        <v>5539.8002399999996</v>
      </c>
      <c r="E291" s="106">
        <v>0</v>
      </c>
      <c r="F291" s="106"/>
      <c r="G291" s="39"/>
      <c r="H291" s="106">
        <f t="shared" si="4"/>
        <v>0</v>
      </c>
      <c r="I291" s="25"/>
      <c r="L291" s="153"/>
      <c r="M291" s="153"/>
      <c r="N291" s="63">
        <v>511.76</v>
      </c>
      <c r="O291" s="65" t="s">
        <v>209</v>
      </c>
      <c r="P291" s="67" t="str">
        <f t="shared" si="1"/>
        <v>=511.76</v>
      </c>
    </row>
    <row r="292" spans="1:16" s="26" customFormat="1" x14ac:dyDescent="0.35">
      <c r="A292" s="97">
        <f t="shared" si="2"/>
        <v>10</v>
      </c>
      <c r="B292" s="31">
        <f>B291+1</f>
        <v>10</v>
      </c>
      <c r="C292" s="31" t="s">
        <v>165</v>
      </c>
      <c r="D292" s="97">
        <f>(297)*10.764</f>
        <v>3196.9079999999999</v>
      </c>
      <c r="E292" s="63">
        <v>0</v>
      </c>
      <c r="F292" s="31"/>
      <c r="G292" s="39"/>
      <c r="H292" s="38">
        <f t="shared" si="4"/>
        <v>0</v>
      </c>
      <c r="I292" s="25"/>
      <c r="L292" s="153"/>
      <c r="M292" s="153"/>
      <c r="N292" s="63">
        <v>297</v>
      </c>
      <c r="O292" s="65" t="s">
        <v>209</v>
      </c>
      <c r="P292" s="67" t="str">
        <f t="shared" si="1"/>
        <v>=297</v>
      </c>
    </row>
    <row r="293" spans="1:16" s="26" customFormat="1" x14ac:dyDescent="0.35">
      <c r="A293" s="97">
        <f t="shared" si="2"/>
        <v>11</v>
      </c>
      <c r="B293" s="31">
        <f>B292+1</f>
        <v>11</v>
      </c>
      <c r="C293" s="31" t="s">
        <v>166</v>
      </c>
      <c r="D293" s="97">
        <f t="shared" ref="D293:D301" si="5">(210.6)*10.764</f>
        <v>2266.8983999999996</v>
      </c>
      <c r="E293" s="63">
        <v>0</v>
      </c>
      <c r="F293" s="31"/>
      <c r="G293" s="39"/>
      <c r="H293" s="38">
        <f t="shared" si="4"/>
        <v>0</v>
      </c>
      <c r="I293" s="25"/>
      <c r="J293" s="25" t="e">
        <f>(14400000/(E293))</f>
        <v>#DIV/0!</v>
      </c>
      <c r="K293" s="26">
        <f>E293*1.5</f>
        <v>0</v>
      </c>
      <c r="L293" s="162" t="e">
        <f>26500000/K293</f>
        <v>#DIV/0!</v>
      </c>
      <c r="M293" s="162"/>
      <c r="N293" s="63">
        <v>210.6</v>
      </c>
      <c r="O293" s="65" t="s">
        <v>209</v>
      </c>
      <c r="P293" s="67" t="str">
        <f t="shared" si="1"/>
        <v>=210.6</v>
      </c>
    </row>
    <row r="294" spans="1:16" s="26" customFormat="1" x14ac:dyDescent="0.35">
      <c r="A294" s="97">
        <f t="shared" si="2"/>
        <v>12</v>
      </c>
      <c r="B294" s="31">
        <f>B293+1</f>
        <v>12</v>
      </c>
      <c r="C294" s="31" t="s">
        <v>166</v>
      </c>
      <c r="D294" s="97">
        <f t="shared" si="5"/>
        <v>2266.8983999999996</v>
      </c>
      <c r="E294" s="63">
        <v>0</v>
      </c>
      <c r="F294" s="31"/>
      <c r="G294" s="39"/>
      <c r="H294" s="38">
        <f t="shared" si="4"/>
        <v>0</v>
      </c>
      <c r="I294" s="25"/>
      <c r="L294" s="153"/>
      <c r="M294" s="153"/>
      <c r="N294" s="63">
        <v>210.6</v>
      </c>
      <c r="O294" s="65" t="s">
        <v>209</v>
      </c>
      <c r="P294" s="67" t="str">
        <f t="shared" si="1"/>
        <v>=210.6</v>
      </c>
    </row>
    <row r="295" spans="1:16" s="26" customFormat="1" x14ac:dyDescent="0.35">
      <c r="A295" s="97">
        <f t="shared" si="2"/>
        <v>13</v>
      </c>
      <c r="B295" s="31">
        <v>14</v>
      </c>
      <c r="C295" s="31" t="s">
        <v>166</v>
      </c>
      <c r="D295" s="97">
        <f t="shared" si="5"/>
        <v>2266.8983999999996</v>
      </c>
      <c r="E295" s="63">
        <v>0</v>
      </c>
      <c r="F295" s="31"/>
      <c r="G295" s="39"/>
      <c r="H295" s="38">
        <f t="shared" si="4"/>
        <v>0</v>
      </c>
      <c r="I295" s="25"/>
      <c r="L295" s="153"/>
      <c r="M295" s="153"/>
      <c r="N295" s="63">
        <v>210.6</v>
      </c>
      <c r="O295" s="65" t="s">
        <v>209</v>
      </c>
      <c r="P295" s="67" t="str">
        <f t="shared" si="1"/>
        <v>=210.6</v>
      </c>
    </row>
    <row r="296" spans="1:16" s="26" customFormat="1" x14ac:dyDescent="0.35">
      <c r="A296" s="97">
        <f t="shared" si="2"/>
        <v>14</v>
      </c>
      <c r="B296" s="31">
        <v>15</v>
      </c>
      <c r="C296" s="31" t="s">
        <v>166</v>
      </c>
      <c r="D296" s="97">
        <f t="shared" si="5"/>
        <v>2266.8983999999996</v>
      </c>
      <c r="E296" s="63">
        <v>0</v>
      </c>
      <c r="F296" s="31"/>
      <c r="G296" s="39"/>
      <c r="H296" s="38">
        <f t="shared" si="4"/>
        <v>0</v>
      </c>
      <c r="I296" s="25"/>
      <c r="L296" s="153"/>
      <c r="M296" s="153"/>
      <c r="N296" s="63">
        <v>210.6</v>
      </c>
      <c r="O296" s="65" t="s">
        <v>209</v>
      </c>
      <c r="P296" s="67" t="str">
        <f t="shared" si="1"/>
        <v>=210.6</v>
      </c>
    </row>
    <row r="297" spans="1:16" s="26" customFormat="1" x14ac:dyDescent="0.35">
      <c r="A297" s="97">
        <f t="shared" si="2"/>
        <v>15</v>
      </c>
      <c r="B297" s="31">
        <v>16</v>
      </c>
      <c r="C297" s="31" t="s">
        <v>166</v>
      </c>
      <c r="D297" s="97">
        <f t="shared" si="5"/>
        <v>2266.8983999999996</v>
      </c>
      <c r="E297" s="63">
        <v>0</v>
      </c>
      <c r="F297" s="31"/>
      <c r="G297" s="39"/>
      <c r="H297" s="38">
        <f t="shared" si="4"/>
        <v>0</v>
      </c>
      <c r="I297" s="25"/>
      <c r="L297" s="153"/>
      <c r="M297" s="153"/>
      <c r="N297" s="63">
        <v>210.6</v>
      </c>
      <c r="O297" s="65" t="s">
        <v>209</v>
      </c>
      <c r="P297" s="67" t="str">
        <f t="shared" si="1"/>
        <v>=210.6</v>
      </c>
    </row>
    <row r="298" spans="1:16" s="26" customFormat="1" x14ac:dyDescent="0.35">
      <c r="A298" s="97">
        <f t="shared" si="2"/>
        <v>16</v>
      </c>
      <c r="B298" s="31">
        <v>17</v>
      </c>
      <c r="C298" s="31" t="s">
        <v>166</v>
      </c>
      <c r="D298" s="97">
        <f t="shared" si="5"/>
        <v>2266.8983999999996</v>
      </c>
      <c r="E298" s="63">
        <v>0</v>
      </c>
      <c r="F298" s="31"/>
      <c r="G298" s="39"/>
      <c r="H298" s="38">
        <f t="shared" si="4"/>
        <v>0</v>
      </c>
      <c r="I298" s="25"/>
      <c r="L298" s="153"/>
      <c r="M298" s="153"/>
      <c r="N298" s="63">
        <v>210.6</v>
      </c>
      <c r="O298" s="65" t="s">
        <v>209</v>
      </c>
      <c r="P298" s="67" t="str">
        <f t="shared" si="1"/>
        <v>=210.6</v>
      </c>
    </row>
    <row r="299" spans="1:16" s="26" customFormat="1" x14ac:dyDescent="0.35">
      <c r="A299" s="71">
        <f t="shared" si="2"/>
        <v>17</v>
      </c>
      <c r="B299" s="71">
        <v>18</v>
      </c>
      <c r="C299" s="71" t="s">
        <v>260</v>
      </c>
      <c r="D299" s="71">
        <f t="shared" si="5"/>
        <v>2266.8983999999996</v>
      </c>
      <c r="E299" s="71">
        <f>(176.74)*10.764</f>
        <v>1902.4293600000001</v>
      </c>
      <c r="F299" s="71">
        <f>(96.51+96.77)*10.764</f>
        <v>2080.4659200000001</v>
      </c>
      <c r="G299" s="71">
        <f>(3.5*2.5+3.5*1.95)*10.764</f>
        <v>167.64929999999998</v>
      </c>
      <c r="H299" s="71">
        <f>E299*(($H$281)+1)+(IF(G299&lt;101,G299,IF(G299&lt;201,G299/2,IF(G299&lt;=301,G299/3,G299/4))))</f>
        <v>2937.4686900000002</v>
      </c>
      <c r="I299" s="25"/>
      <c r="K299" s="26">
        <f>7000*D299</f>
        <v>15868288.799999997</v>
      </c>
      <c r="L299" s="153">
        <f>2500*F299</f>
        <v>5201164.8</v>
      </c>
      <c r="M299" s="153"/>
      <c r="N299" s="63">
        <v>210.6</v>
      </c>
      <c r="O299" s="65" t="s">
        <v>209</v>
      </c>
      <c r="P299" s="67" t="str">
        <f t="shared" si="1"/>
        <v>=210.6</v>
      </c>
    </row>
    <row r="300" spans="1:16" s="26" customFormat="1" x14ac:dyDescent="0.35">
      <c r="A300" s="97">
        <f t="shared" si="2"/>
        <v>18</v>
      </c>
      <c r="B300" s="31">
        <v>19</v>
      </c>
      <c r="C300" s="31" t="s">
        <v>166</v>
      </c>
      <c r="D300" s="97">
        <f t="shared" si="5"/>
        <v>2266.8983999999996</v>
      </c>
      <c r="E300" s="63">
        <v>0</v>
      </c>
      <c r="F300" s="31"/>
      <c r="G300" s="39"/>
      <c r="H300" s="38">
        <f t="shared" si="4"/>
        <v>0</v>
      </c>
      <c r="I300" s="25"/>
      <c r="K300" s="26">
        <f>K299+L299</f>
        <v>21069453.599999998</v>
      </c>
      <c r="L300" s="153"/>
      <c r="M300" s="153"/>
      <c r="N300" s="63">
        <v>210.6</v>
      </c>
      <c r="O300" s="65" t="s">
        <v>209</v>
      </c>
      <c r="P300" s="67" t="str">
        <f t="shared" si="1"/>
        <v>=210.6</v>
      </c>
    </row>
    <row r="301" spans="1:16" s="26" customFormat="1" x14ac:dyDescent="0.35">
      <c r="A301" s="97">
        <f t="shared" si="2"/>
        <v>19</v>
      </c>
      <c r="B301" s="31">
        <v>20</v>
      </c>
      <c r="C301" s="31" t="s">
        <v>166</v>
      </c>
      <c r="D301" s="97">
        <f t="shared" si="5"/>
        <v>2266.8983999999996</v>
      </c>
      <c r="E301" s="63">
        <v>0</v>
      </c>
      <c r="F301" s="31"/>
      <c r="G301" s="39"/>
      <c r="H301" s="38">
        <f t="shared" si="4"/>
        <v>0</v>
      </c>
      <c r="I301" s="25"/>
      <c r="L301" s="153"/>
      <c r="M301" s="153"/>
      <c r="N301" s="63">
        <v>210.6</v>
      </c>
      <c r="O301" s="65" t="s">
        <v>209</v>
      </c>
      <c r="P301" s="67" t="str">
        <f t="shared" si="1"/>
        <v>=210.6</v>
      </c>
    </row>
    <row r="302" spans="1:16" s="26" customFormat="1" x14ac:dyDescent="0.35">
      <c r="A302" s="97">
        <f t="shared" si="2"/>
        <v>20</v>
      </c>
      <c r="B302" s="31">
        <v>21</v>
      </c>
      <c r="C302" s="31" t="s">
        <v>165</v>
      </c>
      <c r="D302" s="97">
        <f>(297)*10.764</f>
        <v>3196.9079999999999</v>
      </c>
      <c r="E302" s="63">
        <v>0</v>
      </c>
      <c r="F302" s="31"/>
      <c r="G302" s="39"/>
      <c r="H302" s="38">
        <f t="shared" si="4"/>
        <v>0</v>
      </c>
      <c r="I302" s="25"/>
      <c r="L302" s="153"/>
      <c r="M302" s="153"/>
      <c r="N302" s="63">
        <v>297</v>
      </c>
      <c r="O302" s="65" t="s">
        <v>209</v>
      </c>
      <c r="P302" s="67" t="str">
        <f t="shared" si="1"/>
        <v>=297</v>
      </c>
    </row>
    <row r="303" spans="1:16" s="26" customFormat="1" x14ac:dyDescent="0.35">
      <c r="A303" s="97">
        <f t="shared" si="2"/>
        <v>21</v>
      </c>
      <c r="B303" s="31">
        <v>22</v>
      </c>
      <c r="C303" s="31" t="s">
        <v>167</v>
      </c>
      <c r="D303" s="97">
        <f>(377.52)*10.764</f>
        <v>4063.6252799999997</v>
      </c>
      <c r="E303" s="63">
        <v>0</v>
      </c>
      <c r="F303" s="31"/>
      <c r="G303" s="39"/>
      <c r="H303" s="38">
        <f t="shared" si="4"/>
        <v>0</v>
      </c>
      <c r="I303" s="25"/>
      <c r="L303" s="153"/>
      <c r="M303" s="153"/>
      <c r="N303" s="63">
        <v>377.52</v>
      </c>
      <c r="O303" s="65" t="s">
        <v>209</v>
      </c>
      <c r="P303" s="67" t="str">
        <f t="shared" si="1"/>
        <v>=377.52</v>
      </c>
    </row>
    <row r="304" spans="1:16" s="26" customFormat="1" x14ac:dyDescent="0.35">
      <c r="A304" s="97">
        <f t="shared" si="2"/>
        <v>22</v>
      </c>
      <c r="B304" s="31">
        <v>23</v>
      </c>
      <c r="C304" s="31" t="s">
        <v>168</v>
      </c>
      <c r="D304" s="97">
        <f>(510.3)*10.764</f>
        <v>5492.8692000000001</v>
      </c>
      <c r="E304" s="63">
        <v>0</v>
      </c>
      <c r="F304" s="31"/>
      <c r="G304" s="39"/>
      <c r="H304" s="38">
        <f t="shared" si="4"/>
        <v>0</v>
      </c>
      <c r="I304" s="25"/>
      <c r="L304" s="153"/>
      <c r="M304" s="153"/>
      <c r="N304" s="63">
        <v>509.82</v>
      </c>
      <c r="O304" s="65" t="s">
        <v>209</v>
      </c>
      <c r="P304" s="67" t="str">
        <f t="shared" si="1"/>
        <v>=509.82</v>
      </c>
    </row>
    <row r="305" spans="1:16" s="26" customFormat="1" x14ac:dyDescent="0.35">
      <c r="A305" s="97">
        <f t="shared" si="2"/>
        <v>23</v>
      </c>
      <c r="B305" s="31">
        <v>24</v>
      </c>
      <c r="C305" s="31" t="s">
        <v>161</v>
      </c>
      <c r="D305" s="97">
        <f>(510.3)*10.764</f>
        <v>5492.8692000000001</v>
      </c>
      <c r="E305" s="63">
        <v>0</v>
      </c>
      <c r="F305" s="31"/>
      <c r="G305" s="39"/>
      <c r="H305" s="38">
        <f t="shared" si="4"/>
        <v>0</v>
      </c>
      <c r="I305" s="25"/>
      <c r="L305" s="153"/>
      <c r="M305" s="153"/>
      <c r="N305" s="63">
        <v>509.82</v>
      </c>
      <c r="O305" s="65" t="s">
        <v>209</v>
      </c>
      <c r="P305" s="67" t="str">
        <f t="shared" si="1"/>
        <v>=509.82</v>
      </c>
    </row>
    <row r="306" spans="1:16" s="26" customFormat="1" x14ac:dyDescent="0.35">
      <c r="A306" s="97">
        <f t="shared" si="2"/>
        <v>24</v>
      </c>
      <c r="B306" s="31">
        <v>25</v>
      </c>
      <c r="C306" s="31" t="s">
        <v>162</v>
      </c>
      <c r="D306" s="97">
        <f>(377.52)*10.764</f>
        <v>4063.6252799999997</v>
      </c>
      <c r="E306" s="63">
        <v>0</v>
      </c>
      <c r="F306" s="31"/>
      <c r="G306" s="39"/>
      <c r="H306" s="38">
        <f t="shared" si="4"/>
        <v>0</v>
      </c>
      <c r="I306" s="25"/>
      <c r="L306" s="153"/>
      <c r="M306" s="153"/>
      <c r="N306" s="63">
        <v>377.52</v>
      </c>
      <c r="O306" s="65" t="s">
        <v>209</v>
      </c>
      <c r="P306" s="67" t="str">
        <f t="shared" si="1"/>
        <v>=377.52</v>
      </c>
    </row>
    <row r="307" spans="1:16" s="26" customFormat="1" x14ac:dyDescent="0.35">
      <c r="A307" s="97">
        <f t="shared" si="2"/>
        <v>25</v>
      </c>
      <c r="B307" s="31">
        <v>26</v>
      </c>
      <c r="C307" s="31" t="s">
        <v>163</v>
      </c>
      <c r="D307" s="97">
        <f>(297)*10.764</f>
        <v>3196.9079999999999</v>
      </c>
      <c r="E307" s="63">
        <v>0</v>
      </c>
      <c r="F307" s="31"/>
      <c r="G307" s="39"/>
      <c r="H307" s="38">
        <f t="shared" si="4"/>
        <v>0</v>
      </c>
      <c r="I307" s="25"/>
      <c r="L307" s="153"/>
      <c r="M307" s="153"/>
      <c r="N307" s="63">
        <v>297</v>
      </c>
      <c r="O307" s="65" t="s">
        <v>209</v>
      </c>
      <c r="P307" s="67" t="str">
        <f t="shared" si="1"/>
        <v>=297</v>
      </c>
    </row>
    <row r="308" spans="1:16" s="26" customFormat="1" x14ac:dyDescent="0.35">
      <c r="A308" s="97">
        <f t="shared" si="2"/>
        <v>26</v>
      </c>
      <c r="B308" s="31">
        <v>27</v>
      </c>
      <c r="C308" s="31" t="s">
        <v>169</v>
      </c>
      <c r="D308" s="97">
        <f t="shared" ref="D308:D315" si="6">(210.6)*10.764</f>
        <v>2266.8983999999996</v>
      </c>
      <c r="E308" s="63">
        <v>0</v>
      </c>
      <c r="F308" s="31"/>
      <c r="G308" s="39"/>
      <c r="H308" s="38">
        <f t="shared" si="4"/>
        <v>0</v>
      </c>
      <c r="I308" s="25"/>
      <c r="L308" s="153"/>
      <c r="M308" s="153"/>
      <c r="N308" s="63">
        <v>210.6</v>
      </c>
      <c r="O308" s="65" t="s">
        <v>209</v>
      </c>
      <c r="P308" s="67" t="str">
        <f t="shared" si="1"/>
        <v>=210.6</v>
      </c>
    </row>
    <row r="309" spans="1:16" s="26" customFormat="1" x14ac:dyDescent="0.35">
      <c r="A309" s="97">
        <f t="shared" si="2"/>
        <v>27</v>
      </c>
      <c r="B309" s="31">
        <v>28</v>
      </c>
      <c r="C309" s="31" t="s">
        <v>169</v>
      </c>
      <c r="D309" s="97">
        <f t="shared" si="6"/>
        <v>2266.8983999999996</v>
      </c>
      <c r="E309" s="63">
        <v>0</v>
      </c>
      <c r="F309" s="31"/>
      <c r="G309" s="39"/>
      <c r="H309" s="38">
        <f t="shared" si="4"/>
        <v>0</v>
      </c>
      <c r="I309" s="25"/>
      <c r="L309" s="153"/>
      <c r="M309" s="153"/>
      <c r="N309" s="63">
        <v>210.6</v>
      </c>
      <c r="O309" s="65" t="s">
        <v>209</v>
      </c>
      <c r="P309" s="67" t="str">
        <f t="shared" si="1"/>
        <v>=210.6</v>
      </c>
    </row>
    <row r="310" spans="1:16" s="26" customFormat="1" x14ac:dyDescent="0.35">
      <c r="A310" s="97">
        <f t="shared" si="2"/>
        <v>28</v>
      </c>
      <c r="B310" s="31">
        <v>29</v>
      </c>
      <c r="C310" s="31" t="s">
        <v>169</v>
      </c>
      <c r="D310" s="97">
        <f t="shared" si="6"/>
        <v>2266.8983999999996</v>
      </c>
      <c r="E310" s="63">
        <v>0</v>
      </c>
      <c r="F310" s="31"/>
      <c r="G310" s="39"/>
      <c r="H310" s="38">
        <f t="shared" si="4"/>
        <v>0</v>
      </c>
      <c r="I310" s="25"/>
      <c r="L310" s="153"/>
      <c r="M310" s="153"/>
      <c r="N310" s="63">
        <v>210.6</v>
      </c>
      <c r="O310" s="65" t="s">
        <v>209</v>
      </c>
      <c r="P310" s="67" t="str">
        <f t="shared" si="1"/>
        <v>=210.6</v>
      </c>
    </row>
    <row r="311" spans="1:16" s="26" customFormat="1" x14ac:dyDescent="0.35">
      <c r="A311" s="97">
        <f t="shared" si="2"/>
        <v>29</v>
      </c>
      <c r="B311" s="31">
        <v>30</v>
      </c>
      <c r="C311" s="31" t="s">
        <v>169</v>
      </c>
      <c r="D311" s="97">
        <f t="shared" si="6"/>
        <v>2266.8983999999996</v>
      </c>
      <c r="E311" s="63">
        <v>0</v>
      </c>
      <c r="F311" s="31"/>
      <c r="G311" s="39"/>
      <c r="H311" s="38">
        <f t="shared" si="4"/>
        <v>0</v>
      </c>
      <c r="I311" s="25"/>
      <c r="L311" s="153"/>
      <c r="M311" s="153"/>
      <c r="N311" s="63">
        <v>210.6</v>
      </c>
      <c r="O311" s="62" t="s">
        <v>209</v>
      </c>
      <c r="P311" s="67" t="str">
        <f t="shared" si="1"/>
        <v>=210.6</v>
      </c>
    </row>
    <row r="312" spans="1:16" s="26" customFormat="1" x14ac:dyDescent="0.35">
      <c r="A312" s="97">
        <f t="shared" si="2"/>
        <v>30</v>
      </c>
      <c r="B312" s="31">
        <v>31</v>
      </c>
      <c r="C312" s="31" t="s">
        <v>169</v>
      </c>
      <c r="D312" s="97">
        <f t="shared" si="6"/>
        <v>2266.8983999999996</v>
      </c>
      <c r="E312" s="63">
        <v>0</v>
      </c>
      <c r="F312" s="31"/>
      <c r="G312" s="39"/>
      <c r="H312" s="38">
        <f t="shared" si="4"/>
        <v>0</v>
      </c>
      <c r="I312" s="25"/>
      <c r="L312" s="153"/>
      <c r="M312" s="153"/>
      <c r="N312" s="63">
        <v>210.6</v>
      </c>
      <c r="O312" s="62" t="s">
        <v>209</v>
      </c>
      <c r="P312" s="67" t="str">
        <f t="shared" si="1"/>
        <v>=210.6</v>
      </c>
    </row>
    <row r="313" spans="1:16" s="26" customFormat="1" x14ac:dyDescent="0.35">
      <c r="A313" s="97">
        <f t="shared" si="2"/>
        <v>31</v>
      </c>
      <c r="B313" s="31">
        <v>32</v>
      </c>
      <c r="C313" s="31" t="s">
        <v>169</v>
      </c>
      <c r="D313" s="97">
        <f t="shared" si="6"/>
        <v>2266.8983999999996</v>
      </c>
      <c r="E313" s="63">
        <v>0</v>
      </c>
      <c r="F313" s="31"/>
      <c r="G313" s="39"/>
      <c r="H313" s="38">
        <f t="shared" si="4"/>
        <v>0</v>
      </c>
      <c r="I313" s="25"/>
      <c r="L313" s="153"/>
      <c r="M313" s="153"/>
      <c r="N313" s="63">
        <v>210.6</v>
      </c>
      <c r="O313" s="62" t="s">
        <v>209</v>
      </c>
      <c r="P313" s="67" t="str">
        <f t="shared" si="1"/>
        <v>=210.6</v>
      </c>
    </row>
    <row r="314" spans="1:16" s="26" customFormat="1" x14ac:dyDescent="0.35">
      <c r="A314" s="97">
        <f t="shared" si="2"/>
        <v>32</v>
      </c>
      <c r="B314" s="31">
        <v>33</v>
      </c>
      <c r="C314" s="31" t="s">
        <v>169</v>
      </c>
      <c r="D314" s="97">
        <f t="shared" si="6"/>
        <v>2266.8983999999996</v>
      </c>
      <c r="E314" s="63">
        <v>0</v>
      </c>
      <c r="F314" s="31"/>
      <c r="G314" s="39"/>
      <c r="H314" s="38">
        <f t="shared" si="4"/>
        <v>0</v>
      </c>
      <c r="I314" s="25"/>
      <c r="L314" s="153"/>
      <c r="M314" s="153"/>
      <c r="N314" s="63">
        <v>210.6</v>
      </c>
      <c r="O314" s="62" t="s">
        <v>209</v>
      </c>
      <c r="P314" s="67" t="str">
        <f t="shared" si="1"/>
        <v>=210.6</v>
      </c>
    </row>
    <row r="315" spans="1:16" s="26" customFormat="1" x14ac:dyDescent="0.35">
      <c r="A315" s="97">
        <f t="shared" si="2"/>
        <v>33</v>
      </c>
      <c r="B315" s="31">
        <v>34</v>
      </c>
      <c r="C315" s="31" t="s">
        <v>169</v>
      </c>
      <c r="D315" s="97">
        <f t="shared" si="6"/>
        <v>2266.8983999999996</v>
      </c>
      <c r="E315" s="63">
        <v>0</v>
      </c>
      <c r="F315" s="31"/>
      <c r="G315" s="39"/>
      <c r="H315" s="38">
        <f t="shared" si="4"/>
        <v>0</v>
      </c>
      <c r="I315" s="25"/>
      <c r="L315" s="153"/>
      <c r="M315" s="153"/>
      <c r="N315" s="63">
        <v>210.6</v>
      </c>
      <c r="O315" s="62" t="s">
        <v>209</v>
      </c>
      <c r="P315" s="67" t="str">
        <f t="shared" si="1"/>
        <v>=210.6</v>
      </c>
    </row>
    <row r="316" spans="1:16" s="26" customFormat="1" x14ac:dyDescent="0.35">
      <c r="A316" s="97">
        <f t="shared" si="2"/>
        <v>34</v>
      </c>
      <c r="B316" s="31">
        <v>35</v>
      </c>
      <c r="C316" s="31" t="s">
        <v>163</v>
      </c>
      <c r="D316" s="97">
        <f>(297)*10.764</f>
        <v>3196.9079999999999</v>
      </c>
      <c r="E316" s="63">
        <v>0</v>
      </c>
      <c r="F316" s="31"/>
      <c r="G316" s="39"/>
      <c r="H316" s="38">
        <f t="shared" si="4"/>
        <v>0</v>
      </c>
      <c r="I316" s="25"/>
      <c r="L316" s="153"/>
      <c r="M316" s="153"/>
      <c r="N316" s="63">
        <v>297</v>
      </c>
      <c r="O316" s="62" t="s">
        <v>209</v>
      </c>
      <c r="P316" s="67" t="str">
        <f t="shared" si="1"/>
        <v>=297</v>
      </c>
    </row>
    <row r="317" spans="1:16" s="26" customFormat="1" x14ac:dyDescent="0.35">
      <c r="A317" s="97">
        <f t="shared" si="2"/>
        <v>35</v>
      </c>
      <c r="B317" s="31">
        <v>36</v>
      </c>
      <c r="C317" s="31" t="s">
        <v>169</v>
      </c>
      <c r="D317" s="97">
        <f>(210.6)*10.764</f>
        <v>2266.8983999999996</v>
      </c>
      <c r="E317" s="63">
        <v>0</v>
      </c>
      <c r="F317" s="31"/>
      <c r="G317" s="39"/>
      <c r="H317" s="38">
        <f t="shared" si="4"/>
        <v>0</v>
      </c>
      <c r="I317" s="25"/>
      <c r="L317" s="153"/>
      <c r="M317" s="153"/>
      <c r="N317" s="63">
        <v>210.6</v>
      </c>
      <c r="O317" s="62" t="s">
        <v>209</v>
      </c>
      <c r="P317" s="67" t="str">
        <f t="shared" si="1"/>
        <v>=210.6</v>
      </c>
    </row>
    <row r="318" spans="1:16" s="26" customFormat="1" x14ac:dyDescent="0.35">
      <c r="A318" s="97">
        <f t="shared" si="2"/>
        <v>36</v>
      </c>
      <c r="B318" s="31">
        <v>37</v>
      </c>
      <c r="C318" s="31" t="s">
        <v>165</v>
      </c>
      <c r="D318" s="97">
        <f>(297)*10.764</f>
        <v>3196.9079999999999</v>
      </c>
      <c r="E318" s="63">
        <v>0</v>
      </c>
      <c r="F318" s="31"/>
      <c r="G318" s="39"/>
      <c r="H318" s="38">
        <f t="shared" si="4"/>
        <v>0</v>
      </c>
      <c r="I318" s="25"/>
      <c r="L318" s="153"/>
      <c r="M318" s="153"/>
      <c r="N318" s="63">
        <v>297</v>
      </c>
      <c r="O318" s="62" t="s">
        <v>209</v>
      </c>
      <c r="P318" s="67" t="str">
        <f t="shared" si="1"/>
        <v>=297</v>
      </c>
    </row>
    <row r="319" spans="1:16" s="26" customFormat="1" x14ac:dyDescent="0.35">
      <c r="A319" s="97">
        <f t="shared" si="2"/>
        <v>37</v>
      </c>
      <c r="B319" s="31">
        <v>38</v>
      </c>
      <c r="C319" s="31" t="s">
        <v>166</v>
      </c>
      <c r="D319" s="97">
        <f t="shared" ref="D319:D327" si="7">(210.6)*10.764</f>
        <v>2266.8983999999996</v>
      </c>
      <c r="E319" s="63">
        <v>0</v>
      </c>
      <c r="F319" s="31"/>
      <c r="G319" s="39"/>
      <c r="H319" s="38">
        <f t="shared" si="4"/>
        <v>0</v>
      </c>
      <c r="I319" s="25"/>
      <c r="L319" s="153"/>
      <c r="M319" s="153"/>
      <c r="N319" s="63">
        <v>210.6</v>
      </c>
      <c r="O319" s="62" t="s">
        <v>209</v>
      </c>
      <c r="P319" s="67" t="str">
        <f t="shared" si="1"/>
        <v>=210.6</v>
      </c>
    </row>
    <row r="320" spans="1:16" s="26" customFormat="1" x14ac:dyDescent="0.35">
      <c r="A320" s="97">
        <f t="shared" si="2"/>
        <v>38</v>
      </c>
      <c r="B320" s="31">
        <v>39</v>
      </c>
      <c r="C320" s="31" t="s">
        <v>166</v>
      </c>
      <c r="D320" s="97">
        <f t="shared" si="7"/>
        <v>2266.8983999999996</v>
      </c>
      <c r="E320" s="63">
        <v>0</v>
      </c>
      <c r="F320" s="31"/>
      <c r="G320" s="39"/>
      <c r="H320" s="38">
        <f t="shared" si="4"/>
        <v>0</v>
      </c>
      <c r="I320" s="25"/>
      <c r="L320" s="153"/>
      <c r="M320" s="153"/>
      <c r="N320" s="63">
        <v>210.6</v>
      </c>
      <c r="O320" s="62" t="s">
        <v>209</v>
      </c>
      <c r="P320" s="67" t="str">
        <f t="shared" si="1"/>
        <v>=210.6</v>
      </c>
    </row>
    <row r="321" spans="1:16" s="26" customFormat="1" x14ac:dyDescent="0.35">
      <c r="A321" s="97">
        <f t="shared" si="2"/>
        <v>39</v>
      </c>
      <c r="B321" s="31">
        <v>40</v>
      </c>
      <c r="C321" s="31" t="s">
        <v>166</v>
      </c>
      <c r="D321" s="97">
        <f t="shared" si="7"/>
        <v>2266.8983999999996</v>
      </c>
      <c r="E321" s="63">
        <v>0</v>
      </c>
      <c r="F321" s="31"/>
      <c r="G321" s="39"/>
      <c r="H321" s="38">
        <f t="shared" si="4"/>
        <v>0</v>
      </c>
      <c r="I321" s="25"/>
      <c r="L321" s="153"/>
      <c r="M321" s="153"/>
      <c r="N321" s="63">
        <v>210.6</v>
      </c>
      <c r="O321" s="62" t="s">
        <v>209</v>
      </c>
      <c r="P321" s="67" t="str">
        <f t="shared" si="1"/>
        <v>=210.6</v>
      </c>
    </row>
    <row r="322" spans="1:16" s="26" customFormat="1" x14ac:dyDescent="0.35">
      <c r="A322" s="97">
        <f t="shared" si="2"/>
        <v>40</v>
      </c>
      <c r="B322" s="31">
        <v>41</v>
      </c>
      <c r="C322" s="31" t="s">
        <v>166</v>
      </c>
      <c r="D322" s="97">
        <f t="shared" si="7"/>
        <v>2266.8983999999996</v>
      </c>
      <c r="E322" s="63">
        <v>0</v>
      </c>
      <c r="F322" s="31"/>
      <c r="G322" s="39"/>
      <c r="H322" s="38">
        <f t="shared" si="4"/>
        <v>0</v>
      </c>
      <c r="I322" s="25"/>
      <c r="L322" s="153"/>
      <c r="M322" s="153"/>
      <c r="N322" s="63">
        <v>210.6</v>
      </c>
      <c r="O322" s="62" t="s">
        <v>209</v>
      </c>
      <c r="P322" s="67" t="str">
        <f t="shared" si="1"/>
        <v>=210.6</v>
      </c>
    </row>
    <row r="323" spans="1:16" s="26" customFormat="1" x14ac:dyDescent="0.35">
      <c r="A323" s="97">
        <f t="shared" si="2"/>
        <v>41</v>
      </c>
      <c r="B323" s="31">
        <v>42</v>
      </c>
      <c r="C323" s="31" t="s">
        <v>166</v>
      </c>
      <c r="D323" s="97">
        <f t="shared" si="7"/>
        <v>2266.8983999999996</v>
      </c>
      <c r="E323" s="63">
        <v>0</v>
      </c>
      <c r="F323" s="31"/>
      <c r="G323" s="39"/>
      <c r="H323" s="38">
        <f t="shared" si="4"/>
        <v>0</v>
      </c>
      <c r="I323" s="25"/>
      <c r="L323" s="153"/>
      <c r="M323" s="153"/>
      <c r="N323" s="63">
        <v>210.6</v>
      </c>
      <c r="O323" s="62" t="s">
        <v>209</v>
      </c>
      <c r="P323" s="67" t="str">
        <f t="shared" si="1"/>
        <v>=210.6</v>
      </c>
    </row>
    <row r="324" spans="1:16" s="26" customFormat="1" x14ac:dyDescent="0.35">
      <c r="A324" s="97">
        <f t="shared" si="2"/>
        <v>42</v>
      </c>
      <c r="B324" s="31">
        <v>43</v>
      </c>
      <c r="C324" s="31" t="s">
        <v>166</v>
      </c>
      <c r="D324" s="97">
        <f t="shared" si="7"/>
        <v>2266.8983999999996</v>
      </c>
      <c r="E324" s="63">
        <v>0</v>
      </c>
      <c r="F324" s="31"/>
      <c r="G324" s="39"/>
      <c r="H324" s="38">
        <f t="shared" si="4"/>
        <v>0</v>
      </c>
      <c r="I324" s="25"/>
      <c r="L324" s="153"/>
      <c r="M324" s="153"/>
      <c r="N324" s="63">
        <v>210.6</v>
      </c>
      <c r="O324" s="62" t="s">
        <v>209</v>
      </c>
      <c r="P324" s="67" t="str">
        <f t="shared" si="1"/>
        <v>=210.6</v>
      </c>
    </row>
    <row r="325" spans="1:16" s="26" customFormat="1" x14ac:dyDescent="0.35">
      <c r="A325" s="97">
        <f t="shared" si="2"/>
        <v>43</v>
      </c>
      <c r="B325" s="31">
        <v>44</v>
      </c>
      <c r="C325" s="31" t="s">
        <v>166</v>
      </c>
      <c r="D325" s="97">
        <f t="shared" si="7"/>
        <v>2266.8983999999996</v>
      </c>
      <c r="E325" s="63">
        <v>0</v>
      </c>
      <c r="F325" s="31"/>
      <c r="G325" s="39"/>
      <c r="H325" s="38">
        <f t="shared" si="4"/>
        <v>0</v>
      </c>
      <c r="I325" s="25"/>
      <c r="L325" s="153"/>
      <c r="M325" s="153"/>
      <c r="N325" s="63">
        <v>210.6</v>
      </c>
      <c r="O325" s="62" t="s">
        <v>209</v>
      </c>
      <c r="P325" s="67" t="str">
        <f t="shared" si="1"/>
        <v>=210.6</v>
      </c>
    </row>
    <row r="326" spans="1:16" s="26" customFormat="1" x14ac:dyDescent="0.35">
      <c r="A326" s="97">
        <f t="shared" si="2"/>
        <v>44</v>
      </c>
      <c r="B326" s="31">
        <v>45</v>
      </c>
      <c r="C326" s="31" t="s">
        <v>166</v>
      </c>
      <c r="D326" s="97">
        <f t="shared" si="7"/>
        <v>2266.8983999999996</v>
      </c>
      <c r="E326" s="63">
        <v>0</v>
      </c>
      <c r="F326" s="31"/>
      <c r="G326" s="39"/>
      <c r="H326" s="38">
        <f t="shared" si="4"/>
        <v>0</v>
      </c>
      <c r="I326" s="25"/>
      <c r="L326" s="153"/>
      <c r="M326" s="153"/>
      <c r="N326" s="63">
        <v>210.6</v>
      </c>
      <c r="O326" s="62" t="s">
        <v>209</v>
      </c>
      <c r="P326" s="67" t="str">
        <f t="shared" si="1"/>
        <v>=210.6</v>
      </c>
    </row>
    <row r="327" spans="1:16" s="26" customFormat="1" x14ac:dyDescent="0.35">
      <c r="A327" s="97">
        <f t="shared" si="2"/>
        <v>45</v>
      </c>
      <c r="B327" s="31">
        <v>46</v>
      </c>
      <c r="C327" s="31" t="s">
        <v>166</v>
      </c>
      <c r="D327" s="97">
        <f t="shared" si="7"/>
        <v>2266.8983999999996</v>
      </c>
      <c r="E327" s="63">
        <v>0</v>
      </c>
      <c r="F327" s="31"/>
      <c r="G327" s="39"/>
      <c r="H327" s="38">
        <f t="shared" si="4"/>
        <v>0</v>
      </c>
      <c r="I327" s="25"/>
      <c r="L327" s="153"/>
      <c r="M327" s="153"/>
      <c r="N327" s="63">
        <v>210.6</v>
      </c>
      <c r="O327" s="62" t="s">
        <v>209</v>
      </c>
      <c r="P327" s="67" t="str">
        <f t="shared" si="1"/>
        <v>=210.6</v>
      </c>
    </row>
    <row r="328" spans="1:16" s="26" customFormat="1" x14ac:dyDescent="0.35">
      <c r="A328" s="97">
        <f t="shared" si="2"/>
        <v>46</v>
      </c>
      <c r="B328" s="31">
        <v>47</v>
      </c>
      <c r="C328" s="31" t="s">
        <v>165</v>
      </c>
      <c r="D328" s="97">
        <f>(297)*10.764</f>
        <v>3196.9079999999999</v>
      </c>
      <c r="E328" s="63">
        <v>0</v>
      </c>
      <c r="F328" s="31"/>
      <c r="G328" s="39"/>
      <c r="H328" s="38">
        <f t="shared" si="4"/>
        <v>0</v>
      </c>
      <c r="I328" s="25"/>
      <c r="L328" s="153"/>
      <c r="M328" s="153"/>
      <c r="N328" s="63">
        <v>297</v>
      </c>
      <c r="O328" s="62" t="s">
        <v>209</v>
      </c>
      <c r="P328" s="67" t="str">
        <f t="shared" si="1"/>
        <v>=297</v>
      </c>
    </row>
    <row r="329" spans="1:16" s="26" customFormat="1" x14ac:dyDescent="0.35">
      <c r="A329" s="97">
        <f t="shared" si="2"/>
        <v>47</v>
      </c>
      <c r="B329" s="31">
        <v>48</v>
      </c>
      <c r="C329" s="31" t="s">
        <v>167</v>
      </c>
      <c r="D329" s="97">
        <f>(377.52)*10.764</f>
        <v>4063.6252799999997</v>
      </c>
      <c r="E329" s="63">
        <v>0</v>
      </c>
      <c r="F329" s="31"/>
      <c r="G329" s="39"/>
      <c r="H329" s="38">
        <f t="shared" si="4"/>
        <v>0</v>
      </c>
      <c r="I329" s="25"/>
      <c r="L329" s="153"/>
      <c r="M329" s="153"/>
      <c r="N329" s="63">
        <v>377.52</v>
      </c>
      <c r="O329" s="62" t="s">
        <v>209</v>
      </c>
      <c r="P329" s="67" t="str">
        <f t="shared" si="1"/>
        <v>=377.52</v>
      </c>
    </row>
    <row r="330" spans="1:16" s="26" customFormat="1" x14ac:dyDescent="0.35">
      <c r="A330" s="97">
        <f t="shared" si="2"/>
        <v>48</v>
      </c>
      <c r="B330" s="31">
        <v>49</v>
      </c>
      <c r="C330" s="31" t="s">
        <v>168</v>
      </c>
      <c r="D330" s="97">
        <f>(510.3)*10.764</f>
        <v>5492.8692000000001</v>
      </c>
      <c r="E330" s="63">
        <v>0</v>
      </c>
      <c r="F330" s="31"/>
      <c r="G330" s="39"/>
      <c r="H330" s="38">
        <f t="shared" si="4"/>
        <v>0</v>
      </c>
      <c r="I330" s="25"/>
      <c r="L330" s="153"/>
      <c r="M330" s="153"/>
      <c r="N330" s="63">
        <v>509.82</v>
      </c>
      <c r="O330" s="62" t="s">
        <v>209</v>
      </c>
      <c r="P330" s="67" t="str">
        <f t="shared" si="1"/>
        <v>=509.82</v>
      </c>
    </row>
    <row r="331" spans="1:16" s="26" customFormat="1" x14ac:dyDescent="0.35">
      <c r="A331" s="97">
        <f t="shared" si="2"/>
        <v>49</v>
      </c>
      <c r="B331" s="31">
        <v>50</v>
      </c>
      <c r="C331" s="31" t="s">
        <v>161</v>
      </c>
      <c r="D331" s="97">
        <f>(510.3)*10.764</f>
        <v>5492.8692000000001</v>
      </c>
      <c r="E331" s="63">
        <v>0</v>
      </c>
      <c r="F331" s="31"/>
      <c r="G331" s="39"/>
      <c r="H331" s="38">
        <f t="shared" si="4"/>
        <v>0</v>
      </c>
      <c r="I331" s="25"/>
      <c r="L331" s="153"/>
      <c r="M331" s="153"/>
      <c r="N331" s="63">
        <v>509.82</v>
      </c>
      <c r="O331" s="62" t="s">
        <v>209</v>
      </c>
      <c r="P331" s="67" t="str">
        <f t="shared" si="1"/>
        <v>=509.82</v>
      </c>
    </row>
    <row r="332" spans="1:16" s="26" customFormat="1" x14ac:dyDescent="0.35">
      <c r="A332" s="97">
        <f t="shared" si="2"/>
        <v>50</v>
      </c>
      <c r="B332" s="31">
        <v>51</v>
      </c>
      <c r="C332" s="31" t="s">
        <v>162</v>
      </c>
      <c r="D332" s="97">
        <f>(377.52)*10.764</f>
        <v>4063.6252799999997</v>
      </c>
      <c r="E332" s="63">
        <v>0</v>
      </c>
      <c r="F332" s="31"/>
      <c r="G332" s="39"/>
      <c r="H332" s="38">
        <f t="shared" si="4"/>
        <v>0</v>
      </c>
      <c r="I332" s="25"/>
      <c r="L332" s="153"/>
      <c r="M332" s="153"/>
      <c r="N332" s="63">
        <v>377.52</v>
      </c>
      <c r="O332" s="62" t="s">
        <v>209</v>
      </c>
      <c r="P332" s="67" t="str">
        <f t="shared" si="1"/>
        <v>=377.52</v>
      </c>
    </row>
    <row r="333" spans="1:16" s="26" customFormat="1" x14ac:dyDescent="0.35">
      <c r="A333" s="97">
        <f t="shared" si="2"/>
        <v>51</v>
      </c>
      <c r="B333" s="31">
        <v>52</v>
      </c>
      <c r="C333" s="31" t="s">
        <v>163</v>
      </c>
      <c r="D333" s="97">
        <f>(297)*10.764</f>
        <v>3196.9079999999999</v>
      </c>
      <c r="E333" s="63">
        <v>0</v>
      </c>
      <c r="F333" s="31"/>
      <c r="G333" s="39"/>
      <c r="H333" s="38">
        <f t="shared" si="4"/>
        <v>0</v>
      </c>
      <c r="I333" s="25"/>
      <c r="L333" s="153"/>
      <c r="M333" s="153"/>
      <c r="N333" s="63">
        <v>297</v>
      </c>
      <c r="O333" s="62" t="s">
        <v>209</v>
      </c>
      <c r="P333" s="67" t="str">
        <f t="shared" si="1"/>
        <v>=297</v>
      </c>
    </row>
    <row r="334" spans="1:16" s="26" customFormat="1" x14ac:dyDescent="0.35">
      <c r="A334" s="97">
        <f t="shared" si="2"/>
        <v>52</v>
      </c>
      <c r="B334" s="31">
        <v>53</v>
      </c>
      <c r="C334" s="31" t="s">
        <v>169</v>
      </c>
      <c r="D334" s="97">
        <f t="shared" ref="D334:D341" si="8">(210.6)*10.764</f>
        <v>2266.8983999999996</v>
      </c>
      <c r="E334" s="63">
        <v>0</v>
      </c>
      <c r="F334" s="31"/>
      <c r="G334" s="39"/>
      <c r="H334" s="38">
        <f t="shared" si="4"/>
        <v>0</v>
      </c>
      <c r="I334" s="25"/>
      <c r="L334" s="153"/>
      <c r="M334" s="153"/>
      <c r="N334" s="63">
        <v>210.6</v>
      </c>
      <c r="O334" s="62" t="s">
        <v>209</v>
      </c>
      <c r="P334" s="67" t="str">
        <f t="shared" si="1"/>
        <v>=210.6</v>
      </c>
    </row>
    <row r="335" spans="1:16" s="26" customFormat="1" x14ac:dyDescent="0.35">
      <c r="A335" s="97">
        <f t="shared" si="2"/>
        <v>53</v>
      </c>
      <c r="B335" s="31">
        <v>54</v>
      </c>
      <c r="C335" s="31" t="s">
        <v>169</v>
      </c>
      <c r="D335" s="97">
        <f t="shared" si="8"/>
        <v>2266.8983999999996</v>
      </c>
      <c r="E335" s="63">
        <v>0</v>
      </c>
      <c r="F335" s="31"/>
      <c r="G335" s="39"/>
      <c r="H335" s="38">
        <f t="shared" si="4"/>
        <v>0</v>
      </c>
      <c r="I335" s="25"/>
      <c r="L335" s="153"/>
      <c r="M335" s="153"/>
      <c r="N335" s="63">
        <v>210.6</v>
      </c>
      <c r="O335" s="62" t="s">
        <v>209</v>
      </c>
      <c r="P335" s="67" t="str">
        <f t="shared" si="1"/>
        <v>=210.6</v>
      </c>
    </row>
    <row r="336" spans="1:16" s="26" customFormat="1" x14ac:dyDescent="0.35">
      <c r="A336" s="97">
        <f t="shared" si="2"/>
        <v>54</v>
      </c>
      <c r="B336" s="31">
        <v>55</v>
      </c>
      <c r="C336" s="31" t="s">
        <v>169</v>
      </c>
      <c r="D336" s="97">
        <f t="shared" si="8"/>
        <v>2266.8983999999996</v>
      </c>
      <c r="E336" s="63">
        <v>0</v>
      </c>
      <c r="F336" s="31"/>
      <c r="G336" s="39"/>
      <c r="H336" s="38">
        <f t="shared" si="4"/>
        <v>0</v>
      </c>
      <c r="I336" s="25"/>
      <c r="L336" s="153"/>
      <c r="M336" s="153"/>
      <c r="N336" s="63">
        <v>210.6</v>
      </c>
      <c r="O336" s="62" t="s">
        <v>209</v>
      </c>
      <c r="P336" s="67" t="str">
        <f t="shared" si="1"/>
        <v>=210.6</v>
      </c>
    </row>
    <row r="337" spans="1:16" s="26" customFormat="1" x14ac:dyDescent="0.35">
      <c r="A337" s="97">
        <f t="shared" si="2"/>
        <v>55</v>
      </c>
      <c r="B337" s="31">
        <v>56</v>
      </c>
      <c r="C337" s="31" t="s">
        <v>169</v>
      </c>
      <c r="D337" s="97">
        <f t="shared" si="8"/>
        <v>2266.8983999999996</v>
      </c>
      <c r="E337" s="63">
        <v>0</v>
      </c>
      <c r="F337" s="31"/>
      <c r="G337" s="39"/>
      <c r="H337" s="38">
        <f t="shared" si="4"/>
        <v>0</v>
      </c>
      <c r="I337" s="25"/>
      <c r="L337" s="153"/>
      <c r="M337" s="153"/>
      <c r="N337" s="63">
        <v>210.6</v>
      </c>
      <c r="O337" s="62" t="s">
        <v>209</v>
      </c>
      <c r="P337" s="67" t="str">
        <f t="shared" si="1"/>
        <v>=210.6</v>
      </c>
    </row>
    <row r="338" spans="1:16" s="26" customFormat="1" x14ac:dyDescent="0.35">
      <c r="A338" s="97">
        <f t="shared" si="2"/>
        <v>56</v>
      </c>
      <c r="B338" s="31">
        <v>57</v>
      </c>
      <c r="C338" s="31" t="s">
        <v>169</v>
      </c>
      <c r="D338" s="97">
        <f t="shared" si="8"/>
        <v>2266.8983999999996</v>
      </c>
      <c r="E338" s="63">
        <v>0</v>
      </c>
      <c r="F338" s="31"/>
      <c r="G338" s="39"/>
      <c r="H338" s="38">
        <f t="shared" si="4"/>
        <v>0</v>
      </c>
      <c r="I338" s="25"/>
      <c r="L338" s="153"/>
      <c r="M338" s="153"/>
      <c r="N338" s="63">
        <v>210.6</v>
      </c>
      <c r="O338" s="62" t="s">
        <v>209</v>
      </c>
      <c r="P338" s="67" t="str">
        <f t="shared" si="1"/>
        <v>=210.6</v>
      </c>
    </row>
    <row r="339" spans="1:16" s="26" customFormat="1" x14ac:dyDescent="0.35">
      <c r="A339" s="97">
        <f t="shared" si="2"/>
        <v>57</v>
      </c>
      <c r="B339" s="31">
        <v>58</v>
      </c>
      <c r="C339" s="31" t="s">
        <v>169</v>
      </c>
      <c r="D339" s="97">
        <f t="shared" si="8"/>
        <v>2266.8983999999996</v>
      </c>
      <c r="E339" s="63">
        <v>0</v>
      </c>
      <c r="F339" s="31"/>
      <c r="G339" s="39"/>
      <c r="H339" s="38">
        <f t="shared" si="4"/>
        <v>0</v>
      </c>
      <c r="I339" s="25"/>
      <c r="L339" s="153"/>
      <c r="M339" s="153"/>
      <c r="N339" s="63">
        <v>210.6</v>
      </c>
      <c r="O339" s="62" t="s">
        <v>209</v>
      </c>
      <c r="P339" s="67" t="str">
        <f t="shared" si="1"/>
        <v>=210.6</v>
      </c>
    </row>
    <row r="340" spans="1:16" s="26" customFormat="1" x14ac:dyDescent="0.35">
      <c r="A340" s="97">
        <f t="shared" si="2"/>
        <v>58</v>
      </c>
      <c r="B340" s="31">
        <v>59</v>
      </c>
      <c r="C340" s="31" t="s">
        <v>169</v>
      </c>
      <c r="D340" s="97">
        <f t="shared" si="8"/>
        <v>2266.8983999999996</v>
      </c>
      <c r="E340" s="63">
        <v>0</v>
      </c>
      <c r="F340" s="31"/>
      <c r="G340" s="39"/>
      <c r="H340" s="38">
        <f t="shared" si="4"/>
        <v>0</v>
      </c>
      <c r="I340" s="25"/>
      <c r="L340" s="153"/>
      <c r="M340" s="153"/>
      <c r="N340" s="63">
        <v>210.6</v>
      </c>
      <c r="O340" s="62" t="s">
        <v>209</v>
      </c>
      <c r="P340" s="67" t="str">
        <f t="shared" si="1"/>
        <v>=210.6</v>
      </c>
    </row>
    <row r="341" spans="1:16" s="26" customFormat="1" x14ac:dyDescent="0.35">
      <c r="A341" s="97">
        <f t="shared" si="2"/>
        <v>59</v>
      </c>
      <c r="B341" s="31">
        <v>60</v>
      </c>
      <c r="C341" s="31" t="s">
        <v>169</v>
      </c>
      <c r="D341" s="97">
        <f t="shared" si="8"/>
        <v>2266.8983999999996</v>
      </c>
      <c r="E341" s="63">
        <v>0</v>
      </c>
      <c r="F341" s="31"/>
      <c r="G341" s="39"/>
      <c r="H341" s="38">
        <f t="shared" si="4"/>
        <v>0</v>
      </c>
      <c r="I341" s="25"/>
      <c r="L341" s="153"/>
      <c r="M341" s="153"/>
      <c r="N341" s="63">
        <v>210.6</v>
      </c>
      <c r="O341" s="62" t="s">
        <v>209</v>
      </c>
      <c r="P341" s="67" t="str">
        <f t="shared" si="1"/>
        <v>=210.6</v>
      </c>
    </row>
    <row r="342" spans="1:16" s="26" customFormat="1" x14ac:dyDescent="0.35">
      <c r="A342" s="97">
        <f t="shared" si="2"/>
        <v>60</v>
      </c>
      <c r="B342" s="31">
        <v>61</v>
      </c>
      <c r="C342" s="31" t="s">
        <v>163</v>
      </c>
      <c r="D342" s="97">
        <f>(297)*10.764</f>
        <v>3196.9079999999999</v>
      </c>
      <c r="E342" s="63">
        <v>0</v>
      </c>
      <c r="F342" s="31"/>
      <c r="G342" s="39"/>
      <c r="H342" s="38">
        <f t="shared" si="4"/>
        <v>0</v>
      </c>
      <c r="I342" s="25"/>
      <c r="L342" s="153"/>
      <c r="M342" s="153"/>
      <c r="N342" s="63">
        <v>297</v>
      </c>
      <c r="O342" s="62" t="s">
        <v>209</v>
      </c>
      <c r="P342" s="67" t="str">
        <f t="shared" si="1"/>
        <v>=297</v>
      </c>
    </row>
    <row r="343" spans="1:16" s="26" customFormat="1" x14ac:dyDescent="0.35">
      <c r="A343" s="97">
        <f t="shared" si="2"/>
        <v>61</v>
      </c>
      <c r="B343" s="31">
        <v>62</v>
      </c>
      <c r="C343" s="31" t="s">
        <v>169</v>
      </c>
      <c r="D343" s="97">
        <f>(210.6)*10.764</f>
        <v>2266.8983999999996</v>
      </c>
      <c r="E343" s="63">
        <v>0</v>
      </c>
      <c r="F343" s="31"/>
      <c r="G343" s="39"/>
      <c r="H343" s="38">
        <f t="shared" si="4"/>
        <v>0</v>
      </c>
      <c r="I343" s="25"/>
      <c r="L343" s="153"/>
      <c r="M343" s="153"/>
      <c r="N343" s="63">
        <v>210.6</v>
      </c>
      <c r="O343" s="62" t="s">
        <v>209</v>
      </c>
      <c r="P343" s="67" t="str">
        <f t="shared" si="1"/>
        <v>=210.6</v>
      </c>
    </row>
    <row r="344" spans="1:16" s="26" customFormat="1" x14ac:dyDescent="0.35">
      <c r="A344" s="97">
        <f t="shared" si="2"/>
        <v>62</v>
      </c>
      <c r="B344" s="31">
        <v>63</v>
      </c>
      <c r="C344" s="31" t="s">
        <v>171</v>
      </c>
      <c r="D344" s="97">
        <f>(560.19)*10.764</f>
        <v>6029.8851599999998</v>
      </c>
      <c r="E344" s="63">
        <v>0</v>
      </c>
      <c r="F344" s="31"/>
      <c r="G344" s="39"/>
      <c r="H344" s="38">
        <f t="shared" si="4"/>
        <v>0</v>
      </c>
      <c r="I344" s="25"/>
      <c r="L344" s="153"/>
      <c r="M344" s="153"/>
      <c r="N344" s="63">
        <v>533.48</v>
      </c>
      <c r="O344" s="62" t="s">
        <v>209</v>
      </c>
      <c r="P344" s="67" t="str">
        <f t="shared" si="1"/>
        <v>=533.48</v>
      </c>
    </row>
    <row r="345" spans="1:16" s="100" customFormat="1" x14ac:dyDescent="0.35">
      <c r="A345" s="98">
        <f t="shared" si="2"/>
        <v>63</v>
      </c>
      <c r="B345" s="68">
        <v>64</v>
      </c>
      <c r="C345" s="68" t="s">
        <v>165</v>
      </c>
      <c r="D345" s="98">
        <f>(346.77)*10.764</f>
        <v>3732.6322799999994</v>
      </c>
      <c r="E345" s="68">
        <f>271.8*10.764</f>
        <v>2925.6552000000001</v>
      </c>
      <c r="F345" s="68">
        <f>290.97*10.764</f>
        <v>3132.00108</v>
      </c>
      <c r="G345" s="68">
        <f>(6.2*1.3+1.8*2.8)*10.764</f>
        <v>141.00839999999999</v>
      </c>
      <c r="H345" s="68">
        <f t="shared" si="4"/>
        <v>4458.9870000000001</v>
      </c>
      <c r="I345" s="99"/>
      <c r="L345" s="161"/>
      <c r="M345" s="161"/>
      <c r="N345" s="98">
        <v>363.59</v>
      </c>
      <c r="O345" s="101" t="s">
        <v>209</v>
      </c>
      <c r="P345" s="102" t="str">
        <f t="shared" si="1"/>
        <v>=363.59</v>
      </c>
    </row>
    <row r="346" spans="1:16" s="26" customFormat="1" x14ac:dyDescent="0.35">
      <c r="A346" s="97">
        <f t="shared" si="2"/>
        <v>64</v>
      </c>
      <c r="B346" s="87">
        <v>65</v>
      </c>
      <c r="C346" s="87" t="s">
        <v>165</v>
      </c>
      <c r="D346" s="97">
        <f>(386.1)*10.764</f>
        <v>4155.9804000000004</v>
      </c>
      <c r="E346" s="87">
        <v>0</v>
      </c>
      <c r="F346" s="87"/>
      <c r="G346" s="87"/>
      <c r="H346" s="87">
        <f t="shared" ref="H346:H377" si="9">E346*(($H$281)+1)+(IF(G346&lt;101,G346,IF(G346&lt;201,G346/2,IF(G346&lt;=301,G346/3,G346/4))))</f>
        <v>0</v>
      </c>
      <c r="I346" s="25"/>
      <c r="L346" s="153"/>
      <c r="M346" s="153"/>
      <c r="N346" s="63">
        <v>390.83</v>
      </c>
      <c r="O346" s="62" t="s">
        <v>209</v>
      </c>
      <c r="P346" s="67" t="str">
        <f t="shared" si="1"/>
        <v>=390.83</v>
      </c>
    </row>
    <row r="347" spans="1:16" s="26" customFormat="1" x14ac:dyDescent="0.35">
      <c r="A347" s="97">
        <f t="shared" si="2"/>
        <v>65</v>
      </c>
      <c r="B347" s="31">
        <v>66</v>
      </c>
      <c r="C347" s="31" t="s">
        <v>165</v>
      </c>
      <c r="D347" s="97">
        <f>(391.68)*10.764</f>
        <v>4216.0435200000002</v>
      </c>
      <c r="E347" s="63">
        <v>0</v>
      </c>
      <c r="F347" s="31"/>
      <c r="G347" s="39"/>
      <c r="H347" s="38">
        <f t="shared" si="9"/>
        <v>0</v>
      </c>
      <c r="I347" s="25"/>
      <c r="L347" s="153"/>
      <c r="M347" s="153"/>
      <c r="N347" s="63">
        <v>402.06</v>
      </c>
      <c r="O347" s="62" t="s">
        <v>209</v>
      </c>
      <c r="P347" s="67" t="str">
        <f t="shared" si="1"/>
        <v>=402.06</v>
      </c>
    </row>
    <row r="348" spans="1:16" s="26" customFormat="1" x14ac:dyDescent="0.35">
      <c r="A348" s="97">
        <f t="shared" si="2"/>
        <v>66</v>
      </c>
      <c r="B348" s="31">
        <v>67</v>
      </c>
      <c r="C348" s="31" t="s">
        <v>165</v>
      </c>
      <c r="D348" s="97">
        <f>(336.48)*10.764</f>
        <v>3621.8707199999999</v>
      </c>
      <c r="E348" s="63">
        <v>0</v>
      </c>
      <c r="F348" s="31"/>
      <c r="G348" s="39"/>
      <c r="H348" s="38">
        <f t="shared" si="9"/>
        <v>0</v>
      </c>
      <c r="I348" s="25"/>
      <c r="L348" s="153"/>
      <c r="M348" s="153"/>
      <c r="N348" s="63">
        <v>363.72</v>
      </c>
      <c r="O348" s="62" t="s">
        <v>209</v>
      </c>
      <c r="P348" s="67" t="str">
        <f t="shared" ref="P348:P411" si="10">O348&amp;""&amp;N348</f>
        <v>=363.72</v>
      </c>
    </row>
    <row r="349" spans="1:16" s="26" customFormat="1" x14ac:dyDescent="0.35">
      <c r="A349" s="97">
        <f t="shared" ref="A349:A412" si="11">A348+1</f>
        <v>67</v>
      </c>
      <c r="B349" s="31">
        <v>68</v>
      </c>
      <c r="C349" s="31" t="s">
        <v>165</v>
      </c>
      <c r="D349" s="97">
        <f>(292.59)*10.764</f>
        <v>3149.4387599999995</v>
      </c>
      <c r="E349" s="63">
        <v>0</v>
      </c>
      <c r="F349" s="31"/>
      <c r="G349" s="39"/>
      <c r="H349" s="38">
        <f t="shared" si="9"/>
        <v>0</v>
      </c>
      <c r="I349" s="25"/>
      <c r="L349" s="153"/>
      <c r="M349" s="153"/>
      <c r="N349" s="63">
        <v>318.02</v>
      </c>
      <c r="O349" s="62" t="s">
        <v>209</v>
      </c>
      <c r="P349" s="67" t="str">
        <f t="shared" si="10"/>
        <v>=318.02</v>
      </c>
    </row>
    <row r="350" spans="1:16" s="26" customFormat="1" x14ac:dyDescent="0.35">
      <c r="A350" s="97">
        <f t="shared" si="11"/>
        <v>68</v>
      </c>
      <c r="B350" s="31">
        <v>69</v>
      </c>
      <c r="C350" s="31" t="s">
        <v>171</v>
      </c>
      <c r="D350" s="97">
        <f>(577.64)*10.764</f>
        <v>6217.7169599999997</v>
      </c>
      <c r="E350" s="63">
        <v>0</v>
      </c>
      <c r="F350" s="31"/>
      <c r="G350" s="39"/>
      <c r="H350" s="38">
        <f t="shared" si="9"/>
        <v>0</v>
      </c>
      <c r="I350" s="25"/>
      <c r="L350" s="153"/>
      <c r="M350" s="153"/>
      <c r="N350" s="63">
        <v>593.32000000000005</v>
      </c>
      <c r="O350" s="62" t="s">
        <v>209</v>
      </c>
      <c r="P350" s="67" t="str">
        <f t="shared" si="10"/>
        <v>=593.32</v>
      </c>
    </row>
    <row r="351" spans="1:16" s="26" customFormat="1" x14ac:dyDescent="0.35">
      <c r="A351" s="97">
        <f t="shared" si="11"/>
        <v>69</v>
      </c>
      <c r="B351" s="31">
        <v>70</v>
      </c>
      <c r="C351" s="31" t="s">
        <v>164</v>
      </c>
      <c r="D351" s="97">
        <f>(523.3)*10.764</f>
        <v>5632.801199999999</v>
      </c>
      <c r="E351" s="63">
        <v>0</v>
      </c>
      <c r="F351" s="31"/>
      <c r="G351" s="39"/>
      <c r="H351" s="38">
        <f t="shared" si="9"/>
        <v>0</v>
      </c>
      <c r="I351" s="25"/>
      <c r="L351" s="153"/>
      <c r="M351" s="153"/>
      <c r="N351" s="63">
        <v>523.29999999999995</v>
      </c>
      <c r="O351" s="62" t="s">
        <v>209</v>
      </c>
      <c r="P351" s="67" t="str">
        <f t="shared" si="10"/>
        <v>=523.3</v>
      </c>
    </row>
    <row r="352" spans="1:16" s="26" customFormat="1" x14ac:dyDescent="0.35">
      <c r="A352" s="97">
        <f t="shared" si="11"/>
        <v>70</v>
      </c>
      <c r="B352" s="31">
        <v>71</v>
      </c>
      <c r="C352" s="31" t="s">
        <v>166</v>
      </c>
      <c r="D352" s="97">
        <f>(210.6)*10.764</f>
        <v>2266.8983999999996</v>
      </c>
      <c r="E352" s="63">
        <v>0</v>
      </c>
      <c r="F352" s="31"/>
      <c r="G352" s="39"/>
      <c r="H352" s="38">
        <f t="shared" si="9"/>
        <v>0</v>
      </c>
      <c r="I352" s="25"/>
      <c r="L352" s="153"/>
      <c r="M352" s="153"/>
      <c r="N352" s="63">
        <v>210.6</v>
      </c>
      <c r="O352" s="62" t="s">
        <v>209</v>
      </c>
      <c r="P352" s="67" t="str">
        <f t="shared" si="10"/>
        <v>=210.6</v>
      </c>
    </row>
    <row r="353" spans="1:16" s="26" customFormat="1" x14ac:dyDescent="0.35">
      <c r="A353" s="97">
        <f t="shared" si="11"/>
        <v>71</v>
      </c>
      <c r="B353" s="31">
        <v>72</v>
      </c>
      <c r="C353" s="31" t="s">
        <v>166</v>
      </c>
      <c r="D353" s="97">
        <f>(210.6)*10.764</f>
        <v>2266.8983999999996</v>
      </c>
      <c r="E353" s="63">
        <v>0</v>
      </c>
      <c r="F353" s="31"/>
      <c r="G353" s="39"/>
      <c r="H353" s="38">
        <f t="shared" si="9"/>
        <v>0</v>
      </c>
      <c r="I353" s="25"/>
      <c r="L353" s="153"/>
      <c r="M353" s="153"/>
      <c r="N353" s="63">
        <v>210.6</v>
      </c>
      <c r="O353" s="62" t="s">
        <v>209</v>
      </c>
      <c r="P353" s="67" t="str">
        <f t="shared" si="10"/>
        <v>=210.6</v>
      </c>
    </row>
    <row r="354" spans="1:16" s="26" customFormat="1" x14ac:dyDescent="0.35">
      <c r="A354" s="97">
        <f t="shared" si="11"/>
        <v>72</v>
      </c>
      <c r="B354" s="31">
        <v>73</v>
      </c>
      <c r="C354" s="31" t="s">
        <v>171</v>
      </c>
      <c r="D354" s="97">
        <f>(475.24)*10.764</f>
        <v>5115.4833600000002</v>
      </c>
      <c r="E354" s="63">
        <v>0</v>
      </c>
      <c r="F354" s="31"/>
      <c r="G354" s="39"/>
      <c r="H354" s="38">
        <f t="shared" si="9"/>
        <v>0</v>
      </c>
      <c r="I354" s="25"/>
      <c r="L354" s="153"/>
      <c r="M354" s="153"/>
      <c r="N354" s="63">
        <v>475.61</v>
      </c>
      <c r="O354" s="62" t="s">
        <v>209</v>
      </c>
      <c r="P354" s="67" t="str">
        <f t="shared" si="10"/>
        <v>=475.61</v>
      </c>
    </row>
    <row r="355" spans="1:16" s="26" customFormat="1" x14ac:dyDescent="0.35">
      <c r="A355" s="97">
        <f t="shared" si="11"/>
        <v>73</v>
      </c>
      <c r="B355" s="31">
        <v>76</v>
      </c>
      <c r="C355" s="31" t="s">
        <v>169</v>
      </c>
      <c r="D355" s="97">
        <f>(210.6)*10.764</f>
        <v>2266.8983999999996</v>
      </c>
      <c r="E355" s="63">
        <v>0</v>
      </c>
      <c r="F355" s="31"/>
      <c r="G355" s="39"/>
      <c r="H355" s="38">
        <f t="shared" si="9"/>
        <v>0</v>
      </c>
      <c r="I355" s="25"/>
      <c r="L355" s="153"/>
      <c r="M355" s="153"/>
      <c r="N355" s="63">
        <v>210.6</v>
      </c>
      <c r="O355" s="62" t="s">
        <v>209</v>
      </c>
      <c r="P355" s="67" t="str">
        <f t="shared" si="10"/>
        <v>=210.6</v>
      </c>
    </row>
    <row r="356" spans="1:16" s="26" customFormat="1" x14ac:dyDescent="0.35">
      <c r="A356" s="97">
        <f t="shared" si="11"/>
        <v>74</v>
      </c>
      <c r="B356" s="31">
        <v>77</v>
      </c>
      <c r="C356" s="31" t="s">
        <v>169</v>
      </c>
      <c r="D356" s="97">
        <f>(210.6)*10.764</f>
        <v>2266.8983999999996</v>
      </c>
      <c r="E356" s="63">
        <v>0</v>
      </c>
      <c r="F356" s="31"/>
      <c r="G356" s="39"/>
      <c r="H356" s="38">
        <f t="shared" si="9"/>
        <v>0</v>
      </c>
      <c r="I356" s="25"/>
      <c r="L356" s="153"/>
      <c r="M356" s="153"/>
      <c r="N356" s="63">
        <v>210.6</v>
      </c>
      <c r="O356" s="62" t="s">
        <v>209</v>
      </c>
      <c r="P356" s="67" t="str">
        <f t="shared" si="10"/>
        <v>=210.6</v>
      </c>
    </row>
    <row r="357" spans="1:16" s="26" customFormat="1" x14ac:dyDescent="0.35">
      <c r="A357" s="97">
        <f t="shared" si="11"/>
        <v>75</v>
      </c>
      <c r="B357" s="31">
        <v>78</v>
      </c>
      <c r="C357" s="31" t="s">
        <v>169</v>
      </c>
      <c r="D357" s="97">
        <f>(210.6)*10.764</f>
        <v>2266.8983999999996</v>
      </c>
      <c r="E357" s="63">
        <v>0</v>
      </c>
      <c r="F357" s="31"/>
      <c r="G357" s="39"/>
      <c r="H357" s="38">
        <f t="shared" si="9"/>
        <v>0</v>
      </c>
      <c r="I357" s="25"/>
      <c r="L357" s="153"/>
      <c r="M357" s="153"/>
      <c r="N357" s="63">
        <v>210.6</v>
      </c>
      <c r="O357" s="62" t="s">
        <v>209</v>
      </c>
      <c r="P357" s="67" t="str">
        <f t="shared" si="10"/>
        <v>=210.6</v>
      </c>
    </row>
    <row r="358" spans="1:16" s="26" customFormat="1" x14ac:dyDescent="0.35">
      <c r="A358" s="97">
        <f t="shared" si="11"/>
        <v>76</v>
      </c>
      <c r="B358" s="31">
        <v>79</v>
      </c>
      <c r="C358" s="31" t="s">
        <v>169</v>
      </c>
      <c r="D358" s="97">
        <f>(210.6)*10.764</f>
        <v>2266.8983999999996</v>
      </c>
      <c r="E358" s="63">
        <v>0</v>
      </c>
      <c r="F358" s="31"/>
      <c r="G358" s="39"/>
      <c r="H358" s="38">
        <f t="shared" si="9"/>
        <v>0</v>
      </c>
      <c r="I358" s="25"/>
      <c r="L358" s="153"/>
      <c r="M358" s="153"/>
      <c r="N358" s="63">
        <v>210.6</v>
      </c>
      <c r="O358" s="62" t="s">
        <v>209</v>
      </c>
      <c r="P358" s="67" t="str">
        <f t="shared" si="10"/>
        <v>=210.6</v>
      </c>
    </row>
    <row r="359" spans="1:16" s="26" customFormat="1" x14ac:dyDescent="0.35">
      <c r="A359" s="97">
        <f t="shared" si="11"/>
        <v>77</v>
      </c>
      <c r="B359" s="31">
        <v>80</v>
      </c>
      <c r="C359" s="31" t="s">
        <v>163</v>
      </c>
      <c r="D359" s="97">
        <f>(297)*10.764</f>
        <v>3196.9079999999999</v>
      </c>
      <c r="E359" s="63">
        <v>0</v>
      </c>
      <c r="F359" s="31"/>
      <c r="G359" s="39"/>
      <c r="H359" s="38">
        <f t="shared" si="9"/>
        <v>0</v>
      </c>
      <c r="I359" s="25"/>
      <c r="L359" s="153"/>
      <c r="M359" s="153"/>
      <c r="N359" s="63">
        <v>297</v>
      </c>
      <c r="O359" s="62" t="s">
        <v>209</v>
      </c>
      <c r="P359" s="67" t="str">
        <f t="shared" si="10"/>
        <v>=297</v>
      </c>
    </row>
    <row r="360" spans="1:16" s="26" customFormat="1" x14ac:dyDescent="0.35">
      <c r="A360" s="97">
        <f t="shared" si="11"/>
        <v>78</v>
      </c>
      <c r="B360" s="31">
        <v>81</v>
      </c>
      <c r="C360" s="31" t="s">
        <v>166</v>
      </c>
      <c r="D360" s="97">
        <f>(210.6)*10.764</f>
        <v>2266.8983999999996</v>
      </c>
      <c r="E360" s="63">
        <v>0</v>
      </c>
      <c r="F360" s="31"/>
      <c r="G360" s="39"/>
      <c r="H360" s="38">
        <f t="shared" si="9"/>
        <v>0</v>
      </c>
      <c r="I360" s="25"/>
      <c r="L360" s="153"/>
      <c r="M360" s="153"/>
      <c r="N360" s="63">
        <v>210.6</v>
      </c>
      <c r="O360" s="62" t="s">
        <v>209</v>
      </c>
      <c r="P360" s="67" t="str">
        <f t="shared" si="10"/>
        <v>=210.6</v>
      </c>
    </row>
    <row r="361" spans="1:16" s="26" customFormat="1" x14ac:dyDescent="0.35">
      <c r="A361" s="97">
        <f t="shared" si="11"/>
        <v>79</v>
      </c>
      <c r="B361" s="31">
        <v>82</v>
      </c>
      <c r="C361" s="31" t="s">
        <v>165</v>
      </c>
      <c r="D361" s="97">
        <f>(297)*10.764</f>
        <v>3196.9079999999999</v>
      </c>
      <c r="E361" s="63">
        <v>0</v>
      </c>
      <c r="F361" s="31"/>
      <c r="G361" s="39"/>
      <c r="H361" s="38">
        <f t="shared" si="9"/>
        <v>0</v>
      </c>
      <c r="I361" s="25"/>
      <c r="L361" s="153"/>
      <c r="M361" s="153"/>
      <c r="N361" s="63">
        <v>297</v>
      </c>
      <c r="O361" s="62" t="s">
        <v>209</v>
      </c>
      <c r="P361" s="67" t="str">
        <f t="shared" si="10"/>
        <v>=297</v>
      </c>
    </row>
    <row r="362" spans="1:16" s="26" customFormat="1" x14ac:dyDescent="0.35">
      <c r="A362" s="97">
        <f t="shared" si="11"/>
        <v>80</v>
      </c>
      <c r="B362" s="31">
        <v>83</v>
      </c>
      <c r="C362" s="31" t="s">
        <v>166</v>
      </c>
      <c r="D362" s="97">
        <f>(210.6)*10.764</f>
        <v>2266.8983999999996</v>
      </c>
      <c r="E362" s="63">
        <v>0</v>
      </c>
      <c r="F362" s="31"/>
      <c r="G362" s="39"/>
      <c r="H362" s="38">
        <f t="shared" si="9"/>
        <v>0</v>
      </c>
      <c r="I362" s="25"/>
      <c r="L362" s="153"/>
      <c r="M362" s="153"/>
      <c r="N362" s="63">
        <v>210.6</v>
      </c>
      <c r="O362" s="62" t="s">
        <v>209</v>
      </c>
      <c r="P362" s="67" t="str">
        <f t="shared" si="10"/>
        <v>=210.6</v>
      </c>
    </row>
    <row r="363" spans="1:16" s="26" customFormat="1" x14ac:dyDescent="0.35">
      <c r="A363" s="97">
        <f t="shared" si="11"/>
        <v>81</v>
      </c>
      <c r="B363" s="31">
        <v>84</v>
      </c>
      <c r="C363" s="31" t="s">
        <v>166</v>
      </c>
      <c r="D363" s="97">
        <f>(210.6)*10.764</f>
        <v>2266.8983999999996</v>
      </c>
      <c r="E363" s="63">
        <v>0</v>
      </c>
      <c r="F363" s="31"/>
      <c r="G363" s="39"/>
      <c r="H363" s="38">
        <f t="shared" si="9"/>
        <v>0</v>
      </c>
      <c r="I363" s="25"/>
      <c r="L363" s="153"/>
      <c r="M363" s="153"/>
      <c r="N363" s="63">
        <v>210.6</v>
      </c>
      <c r="O363" s="62" t="s">
        <v>209</v>
      </c>
      <c r="P363" s="67" t="str">
        <f t="shared" si="10"/>
        <v>=210.6</v>
      </c>
    </row>
    <row r="364" spans="1:16" s="26" customFormat="1" x14ac:dyDescent="0.35">
      <c r="A364" s="97">
        <f t="shared" si="11"/>
        <v>82</v>
      </c>
      <c r="B364" s="31">
        <v>85</v>
      </c>
      <c r="C364" s="31" t="s">
        <v>166</v>
      </c>
      <c r="D364" s="97">
        <f>(210.6)*10.764</f>
        <v>2266.8983999999996</v>
      </c>
      <c r="E364" s="63">
        <v>0</v>
      </c>
      <c r="F364" s="31"/>
      <c r="G364" s="39"/>
      <c r="H364" s="38">
        <f t="shared" si="9"/>
        <v>0</v>
      </c>
      <c r="I364" s="25"/>
      <c r="L364" s="153"/>
      <c r="M364" s="153"/>
      <c r="N364" s="63">
        <v>210.6</v>
      </c>
      <c r="O364" s="62" t="s">
        <v>209</v>
      </c>
      <c r="P364" s="67" t="str">
        <f t="shared" si="10"/>
        <v>=210.6</v>
      </c>
    </row>
    <row r="365" spans="1:16" s="26" customFormat="1" x14ac:dyDescent="0.35">
      <c r="A365" s="97">
        <f t="shared" si="11"/>
        <v>83</v>
      </c>
      <c r="B365" s="31">
        <v>90</v>
      </c>
      <c r="C365" s="31" t="s">
        <v>163</v>
      </c>
      <c r="D365" s="97">
        <f>(468.63)*10.764</f>
        <v>5044.3333199999997</v>
      </c>
      <c r="E365" s="63">
        <v>0</v>
      </c>
      <c r="F365" s="31"/>
      <c r="G365" s="39"/>
      <c r="H365" s="38">
        <f t="shared" si="9"/>
        <v>0</v>
      </c>
      <c r="I365" s="25"/>
      <c r="L365" s="153"/>
      <c r="M365" s="153"/>
      <c r="N365" s="63">
        <v>468.63</v>
      </c>
      <c r="O365" s="62" t="s">
        <v>209</v>
      </c>
      <c r="P365" s="67" t="str">
        <f t="shared" si="10"/>
        <v>=468.63</v>
      </c>
    </row>
    <row r="366" spans="1:16" s="26" customFormat="1" x14ac:dyDescent="0.35">
      <c r="A366" s="97">
        <f t="shared" si="11"/>
        <v>84</v>
      </c>
      <c r="B366" s="31">
        <v>91</v>
      </c>
      <c r="C366" s="31" t="s">
        <v>163</v>
      </c>
      <c r="D366" s="97">
        <f>(297)*10.764</f>
        <v>3196.9079999999999</v>
      </c>
      <c r="E366" s="63">
        <v>0</v>
      </c>
      <c r="F366" s="31"/>
      <c r="G366" s="39"/>
      <c r="H366" s="38">
        <f t="shared" si="9"/>
        <v>0</v>
      </c>
      <c r="I366" s="25"/>
      <c r="L366" s="153"/>
      <c r="M366" s="153"/>
      <c r="N366" s="63">
        <v>297</v>
      </c>
      <c r="O366" s="62" t="s">
        <v>209</v>
      </c>
      <c r="P366" s="67" t="str">
        <f t="shared" si="10"/>
        <v>=297</v>
      </c>
    </row>
    <row r="367" spans="1:16" s="26" customFormat="1" x14ac:dyDescent="0.35">
      <c r="A367" s="97">
        <f t="shared" si="11"/>
        <v>85</v>
      </c>
      <c r="B367" s="31">
        <v>92</v>
      </c>
      <c r="C367" s="31" t="s">
        <v>169</v>
      </c>
      <c r="D367" s="97">
        <f>(210.6)*10.764</f>
        <v>2266.8983999999996</v>
      </c>
      <c r="E367" s="63">
        <v>0</v>
      </c>
      <c r="F367" s="31"/>
      <c r="G367" s="39"/>
      <c r="H367" s="38">
        <f t="shared" si="9"/>
        <v>0</v>
      </c>
      <c r="I367" s="25"/>
      <c r="L367" s="153"/>
      <c r="M367" s="153"/>
      <c r="N367" s="63">
        <v>210.6</v>
      </c>
      <c r="O367" s="62" t="s">
        <v>209</v>
      </c>
      <c r="P367" s="67" t="str">
        <f t="shared" si="10"/>
        <v>=210.6</v>
      </c>
    </row>
    <row r="368" spans="1:16" s="26" customFormat="1" x14ac:dyDescent="0.35">
      <c r="A368" s="97">
        <f t="shared" si="11"/>
        <v>86</v>
      </c>
      <c r="B368" s="31">
        <v>93</v>
      </c>
      <c r="C368" s="31" t="s">
        <v>169</v>
      </c>
      <c r="D368" s="97">
        <f>(210.6)*10.764</f>
        <v>2266.8983999999996</v>
      </c>
      <c r="E368" s="63">
        <v>0</v>
      </c>
      <c r="F368" s="31"/>
      <c r="G368" s="39"/>
      <c r="H368" s="38">
        <f t="shared" si="9"/>
        <v>0</v>
      </c>
      <c r="I368" s="25"/>
      <c r="L368" s="153"/>
      <c r="M368" s="153"/>
      <c r="N368" s="63">
        <v>210.6</v>
      </c>
      <c r="O368" s="62" t="s">
        <v>209</v>
      </c>
      <c r="P368" s="67" t="str">
        <f t="shared" si="10"/>
        <v>=210.6</v>
      </c>
    </row>
    <row r="369" spans="1:16" s="26" customFormat="1" x14ac:dyDescent="0.35">
      <c r="A369" s="97">
        <f t="shared" si="11"/>
        <v>87</v>
      </c>
      <c r="B369" s="31">
        <v>94</v>
      </c>
      <c r="C369" s="31" t="s">
        <v>169</v>
      </c>
      <c r="D369" s="97">
        <f>(210.6)*10.764</f>
        <v>2266.8983999999996</v>
      </c>
      <c r="E369" s="63">
        <v>0</v>
      </c>
      <c r="F369" s="31"/>
      <c r="G369" s="39"/>
      <c r="H369" s="38">
        <f t="shared" si="9"/>
        <v>0</v>
      </c>
      <c r="I369" s="25"/>
      <c r="L369" s="153"/>
      <c r="M369" s="153"/>
      <c r="N369" s="63">
        <v>317.45999999999998</v>
      </c>
      <c r="O369" s="62" t="s">
        <v>209</v>
      </c>
      <c r="P369" s="67" t="str">
        <f t="shared" si="10"/>
        <v>=317.46</v>
      </c>
    </row>
    <row r="370" spans="1:16" s="26" customFormat="1" x14ac:dyDescent="0.35">
      <c r="A370" s="97">
        <f t="shared" si="11"/>
        <v>88</v>
      </c>
      <c r="B370" s="31">
        <v>95</v>
      </c>
      <c r="C370" s="31" t="s">
        <v>169</v>
      </c>
      <c r="D370" s="97">
        <f>(210.6)*10.764</f>
        <v>2266.8983999999996</v>
      </c>
      <c r="E370" s="63">
        <v>0</v>
      </c>
      <c r="F370" s="31"/>
      <c r="G370" s="39"/>
      <c r="H370" s="38">
        <f t="shared" si="9"/>
        <v>0</v>
      </c>
      <c r="I370" s="25"/>
      <c r="L370" s="153"/>
      <c r="M370" s="153"/>
      <c r="N370" s="63">
        <v>317.45999999999998</v>
      </c>
      <c r="O370" s="62" t="s">
        <v>209</v>
      </c>
      <c r="P370" s="67" t="str">
        <f t="shared" si="10"/>
        <v>=317.46</v>
      </c>
    </row>
    <row r="371" spans="1:16" s="26" customFormat="1" x14ac:dyDescent="0.35">
      <c r="A371" s="97">
        <f t="shared" si="11"/>
        <v>89</v>
      </c>
      <c r="B371" s="31">
        <v>96</v>
      </c>
      <c r="C371" s="31" t="s">
        <v>169</v>
      </c>
      <c r="D371" s="97">
        <f>(210.6)*10.764</f>
        <v>2266.8983999999996</v>
      </c>
      <c r="E371" s="63">
        <v>0</v>
      </c>
      <c r="F371" s="31"/>
      <c r="G371" s="39"/>
      <c r="H371" s="38">
        <f t="shared" si="9"/>
        <v>0</v>
      </c>
      <c r="I371" s="25"/>
      <c r="L371" s="153"/>
      <c r="M371" s="153"/>
      <c r="N371" s="63">
        <v>210.6</v>
      </c>
      <c r="O371" s="62" t="s">
        <v>209</v>
      </c>
      <c r="P371" s="67" t="str">
        <f t="shared" si="10"/>
        <v>=210.6</v>
      </c>
    </row>
    <row r="372" spans="1:16" s="26" customFormat="1" x14ac:dyDescent="0.35">
      <c r="A372" s="97">
        <f t="shared" si="11"/>
        <v>90</v>
      </c>
      <c r="B372" s="31">
        <v>97</v>
      </c>
      <c r="C372" s="31" t="s">
        <v>163</v>
      </c>
      <c r="D372" s="97">
        <f>(297)*10.764</f>
        <v>3196.9079999999999</v>
      </c>
      <c r="E372" s="63">
        <v>0</v>
      </c>
      <c r="F372" s="31"/>
      <c r="G372" s="39"/>
      <c r="H372" s="38">
        <f t="shared" si="9"/>
        <v>0</v>
      </c>
      <c r="I372" s="25"/>
      <c r="L372" s="153"/>
      <c r="M372" s="153"/>
      <c r="N372" s="63">
        <v>297</v>
      </c>
      <c r="O372" s="62" t="s">
        <v>209</v>
      </c>
      <c r="P372" s="67" t="str">
        <f t="shared" si="10"/>
        <v>=297</v>
      </c>
    </row>
    <row r="373" spans="1:16" s="26" customFormat="1" x14ac:dyDescent="0.35">
      <c r="A373" s="97">
        <f t="shared" si="11"/>
        <v>91</v>
      </c>
      <c r="B373" s="31">
        <v>98</v>
      </c>
      <c r="C373" s="31" t="s">
        <v>162</v>
      </c>
      <c r="D373" s="97">
        <f>(377.51)*10.764</f>
        <v>4063.5176399999996</v>
      </c>
      <c r="E373" s="63">
        <v>0</v>
      </c>
      <c r="F373" s="31"/>
      <c r="G373" s="39"/>
      <c r="H373" s="38">
        <f t="shared" si="9"/>
        <v>0</v>
      </c>
      <c r="I373" s="25"/>
      <c r="L373" s="153"/>
      <c r="M373" s="153"/>
      <c r="N373" s="63">
        <v>377.51</v>
      </c>
      <c r="O373" s="62" t="s">
        <v>209</v>
      </c>
      <c r="P373" s="67" t="str">
        <f t="shared" si="10"/>
        <v>=377.51</v>
      </c>
    </row>
    <row r="374" spans="1:16" s="26" customFormat="1" x14ac:dyDescent="0.35">
      <c r="A374" s="97">
        <f t="shared" si="11"/>
        <v>92</v>
      </c>
      <c r="B374" s="31">
        <v>99</v>
      </c>
      <c r="C374" s="31" t="s">
        <v>171</v>
      </c>
      <c r="D374" s="97">
        <f>(458.72)*10.764</f>
        <v>4937.6620800000001</v>
      </c>
      <c r="E374" s="63">
        <v>0</v>
      </c>
      <c r="F374" s="31"/>
      <c r="G374" s="39"/>
      <c r="H374" s="38">
        <f t="shared" si="9"/>
        <v>0</v>
      </c>
      <c r="I374" s="25"/>
      <c r="L374" s="153"/>
      <c r="M374" s="153"/>
      <c r="N374" s="63">
        <v>465.39</v>
      </c>
      <c r="O374" s="62" t="s">
        <v>209</v>
      </c>
      <c r="P374" s="67" t="str">
        <f t="shared" si="10"/>
        <v>=465.39</v>
      </c>
    </row>
    <row r="375" spans="1:16" s="26" customFormat="1" x14ac:dyDescent="0.35">
      <c r="A375" s="97">
        <f t="shared" si="11"/>
        <v>93</v>
      </c>
      <c r="B375" s="31">
        <v>100</v>
      </c>
      <c r="C375" s="31" t="s">
        <v>167</v>
      </c>
      <c r="D375" s="97">
        <f>(626.36)*10.764</f>
        <v>6742.13904</v>
      </c>
      <c r="E375" s="63">
        <v>0</v>
      </c>
      <c r="F375" s="31"/>
      <c r="G375" s="39"/>
      <c r="H375" s="38">
        <f t="shared" si="9"/>
        <v>0</v>
      </c>
      <c r="I375" s="25"/>
      <c r="L375" s="153"/>
      <c r="M375" s="153"/>
      <c r="N375" s="63">
        <v>313.98</v>
      </c>
      <c r="O375" s="62" t="s">
        <v>209</v>
      </c>
      <c r="P375" s="67" t="str">
        <f t="shared" si="10"/>
        <v>=313.98</v>
      </c>
    </row>
    <row r="376" spans="1:16" s="26" customFormat="1" x14ac:dyDescent="0.35">
      <c r="A376" s="97">
        <f t="shared" si="11"/>
        <v>94</v>
      </c>
      <c r="B376" s="31">
        <v>101</v>
      </c>
      <c r="C376" s="31" t="s">
        <v>165</v>
      </c>
      <c r="D376" s="97">
        <f>(316.19)*10.764</f>
        <v>3403.4691599999996</v>
      </c>
      <c r="E376" s="63">
        <v>0</v>
      </c>
      <c r="F376" s="31"/>
      <c r="G376" s="39"/>
      <c r="H376" s="38">
        <f t="shared" si="9"/>
        <v>0</v>
      </c>
      <c r="I376" s="25"/>
      <c r="L376" s="153"/>
      <c r="M376" s="153"/>
      <c r="N376" s="63">
        <v>318.16000000000003</v>
      </c>
      <c r="O376" s="62" t="s">
        <v>209</v>
      </c>
      <c r="P376" s="67" t="str">
        <f t="shared" si="10"/>
        <v>=318.16</v>
      </c>
    </row>
    <row r="377" spans="1:16" s="26" customFormat="1" x14ac:dyDescent="0.35">
      <c r="A377" s="97">
        <f t="shared" si="11"/>
        <v>95</v>
      </c>
      <c r="B377" s="31">
        <v>102</v>
      </c>
      <c r="C377" s="31" t="s">
        <v>166</v>
      </c>
      <c r="D377" s="97">
        <f>(249.89)*10.764</f>
        <v>2689.8159599999999</v>
      </c>
      <c r="E377" s="63">
        <v>0</v>
      </c>
      <c r="F377" s="31"/>
      <c r="G377" s="39"/>
      <c r="H377" s="38">
        <f t="shared" si="9"/>
        <v>0</v>
      </c>
      <c r="I377" s="25"/>
      <c r="K377" s="64"/>
      <c r="L377" s="153"/>
      <c r="M377" s="153"/>
      <c r="N377" s="63">
        <v>251.25</v>
      </c>
      <c r="O377" s="62" t="s">
        <v>209</v>
      </c>
      <c r="P377" s="67" t="str">
        <f t="shared" si="10"/>
        <v>=251.25</v>
      </c>
    </row>
    <row r="378" spans="1:16" s="26" customFormat="1" x14ac:dyDescent="0.35">
      <c r="A378" s="97">
        <f t="shared" si="11"/>
        <v>96</v>
      </c>
      <c r="B378" s="31">
        <v>103</v>
      </c>
      <c r="C378" s="31" t="s">
        <v>165</v>
      </c>
      <c r="D378" s="97">
        <f>(382.99)*10.764</f>
        <v>4122.5043599999999</v>
      </c>
      <c r="E378" s="63">
        <v>0</v>
      </c>
      <c r="F378" s="31"/>
      <c r="G378" s="39"/>
      <c r="H378" s="38">
        <f t="shared" ref="H378:H409" si="12">E378*(($H$281)+1)+(IF(G378&lt;101,G378,IF(G378&lt;201,G378/2,IF(G378&lt;=301,G378/3,G378/4))))</f>
        <v>0</v>
      </c>
      <c r="I378" s="25"/>
      <c r="L378" s="153"/>
      <c r="M378" s="153"/>
      <c r="N378" s="63">
        <v>389.96</v>
      </c>
      <c r="O378" s="62" t="s">
        <v>209</v>
      </c>
      <c r="P378" s="67" t="str">
        <f t="shared" si="10"/>
        <v>=389.96</v>
      </c>
    </row>
    <row r="379" spans="1:16" s="26" customFormat="1" x14ac:dyDescent="0.35">
      <c r="A379" s="97">
        <f t="shared" si="11"/>
        <v>97</v>
      </c>
      <c r="B379" s="31">
        <v>104</v>
      </c>
      <c r="C379" s="31" t="s">
        <v>165</v>
      </c>
      <c r="D379" s="97">
        <f>(594.52)*10.764</f>
        <v>6399.4132799999998</v>
      </c>
      <c r="E379" s="63">
        <v>0</v>
      </c>
      <c r="F379" s="31"/>
      <c r="G379" s="39"/>
      <c r="H379" s="38">
        <f t="shared" si="12"/>
        <v>0</v>
      </c>
      <c r="I379" s="25" t="e">
        <f>35800000/E379</f>
        <v>#DIV/0!</v>
      </c>
      <c r="L379" s="153"/>
      <c r="M379" s="153"/>
      <c r="N379" s="63">
        <v>624.36</v>
      </c>
      <c r="O379" s="62" t="s">
        <v>209</v>
      </c>
      <c r="P379" s="67" t="str">
        <f t="shared" si="10"/>
        <v>=624.36</v>
      </c>
    </row>
    <row r="380" spans="1:16" s="26" customFormat="1" x14ac:dyDescent="0.35">
      <c r="A380" s="97">
        <f t="shared" si="11"/>
        <v>98</v>
      </c>
      <c r="B380" s="31">
        <v>105</v>
      </c>
      <c r="C380" s="31" t="s">
        <v>162</v>
      </c>
      <c r="D380" s="97">
        <f>(592.82)*10.764</f>
        <v>6381.1144800000002</v>
      </c>
      <c r="E380" s="63">
        <v>0</v>
      </c>
      <c r="F380" s="31"/>
      <c r="G380" s="39"/>
      <c r="H380" s="38">
        <f t="shared" si="12"/>
        <v>0</v>
      </c>
      <c r="I380" s="25"/>
      <c r="L380" s="153"/>
      <c r="M380" s="153"/>
      <c r="N380" s="63">
        <v>559.75</v>
      </c>
      <c r="O380" s="62" t="s">
        <v>209</v>
      </c>
      <c r="P380" s="67" t="str">
        <f t="shared" si="10"/>
        <v>=559.75</v>
      </c>
    </row>
    <row r="381" spans="1:16" s="26" customFormat="1" x14ac:dyDescent="0.35">
      <c r="A381" s="97">
        <f t="shared" si="11"/>
        <v>99</v>
      </c>
      <c r="B381" s="31">
        <v>106</v>
      </c>
      <c r="C381" s="31" t="s">
        <v>163</v>
      </c>
      <c r="D381" s="97">
        <f>(297.92)*10.764</f>
        <v>3206.81088</v>
      </c>
      <c r="E381" s="63">
        <v>0</v>
      </c>
      <c r="F381" s="31"/>
      <c r="G381" s="39"/>
      <c r="H381" s="38">
        <f t="shared" si="12"/>
        <v>0</v>
      </c>
      <c r="I381" s="25"/>
      <c r="L381" s="153"/>
      <c r="M381" s="153"/>
      <c r="N381" s="63">
        <v>306.13</v>
      </c>
      <c r="O381" s="62" t="s">
        <v>209</v>
      </c>
      <c r="P381" s="67" t="str">
        <f t="shared" si="10"/>
        <v>=306.13</v>
      </c>
    </row>
    <row r="382" spans="1:16" s="26" customFormat="1" x14ac:dyDescent="0.35">
      <c r="A382" s="97">
        <f t="shared" si="11"/>
        <v>100</v>
      </c>
      <c r="B382" s="31">
        <v>107</v>
      </c>
      <c r="C382" s="31" t="s">
        <v>163</v>
      </c>
      <c r="D382" s="97">
        <f>(326.27)*10.764</f>
        <v>3511.9702799999995</v>
      </c>
      <c r="E382" s="63">
        <v>0</v>
      </c>
      <c r="F382" s="31"/>
      <c r="G382" s="39"/>
      <c r="H382" s="38">
        <f t="shared" si="12"/>
        <v>0</v>
      </c>
      <c r="I382" s="25"/>
      <c r="L382" s="153"/>
      <c r="M382" s="153"/>
      <c r="N382" s="63">
        <v>334.47</v>
      </c>
      <c r="O382" s="62" t="s">
        <v>209</v>
      </c>
      <c r="P382" s="67" t="str">
        <f t="shared" si="10"/>
        <v>=334.47</v>
      </c>
    </row>
    <row r="383" spans="1:16" s="26" customFormat="1" x14ac:dyDescent="0.35">
      <c r="A383" s="97">
        <f t="shared" si="11"/>
        <v>101</v>
      </c>
      <c r="B383" s="31">
        <v>108</v>
      </c>
      <c r="C383" s="31" t="s">
        <v>163</v>
      </c>
      <c r="D383" s="97">
        <f>(354.61)*10.764</f>
        <v>3817.0220399999998</v>
      </c>
      <c r="E383" s="63">
        <v>0</v>
      </c>
      <c r="F383" s="31"/>
      <c r="G383" s="39"/>
      <c r="H383" s="38">
        <f t="shared" si="12"/>
        <v>0</v>
      </c>
      <c r="I383" s="25">
        <f>7000*D383</f>
        <v>26719154.279999997</v>
      </c>
      <c r="L383" s="153"/>
      <c r="M383" s="153"/>
      <c r="N383" s="63">
        <v>362.82</v>
      </c>
      <c r="O383" s="62" t="s">
        <v>209</v>
      </c>
      <c r="P383" s="67" t="str">
        <f t="shared" si="10"/>
        <v>=362.82</v>
      </c>
    </row>
    <row r="384" spans="1:16" s="26" customFormat="1" x14ac:dyDescent="0.35">
      <c r="A384" s="97">
        <f t="shared" si="11"/>
        <v>102</v>
      </c>
      <c r="B384" s="31">
        <v>109</v>
      </c>
      <c r="C384" s="31" t="s">
        <v>164</v>
      </c>
      <c r="D384" s="97">
        <f>(487.32)*10.764</f>
        <v>5245.5124799999994</v>
      </c>
      <c r="E384" s="63">
        <v>0</v>
      </c>
      <c r="F384" s="31"/>
      <c r="G384" s="39"/>
      <c r="H384" s="38">
        <f t="shared" si="12"/>
        <v>0</v>
      </c>
      <c r="I384" s="25"/>
      <c r="L384" s="153"/>
      <c r="M384" s="153"/>
      <c r="N384" s="63">
        <v>502.26</v>
      </c>
      <c r="O384" s="62" t="s">
        <v>209</v>
      </c>
      <c r="P384" s="67" t="str">
        <f t="shared" si="10"/>
        <v>=502.26</v>
      </c>
    </row>
    <row r="385" spans="1:16" s="26" customFormat="1" x14ac:dyDescent="0.35">
      <c r="A385" s="97">
        <f t="shared" si="11"/>
        <v>103</v>
      </c>
      <c r="B385" s="31">
        <v>110</v>
      </c>
      <c r="C385" s="31" t="s">
        <v>167</v>
      </c>
      <c r="D385" s="97">
        <f>(552.79)*10.764</f>
        <v>5950.2315599999993</v>
      </c>
      <c r="E385" s="63">
        <v>0</v>
      </c>
      <c r="F385" s="31"/>
      <c r="G385" s="39"/>
      <c r="H385" s="38">
        <f t="shared" si="12"/>
        <v>0</v>
      </c>
      <c r="I385" s="25"/>
      <c r="L385" s="153"/>
      <c r="M385" s="153"/>
      <c r="N385" s="63">
        <v>411.87</v>
      </c>
      <c r="O385" s="62" t="s">
        <v>209</v>
      </c>
      <c r="P385" s="67" t="str">
        <f t="shared" si="10"/>
        <v>=411.87</v>
      </c>
    </row>
    <row r="386" spans="1:16" s="26" customFormat="1" x14ac:dyDescent="0.35">
      <c r="A386" s="97">
        <f t="shared" si="11"/>
        <v>104</v>
      </c>
      <c r="B386" s="31">
        <v>111</v>
      </c>
      <c r="C386" s="31" t="s">
        <v>165</v>
      </c>
      <c r="D386" s="97">
        <f>(297)*10.764</f>
        <v>3196.9079999999999</v>
      </c>
      <c r="E386" s="63">
        <v>0</v>
      </c>
      <c r="F386" s="31"/>
      <c r="G386" s="39"/>
      <c r="H386" s="38">
        <f t="shared" si="12"/>
        <v>0</v>
      </c>
      <c r="I386" s="25"/>
      <c r="L386" s="153"/>
      <c r="M386" s="153"/>
      <c r="N386" s="63">
        <v>297</v>
      </c>
      <c r="O386" s="62" t="s">
        <v>209</v>
      </c>
      <c r="P386" s="67" t="str">
        <f t="shared" si="10"/>
        <v>=297</v>
      </c>
    </row>
    <row r="387" spans="1:16" s="26" customFormat="1" x14ac:dyDescent="0.35">
      <c r="A387" s="97">
        <f t="shared" si="11"/>
        <v>105</v>
      </c>
      <c r="B387" s="31">
        <v>112</v>
      </c>
      <c r="C387" s="31" t="s">
        <v>165</v>
      </c>
      <c r="D387" s="97">
        <f>(297)*10.764</f>
        <v>3196.9079999999999</v>
      </c>
      <c r="E387" s="63">
        <v>0</v>
      </c>
      <c r="F387" s="31"/>
      <c r="G387" s="39"/>
      <c r="H387" s="38">
        <f t="shared" si="12"/>
        <v>0</v>
      </c>
      <c r="I387" s="25"/>
      <c r="L387" s="153"/>
      <c r="M387" s="153"/>
      <c r="N387" s="63">
        <v>297</v>
      </c>
      <c r="O387" s="62" t="s">
        <v>209</v>
      </c>
      <c r="P387" s="67" t="str">
        <f t="shared" si="10"/>
        <v>=297</v>
      </c>
    </row>
    <row r="388" spans="1:16" s="26" customFormat="1" x14ac:dyDescent="0.35">
      <c r="A388" s="97">
        <f t="shared" si="11"/>
        <v>106</v>
      </c>
      <c r="B388" s="87">
        <v>114</v>
      </c>
      <c r="C388" s="87" t="s">
        <v>165</v>
      </c>
      <c r="D388" s="97">
        <f>(297)*10.764</f>
        <v>3196.9079999999999</v>
      </c>
      <c r="E388" s="87">
        <f>'Area Calcutation'!E41</f>
        <v>2545.0067915999994</v>
      </c>
      <c r="F388" s="68">
        <f>290.56*10.764</f>
        <v>3127.5878399999997</v>
      </c>
      <c r="G388" s="68">
        <f>(3.6*1.79)*10.764</f>
        <v>69.363215999999994</v>
      </c>
      <c r="H388" s="87">
        <f t="shared" si="12"/>
        <v>3886.8734033999995</v>
      </c>
      <c r="I388" s="25"/>
      <c r="L388" s="153"/>
      <c r="M388" s="153"/>
      <c r="N388" s="63">
        <v>297</v>
      </c>
      <c r="O388" s="62" t="s">
        <v>209</v>
      </c>
      <c r="P388" s="67" t="str">
        <f t="shared" si="10"/>
        <v>=297</v>
      </c>
    </row>
    <row r="389" spans="1:16" s="26" customFormat="1" x14ac:dyDescent="0.35">
      <c r="A389" s="97">
        <f t="shared" si="11"/>
        <v>107</v>
      </c>
      <c r="B389" s="31">
        <v>115</v>
      </c>
      <c r="C389" s="31" t="s">
        <v>171</v>
      </c>
      <c r="D389" s="97">
        <f>(377.52)*10.764</f>
        <v>4063.6252799999997</v>
      </c>
      <c r="E389" s="63">
        <v>0</v>
      </c>
      <c r="F389" s="31"/>
      <c r="G389" s="39"/>
      <c r="H389" s="38">
        <f t="shared" si="12"/>
        <v>0</v>
      </c>
      <c r="I389" s="25"/>
      <c r="L389" s="153"/>
      <c r="M389" s="153"/>
      <c r="N389" s="63">
        <v>377.52</v>
      </c>
      <c r="O389" s="62" t="s">
        <v>209</v>
      </c>
      <c r="P389" s="67" t="str">
        <f t="shared" si="10"/>
        <v>=377.52</v>
      </c>
    </row>
    <row r="390" spans="1:16" s="26" customFormat="1" x14ac:dyDescent="0.35">
      <c r="A390" s="97">
        <f t="shared" si="11"/>
        <v>108</v>
      </c>
      <c r="B390" s="31">
        <v>116</v>
      </c>
      <c r="C390" s="31" t="s">
        <v>164</v>
      </c>
      <c r="D390" s="97">
        <f>(377.52)*10.764</f>
        <v>4063.6252799999997</v>
      </c>
      <c r="E390" s="63">
        <v>0</v>
      </c>
      <c r="F390" s="31"/>
      <c r="G390" s="39"/>
      <c r="H390" s="38">
        <f t="shared" si="12"/>
        <v>0</v>
      </c>
      <c r="I390" s="25"/>
      <c r="L390" s="153"/>
      <c r="M390" s="153"/>
      <c r="N390" s="63">
        <v>377.52</v>
      </c>
      <c r="O390" s="62" t="s">
        <v>209</v>
      </c>
      <c r="P390" s="67" t="str">
        <f t="shared" si="10"/>
        <v>=377.52</v>
      </c>
    </row>
    <row r="391" spans="1:16" s="26" customFormat="1" x14ac:dyDescent="0.35">
      <c r="A391" s="97">
        <f t="shared" si="11"/>
        <v>109</v>
      </c>
      <c r="B391" s="31">
        <v>117</v>
      </c>
      <c r="C391" s="31" t="s">
        <v>163</v>
      </c>
      <c r="D391" s="97">
        <f>(297)*10.764</f>
        <v>3196.9079999999999</v>
      </c>
      <c r="E391" s="63">
        <v>0</v>
      </c>
      <c r="F391" s="31"/>
      <c r="G391" s="39"/>
      <c r="H391" s="38">
        <f t="shared" si="12"/>
        <v>0</v>
      </c>
      <c r="I391" s="25"/>
      <c r="L391" s="153"/>
      <c r="M391" s="153"/>
      <c r="N391" s="63">
        <v>297</v>
      </c>
      <c r="O391" s="62" t="s">
        <v>209</v>
      </c>
      <c r="P391" s="67" t="str">
        <f t="shared" si="10"/>
        <v>=297</v>
      </c>
    </row>
    <row r="392" spans="1:16" s="26" customFormat="1" x14ac:dyDescent="0.35">
      <c r="A392" s="97">
        <f t="shared" si="11"/>
        <v>110</v>
      </c>
      <c r="B392" s="31">
        <v>118</v>
      </c>
      <c r="C392" s="31" t="s">
        <v>163</v>
      </c>
      <c r="D392" s="97">
        <f>(297)*10.764</f>
        <v>3196.9079999999999</v>
      </c>
      <c r="E392" s="63">
        <v>0</v>
      </c>
      <c r="F392" s="31"/>
      <c r="G392" s="39"/>
      <c r="H392" s="38">
        <f t="shared" si="12"/>
        <v>0</v>
      </c>
      <c r="I392" s="25"/>
      <c r="L392" s="153"/>
      <c r="M392" s="153"/>
      <c r="N392" s="63">
        <v>297</v>
      </c>
      <c r="O392" s="62" t="s">
        <v>209</v>
      </c>
      <c r="P392" s="67" t="str">
        <f t="shared" si="10"/>
        <v>=297</v>
      </c>
    </row>
    <row r="393" spans="1:16" s="26" customFormat="1" x14ac:dyDescent="0.35">
      <c r="A393" s="97">
        <f t="shared" si="11"/>
        <v>111</v>
      </c>
      <c r="B393" s="31">
        <v>119</v>
      </c>
      <c r="C393" s="31" t="s">
        <v>162</v>
      </c>
      <c r="D393" s="97">
        <f>(589.37)*10.764</f>
        <v>6343.9786799999993</v>
      </c>
      <c r="E393" s="63">
        <v>0</v>
      </c>
      <c r="F393" s="31"/>
      <c r="G393" s="39"/>
      <c r="H393" s="38">
        <f t="shared" si="12"/>
        <v>0</v>
      </c>
      <c r="I393" s="25"/>
      <c r="L393" s="153"/>
      <c r="M393" s="153"/>
      <c r="N393" s="63">
        <v>297</v>
      </c>
      <c r="O393" s="62" t="s">
        <v>209</v>
      </c>
      <c r="P393" s="67" t="str">
        <f t="shared" si="10"/>
        <v>=297</v>
      </c>
    </row>
    <row r="394" spans="1:16" s="26" customFormat="1" x14ac:dyDescent="0.35">
      <c r="A394" s="97">
        <f t="shared" si="11"/>
        <v>112</v>
      </c>
      <c r="B394" s="31">
        <v>121</v>
      </c>
      <c r="C394" s="31" t="s">
        <v>167</v>
      </c>
      <c r="D394" s="97">
        <f>(531.97)*10.764</f>
        <v>5726.1250799999998</v>
      </c>
      <c r="E394" s="63">
        <v>0</v>
      </c>
      <c r="F394" s="31"/>
      <c r="G394" s="39"/>
      <c r="H394" s="38">
        <f t="shared" si="12"/>
        <v>0</v>
      </c>
      <c r="I394" s="25"/>
      <c r="L394" s="153"/>
      <c r="M394" s="153"/>
      <c r="N394" s="63">
        <v>381.64</v>
      </c>
      <c r="O394" s="62" t="s">
        <v>209</v>
      </c>
      <c r="P394" s="67" t="str">
        <f t="shared" si="10"/>
        <v>=381.64</v>
      </c>
    </row>
    <row r="395" spans="1:16" s="26" customFormat="1" x14ac:dyDescent="0.35">
      <c r="A395" s="97">
        <f t="shared" si="11"/>
        <v>113</v>
      </c>
      <c r="B395" s="31">
        <f>B394+1</f>
        <v>122</v>
      </c>
      <c r="C395" s="31" t="s">
        <v>165</v>
      </c>
      <c r="D395" s="97">
        <f>(365.12)*10.764</f>
        <v>3930.1516799999999</v>
      </c>
      <c r="E395" s="63">
        <v>0</v>
      </c>
      <c r="F395" s="31"/>
      <c r="G395" s="39"/>
      <c r="H395" s="38">
        <f t="shared" si="12"/>
        <v>0</v>
      </c>
      <c r="I395" s="25"/>
      <c r="L395" s="153"/>
      <c r="M395" s="153"/>
      <c r="N395" s="63">
        <v>566.53</v>
      </c>
      <c r="O395" s="62" t="s">
        <v>209</v>
      </c>
      <c r="P395" s="67" t="str">
        <f t="shared" si="10"/>
        <v>=566.53</v>
      </c>
    </row>
    <row r="396" spans="1:16" s="26" customFormat="1" x14ac:dyDescent="0.35">
      <c r="A396" s="97">
        <f t="shared" si="11"/>
        <v>114</v>
      </c>
      <c r="B396" s="95">
        <f t="shared" ref="B396:B411" si="13">B395+1</f>
        <v>123</v>
      </c>
      <c r="C396" s="31" t="s">
        <v>165</v>
      </c>
      <c r="D396" s="97">
        <f>(336.07)*10.764</f>
        <v>3617.4574799999996</v>
      </c>
      <c r="E396" s="63">
        <v>0</v>
      </c>
      <c r="F396" s="31"/>
      <c r="G396" s="39"/>
      <c r="H396" s="38">
        <f t="shared" si="12"/>
        <v>0</v>
      </c>
      <c r="I396" s="25"/>
      <c r="L396" s="153"/>
      <c r="M396" s="153"/>
      <c r="N396" s="63">
        <v>369.87</v>
      </c>
      <c r="O396" s="62" t="s">
        <v>209</v>
      </c>
      <c r="P396" s="67" t="str">
        <f t="shared" si="10"/>
        <v>=369.87</v>
      </c>
    </row>
    <row r="397" spans="1:16" s="26" customFormat="1" x14ac:dyDescent="0.35">
      <c r="A397" s="97">
        <f t="shared" si="11"/>
        <v>115</v>
      </c>
      <c r="B397" s="95">
        <f t="shared" si="13"/>
        <v>124</v>
      </c>
      <c r="C397" s="31" t="s">
        <v>165</v>
      </c>
      <c r="D397" s="97">
        <f>(310.16)*10.764</f>
        <v>3338.5622400000002</v>
      </c>
      <c r="E397" s="63">
        <v>0</v>
      </c>
      <c r="F397" s="31"/>
      <c r="G397" s="39"/>
      <c r="H397" s="38">
        <f t="shared" si="12"/>
        <v>0</v>
      </c>
      <c r="I397" s="25"/>
      <c r="L397" s="153"/>
      <c r="M397" s="153"/>
      <c r="N397" s="63">
        <v>349.77</v>
      </c>
      <c r="O397" s="62" t="s">
        <v>209</v>
      </c>
      <c r="P397" s="67" t="str">
        <f t="shared" si="10"/>
        <v>=349.77</v>
      </c>
    </row>
    <row r="398" spans="1:16" s="26" customFormat="1" x14ac:dyDescent="0.35">
      <c r="A398" s="97">
        <f t="shared" si="11"/>
        <v>116</v>
      </c>
      <c r="B398" s="95">
        <f t="shared" si="13"/>
        <v>125</v>
      </c>
      <c r="C398" s="31" t="s">
        <v>171</v>
      </c>
      <c r="D398" s="97">
        <f>(352.77)*10.764</f>
        <v>3797.2162799999996</v>
      </c>
      <c r="E398" s="63">
        <v>0</v>
      </c>
      <c r="F398" s="31"/>
      <c r="G398" s="39"/>
      <c r="H398" s="38">
        <f t="shared" si="12"/>
        <v>0</v>
      </c>
      <c r="I398" s="25"/>
      <c r="L398" s="153"/>
      <c r="M398" s="153"/>
      <c r="N398" s="63">
        <v>323.86</v>
      </c>
      <c r="O398" s="62" t="s">
        <v>209</v>
      </c>
      <c r="P398" s="67" t="str">
        <f t="shared" si="10"/>
        <v>=323.86</v>
      </c>
    </row>
    <row r="399" spans="1:16" s="26" customFormat="1" x14ac:dyDescent="0.35">
      <c r="A399" s="97">
        <f t="shared" si="11"/>
        <v>117</v>
      </c>
      <c r="B399" s="95">
        <f t="shared" si="13"/>
        <v>126</v>
      </c>
      <c r="C399" s="31" t="s">
        <v>164</v>
      </c>
      <c r="D399" s="97">
        <f>(539.01)*10.764</f>
        <v>5801.9036399999995</v>
      </c>
      <c r="E399" s="63">
        <v>0</v>
      </c>
      <c r="F399" s="31"/>
      <c r="G399" s="39"/>
      <c r="H399" s="38">
        <f t="shared" si="12"/>
        <v>0</v>
      </c>
      <c r="I399" s="25"/>
      <c r="L399" s="153"/>
      <c r="M399" s="153"/>
      <c r="N399" s="63">
        <v>569.46</v>
      </c>
      <c r="O399" s="62" t="s">
        <v>209</v>
      </c>
      <c r="P399" s="67" t="str">
        <f t="shared" si="10"/>
        <v>=569.46</v>
      </c>
    </row>
    <row r="400" spans="1:16" s="26" customFormat="1" x14ac:dyDescent="0.35">
      <c r="A400" s="97">
        <f t="shared" si="11"/>
        <v>118</v>
      </c>
      <c r="B400" s="95">
        <f t="shared" si="13"/>
        <v>127</v>
      </c>
      <c r="C400" s="31" t="s">
        <v>163</v>
      </c>
      <c r="D400" s="97">
        <f>(295.43)*10.764</f>
        <v>3180.0085199999999</v>
      </c>
      <c r="E400" s="63">
        <v>0</v>
      </c>
      <c r="F400" s="31"/>
      <c r="G400" s="39"/>
      <c r="H400" s="38">
        <f t="shared" si="12"/>
        <v>0</v>
      </c>
      <c r="I400" s="25"/>
      <c r="L400" s="153"/>
      <c r="M400" s="153"/>
      <c r="N400" s="63">
        <v>590.85</v>
      </c>
      <c r="O400" s="62" t="s">
        <v>209</v>
      </c>
      <c r="P400" s="67" t="str">
        <f t="shared" si="10"/>
        <v>=590.85</v>
      </c>
    </row>
    <row r="401" spans="1:16" s="26" customFormat="1" x14ac:dyDescent="0.35">
      <c r="A401" s="97">
        <f t="shared" si="11"/>
        <v>119</v>
      </c>
      <c r="B401" s="95">
        <f t="shared" si="13"/>
        <v>128</v>
      </c>
      <c r="C401" s="31" t="s">
        <v>163</v>
      </c>
      <c r="D401" s="97">
        <f>(307.83)*10.764</f>
        <v>3313.4821199999997</v>
      </c>
      <c r="E401" s="63">
        <v>0</v>
      </c>
      <c r="F401" s="31"/>
      <c r="G401" s="39"/>
      <c r="H401" s="38">
        <f t="shared" si="12"/>
        <v>0</v>
      </c>
      <c r="I401" s="25"/>
      <c r="L401" s="153"/>
      <c r="M401" s="153"/>
      <c r="N401" s="63">
        <v>304.38</v>
      </c>
      <c r="O401" s="62" t="s">
        <v>209</v>
      </c>
      <c r="P401" s="67" t="str">
        <f t="shared" si="10"/>
        <v>=304.38</v>
      </c>
    </row>
    <row r="402" spans="1:16" s="26" customFormat="1" x14ac:dyDescent="0.35">
      <c r="A402" s="97">
        <f t="shared" si="11"/>
        <v>120</v>
      </c>
      <c r="B402" s="95">
        <f t="shared" si="13"/>
        <v>129</v>
      </c>
      <c r="C402" s="31" t="s">
        <v>163</v>
      </c>
      <c r="D402" s="97">
        <f>(324.7)*10.764</f>
        <v>3495.0707999999995</v>
      </c>
      <c r="E402" s="63">
        <v>0</v>
      </c>
      <c r="F402" s="31"/>
      <c r="G402" s="39"/>
      <c r="H402" s="38">
        <f t="shared" si="12"/>
        <v>0</v>
      </c>
      <c r="I402" s="25"/>
      <c r="L402" s="153"/>
      <c r="M402" s="153"/>
      <c r="N402" s="63">
        <v>225.78</v>
      </c>
      <c r="O402" s="62" t="s">
        <v>209</v>
      </c>
      <c r="P402" s="67" t="str">
        <f t="shared" si="10"/>
        <v>=225.78</v>
      </c>
    </row>
    <row r="403" spans="1:16" s="26" customFormat="1" x14ac:dyDescent="0.35">
      <c r="A403" s="97">
        <f t="shared" si="11"/>
        <v>121</v>
      </c>
      <c r="B403" s="95">
        <f t="shared" si="13"/>
        <v>130</v>
      </c>
      <c r="C403" s="31" t="s">
        <v>163</v>
      </c>
      <c r="D403" s="97">
        <f>(346.09)*10.764</f>
        <v>3725.3127599999993</v>
      </c>
      <c r="E403" s="63">
        <v>0</v>
      </c>
      <c r="F403" s="31"/>
      <c r="G403" s="39"/>
      <c r="H403" s="38">
        <f t="shared" si="12"/>
        <v>0</v>
      </c>
      <c r="I403" s="25"/>
      <c r="L403" s="153"/>
      <c r="M403" s="153"/>
      <c r="N403" s="63">
        <v>334.61</v>
      </c>
      <c r="O403" s="62" t="s">
        <v>209</v>
      </c>
      <c r="P403" s="67" t="str">
        <f t="shared" si="10"/>
        <v>=334.61</v>
      </c>
    </row>
    <row r="404" spans="1:16" s="26" customFormat="1" x14ac:dyDescent="0.35">
      <c r="A404" s="97">
        <f t="shared" si="11"/>
        <v>122</v>
      </c>
      <c r="B404" s="95">
        <f t="shared" si="13"/>
        <v>131</v>
      </c>
      <c r="C404" s="31" t="s">
        <v>163</v>
      </c>
      <c r="D404" s="97">
        <f>(372.14)*10.764</f>
        <v>4005.7149599999998</v>
      </c>
      <c r="E404" s="63">
        <v>0</v>
      </c>
      <c r="F404" s="31"/>
      <c r="G404" s="39"/>
      <c r="H404" s="38">
        <f t="shared" si="12"/>
        <v>0</v>
      </c>
      <c r="I404" s="25"/>
      <c r="L404" s="153"/>
      <c r="M404" s="153"/>
      <c r="N404" s="63">
        <v>357.67</v>
      </c>
      <c r="O404" s="62" t="s">
        <v>209</v>
      </c>
      <c r="P404" s="67" t="str">
        <f t="shared" si="10"/>
        <v>=357.67</v>
      </c>
    </row>
    <row r="405" spans="1:16" s="26" customFormat="1" x14ac:dyDescent="0.35">
      <c r="A405" s="97">
        <f t="shared" si="11"/>
        <v>123</v>
      </c>
      <c r="B405" s="95">
        <f t="shared" si="13"/>
        <v>132</v>
      </c>
      <c r="C405" s="31" t="s">
        <v>163</v>
      </c>
      <c r="D405" s="97">
        <f>(297)*10.764</f>
        <v>3196.9079999999999</v>
      </c>
      <c r="E405" s="63">
        <v>0</v>
      </c>
      <c r="F405" s="31"/>
      <c r="G405" s="39"/>
      <c r="H405" s="38">
        <f t="shared" si="12"/>
        <v>0</v>
      </c>
      <c r="I405" s="25"/>
      <c r="L405" s="153"/>
      <c r="M405" s="153"/>
      <c r="N405" s="63">
        <v>384.9</v>
      </c>
      <c r="O405" s="62" t="s">
        <v>209</v>
      </c>
      <c r="P405" s="67" t="str">
        <f t="shared" si="10"/>
        <v>=384.9</v>
      </c>
    </row>
    <row r="406" spans="1:16" s="26" customFormat="1" x14ac:dyDescent="0.35">
      <c r="A406" s="97">
        <f t="shared" si="11"/>
        <v>124</v>
      </c>
      <c r="B406" s="95">
        <f t="shared" si="13"/>
        <v>133</v>
      </c>
      <c r="C406" s="31" t="s">
        <v>164</v>
      </c>
      <c r="D406" s="97">
        <f>(377.52)*10.764</f>
        <v>4063.6252799999997</v>
      </c>
      <c r="E406" s="63">
        <v>0</v>
      </c>
      <c r="F406" s="31"/>
      <c r="G406" s="39"/>
      <c r="H406" s="38">
        <f t="shared" si="12"/>
        <v>0</v>
      </c>
      <c r="I406" s="25"/>
      <c r="L406" s="153"/>
      <c r="M406" s="153"/>
      <c r="N406" s="63">
        <v>413.25</v>
      </c>
      <c r="O406" s="62" t="s">
        <v>209</v>
      </c>
      <c r="P406" s="67" t="str">
        <f t="shared" si="10"/>
        <v>=413.25</v>
      </c>
    </row>
    <row r="407" spans="1:16" s="26" customFormat="1" x14ac:dyDescent="0.35">
      <c r="A407" s="97">
        <f t="shared" si="11"/>
        <v>125</v>
      </c>
      <c r="B407" s="95">
        <f t="shared" si="13"/>
        <v>134</v>
      </c>
      <c r="C407" s="31" t="s">
        <v>171</v>
      </c>
      <c r="D407" s="97">
        <f>(611.32)*10.764</f>
        <v>6580.2484800000002</v>
      </c>
      <c r="E407" s="63">
        <v>0</v>
      </c>
      <c r="F407" s="31"/>
      <c r="G407" s="39"/>
      <c r="H407" s="38">
        <f t="shared" si="12"/>
        <v>0</v>
      </c>
      <c r="I407" s="25"/>
      <c r="L407" s="153"/>
      <c r="M407" s="153"/>
      <c r="N407" s="63">
        <v>377.52</v>
      </c>
      <c r="O407" s="62" t="s">
        <v>209</v>
      </c>
      <c r="P407" s="67" t="str">
        <f t="shared" si="10"/>
        <v>=377.52</v>
      </c>
    </row>
    <row r="408" spans="1:16" s="26" customFormat="1" x14ac:dyDescent="0.35">
      <c r="A408" s="97">
        <f t="shared" si="11"/>
        <v>126</v>
      </c>
      <c r="B408" s="95">
        <f t="shared" si="13"/>
        <v>135</v>
      </c>
      <c r="C408" s="31" t="s">
        <v>171</v>
      </c>
      <c r="D408" s="97">
        <f>(435.88)*10.764</f>
        <v>4691.81232</v>
      </c>
      <c r="E408" s="63">
        <v>0</v>
      </c>
      <c r="F408" s="31"/>
      <c r="G408" s="39"/>
      <c r="H408" s="38">
        <f t="shared" si="12"/>
        <v>0</v>
      </c>
      <c r="I408" s="25"/>
      <c r="L408" s="153"/>
      <c r="M408" s="153"/>
      <c r="N408" s="63">
        <v>605.77</v>
      </c>
      <c r="O408" s="62" t="s">
        <v>209</v>
      </c>
      <c r="P408" s="67" t="str">
        <f t="shared" si="10"/>
        <v>=605.77</v>
      </c>
    </row>
    <row r="409" spans="1:16" s="26" customFormat="1" x14ac:dyDescent="0.35">
      <c r="A409" s="97">
        <f t="shared" si="11"/>
        <v>127</v>
      </c>
      <c r="B409" s="95">
        <f t="shared" si="13"/>
        <v>136</v>
      </c>
      <c r="C409" s="31" t="s">
        <v>162</v>
      </c>
      <c r="D409" s="97">
        <f>(389.43)*10.764</f>
        <v>4191.8245200000001</v>
      </c>
      <c r="E409" s="63">
        <v>0</v>
      </c>
      <c r="F409" s="31"/>
      <c r="G409" s="39"/>
      <c r="H409" s="38">
        <f t="shared" si="12"/>
        <v>0</v>
      </c>
      <c r="I409" s="25"/>
      <c r="L409" s="153"/>
      <c r="M409" s="153"/>
      <c r="N409" s="63">
        <v>432.76</v>
      </c>
      <c r="O409" s="62" t="s">
        <v>209</v>
      </c>
      <c r="P409" s="67" t="str">
        <f t="shared" si="10"/>
        <v>=432.76</v>
      </c>
    </row>
    <row r="410" spans="1:16" s="26" customFormat="1" x14ac:dyDescent="0.35">
      <c r="A410" s="97">
        <f t="shared" si="11"/>
        <v>128</v>
      </c>
      <c r="B410" s="95">
        <f t="shared" si="13"/>
        <v>137</v>
      </c>
      <c r="C410" s="31" t="s">
        <v>163</v>
      </c>
      <c r="D410" s="97">
        <f>(283.81)*10.764</f>
        <v>3054.93084</v>
      </c>
      <c r="E410" s="63">
        <v>0</v>
      </c>
      <c r="F410" s="31"/>
      <c r="G410" s="39"/>
      <c r="H410" s="38">
        <f t="shared" ref="H410:H441" si="14">E410*(($H$281)+1)+(IF(G410&lt;101,G410,IF(G410&lt;201,G410/2,IF(G410&lt;=301,G410/3,G410/4))))</f>
        <v>0</v>
      </c>
      <c r="I410" s="25"/>
      <c r="L410" s="153"/>
      <c r="M410" s="153"/>
      <c r="N410" s="63">
        <v>411.2</v>
      </c>
      <c r="O410" s="62" t="s">
        <v>209</v>
      </c>
      <c r="P410" s="67" t="str">
        <f t="shared" si="10"/>
        <v>=411.2</v>
      </c>
    </row>
    <row r="411" spans="1:16" s="26" customFormat="1" x14ac:dyDescent="0.35">
      <c r="A411" s="97">
        <f t="shared" si="11"/>
        <v>129</v>
      </c>
      <c r="B411" s="95">
        <f t="shared" si="13"/>
        <v>138</v>
      </c>
      <c r="C411" s="31" t="s">
        <v>163</v>
      </c>
      <c r="D411" s="97">
        <f>(312.15)*10.764</f>
        <v>3359.9825999999994</v>
      </c>
      <c r="E411" s="63">
        <v>0</v>
      </c>
      <c r="F411" s="31"/>
      <c r="G411" s="39"/>
      <c r="H411" s="38">
        <f t="shared" si="14"/>
        <v>0</v>
      </c>
      <c r="I411" s="25"/>
      <c r="L411" s="153"/>
      <c r="M411" s="153"/>
      <c r="N411" s="63">
        <v>297.92</v>
      </c>
      <c r="O411" s="62" t="s">
        <v>209</v>
      </c>
      <c r="P411" s="67" t="str">
        <f t="shared" si="10"/>
        <v>=297.92</v>
      </c>
    </row>
    <row r="412" spans="1:16" s="26" customFormat="1" x14ac:dyDescent="0.35">
      <c r="A412" s="97">
        <f t="shared" si="11"/>
        <v>130</v>
      </c>
      <c r="B412" s="95">
        <f t="shared" ref="B412:B459" si="15">B411+1</f>
        <v>139</v>
      </c>
      <c r="C412" s="31" t="s">
        <v>169</v>
      </c>
      <c r="D412" s="97">
        <f>(210.6)*10.764</f>
        <v>2266.8983999999996</v>
      </c>
      <c r="E412" s="63">
        <v>0</v>
      </c>
      <c r="F412" s="31"/>
      <c r="G412" s="39"/>
      <c r="H412" s="38">
        <f t="shared" si="14"/>
        <v>0</v>
      </c>
      <c r="I412" s="25"/>
      <c r="L412" s="153"/>
      <c r="M412" s="153"/>
      <c r="N412" s="63">
        <v>228.43</v>
      </c>
      <c r="O412" s="62" t="s">
        <v>209</v>
      </c>
      <c r="P412" s="67" t="str">
        <f t="shared" ref="P412:P459" si="16">O412&amp;""&amp;N412</f>
        <v>=228.43</v>
      </c>
    </row>
    <row r="413" spans="1:16" s="26" customFormat="1" x14ac:dyDescent="0.35">
      <c r="A413" s="97">
        <f t="shared" ref="A413:A459" si="17">A412+1</f>
        <v>131</v>
      </c>
      <c r="B413" s="95">
        <f t="shared" si="15"/>
        <v>140</v>
      </c>
      <c r="C413" s="31" t="s">
        <v>163</v>
      </c>
      <c r="D413" s="97">
        <f>(297)*10.764</f>
        <v>3196.9079999999999</v>
      </c>
      <c r="E413" s="63">
        <v>0</v>
      </c>
      <c r="F413" s="31"/>
      <c r="G413" s="39"/>
      <c r="H413" s="38">
        <f t="shared" si="14"/>
        <v>0</v>
      </c>
      <c r="I413" s="25"/>
      <c r="L413" s="153"/>
      <c r="M413" s="153"/>
      <c r="N413" s="63">
        <v>346.36</v>
      </c>
      <c r="O413" s="62" t="s">
        <v>209</v>
      </c>
      <c r="P413" s="67" t="str">
        <f t="shared" si="16"/>
        <v>=346.36</v>
      </c>
    </row>
    <row r="414" spans="1:16" s="26" customFormat="1" x14ac:dyDescent="0.35">
      <c r="A414" s="97">
        <f t="shared" si="17"/>
        <v>132</v>
      </c>
      <c r="B414" s="95">
        <f t="shared" si="15"/>
        <v>141</v>
      </c>
      <c r="C414" s="31" t="s">
        <v>169</v>
      </c>
      <c r="D414" s="97">
        <f>(210.6)*10.764</f>
        <v>2266.8983999999996</v>
      </c>
      <c r="E414" s="63">
        <v>0</v>
      </c>
      <c r="F414" s="31"/>
      <c r="G414" s="39"/>
      <c r="H414" s="38">
        <f t="shared" si="14"/>
        <v>0</v>
      </c>
      <c r="I414" s="25"/>
      <c r="L414" s="153"/>
      <c r="M414" s="153"/>
      <c r="N414" s="63">
        <v>297</v>
      </c>
      <c r="O414" s="62" t="s">
        <v>209</v>
      </c>
      <c r="P414" s="67" t="str">
        <f t="shared" si="16"/>
        <v>=297</v>
      </c>
    </row>
    <row r="415" spans="1:16" s="26" customFormat="1" x14ac:dyDescent="0.35">
      <c r="A415" s="97">
        <f t="shared" si="17"/>
        <v>133</v>
      </c>
      <c r="B415" s="95">
        <f t="shared" si="15"/>
        <v>142</v>
      </c>
      <c r="C415" s="31" t="s">
        <v>171</v>
      </c>
      <c r="D415" s="97">
        <f>(377.52)*10.764</f>
        <v>4063.6252799999997</v>
      </c>
      <c r="E415" s="63">
        <v>0</v>
      </c>
      <c r="F415" s="31"/>
      <c r="G415" s="39"/>
      <c r="H415" s="38">
        <f t="shared" si="14"/>
        <v>0</v>
      </c>
      <c r="I415" s="25"/>
      <c r="L415" s="153"/>
      <c r="M415" s="153"/>
      <c r="N415" s="63">
        <v>210.6</v>
      </c>
      <c r="O415" s="62" t="s">
        <v>209</v>
      </c>
      <c r="P415" s="67" t="str">
        <f t="shared" si="16"/>
        <v>=210.6</v>
      </c>
    </row>
    <row r="416" spans="1:16" s="26" customFormat="1" x14ac:dyDescent="0.35">
      <c r="A416" s="97">
        <f t="shared" si="17"/>
        <v>134</v>
      </c>
      <c r="B416" s="95">
        <f t="shared" si="15"/>
        <v>143</v>
      </c>
      <c r="C416" s="31" t="s">
        <v>165</v>
      </c>
      <c r="D416" s="97">
        <f>(297)*10.764</f>
        <v>3196.9079999999999</v>
      </c>
      <c r="E416" s="63">
        <v>0</v>
      </c>
      <c r="F416" s="31"/>
      <c r="G416" s="39"/>
      <c r="H416" s="38">
        <f t="shared" si="14"/>
        <v>0</v>
      </c>
      <c r="I416" s="25"/>
      <c r="L416" s="153"/>
      <c r="M416" s="153"/>
      <c r="N416" s="63">
        <v>378</v>
      </c>
      <c r="O416" s="62" t="s">
        <v>209</v>
      </c>
      <c r="P416" s="67" t="str">
        <f t="shared" si="16"/>
        <v>=378</v>
      </c>
    </row>
    <row r="417" spans="1:16" s="26" customFormat="1" x14ac:dyDescent="0.35">
      <c r="A417" s="97">
        <f t="shared" si="17"/>
        <v>135</v>
      </c>
      <c r="B417" s="95">
        <f t="shared" si="15"/>
        <v>144</v>
      </c>
      <c r="C417" s="31" t="s">
        <v>166</v>
      </c>
      <c r="D417" s="97">
        <f t="shared" ref="D417:D422" si="18">(210.6)*10.764</f>
        <v>2266.8983999999996</v>
      </c>
      <c r="E417" s="63">
        <v>0</v>
      </c>
      <c r="F417" s="31"/>
      <c r="G417" s="39"/>
      <c r="H417" s="38">
        <f t="shared" si="14"/>
        <v>0</v>
      </c>
      <c r="I417" s="25"/>
      <c r="L417" s="153"/>
      <c r="M417" s="153"/>
      <c r="N417" s="63">
        <v>297</v>
      </c>
      <c r="O417" s="62" t="s">
        <v>209</v>
      </c>
      <c r="P417" s="67" t="str">
        <f t="shared" si="16"/>
        <v>=297</v>
      </c>
    </row>
    <row r="418" spans="1:16" s="26" customFormat="1" x14ac:dyDescent="0.35">
      <c r="A418" s="97">
        <f t="shared" si="17"/>
        <v>136</v>
      </c>
      <c r="B418" s="95">
        <f t="shared" si="15"/>
        <v>145</v>
      </c>
      <c r="C418" s="31" t="s">
        <v>166</v>
      </c>
      <c r="D418" s="97">
        <f t="shared" si="18"/>
        <v>2266.8983999999996</v>
      </c>
      <c r="E418" s="63">
        <v>0</v>
      </c>
      <c r="F418" s="31"/>
      <c r="G418" s="39"/>
      <c r="H418" s="38">
        <f t="shared" si="14"/>
        <v>0</v>
      </c>
      <c r="I418" s="25"/>
      <c r="L418" s="153"/>
      <c r="M418" s="153"/>
      <c r="N418" s="63">
        <v>210.6</v>
      </c>
      <c r="O418" s="62" t="s">
        <v>209</v>
      </c>
      <c r="P418" s="67" t="str">
        <f t="shared" si="16"/>
        <v>=210.6</v>
      </c>
    </row>
    <row r="419" spans="1:16" s="26" customFormat="1" x14ac:dyDescent="0.35">
      <c r="A419" s="97">
        <f t="shared" si="17"/>
        <v>137</v>
      </c>
      <c r="B419" s="95">
        <f t="shared" si="15"/>
        <v>146</v>
      </c>
      <c r="C419" s="31" t="s">
        <v>166</v>
      </c>
      <c r="D419" s="97">
        <f t="shared" si="18"/>
        <v>2266.8983999999996</v>
      </c>
      <c r="E419" s="63">
        <v>0</v>
      </c>
      <c r="F419" s="31"/>
      <c r="G419" s="39"/>
      <c r="H419" s="38">
        <f t="shared" si="14"/>
        <v>0</v>
      </c>
      <c r="I419" s="25"/>
      <c r="L419" s="153"/>
      <c r="M419" s="153"/>
      <c r="N419" s="63">
        <v>210.6</v>
      </c>
      <c r="O419" s="62" t="s">
        <v>209</v>
      </c>
      <c r="P419" s="67" t="str">
        <f t="shared" si="16"/>
        <v>=210.6</v>
      </c>
    </row>
    <row r="420" spans="1:16" s="26" customFormat="1" x14ac:dyDescent="0.35">
      <c r="A420" s="97">
        <f t="shared" si="17"/>
        <v>138</v>
      </c>
      <c r="B420" s="95">
        <f t="shared" si="15"/>
        <v>147</v>
      </c>
      <c r="C420" s="31" t="s">
        <v>166</v>
      </c>
      <c r="D420" s="97">
        <f t="shared" si="18"/>
        <v>2266.8983999999996</v>
      </c>
      <c r="E420" s="63">
        <v>0</v>
      </c>
      <c r="F420" s="31"/>
      <c r="G420" s="39"/>
      <c r="H420" s="38">
        <f t="shared" si="14"/>
        <v>0</v>
      </c>
      <c r="I420" s="25"/>
      <c r="L420" s="153"/>
      <c r="M420" s="153"/>
      <c r="N420" s="63">
        <v>210.6</v>
      </c>
      <c r="O420" s="62" t="s">
        <v>209</v>
      </c>
      <c r="P420" s="67" t="str">
        <f t="shared" si="16"/>
        <v>=210.6</v>
      </c>
    </row>
    <row r="421" spans="1:16" s="26" customFormat="1" x14ac:dyDescent="0.35">
      <c r="A421" s="97">
        <f t="shared" si="17"/>
        <v>139</v>
      </c>
      <c r="B421" s="95">
        <f t="shared" si="15"/>
        <v>148</v>
      </c>
      <c r="C421" s="31" t="s">
        <v>166</v>
      </c>
      <c r="D421" s="97">
        <f t="shared" si="18"/>
        <v>2266.8983999999996</v>
      </c>
      <c r="E421" s="63">
        <v>0</v>
      </c>
      <c r="F421" s="31"/>
      <c r="G421" s="39"/>
      <c r="H421" s="38">
        <f t="shared" si="14"/>
        <v>0</v>
      </c>
      <c r="I421" s="25"/>
      <c r="L421" s="153"/>
      <c r="M421" s="153"/>
      <c r="N421" s="63">
        <v>210.6</v>
      </c>
      <c r="O421" s="62" t="s">
        <v>209</v>
      </c>
      <c r="P421" s="67" t="str">
        <f t="shared" si="16"/>
        <v>=210.6</v>
      </c>
    </row>
    <row r="422" spans="1:16" s="26" customFormat="1" x14ac:dyDescent="0.35">
      <c r="A422" s="97">
        <f t="shared" si="17"/>
        <v>140</v>
      </c>
      <c r="B422" s="95">
        <f t="shared" si="15"/>
        <v>149</v>
      </c>
      <c r="C422" s="31" t="s">
        <v>166</v>
      </c>
      <c r="D422" s="97">
        <f t="shared" si="18"/>
        <v>2266.8983999999996</v>
      </c>
      <c r="E422" s="63">
        <v>0</v>
      </c>
      <c r="F422" s="31"/>
      <c r="G422" s="39"/>
      <c r="H422" s="38">
        <f t="shared" si="14"/>
        <v>0</v>
      </c>
      <c r="I422" s="25"/>
      <c r="L422" s="153"/>
      <c r="M422" s="153"/>
      <c r="N422" s="63">
        <v>210.6</v>
      </c>
      <c r="O422" s="62" t="s">
        <v>209</v>
      </c>
      <c r="P422" s="67" t="str">
        <f t="shared" si="16"/>
        <v>=210.6</v>
      </c>
    </row>
    <row r="423" spans="1:16" s="26" customFormat="1" x14ac:dyDescent="0.35">
      <c r="A423" s="97">
        <f t="shared" si="17"/>
        <v>141</v>
      </c>
      <c r="B423" s="95">
        <f t="shared" si="15"/>
        <v>150</v>
      </c>
      <c r="C423" s="31" t="s">
        <v>165</v>
      </c>
      <c r="D423" s="97">
        <f>(297)*10.764</f>
        <v>3196.9079999999999</v>
      </c>
      <c r="E423" s="63">
        <v>0</v>
      </c>
      <c r="F423" s="31"/>
      <c r="G423" s="39"/>
      <c r="H423" s="38">
        <f t="shared" si="14"/>
        <v>0</v>
      </c>
      <c r="I423" s="25"/>
      <c r="L423" s="153"/>
      <c r="M423" s="153"/>
      <c r="N423" s="63">
        <v>210.6</v>
      </c>
      <c r="O423" s="62" t="s">
        <v>209</v>
      </c>
      <c r="P423" s="67" t="str">
        <f t="shared" si="16"/>
        <v>=210.6</v>
      </c>
    </row>
    <row r="424" spans="1:16" s="26" customFormat="1" x14ac:dyDescent="0.35">
      <c r="A424" s="97">
        <f t="shared" si="17"/>
        <v>142</v>
      </c>
      <c r="B424" s="95">
        <f t="shared" si="15"/>
        <v>151</v>
      </c>
      <c r="C424" s="31" t="s">
        <v>166</v>
      </c>
      <c r="D424" s="97">
        <f>(210.6)*10.764</f>
        <v>2266.8983999999996</v>
      </c>
      <c r="E424" s="63">
        <v>0</v>
      </c>
      <c r="F424" s="31"/>
      <c r="G424" s="39"/>
      <c r="H424" s="38">
        <f t="shared" si="14"/>
        <v>0</v>
      </c>
      <c r="I424" s="25"/>
      <c r="L424" s="153"/>
      <c r="M424" s="153"/>
      <c r="N424" s="63">
        <v>297</v>
      </c>
      <c r="O424" s="62" t="s">
        <v>209</v>
      </c>
      <c r="P424" s="67" t="str">
        <f t="shared" si="16"/>
        <v>=297</v>
      </c>
    </row>
    <row r="425" spans="1:16" s="26" customFormat="1" x14ac:dyDescent="0.35">
      <c r="A425" s="97">
        <f t="shared" si="17"/>
        <v>143</v>
      </c>
      <c r="B425" s="95">
        <f t="shared" si="15"/>
        <v>152</v>
      </c>
      <c r="C425" s="31" t="s">
        <v>165</v>
      </c>
      <c r="D425" s="97">
        <f>(297)*10.764</f>
        <v>3196.9079999999999</v>
      </c>
      <c r="E425" s="63">
        <v>0</v>
      </c>
      <c r="F425" s="31"/>
      <c r="G425" s="39"/>
      <c r="H425" s="38">
        <f t="shared" si="14"/>
        <v>0</v>
      </c>
      <c r="I425" s="25"/>
      <c r="L425" s="153"/>
      <c r="M425" s="153"/>
      <c r="N425" s="63">
        <v>210.6</v>
      </c>
      <c r="O425" s="62" t="s">
        <v>209</v>
      </c>
      <c r="P425" s="67" t="str">
        <f t="shared" si="16"/>
        <v>=210.6</v>
      </c>
    </row>
    <row r="426" spans="1:16" s="26" customFormat="1" x14ac:dyDescent="0.35">
      <c r="A426" s="97">
        <f t="shared" si="17"/>
        <v>144</v>
      </c>
      <c r="B426" s="95">
        <f t="shared" si="15"/>
        <v>153</v>
      </c>
      <c r="C426" s="31" t="s">
        <v>166</v>
      </c>
      <c r="D426" s="97">
        <f>(210.6)*10.764</f>
        <v>2266.8983999999996</v>
      </c>
      <c r="E426" s="63">
        <v>0</v>
      </c>
      <c r="F426" s="31"/>
      <c r="G426" s="39"/>
      <c r="H426" s="38">
        <f t="shared" si="14"/>
        <v>0</v>
      </c>
      <c r="I426" s="25"/>
      <c r="L426" s="153"/>
      <c r="M426" s="153"/>
      <c r="N426" s="63">
        <v>297</v>
      </c>
      <c r="O426" s="62" t="s">
        <v>209</v>
      </c>
      <c r="P426" s="67" t="str">
        <f t="shared" si="16"/>
        <v>=297</v>
      </c>
    </row>
    <row r="427" spans="1:16" s="26" customFormat="1" x14ac:dyDescent="0.35">
      <c r="A427" s="97">
        <f t="shared" si="17"/>
        <v>145</v>
      </c>
      <c r="B427" s="95">
        <f t="shared" si="15"/>
        <v>154</v>
      </c>
      <c r="C427" s="31" t="s">
        <v>166</v>
      </c>
      <c r="D427" s="97">
        <f>(210.6)*10.764</f>
        <v>2266.8983999999996</v>
      </c>
      <c r="E427" s="63">
        <v>0</v>
      </c>
      <c r="F427" s="31"/>
      <c r="G427" s="39"/>
      <c r="H427" s="38">
        <f t="shared" si="14"/>
        <v>0</v>
      </c>
      <c r="I427" s="25"/>
      <c r="L427" s="153"/>
      <c r="M427" s="153"/>
      <c r="N427" s="63">
        <v>210.6</v>
      </c>
      <c r="O427" s="62" t="s">
        <v>209</v>
      </c>
      <c r="P427" s="67" t="str">
        <f t="shared" si="16"/>
        <v>=210.6</v>
      </c>
    </row>
    <row r="428" spans="1:16" s="26" customFormat="1" x14ac:dyDescent="0.35">
      <c r="A428" s="97">
        <f t="shared" si="17"/>
        <v>146</v>
      </c>
      <c r="B428" s="95">
        <f t="shared" si="15"/>
        <v>155</v>
      </c>
      <c r="C428" s="31" t="s">
        <v>165</v>
      </c>
      <c r="D428" s="97">
        <f>(297)*10.764</f>
        <v>3196.9079999999999</v>
      </c>
      <c r="E428" s="63">
        <v>0</v>
      </c>
      <c r="F428" s="31"/>
      <c r="G428" s="39"/>
      <c r="H428" s="38">
        <f t="shared" si="14"/>
        <v>0</v>
      </c>
      <c r="I428" s="25"/>
      <c r="L428" s="153"/>
      <c r="M428" s="153"/>
      <c r="N428" s="63">
        <v>210.6</v>
      </c>
      <c r="O428" s="62" t="s">
        <v>209</v>
      </c>
      <c r="P428" s="67" t="str">
        <f t="shared" si="16"/>
        <v>=210.6</v>
      </c>
    </row>
    <row r="429" spans="1:16" s="26" customFormat="1" x14ac:dyDescent="0.35">
      <c r="A429" s="97">
        <f t="shared" si="17"/>
        <v>147</v>
      </c>
      <c r="B429" s="95">
        <f t="shared" si="15"/>
        <v>156</v>
      </c>
      <c r="C429" s="31" t="s">
        <v>166</v>
      </c>
      <c r="D429" s="97">
        <f>(210.6)*10.764</f>
        <v>2266.8983999999996</v>
      </c>
      <c r="E429" s="63">
        <v>0</v>
      </c>
      <c r="F429" s="31"/>
      <c r="G429" s="39"/>
      <c r="H429" s="38">
        <f t="shared" si="14"/>
        <v>0</v>
      </c>
      <c r="I429" s="25"/>
      <c r="L429" s="153"/>
      <c r="M429" s="153"/>
      <c r="N429" s="63">
        <v>297</v>
      </c>
      <c r="O429" s="62" t="s">
        <v>209</v>
      </c>
      <c r="P429" s="67" t="str">
        <f t="shared" si="16"/>
        <v>=297</v>
      </c>
    </row>
    <row r="430" spans="1:16" s="26" customFormat="1" x14ac:dyDescent="0.35">
      <c r="A430" s="97">
        <f t="shared" si="17"/>
        <v>148</v>
      </c>
      <c r="B430" s="95">
        <f t="shared" si="15"/>
        <v>157</v>
      </c>
      <c r="C430" s="31" t="s">
        <v>165</v>
      </c>
      <c r="D430" s="97">
        <f>(297)*10.764</f>
        <v>3196.9079999999999</v>
      </c>
      <c r="E430" s="63">
        <v>0</v>
      </c>
      <c r="F430" s="31"/>
      <c r="G430" s="39"/>
      <c r="H430" s="38">
        <f t="shared" si="14"/>
        <v>0</v>
      </c>
      <c r="I430" s="25"/>
      <c r="L430" s="153"/>
      <c r="M430" s="153"/>
      <c r="N430" s="63">
        <v>210.6</v>
      </c>
      <c r="O430" s="62" t="s">
        <v>209</v>
      </c>
      <c r="P430" s="67" t="str">
        <f t="shared" si="16"/>
        <v>=210.6</v>
      </c>
    </row>
    <row r="431" spans="1:16" s="26" customFormat="1" x14ac:dyDescent="0.35">
      <c r="A431" s="97">
        <f t="shared" si="17"/>
        <v>149</v>
      </c>
      <c r="B431" s="95">
        <f t="shared" si="15"/>
        <v>158</v>
      </c>
      <c r="C431" s="31" t="s">
        <v>167</v>
      </c>
      <c r="D431" s="97">
        <f>(377.52)*10.764</f>
        <v>4063.6252799999997</v>
      </c>
      <c r="E431" s="63">
        <v>0</v>
      </c>
      <c r="F431" s="31"/>
      <c r="G431" s="39"/>
      <c r="H431" s="38">
        <f t="shared" si="14"/>
        <v>0</v>
      </c>
      <c r="I431" s="25"/>
      <c r="L431" s="153"/>
      <c r="M431" s="153"/>
      <c r="N431" s="63">
        <v>297</v>
      </c>
      <c r="O431" s="62" t="s">
        <v>209</v>
      </c>
      <c r="P431" s="67" t="str">
        <f t="shared" si="16"/>
        <v>=297</v>
      </c>
    </row>
    <row r="432" spans="1:16" s="26" customFormat="1" x14ac:dyDescent="0.35">
      <c r="A432" s="97">
        <f t="shared" si="17"/>
        <v>150</v>
      </c>
      <c r="B432" s="95">
        <f t="shared" si="15"/>
        <v>159</v>
      </c>
      <c r="C432" s="31" t="s">
        <v>162</v>
      </c>
      <c r="D432" s="97">
        <f>(375.37)*10.764</f>
        <v>4040.4826799999996</v>
      </c>
      <c r="E432" s="63">
        <v>0</v>
      </c>
      <c r="F432" s="31"/>
      <c r="G432" s="39"/>
      <c r="H432" s="38">
        <f t="shared" si="14"/>
        <v>0</v>
      </c>
      <c r="I432" s="25"/>
      <c r="L432" s="153"/>
      <c r="M432" s="153"/>
      <c r="N432" s="63">
        <v>377.5</v>
      </c>
      <c r="O432" s="62" t="s">
        <v>209</v>
      </c>
      <c r="P432" s="67" t="str">
        <f t="shared" si="16"/>
        <v>=377.5</v>
      </c>
    </row>
    <row r="433" spans="1:16" s="26" customFormat="1" x14ac:dyDescent="0.35">
      <c r="A433" s="97">
        <f t="shared" si="17"/>
        <v>151</v>
      </c>
      <c r="B433" s="95">
        <f t="shared" si="15"/>
        <v>160</v>
      </c>
      <c r="C433" s="31" t="s">
        <v>163</v>
      </c>
      <c r="D433" s="97">
        <f>(297)*10.764</f>
        <v>3196.9079999999999</v>
      </c>
      <c r="E433" s="63">
        <v>0</v>
      </c>
      <c r="F433" s="31"/>
      <c r="G433" s="39"/>
      <c r="H433" s="38">
        <f t="shared" si="14"/>
        <v>0</v>
      </c>
      <c r="I433" s="25"/>
      <c r="L433" s="153"/>
      <c r="M433" s="153"/>
      <c r="N433" s="63">
        <v>372.26</v>
      </c>
      <c r="O433" s="62" t="s">
        <v>209</v>
      </c>
      <c r="P433" s="67" t="str">
        <f t="shared" si="16"/>
        <v>=372.26</v>
      </c>
    </row>
    <row r="434" spans="1:16" s="26" customFormat="1" x14ac:dyDescent="0.35">
      <c r="A434" s="97">
        <f t="shared" si="17"/>
        <v>152</v>
      </c>
      <c r="B434" s="95">
        <f t="shared" si="15"/>
        <v>161</v>
      </c>
      <c r="C434" s="31" t="s">
        <v>169</v>
      </c>
      <c r="D434" s="97">
        <f>(210.6)*10.764</f>
        <v>2266.8983999999996</v>
      </c>
      <c r="E434" s="63">
        <v>0</v>
      </c>
      <c r="F434" s="31"/>
      <c r="G434" s="39"/>
      <c r="H434" s="38">
        <f t="shared" si="14"/>
        <v>0</v>
      </c>
      <c r="I434" s="25"/>
      <c r="L434" s="153"/>
      <c r="M434" s="153"/>
      <c r="N434" s="63">
        <v>297</v>
      </c>
      <c r="O434" s="62" t="s">
        <v>209</v>
      </c>
      <c r="P434" s="67" t="str">
        <f t="shared" si="16"/>
        <v>=297</v>
      </c>
    </row>
    <row r="435" spans="1:16" s="26" customFormat="1" x14ac:dyDescent="0.35">
      <c r="A435" s="97">
        <f t="shared" si="17"/>
        <v>153</v>
      </c>
      <c r="B435" s="95">
        <f t="shared" si="15"/>
        <v>162</v>
      </c>
      <c r="C435" s="31" t="s">
        <v>163</v>
      </c>
      <c r="D435" s="97">
        <f>(297)*10.764</f>
        <v>3196.9079999999999</v>
      </c>
      <c r="E435" s="63">
        <v>0</v>
      </c>
      <c r="F435" s="31"/>
      <c r="G435" s="39"/>
      <c r="H435" s="38">
        <f t="shared" si="14"/>
        <v>0</v>
      </c>
      <c r="I435" s="25"/>
      <c r="L435" s="153"/>
      <c r="M435" s="153"/>
      <c r="N435" s="63">
        <v>210.6</v>
      </c>
      <c r="O435" s="62" t="s">
        <v>209</v>
      </c>
      <c r="P435" s="67" t="str">
        <f t="shared" si="16"/>
        <v>=210.6</v>
      </c>
    </row>
    <row r="436" spans="1:16" s="26" customFormat="1" x14ac:dyDescent="0.35">
      <c r="A436" s="97">
        <f t="shared" si="17"/>
        <v>154</v>
      </c>
      <c r="B436" s="95">
        <f t="shared" si="15"/>
        <v>163</v>
      </c>
      <c r="C436" s="31" t="s">
        <v>169</v>
      </c>
      <c r="D436" s="97">
        <f>(210.6)*10.764</f>
        <v>2266.8983999999996</v>
      </c>
      <c r="E436" s="63">
        <v>0</v>
      </c>
      <c r="F436" s="31"/>
      <c r="G436" s="39"/>
      <c r="H436" s="38">
        <f t="shared" si="14"/>
        <v>0</v>
      </c>
      <c r="I436" s="25"/>
      <c r="L436" s="153"/>
      <c r="M436" s="153"/>
      <c r="N436" s="63">
        <v>297</v>
      </c>
      <c r="O436" s="62" t="s">
        <v>209</v>
      </c>
      <c r="P436" s="67" t="str">
        <f t="shared" si="16"/>
        <v>=297</v>
      </c>
    </row>
    <row r="437" spans="1:16" s="26" customFormat="1" x14ac:dyDescent="0.35">
      <c r="A437" s="97">
        <f t="shared" si="17"/>
        <v>155</v>
      </c>
      <c r="B437" s="95">
        <f t="shared" si="15"/>
        <v>164</v>
      </c>
      <c r="C437" s="31" t="s">
        <v>163</v>
      </c>
      <c r="D437" s="97">
        <f>(297)*10.764</f>
        <v>3196.9079999999999</v>
      </c>
      <c r="E437" s="63">
        <v>0</v>
      </c>
      <c r="F437" s="31"/>
      <c r="G437" s="39"/>
      <c r="H437" s="38">
        <f t="shared" si="14"/>
        <v>0</v>
      </c>
      <c r="I437" s="25"/>
      <c r="L437" s="153"/>
      <c r="M437" s="153"/>
      <c r="N437" s="63">
        <v>210.6</v>
      </c>
      <c r="O437" s="62" t="s">
        <v>209</v>
      </c>
      <c r="P437" s="67" t="str">
        <f t="shared" si="16"/>
        <v>=210.6</v>
      </c>
    </row>
    <row r="438" spans="1:16" s="26" customFormat="1" x14ac:dyDescent="0.35">
      <c r="A438" s="97">
        <f t="shared" si="17"/>
        <v>156</v>
      </c>
      <c r="B438" s="95">
        <f t="shared" si="15"/>
        <v>165</v>
      </c>
      <c r="C438" s="31" t="s">
        <v>169</v>
      </c>
      <c r="D438" s="97">
        <f>(210.6)*10.764</f>
        <v>2266.8983999999996</v>
      </c>
      <c r="E438" s="63">
        <v>0</v>
      </c>
      <c r="F438" s="31"/>
      <c r="G438" s="39"/>
      <c r="H438" s="38">
        <f t="shared" si="14"/>
        <v>0</v>
      </c>
      <c r="I438" s="25"/>
      <c r="L438" s="153"/>
      <c r="M438" s="153"/>
      <c r="N438" s="63">
        <v>297</v>
      </c>
      <c r="O438" s="62" t="s">
        <v>209</v>
      </c>
      <c r="P438" s="67" t="str">
        <f t="shared" si="16"/>
        <v>=297</v>
      </c>
    </row>
    <row r="439" spans="1:16" s="26" customFormat="1" x14ac:dyDescent="0.35">
      <c r="A439" s="97">
        <f t="shared" si="17"/>
        <v>157</v>
      </c>
      <c r="B439" s="95">
        <f t="shared" si="15"/>
        <v>166</v>
      </c>
      <c r="C439" s="31" t="s">
        <v>163</v>
      </c>
      <c r="D439" s="97">
        <f>(297)*10.764</f>
        <v>3196.9079999999999</v>
      </c>
      <c r="E439" s="63">
        <v>0</v>
      </c>
      <c r="F439" s="31"/>
      <c r="G439" s="39"/>
      <c r="H439" s="38">
        <f t="shared" si="14"/>
        <v>0</v>
      </c>
      <c r="I439" s="25"/>
      <c r="L439" s="153"/>
      <c r="M439" s="153"/>
      <c r="N439" s="63">
        <v>210.6</v>
      </c>
      <c r="O439" s="62" t="s">
        <v>209</v>
      </c>
      <c r="P439" s="67" t="str">
        <f t="shared" si="16"/>
        <v>=210.6</v>
      </c>
    </row>
    <row r="440" spans="1:16" s="26" customFormat="1" x14ac:dyDescent="0.35">
      <c r="A440" s="97">
        <f t="shared" si="17"/>
        <v>158</v>
      </c>
      <c r="B440" s="95">
        <f t="shared" si="15"/>
        <v>167</v>
      </c>
      <c r="C440" s="31" t="s">
        <v>169</v>
      </c>
      <c r="D440" s="97">
        <f t="shared" ref="D440:D446" si="19">(210.6)*10.764</f>
        <v>2266.8983999999996</v>
      </c>
      <c r="E440" s="63">
        <v>0</v>
      </c>
      <c r="F440" s="31"/>
      <c r="G440" s="39"/>
      <c r="H440" s="38">
        <f t="shared" si="14"/>
        <v>0</v>
      </c>
      <c r="I440" s="25"/>
      <c r="L440" s="153"/>
      <c r="M440" s="153"/>
      <c r="N440" s="63">
        <v>297</v>
      </c>
      <c r="O440" s="62" t="s">
        <v>209</v>
      </c>
      <c r="P440" s="67" t="str">
        <f t="shared" si="16"/>
        <v>=297</v>
      </c>
    </row>
    <row r="441" spans="1:16" s="26" customFormat="1" x14ac:dyDescent="0.35">
      <c r="A441" s="97">
        <f t="shared" si="17"/>
        <v>159</v>
      </c>
      <c r="B441" s="95">
        <f t="shared" si="15"/>
        <v>168</v>
      </c>
      <c r="C441" s="31" t="s">
        <v>169</v>
      </c>
      <c r="D441" s="97">
        <f t="shared" si="19"/>
        <v>2266.8983999999996</v>
      </c>
      <c r="E441" s="63">
        <v>0</v>
      </c>
      <c r="F441" s="31"/>
      <c r="G441" s="39"/>
      <c r="H441" s="38">
        <f t="shared" si="14"/>
        <v>0</v>
      </c>
      <c r="I441" s="25"/>
      <c r="L441" s="153"/>
      <c r="M441" s="153"/>
      <c r="N441" s="63">
        <v>210.6</v>
      </c>
      <c r="O441" s="62" t="s">
        <v>209</v>
      </c>
      <c r="P441" s="67" t="str">
        <f t="shared" si="16"/>
        <v>=210.6</v>
      </c>
    </row>
    <row r="442" spans="1:16" s="26" customFormat="1" x14ac:dyDescent="0.35">
      <c r="A442" s="97">
        <f t="shared" si="17"/>
        <v>160</v>
      </c>
      <c r="B442" s="95">
        <f t="shared" si="15"/>
        <v>169</v>
      </c>
      <c r="C442" s="31" t="s">
        <v>169</v>
      </c>
      <c r="D442" s="97">
        <f t="shared" si="19"/>
        <v>2266.8983999999996</v>
      </c>
      <c r="E442" s="63">
        <v>0</v>
      </c>
      <c r="F442" s="31"/>
      <c r="G442" s="39"/>
      <c r="H442" s="38">
        <f t="shared" ref="H442:H459" si="20">E442*(($H$281)+1)+(IF(G442&lt;101,G442,IF(G442&lt;201,G442/2,IF(G442&lt;=301,G442/3,G442/4))))</f>
        <v>0</v>
      </c>
      <c r="I442" s="25"/>
      <c r="L442" s="153"/>
      <c r="M442" s="153"/>
      <c r="N442" s="63">
        <v>210.6</v>
      </c>
      <c r="O442" s="62" t="s">
        <v>209</v>
      </c>
      <c r="P442" s="67" t="str">
        <f t="shared" si="16"/>
        <v>=210.6</v>
      </c>
    </row>
    <row r="443" spans="1:16" s="26" customFormat="1" x14ac:dyDescent="0.35">
      <c r="A443" s="97">
        <f t="shared" si="17"/>
        <v>161</v>
      </c>
      <c r="B443" s="95">
        <f t="shared" si="15"/>
        <v>170</v>
      </c>
      <c r="C443" s="31" t="s">
        <v>169</v>
      </c>
      <c r="D443" s="97">
        <f t="shared" si="19"/>
        <v>2266.8983999999996</v>
      </c>
      <c r="E443" s="63">
        <v>0</v>
      </c>
      <c r="F443" s="31"/>
      <c r="G443" s="39"/>
      <c r="H443" s="38">
        <f t="shared" si="20"/>
        <v>0</v>
      </c>
      <c r="I443" s="25"/>
      <c r="L443" s="153"/>
      <c r="M443" s="153"/>
      <c r="N443" s="63">
        <v>210.6</v>
      </c>
      <c r="O443" s="62" t="s">
        <v>209</v>
      </c>
      <c r="P443" s="67" t="str">
        <f t="shared" si="16"/>
        <v>=210.6</v>
      </c>
    </row>
    <row r="444" spans="1:16" s="26" customFormat="1" x14ac:dyDescent="0.35">
      <c r="A444" s="97">
        <f t="shared" si="17"/>
        <v>162</v>
      </c>
      <c r="B444" s="95">
        <f t="shared" si="15"/>
        <v>171</v>
      </c>
      <c r="C444" s="31" t="s">
        <v>169</v>
      </c>
      <c r="D444" s="97">
        <f t="shared" si="19"/>
        <v>2266.8983999999996</v>
      </c>
      <c r="E444" s="63">
        <v>0</v>
      </c>
      <c r="F444" s="31"/>
      <c r="G444" s="39"/>
      <c r="H444" s="38">
        <f t="shared" si="20"/>
        <v>0</v>
      </c>
      <c r="I444" s="25"/>
      <c r="L444" s="153"/>
      <c r="M444" s="153"/>
      <c r="N444" s="63">
        <v>210.6</v>
      </c>
      <c r="O444" s="62" t="s">
        <v>209</v>
      </c>
      <c r="P444" s="67" t="str">
        <f t="shared" si="16"/>
        <v>=210.6</v>
      </c>
    </row>
    <row r="445" spans="1:16" s="26" customFormat="1" x14ac:dyDescent="0.35">
      <c r="A445" s="97">
        <f t="shared" si="17"/>
        <v>163</v>
      </c>
      <c r="B445" s="95">
        <f t="shared" si="15"/>
        <v>172</v>
      </c>
      <c r="C445" s="31" t="s">
        <v>169</v>
      </c>
      <c r="D445" s="97">
        <f t="shared" si="19"/>
        <v>2266.8983999999996</v>
      </c>
      <c r="E445" s="63">
        <v>0</v>
      </c>
      <c r="F445" s="31"/>
      <c r="G445" s="39"/>
      <c r="H445" s="38">
        <f t="shared" si="20"/>
        <v>0</v>
      </c>
      <c r="I445" s="25"/>
      <c r="L445" s="153"/>
      <c r="M445" s="153"/>
      <c r="N445" s="63">
        <v>210.6</v>
      </c>
      <c r="O445" s="62" t="s">
        <v>209</v>
      </c>
      <c r="P445" s="67" t="str">
        <f t="shared" si="16"/>
        <v>=210.6</v>
      </c>
    </row>
    <row r="446" spans="1:16" s="26" customFormat="1" x14ac:dyDescent="0.35">
      <c r="A446" s="97">
        <f t="shared" si="17"/>
        <v>164</v>
      </c>
      <c r="B446" s="95">
        <f t="shared" si="15"/>
        <v>173</v>
      </c>
      <c r="C446" s="31" t="s">
        <v>169</v>
      </c>
      <c r="D446" s="97">
        <f t="shared" si="19"/>
        <v>2266.8983999999996</v>
      </c>
      <c r="E446" s="63">
        <v>0</v>
      </c>
      <c r="F446" s="31"/>
      <c r="G446" s="39"/>
      <c r="H446" s="38">
        <f t="shared" si="20"/>
        <v>0</v>
      </c>
      <c r="I446" s="25"/>
      <c r="L446" s="153"/>
      <c r="M446" s="153"/>
      <c r="N446" s="63">
        <v>210.6</v>
      </c>
      <c r="O446" s="62" t="s">
        <v>209</v>
      </c>
      <c r="P446" s="67" t="str">
        <f t="shared" si="16"/>
        <v>=210.6</v>
      </c>
    </row>
    <row r="447" spans="1:16" s="26" customFormat="1" x14ac:dyDescent="0.35">
      <c r="A447" s="97">
        <f t="shared" si="17"/>
        <v>165</v>
      </c>
      <c r="B447" s="95">
        <f t="shared" si="15"/>
        <v>174</v>
      </c>
      <c r="C447" s="31" t="s">
        <v>163</v>
      </c>
      <c r="D447" s="97">
        <f>(297)*10.764</f>
        <v>3196.9079999999999</v>
      </c>
      <c r="E447" s="63">
        <v>0</v>
      </c>
      <c r="F447" s="31"/>
      <c r="G447" s="39"/>
      <c r="H447" s="38">
        <f t="shared" si="20"/>
        <v>0</v>
      </c>
      <c r="I447" s="25"/>
      <c r="L447" s="153"/>
      <c r="M447" s="153"/>
      <c r="N447" s="63">
        <v>210.6</v>
      </c>
      <c r="O447" s="62" t="s">
        <v>209</v>
      </c>
      <c r="P447" s="67" t="str">
        <f t="shared" si="16"/>
        <v>=210.6</v>
      </c>
    </row>
    <row r="448" spans="1:16" s="26" customFormat="1" x14ac:dyDescent="0.35">
      <c r="A448" s="97">
        <f t="shared" si="17"/>
        <v>166</v>
      </c>
      <c r="B448" s="95">
        <f t="shared" si="15"/>
        <v>175</v>
      </c>
      <c r="C448" s="31" t="s">
        <v>164</v>
      </c>
      <c r="D448" s="97">
        <f>(377.52)*10.764</f>
        <v>4063.6252799999997</v>
      </c>
      <c r="E448" s="63">
        <v>0</v>
      </c>
      <c r="F448" s="31"/>
      <c r="G448" s="39"/>
      <c r="H448" s="38">
        <f t="shared" si="20"/>
        <v>0</v>
      </c>
      <c r="I448" s="25"/>
      <c r="L448" s="153"/>
      <c r="M448" s="153"/>
      <c r="N448" s="63">
        <v>297</v>
      </c>
      <c r="O448" s="62" t="s">
        <v>209</v>
      </c>
      <c r="P448" s="67" t="str">
        <f t="shared" si="16"/>
        <v>=297</v>
      </c>
    </row>
    <row r="449" spans="1:16" s="26" customFormat="1" x14ac:dyDescent="0.35">
      <c r="A449" s="97">
        <f t="shared" si="17"/>
        <v>167</v>
      </c>
      <c r="B449" s="95">
        <f t="shared" si="15"/>
        <v>176</v>
      </c>
      <c r="C449" s="31" t="s">
        <v>171</v>
      </c>
      <c r="D449" s="97">
        <f>(455.49)*10.764</f>
        <v>4902.8943600000002</v>
      </c>
      <c r="E449" s="63">
        <v>0</v>
      </c>
      <c r="F449" s="31"/>
      <c r="G449" s="39"/>
      <c r="H449" s="38">
        <f t="shared" si="20"/>
        <v>0</v>
      </c>
      <c r="I449" s="25"/>
      <c r="L449" s="153"/>
      <c r="M449" s="153"/>
      <c r="N449" s="63">
        <v>378</v>
      </c>
      <c r="O449" s="62" t="s">
        <v>209</v>
      </c>
      <c r="P449" s="67" t="str">
        <f t="shared" si="16"/>
        <v>=378</v>
      </c>
    </row>
    <row r="450" spans="1:16" s="26" customFormat="1" x14ac:dyDescent="0.35">
      <c r="A450" s="97">
        <f t="shared" si="17"/>
        <v>168</v>
      </c>
      <c r="B450" s="95">
        <f t="shared" si="15"/>
        <v>177</v>
      </c>
      <c r="C450" s="31" t="s">
        <v>165</v>
      </c>
      <c r="D450" s="97">
        <f>(357.85)*10.764</f>
        <v>3851.8973999999998</v>
      </c>
      <c r="E450" s="63">
        <v>0</v>
      </c>
      <c r="F450" s="31"/>
      <c r="G450" s="39"/>
      <c r="H450" s="38">
        <f t="shared" si="20"/>
        <v>0</v>
      </c>
      <c r="I450" s="25"/>
      <c r="L450" s="153"/>
      <c r="M450" s="153"/>
      <c r="N450" s="63">
        <v>459.92</v>
      </c>
      <c r="O450" s="62" t="s">
        <v>209</v>
      </c>
      <c r="P450" s="67" t="str">
        <f t="shared" si="16"/>
        <v>=459.92</v>
      </c>
    </row>
    <row r="451" spans="1:16" s="26" customFormat="1" x14ac:dyDescent="0.35">
      <c r="A451" s="97">
        <f t="shared" si="17"/>
        <v>169</v>
      </c>
      <c r="B451" s="95">
        <f t="shared" si="15"/>
        <v>178</v>
      </c>
      <c r="C451" s="31" t="s">
        <v>165</v>
      </c>
      <c r="D451" s="97">
        <f>(377.78)*10.764</f>
        <v>4066.4239199999993</v>
      </c>
      <c r="E451" s="63">
        <v>0</v>
      </c>
      <c r="F451" s="31"/>
      <c r="G451" s="39"/>
      <c r="H451" s="38">
        <f t="shared" si="20"/>
        <v>0</v>
      </c>
      <c r="I451" s="25"/>
      <c r="L451" s="153"/>
      <c r="M451" s="153"/>
      <c r="N451" s="63">
        <v>366.52</v>
      </c>
      <c r="O451" s="62" t="s">
        <v>209</v>
      </c>
      <c r="P451" s="67" t="str">
        <f t="shared" si="16"/>
        <v>=366.52</v>
      </c>
    </row>
    <row r="452" spans="1:16" s="26" customFormat="1" x14ac:dyDescent="0.35">
      <c r="A452" s="97">
        <f t="shared" si="17"/>
        <v>170</v>
      </c>
      <c r="B452" s="95">
        <f t="shared" si="15"/>
        <v>179</v>
      </c>
      <c r="C452" s="31" t="s">
        <v>165</v>
      </c>
      <c r="D452" s="97">
        <f>(362.9)*10.764</f>
        <v>3906.2555999999995</v>
      </c>
      <c r="E452" s="63">
        <v>0</v>
      </c>
      <c r="F452" s="31"/>
      <c r="G452" s="39"/>
      <c r="H452" s="38">
        <f t="shared" si="20"/>
        <v>0</v>
      </c>
      <c r="I452" s="25"/>
      <c r="L452" s="153"/>
      <c r="M452" s="153"/>
      <c r="N452" s="63">
        <v>384.65</v>
      </c>
      <c r="O452" s="62" t="s">
        <v>209</v>
      </c>
      <c r="P452" s="67" t="str">
        <f t="shared" si="16"/>
        <v>=384.65</v>
      </c>
    </row>
    <row r="453" spans="1:16" s="26" customFormat="1" x14ac:dyDescent="0.35">
      <c r="A453" s="97">
        <f t="shared" si="17"/>
        <v>171</v>
      </c>
      <c r="B453" s="95">
        <f t="shared" si="15"/>
        <v>180</v>
      </c>
      <c r="C453" s="31" t="s">
        <v>165</v>
      </c>
      <c r="D453" s="97">
        <f>(348.04)*10.764</f>
        <v>3746.3025600000001</v>
      </c>
      <c r="E453" s="63">
        <v>0</v>
      </c>
      <c r="F453" s="31"/>
      <c r="G453" s="39"/>
      <c r="H453" s="38">
        <f t="shared" si="20"/>
        <v>0</v>
      </c>
      <c r="I453" s="25"/>
      <c r="L453" s="153"/>
      <c r="M453" s="153"/>
      <c r="N453" s="63">
        <v>370.4</v>
      </c>
      <c r="O453" s="62" t="s">
        <v>209</v>
      </c>
      <c r="P453" s="67" t="str">
        <f t="shared" si="16"/>
        <v>=370.4</v>
      </c>
    </row>
    <row r="454" spans="1:16" s="26" customFormat="1" x14ac:dyDescent="0.35">
      <c r="A454" s="97">
        <f t="shared" si="17"/>
        <v>172</v>
      </c>
      <c r="B454" s="95">
        <f t="shared" si="15"/>
        <v>181</v>
      </c>
      <c r="C454" s="31" t="s">
        <v>165</v>
      </c>
      <c r="D454" s="97">
        <f>(333.17)*10.764</f>
        <v>3586.24188</v>
      </c>
      <c r="E454" s="63">
        <v>0</v>
      </c>
      <c r="F454" s="31"/>
      <c r="G454" s="39"/>
      <c r="H454" s="38">
        <f t="shared" si="20"/>
        <v>0</v>
      </c>
      <c r="I454" s="25"/>
      <c r="L454" s="153"/>
      <c r="M454" s="153"/>
      <c r="N454" s="63">
        <v>355.53</v>
      </c>
      <c r="O454" s="62" t="s">
        <v>209</v>
      </c>
      <c r="P454" s="67" t="str">
        <f t="shared" si="16"/>
        <v>=355.53</v>
      </c>
    </row>
    <row r="455" spans="1:16" s="26" customFormat="1" x14ac:dyDescent="0.35">
      <c r="A455" s="97">
        <f t="shared" si="17"/>
        <v>173</v>
      </c>
      <c r="B455" s="95">
        <f t="shared" si="15"/>
        <v>182</v>
      </c>
      <c r="C455" s="31" t="s">
        <v>165</v>
      </c>
      <c r="D455" s="97">
        <f>(318.39)*10.764</f>
        <v>3427.1499599999997</v>
      </c>
      <c r="E455" s="63">
        <v>0</v>
      </c>
      <c r="F455" s="31"/>
      <c r="G455" s="39"/>
      <c r="H455" s="38">
        <f t="shared" si="20"/>
        <v>0</v>
      </c>
      <c r="I455" s="25"/>
      <c r="L455" s="153"/>
      <c r="M455" s="153"/>
      <c r="N455" s="63">
        <v>340.67</v>
      </c>
      <c r="O455" s="62" t="s">
        <v>209</v>
      </c>
      <c r="P455" s="67" t="str">
        <f t="shared" si="16"/>
        <v>=340.67</v>
      </c>
    </row>
    <row r="456" spans="1:16" s="26" customFormat="1" x14ac:dyDescent="0.35">
      <c r="A456" s="97">
        <f t="shared" si="17"/>
        <v>174</v>
      </c>
      <c r="B456" s="95">
        <f t="shared" si="15"/>
        <v>183</v>
      </c>
      <c r="C456" s="31" t="s">
        <v>165</v>
      </c>
      <c r="D456" s="97">
        <f>(315.67)*10.764</f>
        <v>3397.8718800000001</v>
      </c>
      <c r="E456" s="63">
        <v>0</v>
      </c>
      <c r="F456" s="31"/>
      <c r="G456" s="39"/>
      <c r="H456" s="38">
        <f t="shared" si="20"/>
        <v>0</v>
      </c>
      <c r="I456" s="25"/>
      <c r="L456" s="153"/>
      <c r="M456" s="153"/>
      <c r="N456" s="63">
        <v>325.81</v>
      </c>
      <c r="O456" s="62" t="s">
        <v>209</v>
      </c>
      <c r="P456" s="67" t="str">
        <f t="shared" si="16"/>
        <v>=325.81</v>
      </c>
    </row>
    <row r="457" spans="1:16" s="26" customFormat="1" x14ac:dyDescent="0.35">
      <c r="A457" s="97">
        <f t="shared" si="17"/>
        <v>175</v>
      </c>
      <c r="B457" s="95">
        <f t="shared" si="15"/>
        <v>184</v>
      </c>
      <c r="C457" s="31" t="s">
        <v>165</v>
      </c>
      <c r="D457" s="97">
        <f>(300.08)*10.764</f>
        <v>3230.0611199999998</v>
      </c>
      <c r="E457" s="63">
        <v>0</v>
      </c>
      <c r="F457" s="31"/>
      <c r="G457" s="39"/>
      <c r="H457" s="38">
        <f t="shared" si="20"/>
        <v>0</v>
      </c>
      <c r="I457" s="25"/>
      <c r="L457" s="153"/>
      <c r="M457" s="153"/>
      <c r="N457" s="63">
        <v>317.2</v>
      </c>
      <c r="O457" s="62" t="s">
        <v>209</v>
      </c>
      <c r="P457" s="67" t="str">
        <f t="shared" si="16"/>
        <v>=317.2</v>
      </c>
    </row>
    <row r="458" spans="1:16" s="26" customFormat="1" x14ac:dyDescent="0.35">
      <c r="A458" s="97">
        <f t="shared" si="17"/>
        <v>176</v>
      </c>
      <c r="B458" s="95">
        <f t="shared" si="15"/>
        <v>185</v>
      </c>
      <c r="C458" s="31" t="s">
        <v>171</v>
      </c>
      <c r="D458" s="97">
        <f>(572.91)*10.764</f>
        <v>6166.8032399999993</v>
      </c>
      <c r="E458" s="63">
        <v>0</v>
      </c>
      <c r="F458" s="31"/>
      <c r="G458" s="39"/>
      <c r="H458" s="38">
        <f t="shared" si="20"/>
        <v>0</v>
      </c>
      <c r="I458" s="25"/>
      <c r="L458" s="153"/>
      <c r="M458" s="153"/>
      <c r="N458" s="63">
        <v>308.39</v>
      </c>
      <c r="O458" s="62" t="s">
        <v>209</v>
      </c>
      <c r="P458" s="67" t="str">
        <f t="shared" si="16"/>
        <v>=308.39</v>
      </c>
    </row>
    <row r="459" spans="1:16" s="26" customFormat="1" hidden="1" x14ac:dyDescent="0.35">
      <c r="A459" s="97">
        <f t="shared" si="17"/>
        <v>177</v>
      </c>
      <c r="B459" s="95">
        <f t="shared" si="15"/>
        <v>186</v>
      </c>
      <c r="C459" s="31" t="s">
        <v>162</v>
      </c>
      <c r="D459" s="63">
        <f>(573.07)*10.764</f>
        <v>6168.5254800000002</v>
      </c>
      <c r="E459" s="63">
        <v>0</v>
      </c>
      <c r="F459" s="31"/>
      <c r="G459" s="39"/>
      <c r="H459" s="38">
        <f t="shared" si="20"/>
        <v>0</v>
      </c>
      <c r="I459" s="25"/>
      <c r="L459" s="153"/>
      <c r="M459" s="153"/>
      <c r="N459" s="63">
        <v>573.07000000000005</v>
      </c>
      <c r="O459" s="62" t="s">
        <v>209</v>
      </c>
      <c r="P459" s="67" t="str">
        <f t="shared" si="16"/>
        <v>=573.07</v>
      </c>
    </row>
    <row r="460" spans="1:16" s="26" customFormat="1" x14ac:dyDescent="0.35">
      <c r="A460" s="154"/>
      <c r="B460" s="155"/>
      <c r="C460" s="155"/>
      <c r="D460" s="155"/>
      <c r="E460" s="155"/>
      <c r="F460" s="155"/>
      <c r="G460" s="155"/>
      <c r="H460" s="156"/>
      <c r="I460" s="25"/>
      <c r="L460" s="153"/>
      <c r="M460" s="153"/>
      <c r="N460" s="65"/>
      <c r="O460" s="65"/>
      <c r="P460" s="65"/>
    </row>
    <row r="461" spans="1:16" s="26" customFormat="1" ht="15.75" hidden="1" customHeight="1" x14ac:dyDescent="0.35">
      <c r="A461" s="154" t="s">
        <v>109</v>
      </c>
      <c r="B461" s="155"/>
      <c r="C461" s="155"/>
      <c r="D461" s="155"/>
      <c r="E461" s="155"/>
      <c r="F461" s="155"/>
      <c r="G461" s="155"/>
      <c r="H461" s="156"/>
      <c r="I461" s="25"/>
      <c r="L461" s="153"/>
      <c r="M461" s="153"/>
      <c r="N461" s="65"/>
      <c r="O461" s="65"/>
      <c r="P461" s="65"/>
    </row>
    <row r="462" spans="1:16" s="26" customFormat="1" ht="15.75" hidden="1" customHeight="1" x14ac:dyDescent="0.35">
      <c r="A462" s="157">
        <f>LEFT(A461,SUM(LEN(A461)-LEN(SUBSTITUTE(A461,{"0","1","2","3","4","5","6","7","8","9"},""))))*100+1</f>
        <v>201</v>
      </c>
      <c r="B462" s="157"/>
      <c r="C462" s="31"/>
      <c r="D462" s="31"/>
      <c r="E462" s="31">
        <v>0</v>
      </c>
      <c r="F462" s="31">
        <f>D462*(($F$281)+1)+(IF(E462&lt;101,E462,IF(E462&lt;201,E462/2,IF(E462&lt;=301,E462/3,E462/4))))</f>
        <v>0</v>
      </c>
      <c r="G462" s="124" t="str">
        <f>A461</f>
        <v>2nd Floor</v>
      </c>
      <c r="H462" s="125"/>
      <c r="I462" s="25"/>
      <c r="N462" s="65"/>
      <c r="O462" s="65"/>
      <c r="P462" s="65"/>
    </row>
    <row r="463" spans="1:16" s="26" customFormat="1" ht="15.75" hidden="1" customHeight="1" x14ac:dyDescent="0.35">
      <c r="A463" s="157">
        <f>A462+1</f>
        <v>202</v>
      </c>
      <c r="B463" s="157"/>
      <c r="C463" s="31"/>
      <c r="D463" s="31"/>
      <c r="E463" s="31">
        <v>0</v>
      </c>
      <c r="F463" s="31">
        <f>D463*(($F$281)+1)+(IF(E463&lt;101,E463,IF(E463&lt;201,E463/2,IF(E463&lt;=301,E463/3,E463/4))))</f>
        <v>0</v>
      </c>
      <c r="G463" s="124" t="str">
        <f>G462</f>
        <v>2nd Floor</v>
      </c>
      <c r="H463" s="125"/>
      <c r="I463" s="25"/>
      <c r="N463" s="65"/>
      <c r="O463" s="65"/>
      <c r="P463" s="65"/>
    </row>
    <row r="464" spans="1:16" s="26" customFormat="1" ht="15.75" hidden="1" customHeight="1" x14ac:dyDescent="0.35">
      <c r="A464" s="157">
        <f>A463+1</f>
        <v>203</v>
      </c>
      <c r="B464" s="157"/>
      <c r="C464" s="31"/>
      <c r="D464" s="31"/>
      <c r="E464" s="31">
        <v>0</v>
      </c>
      <c r="F464" s="31">
        <f>D464*(($F$281)+1)+(IF(E464&lt;101,E464,IF(E464&lt;201,E464/2,IF(E464&lt;=301,E464/3,E464/4))))</f>
        <v>0</v>
      </c>
      <c r="G464" s="124" t="str">
        <f>G463</f>
        <v>2nd Floor</v>
      </c>
      <c r="H464" s="125"/>
      <c r="I464" s="25"/>
      <c r="N464" s="65"/>
      <c r="O464" s="65"/>
      <c r="P464" s="65"/>
    </row>
    <row r="465" spans="1:16" s="26" customFormat="1" ht="15.75" hidden="1" customHeight="1" x14ac:dyDescent="0.35">
      <c r="A465" s="157">
        <f>A464+1</f>
        <v>204</v>
      </c>
      <c r="B465" s="157"/>
      <c r="C465" s="31"/>
      <c r="D465" s="31"/>
      <c r="E465" s="31">
        <v>0</v>
      </c>
      <c r="F465" s="31">
        <f>D465*(($F$281)+1)+(IF(E465&lt;101,E465,IF(E465&lt;201,E465/2,IF(E465&lt;=301,E465/3,E465/4))))</f>
        <v>0</v>
      </c>
      <c r="G465" s="124" t="str">
        <f>G464</f>
        <v>2nd Floor</v>
      </c>
      <c r="H465" s="125"/>
      <c r="I465" s="25"/>
      <c r="N465" s="65"/>
      <c r="O465" s="65"/>
      <c r="P465" s="65"/>
    </row>
    <row r="466" spans="1:16" s="26" customFormat="1" ht="15.75" hidden="1" customHeight="1" x14ac:dyDescent="0.35">
      <c r="A466" s="157">
        <f>A465+1</f>
        <v>205</v>
      </c>
      <c r="B466" s="157"/>
      <c r="C466" s="31"/>
      <c r="D466" s="31"/>
      <c r="E466" s="31">
        <v>0</v>
      </c>
      <c r="F466" s="31">
        <f>D466*(($F$281)+1)+(IF(E466&lt;101,E466,IF(E466&lt;201,E466/2,IF(E466&lt;=301,E466/3,E466/4))))</f>
        <v>0</v>
      </c>
      <c r="G466" s="124" t="str">
        <f>G465</f>
        <v>2nd Floor</v>
      </c>
      <c r="H466" s="125"/>
      <c r="I466" s="25"/>
      <c r="N466" s="65"/>
      <c r="O466" s="65"/>
      <c r="P466" s="65"/>
    </row>
    <row r="467" spans="1:16" s="26" customFormat="1" ht="15.75" hidden="1" customHeight="1" x14ac:dyDescent="0.35">
      <c r="A467" s="154" t="s">
        <v>127</v>
      </c>
      <c r="B467" s="155"/>
      <c r="C467" s="155"/>
      <c r="D467" s="155"/>
      <c r="E467" s="155"/>
      <c r="F467" s="155"/>
      <c r="G467" s="155"/>
      <c r="H467" s="156"/>
      <c r="I467" s="25"/>
      <c r="N467" s="65"/>
      <c r="O467" s="65"/>
      <c r="P467" s="65"/>
    </row>
    <row r="468" spans="1:16" s="26" customFormat="1" ht="15.75" hidden="1" customHeight="1" x14ac:dyDescent="0.35">
      <c r="A468" s="124" t="str">
        <f ca="1">(SUMPRODUCT(MID(0&amp;(LEFT(A467,SUM(LEN(A467)-LEN(SUBSTITUTE(A467,{"0","1","2"},""))))), LARGE(INDEX(ISNUMBER(--MID((LEFT(A467,SUM(LEN(A467)-LEN(SUBSTITUTE(A467,{"0","1","2"},""))))), ROW(INDIRECT("1:"&amp;LEN((LEFT(A467,SUM(LEN(A467)-LEN(SUBSTITUTE(A467,{"0","1","2"},"")))))))), 1)) * ROW(INDIRECT("1:"&amp;LEN((LEFT(A467,SUM(LEN(A467)-LEN(SUBSTITUTE(A467,{"0","1","2"},"")))))))), 0), ROW(INDIRECT("1:"&amp;LEN((LEFT(A467,SUM(LEN(A467)-LEN(SUBSTITUTE(A467,{"0","1","2"},"")))))))))+1, 1) * 10^ROW(INDIRECT("1:"&amp;LEN((LEFT(A467,SUM(LEN(A467)-LEN(SUBSTITUTE(A467,{"0","1","2"},""))))))))/10))*100+1&amp;""&amp;" ,.., "&amp;""&amp;(SUMPRODUCT(MID(0&amp;(--TRIM(RIGHT(SUBSTITUTE(LEFT(A467,_xlfn.AGGREGATE(16,6,FIND({0,1,2,3,4,5,6,7,8,9},A467,ROW(INDIRECT("1:"&amp;LEN(A467)))),1))," ",REPT(" ",LEN(A467))),LEN(A467)))), LARGE(INDEX(ISNUMBER(--MID((--TRIM(RIGHT(SUBSTITUTE(LEFT(A467,_xlfn.AGGREGATE(16,6,FIND({0,1,2,3,4,5,6,7,8,9},A467,ROW(INDIRECT("1:"&amp;LEN(A467)))),1))," ",REPT(" ",LEN(A467))),LEN(A467)))), ROW(INDIRECT("1:"&amp;LEN((--TRIM(RIGHT(SUBSTITUTE(LEFT(A467,_xlfn.AGGREGATE(16,6,FIND({0,1,2,3,4,5,6,7,8,9},A467,ROW(INDIRECT("1:"&amp;LEN(A467)))),1))," ",REPT(" ",LEN(A467))),LEN(A467))))))), 1)) * ROW(INDIRECT("1:"&amp;LEN((--TRIM(RIGHT(SUBSTITUTE(LEFT(A467,_xlfn.AGGREGATE(16,6,FIND({0,1,2,3,4,5,6,7,8,9},A467,ROW(INDIRECT("1:"&amp;LEN(A467)))),1))," ",REPT(" ",LEN(A467))),LEN(A467))))))), 0), ROW(INDIRECT("1:"&amp;LEN((--TRIM(RIGHT(SUBSTITUTE(LEFT(A467,_xlfn.AGGREGATE(16,6,FIND({0,1,2,3,4,5,6,7,8,9},A467,ROW(INDIRECT("1:"&amp;LEN(A467)))),1))," ",REPT(" ",LEN(A467))),LEN(A467))))))))+1, 1) * 10^ROW(INDIRECT("1:"&amp;LEN((--TRIM(RIGHT(SUBSTITUTE(LEFT(A467,_xlfn.AGGREGATE(16,6,FIND({0,1,2,3,4,5,6,7,8,9},A467,ROW(INDIRECT("1:"&amp;LEN(A467)))),1))," ",REPT(" ",LEN(A467))),LEN(A467)))))))/10))*100+1</f>
        <v>301 ,.., 1501</v>
      </c>
      <c r="B468" s="125"/>
      <c r="C468" s="31"/>
      <c r="D468" s="31"/>
      <c r="E468" s="31">
        <v>0</v>
      </c>
      <c r="F468" s="31">
        <f>D468*(($F$281)+1)+(IF(E468&lt;101,E468,IF(E468&lt;201,E468/2,IF(E468&lt;=301,E468/3,E468/4))))</f>
        <v>0</v>
      </c>
      <c r="G468" s="124" t="str">
        <f>A467</f>
        <v>3rd, 5th, 7th, 9th, 11th, 13th, 15th Floor</v>
      </c>
      <c r="H468" s="125"/>
      <c r="I468" s="25"/>
      <c r="N468" s="65"/>
      <c r="O468" s="65"/>
      <c r="P468" s="65"/>
    </row>
    <row r="469" spans="1:16" s="26" customFormat="1" ht="15.75" hidden="1" customHeight="1" x14ac:dyDescent="0.35">
      <c r="A469" s="124" t="str">
        <f ca="1">(SUMPRODUCT(MID(0&amp;(LEFT(A468,SUM(LEN(A468)-LEN(SUBSTITUTE(A468,{"0","1","2"},""))))), LARGE(INDEX(ISNUMBER(--MID((LEFT(A468,SUM(LEN(A468)-LEN(SUBSTITUTE(A468,{"0","1","2"},""))))), ROW(INDIRECT("1:"&amp;LEN((LEFT(A468,SUM(LEN(A468)-LEN(SUBSTITUTE(A468,{"0","1","2"},"")))))))), 1)) * ROW(INDIRECT("1:"&amp;LEN((LEFT(A468,SUM(LEN(A468)-LEN(SUBSTITUTE(A468,{"0","1","2"},"")))))))), 0), ROW(INDIRECT("1:"&amp;LEN((LEFT(A468,SUM(LEN(A468)-LEN(SUBSTITUTE(A468,{"0","1","2"},"")))))))))+1, 1) * 10^ROW(INDIRECT("1:"&amp;LEN((LEFT(A468,SUM(LEN(A468)-LEN(SUBSTITUTE(A468,{"0","1","2"},""))))))))/10))*1+1&amp;""&amp;" ,.., "&amp;""&amp;(SUMPRODUCT(MID(0&amp;(--TRIM(RIGHT(SUBSTITUTE(LEFT(A468,_xlfn.AGGREGATE(16,6,FIND({0,1,2,3,4,5,6,7,8,9},A468,ROW(INDIRECT("1:"&amp;LEN(A468)))),1))," ",REPT(" ",LEN(A468))),LEN(A468)))), LARGE(INDEX(ISNUMBER(--MID((--TRIM(RIGHT(SUBSTITUTE(LEFT(A468,_xlfn.AGGREGATE(16,6,FIND({0,1,2,3,4,5,6,7,8,9},A468,ROW(INDIRECT("1:"&amp;LEN(A468)))),1))," ",REPT(" ",LEN(A468))),LEN(A468)))), ROW(INDIRECT("1:"&amp;LEN((--TRIM(RIGHT(SUBSTITUTE(LEFT(A468,_xlfn.AGGREGATE(16,6,FIND({0,1,2,3,4,5,6,7,8,9},A468,ROW(INDIRECT("1:"&amp;LEN(A468)))),1))," ",REPT(" ",LEN(A468))),LEN(A468))))))), 1)) * ROW(INDIRECT("1:"&amp;LEN((--TRIM(RIGHT(SUBSTITUTE(LEFT(A468,_xlfn.AGGREGATE(16,6,FIND({0,1,2,3,4,5,6,7,8,9},A468,ROW(INDIRECT("1:"&amp;LEN(A468)))),1))," ",REPT(" ",LEN(A468))),LEN(A468))))))), 0), ROW(INDIRECT("1:"&amp;LEN((--TRIM(RIGHT(SUBSTITUTE(LEFT(A468,_xlfn.AGGREGATE(16,6,FIND({0,1,2,3,4,5,6,7,8,9},A468,ROW(INDIRECT("1:"&amp;LEN(A468)))),1))," ",REPT(" ",LEN(A468))),LEN(A468))))))))+1, 1) * 10^ROW(INDIRECT("1:"&amp;LEN((--TRIM(RIGHT(SUBSTITUTE(LEFT(A468,_xlfn.AGGREGATE(16,6,FIND({0,1,2,3,4,5,6,7,8,9},A468,ROW(INDIRECT("1:"&amp;LEN(A468)))),1))," ",REPT(" ",LEN(A468))),LEN(A468)))))))/10))*1+1</f>
        <v>302 ,.., 1502</v>
      </c>
      <c r="B469" s="125"/>
      <c r="C469" s="31"/>
      <c r="D469" s="31"/>
      <c r="E469" s="31">
        <v>0</v>
      </c>
      <c r="F469" s="31">
        <f>D469*(($F$281)+1)+(IF(E469&lt;101,E469,IF(E469&lt;201,E469/2,IF(E469&lt;=301,E469/3,E469/4))))</f>
        <v>0</v>
      </c>
      <c r="G469" s="124" t="str">
        <f>G468</f>
        <v>3rd, 5th, 7th, 9th, 11th, 13th, 15th Floor</v>
      </c>
      <c r="H469" s="125"/>
      <c r="I469" s="25"/>
      <c r="N469" s="65"/>
      <c r="O469" s="65"/>
      <c r="P469" s="65"/>
    </row>
    <row r="470" spans="1:16" s="26" customFormat="1" ht="15.75" hidden="1" customHeight="1" x14ac:dyDescent="0.35">
      <c r="A470" s="124" t="str">
        <f ca="1">(SUMPRODUCT(MID(0&amp;(LEFT(A469,SUM(LEN(A469)-LEN(SUBSTITUTE(A469,{"0","1","2"},""))))), LARGE(INDEX(ISNUMBER(--MID((LEFT(A469,SUM(LEN(A469)-LEN(SUBSTITUTE(A469,{"0","1","2"},""))))), ROW(INDIRECT("1:"&amp;LEN((LEFT(A469,SUM(LEN(A469)-LEN(SUBSTITUTE(A469,{"0","1","2"},"")))))))), 1)) * ROW(INDIRECT("1:"&amp;LEN((LEFT(A469,SUM(LEN(A469)-LEN(SUBSTITUTE(A469,{"0","1","2"},"")))))))), 0), ROW(INDIRECT("1:"&amp;LEN((LEFT(A469,SUM(LEN(A469)-LEN(SUBSTITUTE(A469,{"0","1","2"},"")))))))))+1, 1) * 10^ROW(INDIRECT("1:"&amp;LEN((LEFT(A469,SUM(LEN(A469)-LEN(SUBSTITUTE(A469,{"0","1","2"},""))))))))/10))*1+1&amp;""&amp;" ,.., "&amp;""&amp;(SUMPRODUCT(MID(0&amp;(--TRIM(RIGHT(SUBSTITUTE(LEFT(A469,_xlfn.AGGREGATE(16,6,FIND({0,1,2,3,4,5,6,7,8,9},A469,ROW(INDIRECT("1:"&amp;LEN(A469)))),1))," ",REPT(" ",LEN(A469))),LEN(A469)))), LARGE(INDEX(ISNUMBER(--MID((--TRIM(RIGHT(SUBSTITUTE(LEFT(A469,_xlfn.AGGREGATE(16,6,FIND({0,1,2,3,4,5,6,7,8,9},A469,ROW(INDIRECT("1:"&amp;LEN(A469)))),1))," ",REPT(" ",LEN(A469))),LEN(A469)))), ROW(INDIRECT("1:"&amp;LEN((--TRIM(RIGHT(SUBSTITUTE(LEFT(A469,_xlfn.AGGREGATE(16,6,FIND({0,1,2,3,4,5,6,7,8,9},A469,ROW(INDIRECT("1:"&amp;LEN(A469)))),1))," ",REPT(" ",LEN(A469))),LEN(A469))))))), 1)) * ROW(INDIRECT("1:"&amp;LEN((--TRIM(RIGHT(SUBSTITUTE(LEFT(A469,_xlfn.AGGREGATE(16,6,FIND({0,1,2,3,4,5,6,7,8,9},A469,ROW(INDIRECT("1:"&amp;LEN(A469)))),1))," ",REPT(" ",LEN(A469))),LEN(A469))))))), 0), ROW(INDIRECT("1:"&amp;LEN((--TRIM(RIGHT(SUBSTITUTE(LEFT(A469,_xlfn.AGGREGATE(16,6,FIND({0,1,2,3,4,5,6,7,8,9},A469,ROW(INDIRECT("1:"&amp;LEN(A469)))),1))," ",REPT(" ",LEN(A469))),LEN(A469))))))))+1, 1) * 10^ROW(INDIRECT("1:"&amp;LEN((--TRIM(RIGHT(SUBSTITUTE(LEFT(A469,_xlfn.AGGREGATE(16,6,FIND({0,1,2,3,4,5,6,7,8,9},A469,ROW(INDIRECT("1:"&amp;LEN(A469)))),1))," ",REPT(" ",LEN(A469))),LEN(A469)))))))/10))*1+1</f>
        <v>303 ,.., 1503</v>
      </c>
      <c r="B470" s="125"/>
      <c r="C470" s="31"/>
      <c r="D470" s="31"/>
      <c r="E470" s="31">
        <v>0</v>
      </c>
      <c r="F470" s="31">
        <f>D470*(($F$281)+1)+(IF(E470&lt;101,E470,IF(E470&lt;201,E470/2,IF(E470&lt;=301,E470/3,E470/4))))</f>
        <v>0</v>
      </c>
      <c r="G470" s="124" t="str">
        <f>G469</f>
        <v>3rd, 5th, 7th, 9th, 11th, 13th, 15th Floor</v>
      </c>
      <c r="H470" s="125"/>
      <c r="I470" s="25"/>
      <c r="N470" s="65"/>
      <c r="O470" s="65"/>
      <c r="P470" s="65"/>
    </row>
    <row r="471" spans="1:16" s="26" customFormat="1" ht="15.75" hidden="1" customHeight="1" x14ac:dyDescent="0.35">
      <c r="A471" s="124" t="str">
        <f ca="1">(SUMPRODUCT(MID(0&amp;(LEFT(A470,SUM(LEN(A470)-LEN(SUBSTITUTE(A470,{"0","1","2"},""))))), LARGE(INDEX(ISNUMBER(--MID((LEFT(A470,SUM(LEN(A470)-LEN(SUBSTITUTE(A470,{"0","1","2"},""))))), ROW(INDIRECT("1:"&amp;LEN((LEFT(A470,SUM(LEN(A470)-LEN(SUBSTITUTE(A470,{"0","1","2"},"")))))))), 1)) * ROW(INDIRECT("1:"&amp;LEN((LEFT(A470,SUM(LEN(A470)-LEN(SUBSTITUTE(A470,{"0","1","2"},"")))))))), 0), ROW(INDIRECT("1:"&amp;LEN((LEFT(A470,SUM(LEN(A470)-LEN(SUBSTITUTE(A470,{"0","1","2"},"")))))))))+1, 1) * 10^ROW(INDIRECT("1:"&amp;LEN((LEFT(A470,SUM(LEN(A470)-LEN(SUBSTITUTE(A470,{"0","1","2"},""))))))))/10))*1+1&amp;""&amp;" ,.., "&amp;""&amp;(SUMPRODUCT(MID(0&amp;(--TRIM(RIGHT(SUBSTITUTE(LEFT(A470,_xlfn.AGGREGATE(16,6,FIND({0,1,2,3,4,5,6,7,8,9},A470,ROW(INDIRECT("1:"&amp;LEN(A470)))),1))," ",REPT(" ",LEN(A470))),LEN(A470)))), LARGE(INDEX(ISNUMBER(--MID((--TRIM(RIGHT(SUBSTITUTE(LEFT(A470,_xlfn.AGGREGATE(16,6,FIND({0,1,2,3,4,5,6,7,8,9},A470,ROW(INDIRECT("1:"&amp;LEN(A470)))),1))," ",REPT(" ",LEN(A470))),LEN(A470)))), ROW(INDIRECT("1:"&amp;LEN((--TRIM(RIGHT(SUBSTITUTE(LEFT(A470,_xlfn.AGGREGATE(16,6,FIND({0,1,2,3,4,5,6,7,8,9},A470,ROW(INDIRECT("1:"&amp;LEN(A470)))),1))," ",REPT(" ",LEN(A470))),LEN(A470))))))), 1)) * ROW(INDIRECT("1:"&amp;LEN((--TRIM(RIGHT(SUBSTITUTE(LEFT(A470,_xlfn.AGGREGATE(16,6,FIND({0,1,2,3,4,5,6,7,8,9},A470,ROW(INDIRECT("1:"&amp;LEN(A470)))),1))," ",REPT(" ",LEN(A470))),LEN(A470))))))), 0), ROW(INDIRECT("1:"&amp;LEN((--TRIM(RIGHT(SUBSTITUTE(LEFT(A470,_xlfn.AGGREGATE(16,6,FIND({0,1,2,3,4,5,6,7,8,9},A470,ROW(INDIRECT("1:"&amp;LEN(A470)))),1))," ",REPT(" ",LEN(A470))),LEN(A470))))))))+1, 1) * 10^ROW(INDIRECT("1:"&amp;LEN((--TRIM(RIGHT(SUBSTITUTE(LEFT(A470,_xlfn.AGGREGATE(16,6,FIND({0,1,2,3,4,5,6,7,8,9},A470,ROW(INDIRECT("1:"&amp;LEN(A470)))),1))," ",REPT(" ",LEN(A470))),LEN(A470)))))))/10))*1+1</f>
        <v>304 ,.., 1504</v>
      </c>
      <c r="B471" s="125"/>
      <c r="C471" s="31"/>
      <c r="D471" s="31"/>
      <c r="E471" s="31">
        <v>0</v>
      </c>
      <c r="F471" s="31">
        <f>D471*(($F$281)+1)+(IF(E471&lt;101,E471,IF(E471&lt;201,E471/2,IF(E471&lt;=301,E471/3,E471/4))))</f>
        <v>0</v>
      </c>
      <c r="G471" s="124" t="str">
        <f>G470</f>
        <v>3rd, 5th, 7th, 9th, 11th, 13th, 15th Floor</v>
      </c>
      <c r="H471" s="125"/>
      <c r="I471" s="25"/>
      <c r="N471" s="65"/>
      <c r="O471" s="65"/>
      <c r="P471" s="65"/>
    </row>
    <row r="472" spans="1:16" s="26" customFormat="1" ht="15.75" hidden="1" customHeight="1" x14ac:dyDescent="0.35">
      <c r="A472" s="124" t="str">
        <f ca="1">(SUMPRODUCT(MID(0&amp;(LEFT(A471,SUM(LEN(A471)-LEN(SUBSTITUTE(A471,{"0","1","2"},""))))), LARGE(INDEX(ISNUMBER(--MID((LEFT(A471,SUM(LEN(A471)-LEN(SUBSTITUTE(A471,{"0","1","2"},""))))), ROW(INDIRECT("1:"&amp;LEN((LEFT(A471,SUM(LEN(A471)-LEN(SUBSTITUTE(A471,{"0","1","2"},"")))))))), 1)) * ROW(INDIRECT("1:"&amp;LEN((LEFT(A471,SUM(LEN(A471)-LEN(SUBSTITUTE(A471,{"0","1","2"},"")))))))), 0), ROW(INDIRECT("1:"&amp;LEN((LEFT(A471,SUM(LEN(A471)-LEN(SUBSTITUTE(A471,{"0","1","2"},"")))))))))+1, 1) * 10^ROW(INDIRECT("1:"&amp;LEN((LEFT(A471,SUM(LEN(A471)-LEN(SUBSTITUTE(A471,{"0","1","2"},""))))))))/10))*1+1&amp;""&amp;" ,.., "&amp;""&amp;(SUMPRODUCT(MID(0&amp;(--TRIM(RIGHT(SUBSTITUTE(LEFT(A471,_xlfn.AGGREGATE(16,6,FIND({0,1,2,3,4,5,6,7,8,9},A471,ROW(INDIRECT("1:"&amp;LEN(A471)))),1))," ",REPT(" ",LEN(A471))),LEN(A471)))), LARGE(INDEX(ISNUMBER(--MID((--TRIM(RIGHT(SUBSTITUTE(LEFT(A471,_xlfn.AGGREGATE(16,6,FIND({0,1,2,3,4,5,6,7,8,9},A471,ROW(INDIRECT("1:"&amp;LEN(A471)))),1))," ",REPT(" ",LEN(A471))),LEN(A471)))), ROW(INDIRECT("1:"&amp;LEN((--TRIM(RIGHT(SUBSTITUTE(LEFT(A471,_xlfn.AGGREGATE(16,6,FIND({0,1,2,3,4,5,6,7,8,9},A471,ROW(INDIRECT("1:"&amp;LEN(A471)))),1))," ",REPT(" ",LEN(A471))),LEN(A471))))))), 1)) * ROW(INDIRECT("1:"&amp;LEN((--TRIM(RIGHT(SUBSTITUTE(LEFT(A471,_xlfn.AGGREGATE(16,6,FIND({0,1,2,3,4,5,6,7,8,9},A471,ROW(INDIRECT("1:"&amp;LEN(A471)))),1))," ",REPT(" ",LEN(A471))),LEN(A471))))))), 0), ROW(INDIRECT("1:"&amp;LEN((--TRIM(RIGHT(SUBSTITUTE(LEFT(A471,_xlfn.AGGREGATE(16,6,FIND({0,1,2,3,4,5,6,7,8,9},A471,ROW(INDIRECT("1:"&amp;LEN(A471)))),1))," ",REPT(" ",LEN(A471))),LEN(A471))))))))+1, 1) * 10^ROW(INDIRECT("1:"&amp;LEN((--TRIM(RIGHT(SUBSTITUTE(LEFT(A471,_xlfn.AGGREGATE(16,6,FIND({0,1,2,3,4,5,6,7,8,9},A471,ROW(INDIRECT("1:"&amp;LEN(A471)))),1))," ",REPT(" ",LEN(A471))),LEN(A471)))))))/10))*1+1</f>
        <v>305 ,.., 1505</v>
      </c>
      <c r="B472" s="125"/>
      <c r="C472" s="31"/>
      <c r="D472" s="31"/>
      <c r="E472" s="31">
        <v>0</v>
      </c>
      <c r="F472" s="31">
        <f>D472*(($F$281)+1)+(IF(E472&lt;101,E472,IF(E472&lt;201,E472/2,IF(E472&lt;=301,E472/3,E472/4))))</f>
        <v>0</v>
      </c>
      <c r="G472" s="124" t="str">
        <f>G471</f>
        <v>3rd, 5th, 7th, 9th, 11th, 13th, 15th Floor</v>
      </c>
      <c r="H472" s="125"/>
      <c r="I472" s="25"/>
      <c r="N472" s="65"/>
      <c r="O472" s="65"/>
      <c r="P472" s="65"/>
    </row>
    <row r="473" spans="1:16" s="26" customFormat="1" ht="15.75" hidden="1" customHeight="1" x14ac:dyDescent="0.35">
      <c r="A473" s="154" t="s">
        <v>120</v>
      </c>
      <c r="B473" s="155"/>
      <c r="C473" s="155"/>
      <c r="D473" s="155"/>
      <c r="E473" s="155"/>
      <c r="F473" s="155"/>
      <c r="G473" s="155"/>
      <c r="H473" s="156"/>
      <c r="I473" s="25"/>
      <c r="N473" s="65"/>
      <c r="O473" s="65"/>
      <c r="P473" s="65"/>
    </row>
    <row r="474" spans="1:16" s="26" customFormat="1" ht="15.75" hidden="1" customHeight="1" x14ac:dyDescent="0.35">
      <c r="A474" s="124" t="str">
        <f ca="1">(SUMPRODUCT(MID(0&amp;(LEFT(A473,SUM(LEN(A473)-LEN(SUBSTITUTE(A473,{"0","1","2"},""))))), LARGE(INDEX(ISNUMBER(--MID((LEFT(A473,SUM(LEN(A473)-LEN(SUBSTITUTE(A473,{"0","1","2"},""))))), ROW(INDIRECT("1:"&amp;LEN((LEFT(A473,SUM(LEN(A473)-LEN(SUBSTITUTE(A473,{"0","1","2"},"")))))))), 1)) * ROW(INDIRECT("1:"&amp;LEN((LEFT(A473,SUM(LEN(A473)-LEN(SUBSTITUTE(A473,{"0","1","2"},"")))))))), 0), ROW(INDIRECT("1:"&amp;LEN((LEFT(A473,SUM(LEN(A473)-LEN(SUBSTITUTE(A473,{"0","1","2"},"")))))))))+1, 1) * 10^ROW(INDIRECT("1:"&amp;LEN((LEFT(A473,SUM(LEN(A473)-LEN(SUBSTITUTE(A473,{"0","1","2"},""))))))))/10))*100+1&amp;""&amp;" to "&amp;""&amp;(SUMPRODUCT(MID(0&amp;(--TRIM(RIGHT(SUBSTITUTE(LEFT(A473,_xlfn.AGGREGATE(16,6,FIND({0,1,2,3,4,5,6,7,8,9},A473,ROW(INDIRECT("1:"&amp;LEN(A473)))),1))," ",REPT(" ",LEN(A473))),LEN(A473)))), LARGE(INDEX(ISNUMBER(--MID((--TRIM(RIGHT(SUBSTITUTE(LEFT(A473,_xlfn.AGGREGATE(16,6,FIND({0,1,2,3,4,5,6,7,8,9},A473,ROW(INDIRECT("1:"&amp;LEN(A473)))),1))," ",REPT(" ",LEN(A473))),LEN(A473)))), ROW(INDIRECT("1:"&amp;LEN((--TRIM(RIGHT(SUBSTITUTE(LEFT(A473,_xlfn.AGGREGATE(16,6,FIND({0,1,2,3,4,5,6,7,8,9},A473,ROW(INDIRECT("1:"&amp;LEN(A473)))),1))," ",REPT(" ",LEN(A473))),LEN(A473))))))), 1)) * ROW(INDIRECT("1:"&amp;LEN((--TRIM(RIGHT(SUBSTITUTE(LEFT(A473,_xlfn.AGGREGATE(16,6,FIND({0,1,2,3,4,5,6,7,8,9},A473,ROW(INDIRECT("1:"&amp;LEN(A473)))),1))," ",REPT(" ",LEN(A473))),LEN(A473))))))), 0), ROW(INDIRECT("1:"&amp;LEN((--TRIM(RIGHT(SUBSTITUTE(LEFT(A473,_xlfn.AGGREGATE(16,6,FIND({0,1,2,3,4,5,6,7,8,9},A473,ROW(INDIRECT("1:"&amp;LEN(A473)))),1))," ",REPT(" ",LEN(A473))),LEN(A473))))))))+1, 1) * 10^ROW(INDIRECT("1:"&amp;LEN((--TRIM(RIGHT(SUBSTITUTE(LEFT(A473,_xlfn.AGGREGATE(16,6,FIND({0,1,2,3,4,5,6,7,8,9},A473,ROW(INDIRECT("1:"&amp;LEN(A473)))),1))," ",REPT(" ",LEN(A473))),LEN(A473)))))))/10))*100+1</f>
        <v>201 to 501</v>
      </c>
      <c r="B474" s="125"/>
      <c r="C474" s="31"/>
      <c r="D474" s="31"/>
      <c r="E474" s="31">
        <v>0</v>
      </c>
      <c r="F474" s="31">
        <f>D474*(($F$281)+1)+(IF(E474&lt;101,E474,IF(E474&lt;201,E474/2,IF(E474&lt;=301,E474/3,E474/4))))</f>
        <v>0</v>
      </c>
      <c r="G474" s="124" t="str">
        <f>A473</f>
        <v>2nd to 5th Floor</v>
      </c>
      <c r="H474" s="125"/>
      <c r="I474" s="25"/>
      <c r="N474" s="65"/>
      <c r="O474" s="65"/>
      <c r="P474" s="65"/>
    </row>
    <row r="475" spans="1:16" s="26" customFormat="1" ht="15.75" hidden="1" customHeight="1" x14ac:dyDescent="0.35">
      <c r="A475" s="124" t="str">
        <f ca="1">(SUMPRODUCT(MID(0&amp;(LEFT(A474,SUM(LEN(A474)-LEN(SUBSTITUTE(A474,{"0","1","2"},""))))), LARGE(INDEX(ISNUMBER(--MID((LEFT(A474,SUM(LEN(A474)-LEN(SUBSTITUTE(A474,{"0","1","2"},""))))), ROW(INDIRECT("1:"&amp;LEN((LEFT(A474,SUM(LEN(A474)-LEN(SUBSTITUTE(A474,{"0","1","2"},"")))))))), 1)) * ROW(INDIRECT("1:"&amp;LEN((LEFT(A474,SUM(LEN(A474)-LEN(SUBSTITUTE(A474,{"0","1","2"},"")))))))), 0), ROW(INDIRECT("1:"&amp;LEN((LEFT(A474,SUM(LEN(A474)-LEN(SUBSTITUTE(A474,{"0","1","2"},"")))))))))+1, 1) * 10^ROW(INDIRECT("1:"&amp;LEN((LEFT(A474,SUM(LEN(A474)-LEN(SUBSTITUTE(A474,{"0","1","2"},""))))))))/10))*1+1&amp;""&amp;" to "&amp;""&amp;(SUMPRODUCT(MID(0&amp;(--TRIM(RIGHT(SUBSTITUTE(LEFT(A474,_xlfn.AGGREGATE(16,6,FIND({0,1,2,3,4,5,6,7,8,9},A474,ROW(INDIRECT("1:"&amp;LEN(A474)))),1))," ",REPT(" ",LEN(A474))),LEN(A474)))), LARGE(INDEX(ISNUMBER(--MID((--TRIM(RIGHT(SUBSTITUTE(LEFT(A474,_xlfn.AGGREGATE(16,6,FIND({0,1,2,3,4,5,6,7,8,9},A474,ROW(INDIRECT("1:"&amp;LEN(A474)))),1))," ",REPT(" ",LEN(A474))),LEN(A474)))), ROW(INDIRECT("1:"&amp;LEN((--TRIM(RIGHT(SUBSTITUTE(LEFT(A474,_xlfn.AGGREGATE(16,6,FIND({0,1,2,3,4,5,6,7,8,9},A474,ROW(INDIRECT("1:"&amp;LEN(A474)))),1))," ",REPT(" ",LEN(A474))),LEN(A474))))))), 1)) * ROW(INDIRECT("1:"&amp;LEN((--TRIM(RIGHT(SUBSTITUTE(LEFT(A474,_xlfn.AGGREGATE(16,6,FIND({0,1,2,3,4,5,6,7,8,9},A474,ROW(INDIRECT("1:"&amp;LEN(A474)))),1))," ",REPT(" ",LEN(A474))),LEN(A474))))))), 0), ROW(INDIRECT("1:"&amp;LEN((--TRIM(RIGHT(SUBSTITUTE(LEFT(A474,_xlfn.AGGREGATE(16,6,FIND({0,1,2,3,4,5,6,7,8,9},A474,ROW(INDIRECT("1:"&amp;LEN(A474)))),1))," ",REPT(" ",LEN(A474))),LEN(A474))))))))+1, 1) * 10^ROW(INDIRECT("1:"&amp;LEN((--TRIM(RIGHT(SUBSTITUTE(LEFT(A474,_xlfn.AGGREGATE(16,6,FIND({0,1,2,3,4,5,6,7,8,9},A474,ROW(INDIRECT("1:"&amp;LEN(A474)))),1))," ",REPT(" ",LEN(A474))),LEN(A474)))))))/10))*1+1</f>
        <v>202 to 502</v>
      </c>
      <c r="B475" s="125"/>
      <c r="C475" s="31"/>
      <c r="D475" s="31"/>
      <c r="E475" s="31">
        <v>0</v>
      </c>
      <c r="F475" s="31">
        <f>D475*(($F$281)+1)+(IF(E475&lt;101,E475,IF(E475&lt;201,E475/2,IF(E475&lt;=301,E475/3,E475/4))))</f>
        <v>0</v>
      </c>
      <c r="G475" s="124" t="str">
        <f>G474</f>
        <v>2nd to 5th Floor</v>
      </c>
      <c r="H475" s="125"/>
      <c r="I475" s="25"/>
      <c r="N475" s="65"/>
      <c r="O475" s="65"/>
      <c r="P475" s="65"/>
    </row>
    <row r="476" spans="1:16" s="26" customFormat="1" ht="15.75" hidden="1" customHeight="1" x14ac:dyDescent="0.35">
      <c r="A476" s="124" t="str">
        <f ca="1">(SUMPRODUCT(MID(0&amp;(LEFT(A475,SUM(LEN(A475)-LEN(SUBSTITUTE(A475,{"0","1","2"},""))))), LARGE(INDEX(ISNUMBER(--MID((LEFT(A475,SUM(LEN(A475)-LEN(SUBSTITUTE(A475,{"0","1","2"},""))))), ROW(INDIRECT("1:"&amp;LEN((LEFT(A475,SUM(LEN(A475)-LEN(SUBSTITUTE(A475,{"0","1","2"},"")))))))), 1)) * ROW(INDIRECT("1:"&amp;LEN((LEFT(A475,SUM(LEN(A475)-LEN(SUBSTITUTE(A475,{"0","1","2"},"")))))))), 0), ROW(INDIRECT("1:"&amp;LEN((LEFT(A475,SUM(LEN(A475)-LEN(SUBSTITUTE(A475,{"0","1","2"},"")))))))))+1, 1) * 10^ROW(INDIRECT("1:"&amp;LEN((LEFT(A475,SUM(LEN(A475)-LEN(SUBSTITUTE(A475,{"0","1","2"},""))))))))/10))*1+1&amp;""&amp;" to "&amp;""&amp;(SUMPRODUCT(MID(0&amp;(--TRIM(RIGHT(SUBSTITUTE(LEFT(A475,_xlfn.AGGREGATE(16,6,FIND({0,1,2,3,4,5,6,7,8,9},A475,ROW(INDIRECT("1:"&amp;LEN(A475)))),1))," ",REPT(" ",LEN(A475))),LEN(A475)))), LARGE(INDEX(ISNUMBER(--MID((--TRIM(RIGHT(SUBSTITUTE(LEFT(A475,_xlfn.AGGREGATE(16,6,FIND({0,1,2,3,4,5,6,7,8,9},A475,ROW(INDIRECT("1:"&amp;LEN(A475)))),1))," ",REPT(" ",LEN(A475))),LEN(A475)))), ROW(INDIRECT("1:"&amp;LEN((--TRIM(RIGHT(SUBSTITUTE(LEFT(A475,_xlfn.AGGREGATE(16,6,FIND({0,1,2,3,4,5,6,7,8,9},A475,ROW(INDIRECT("1:"&amp;LEN(A475)))),1))," ",REPT(" ",LEN(A475))),LEN(A475))))))), 1)) * ROW(INDIRECT("1:"&amp;LEN((--TRIM(RIGHT(SUBSTITUTE(LEFT(A475,_xlfn.AGGREGATE(16,6,FIND({0,1,2,3,4,5,6,7,8,9},A475,ROW(INDIRECT("1:"&amp;LEN(A475)))),1))," ",REPT(" ",LEN(A475))),LEN(A475))))))), 0), ROW(INDIRECT("1:"&amp;LEN((--TRIM(RIGHT(SUBSTITUTE(LEFT(A475,_xlfn.AGGREGATE(16,6,FIND({0,1,2,3,4,5,6,7,8,9},A475,ROW(INDIRECT("1:"&amp;LEN(A475)))),1))," ",REPT(" ",LEN(A475))),LEN(A475))))))))+1, 1) * 10^ROW(INDIRECT("1:"&amp;LEN((--TRIM(RIGHT(SUBSTITUTE(LEFT(A475,_xlfn.AGGREGATE(16,6,FIND({0,1,2,3,4,5,6,7,8,9},A475,ROW(INDIRECT("1:"&amp;LEN(A475)))),1))," ",REPT(" ",LEN(A475))),LEN(A475)))))))/10))*1+1</f>
        <v>203 to 503</v>
      </c>
      <c r="B476" s="125"/>
      <c r="C476" s="31"/>
      <c r="D476" s="31"/>
      <c r="E476" s="31">
        <v>0</v>
      </c>
      <c r="F476" s="31">
        <f>D476*(($F$281)+1)+(IF(E476&lt;101,E476,IF(E476&lt;201,E476/2,IF(E476&lt;=301,E476/3,E476/4))))</f>
        <v>0</v>
      </c>
      <c r="G476" s="124" t="str">
        <f>G475</f>
        <v>2nd to 5th Floor</v>
      </c>
      <c r="H476" s="125"/>
      <c r="I476" s="25"/>
      <c r="N476" s="65"/>
      <c r="O476" s="65"/>
      <c r="P476" s="65"/>
    </row>
    <row r="477" spans="1:16" s="26" customFormat="1" ht="15.75" hidden="1" customHeight="1" x14ac:dyDescent="0.35">
      <c r="A477" s="124" t="str">
        <f ca="1">(SUMPRODUCT(MID(0&amp;(LEFT(A476,SUM(LEN(A476)-LEN(SUBSTITUTE(A476,{"0","1","2"},""))))), LARGE(INDEX(ISNUMBER(--MID((LEFT(A476,SUM(LEN(A476)-LEN(SUBSTITUTE(A476,{"0","1","2"},""))))), ROW(INDIRECT("1:"&amp;LEN((LEFT(A476,SUM(LEN(A476)-LEN(SUBSTITUTE(A476,{"0","1","2"},"")))))))), 1)) * ROW(INDIRECT("1:"&amp;LEN((LEFT(A476,SUM(LEN(A476)-LEN(SUBSTITUTE(A476,{"0","1","2"},"")))))))), 0), ROW(INDIRECT("1:"&amp;LEN((LEFT(A476,SUM(LEN(A476)-LEN(SUBSTITUTE(A476,{"0","1","2"},"")))))))))+1, 1) * 10^ROW(INDIRECT("1:"&amp;LEN((LEFT(A476,SUM(LEN(A476)-LEN(SUBSTITUTE(A476,{"0","1","2"},""))))))))/10))*1+1&amp;""&amp;" to "&amp;""&amp;(SUMPRODUCT(MID(0&amp;(--TRIM(RIGHT(SUBSTITUTE(LEFT(A476,_xlfn.AGGREGATE(16,6,FIND({0,1,2,3,4,5,6,7,8,9},A476,ROW(INDIRECT("1:"&amp;LEN(A476)))),1))," ",REPT(" ",LEN(A476))),LEN(A476)))), LARGE(INDEX(ISNUMBER(--MID((--TRIM(RIGHT(SUBSTITUTE(LEFT(A476,_xlfn.AGGREGATE(16,6,FIND({0,1,2,3,4,5,6,7,8,9},A476,ROW(INDIRECT("1:"&amp;LEN(A476)))),1))," ",REPT(" ",LEN(A476))),LEN(A476)))), ROW(INDIRECT("1:"&amp;LEN((--TRIM(RIGHT(SUBSTITUTE(LEFT(A476,_xlfn.AGGREGATE(16,6,FIND({0,1,2,3,4,5,6,7,8,9},A476,ROW(INDIRECT("1:"&amp;LEN(A476)))),1))," ",REPT(" ",LEN(A476))),LEN(A476))))))), 1)) * ROW(INDIRECT("1:"&amp;LEN((--TRIM(RIGHT(SUBSTITUTE(LEFT(A476,_xlfn.AGGREGATE(16,6,FIND({0,1,2,3,4,5,6,7,8,9},A476,ROW(INDIRECT("1:"&amp;LEN(A476)))),1))," ",REPT(" ",LEN(A476))),LEN(A476))))))), 0), ROW(INDIRECT("1:"&amp;LEN((--TRIM(RIGHT(SUBSTITUTE(LEFT(A476,_xlfn.AGGREGATE(16,6,FIND({0,1,2,3,4,5,6,7,8,9},A476,ROW(INDIRECT("1:"&amp;LEN(A476)))),1))," ",REPT(" ",LEN(A476))),LEN(A476))))))))+1, 1) * 10^ROW(INDIRECT("1:"&amp;LEN((--TRIM(RIGHT(SUBSTITUTE(LEFT(A476,_xlfn.AGGREGATE(16,6,FIND({0,1,2,3,4,5,6,7,8,9},A476,ROW(INDIRECT("1:"&amp;LEN(A476)))),1))," ",REPT(" ",LEN(A476))),LEN(A476)))))))/10))*1+1</f>
        <v>204 to 504</v>
      </c>
      <c r="B477" s="125"/>
      <c r="C477" s="31"/>
      <c r="D477" s="31"/>
      <c r="E477" s="31">
        <v>0</v>
      </c>
      <c r="F477" s="31">
        <f>D477*(($F$281)+1)+(IF(E477&lt;101,E477,IF(E477&lt;201,E477/2,IF(E477&lt;=301,E477/3,E477/4))))</f>
        <v>0</v>
      </c>
      <c r="G477" s="124" t="str">
        <f>G476</f>
        <v>2nd to 5th Floor</v>
      </c>
      <c r="H477" s="125"/>
      <c r="I477" s="25"/>
      <c r="N477" s="65"/>
      <c r="O477" s="65"/>
      <c r="P477" s="65"/>
    </row>
    <row r="478" spans="1:16" s="26" customFormat="1" ht="15.75" hidden="1" customHeight="1" x14ac:dyDescent="0.35">
      <c r="A478" s="124" t="str">
        <f ca="1">(SUMPRODUCT(MID(0&amp;(LEFT(A477,SUM(LEN(A477)-LEN(SUBSTITUTE(A477,{"0","1","2"},""))))), LARGE(INDEX(ISNUMBER(--MID((LEFT(A477,SUM(LEN(A477)-LEN(SUBSTITUTE(A477,{"0","1","2"},""))))), ROW(INDIRECT("1:"&amp;LEN((LEFT(A477,SUM(LEN(A477)-LEN(SUBSTITUTE(A477,{"0","1","2"},"")))))))), 1)) * ROW(INDIRECT("1:"&amp;LEN((LEFT(A477,SUM(LEN(A477)-LEN(SUBSTITUTE(A477,{"0","1","2"},"")))))))), 0), ROW(INDIRECT("1:"&amp;LEN((LEFT(A477,SUM(LEN(A477)-LEN(SUBSTITUTE(A477,{"0","1","2"},"")))))))))+1, 1) * 10^ROW(INDIRECT("1:"&amp;LEN((LEFT(A477,SUM(LEN(A477)-LEN(SUBSTITUTE(A477,{"0","1","2"},""))))))))/10))*1+1&amp;""&amp;" to "&amp;""&amp;(SUMPRODUCT(MID(0&amp;(--TRIM(RIGHT(SUBSTITUTE(LEFT(A477,_xlfn.AGGREGATE(16,6,FIND({0,1,2,3,4,5,6,7,8,9},A477,ROW(INDIRECT("1:"&amp;LEN(A477)))),1))," ",REPT(" ",LEN(A477))),LEN(A477)))), LARGE(INDEX(ISNUMBER(--MID((--TRIM(RIGHT(SUBSTITUTE(LEFT(A477,_xlfn.AGGREGATE(16,6,FIND({0,1,2,3,4,5,6,7,8,9},A477,ROW(INDIRECT("1:"&amp;LEN(A477)))),1))," ",REPT(" ",LEN(A477))),LEN(A477)))), ROW(INDIRECT("1:"&amp;LEN((--TRIM(RIGHT(SUBSTITUTE(LEFT(A477,_xlfn.AGGREGATE(16,6,FIND({0,1,2,3,4,5,6,7,8,9},A477,ROW(INDIRECT("1:"&amp;LEN(A477)))),1))," ",REPT(" ",LEN(A477))),LEN(A477))))))), 1)) * ROW(INDIRECT("1:"&amp;LEN((--TRIM(RIGHT(SUBSTITUTE(LEFT(A477,_xlfn.AGGREGATE(16,6,FIND({0,1,2,3,4,5,6,7,8,9},A477,ROW(INDIRECT("1:"&amp;LEN(A477)))),1))," ",REPT(" ",LEN(A477))),LEN(A477))))))), 0), ROW(INDIRECT("1:"&amp;LEN((--TRIM(RIGHT(SUBSTITUTE(LEFT(A477,_xlfn.AGGREGATE(16,6,FIND({0,1,2,3,4,5,6,7,8,9},A477,ROW(INDIRECT("1:"&amp;LEN(A477)))),1))," ",REPT(" ",LEN(A477))),LEN(A477))))))))+1, 1) * 10^ROW(INDIRECT("1:"&amp;LEN((--TRIM(RIGHT(SUBSTITUTE(LEFT(A477,_xlfn.AGGREGATE(16,6,FIND({0,1,2,3,4,5,6,7,8,9},A477,ROW(INDIRECT("1:"&amp;LEN(A477)))),1))," ",REPT(" ",LEN(A477))),LEN(A477)))))))/10))*1+1</f>
        <v>205 to 505</v>
      </c>
      <c r="B478" s="125"/>
      <c r="C478" s="31"/>
      <c r="D478" s="31"/>
      <c r="E478" s="31">
        <v>0</v>
      </c>
      <c r="F478" s="31">
        <f>D478*(($F$281)+1)+(IF(E478&lt;101,E478,IF(E478&lt;201,E478/2,IF(E478&lt;=301,E478/3,E478/4))))</f>
        <v>0</v>
      </c>
      <c r="G478" s="124" t="str">
        <f>G477</f>
        <v>2nd to 5th Floor</v>
      </c>
      <c r="H478" s="125"/>
      <c r="I478" s="25"/>
      <c r="N478" s="65"/>
      <c r="O478" s="65"/>
      <c r="P478" s="65"/>
    </row>
    <row r="479" spans="1:16" s="26" customFormat="1" ht="15.75" hidden="1" customHeight="1" x14ac:dyDescent="0.35">
      <c r="A479" s="154" t="s">
        <v>121</v>
      </c>
      <c r="B479" s="155"/>
      <c r="C479" s="155"/>
      <c r="D479" s="155"/>
      <c r="E479" s="155"/>
      <c r="F479" s="155"/>
      <c r="G479" s="155"/>
      <c r="H479" s="156"/>
      <c r="I479" s="25"/>
      <c r="N479" s="65"/>
      <c r="O479" s="65"/>
      <c r="P479" s="65"/>
    </row>
    <row r="480" spans="1:16" s="26" customFormat="1" ht="15.75" hidden="1" customHeight="1" x14ac:dyDescent="0.35">
      <c r="A480" s="124" t="str">
        <f ca="1">(SUMPRODUCT(MID(0&amp;(LEFT(A479,SUM(LEN(A479)-LEN(SUBSTITUTE(A479,{"0","1","2"},""))))), LARGE(INDEX(ISNUMBER(--MID((LEFT(A479,SUM(LEN(A479)-LEN(SUBSTITUTE(A479,{"0","1","2"},""))))), ROW(INDIRECT("1:"&amp;LEN((LEFT(A479,SUM(LEN(A479)-LEN(SUBSTITUTE(A479,{"0","1","2"},"")))))))), 1)) * ROW(INDIRECT("1:"&amp;LEN((LEFT(A479,SUM(LEN(A479)-LEN(SUBSTITUTE(A479,{"0","1","2"},"")))))))), 0), ROW(INDIRECT("1:"&amp;LEN((LEFT(A479,SUM(LEN(A479)-LEN(SUBSTITUTE(A479,{"0","1","2"},"")))))))))+1, 1) * 10^ROW(INDIRECT("1:"&amp;LEN((LEFT(A479,SUM(LEN(A479)-LEN(SUBSTITUTE(A479,{"0","1","2"},""))))))))/10))*100+1&amp;""&amp;" &amp; "&amp;""&amp;(SUMPRODUCT(MID(0&amp;(--TRIM(RIGHT(SUBSTITUTE(LEFT(A479,_xlfn.AGGREGATE(16,6,FIND({0,1,2,3,4,5,6,7,8,9},A479,ROW(INDIRECT("1:"&amp;LEN(A479)))),1))," ",REPT(" ",LEN(A479))),LEN(A479)))), LARGE(INDEX(ISNUMBER(--MID((--TRIM(RIGHT(SUBSTITUTE(LEFT(A479,_xlfn.AGGREGATE(16,6,FIND({0,1,2,3,4,5,6,7,8,9},A479,ROW(INDIRECT("1:"&amp;LEN(A479)))),1))," ",REPT(" ",LEN(A479))),LEN(A479)))), ROW(INDIRECT("1:"&amp;LEN((--TRIM(RIGHT(SUBSTITUTE(LEFT(A479,_xlfn.AGGREGATE(16,6,FIND({0,1,2,3,4,5,6,7,8,9},A479,ROW(INDIRECT("1:"&amp;LEN(A479)))),1))," ",REPT(" ",LEN(A479))),LEN(A479))))))), 1)) * ROW(INDIRECT("1:"&amp;LEN((--TRIM(RIGHT(SUBSTITUTE(LEFT(A479,_xlfn.AGGREGATE(16,6,FIND({0,1,2,3,4,5,6,7,8,9},A479,ROW(INDIRECT("1:"&amp;LEN(A479)))),1))," ",REPT(" ",LEN(A479))),LEN(A479))))))), 0), ROW(INDIRECT("1:"&amp;LEN((--TRIM(RIGHT(SUBSTITUTE(LEFT(A479,_xlfn.AGGREGATE(16,6,FIND({0,1,2,3,4,5,6,7,8,9},A479,ROW(INDIRECT("1:"&amp;LEN(A479)))),1))," ",REPT(" ",LEN(A479))),LEN(A479))))))))+1, 1) * 10^ROW(INDIRECT("1:"&amp;LEN((--TRIM(RIGHT(SUBSTITUTE(LEFT(A479,_xlfn.AGGREGATE(16,6,FIND({0,1,2,3,4,5,6,7,8,9},A479,ROW(INDIRECT("1:"&amp;LEN(A479)))),1))," ",REPT(" ",LEN(A479))),LEN(A479)))))))/10))*100+1</f>
        <v>201 &amp; 501</v>
      </c>
      <c r="B480" s="125"/>
      <c r="C480" s="31"/>
      <c r="D480" s="31"/>
      <c r="E480" s="31">
        <v>0</v>
      </c>
      <c r="F480" s="31">
        <f>D480*(($F$281)+1)+(IF(E480&lt;101,E480,IF(E480&lt;201,E480/2,IF(E480&lt;=301,E480/3,E480/4))))</f>
        <v>0</v>
      </c>
      <c r="G480" s="124" t="str">
        <f>A479</f>
        <v>2nd &amp; 5th Floor</v>
      </c>
      <c r="H480" s="125"/>
      <c r="I480" s="25"/>
      <c r="N480" s="65"/>
      <c r="O480" s="65"/>
      <c r="P480" s="65"/>
    </row>
    <row r="481" spans="1:16" s="26" customFormat="1" ht="15.75" hidden="1" customHeight="1" x14ac:dyDescent="0.35">
      <c r="A481" s="124" t="str">
        <f ca="1">(SUMPRODUCT(MID(0&amp;(LEFT(A480,SUM(LEN(A480)-LEN(SUBSTITUTE(A480,{"0","1","2"},""))))), LARGE(INDEX(ISNUMBER(--MID((LEFT(A480,SUM(LEN(A480)-LEN(SUBSTITUTE(A480,{"0","1","2"},""))))), ROW(INDIRECT("1:"&amp;LEN((LEFT(A480,SUM(LEN(A480)-LEN(SUBSTITUTE(A480,{"0","1","2"},"")))))))), 1)) * ROW(INDIRECT("1:"&amp;LEN((LEFT(A480,SUM(LEN(A480)-LEN(SUBSTITUTE(A480,{"0","1","2"},"")))))))), 0), ROW(INDIRECT("1:"&amp;LEN((LEFT(A480,SUM(LEN(A480)-LEN(SUBSTITUTE(A480,{"0","1","2"},"")))))))))+1, 1) * 10^ROW(INDIRECT("1:"&amp;LEN((LEFT(A480,SUM(LEN(A480)-LEN(SUBSTITUTE(A480,{"0","1","2"},""))))))))/10))*1+1&amp;""&amp;" &amp; "&amp;""&amp;(SUMPRODUCT(MID(0&amp;(--TRIM(RIGHT(SUBSTITUTE(LEFT(A480,_xlfn.AGGREGATE(16,6,FIND({0,1,2,3,4,5,6,7,8,9},A480,ROW(INDIRECT("1:"&amp;LEN(A480)))),1))," ",REPT(" ",LEN(A480))),LEN(A480)))), LARGE(INDEX(ISNUMBER(--MID((--TRIM(RIGHT(SUBSTITUTE(LEFT(A480,_xlfn.AGGREGATE(16,6,FIND({0,1,2,3,4,5,6,7,8,9},A480,ROW(INDIRECT("1:"&amp;LEN(A480)))),1))," ",REPT(" ",LEN(A480))),LEN(A480)))), ROW(INDIRECT("1:"&amp;LEN((--TRIM(RIGHT(SUBSTITUTE(LEFT(A480,_xlfn.AGGREGATE(16,6,FIND({0,1,2,3,4,5,6,7,8,9},A480,ROW(INDIRECT("1:"&amp;LEN(A480)))),1))," ",REPT(" ",LEN(A480))),LEN(A480))))))), 1)) * ROW(INDIRECT("1:"&amp;LEN((--TRIM(RIGHT(SUBSTITUTE(LEFT(A480,_xlfn.AGGREGATE(16,6,FIND({0,1,2,3,4,5,6,7,8,9},A480,ROW(INDIRECT("1:"&amp;LEN(A480)))),1))," ",REPT(" ",LEN(A480))),LEN(A480))))))), 0), ROW(INDIRECT("1:"&amp;LEN((--TRIM(RIGHT(SUBSTITUTE(LEFT(A480,_xlfn.AGGREGATE(16,6,FIND({0,1,2,3,4,5,6,7,8,9},A480,ROW(INDIRECT("1:"&amp;LEN(A480)))),1))," ",REPT(" ",LEN(A480))),LEN(A480))))))))+1, 1) * 10^ROW(INDIRECT("1:"&amp;LEN((--TRIM(RIGHT(SUBSTITUTE(LEFT(A480,_xlfn.AGGREGATE(16,6,FIND({0,1,2,3,4,5,6,7,8,9},A480,ROW(INDIRECT("1:"&amp;LEN(A480)))),1))," ",REPT(" ",LEN(A480))),LEN(A480)))))))/10))*1+1</f>
        <v>202 &amp; 502</v>
      </c>
      <c r="B481" s="125"/>
      <c r="C481" s="31"/>
      <c r="D481" s="31"/>
      <c r="E481" s="31">
        <v>0</v>
      </c>
      <c r="F481" s="31">
        <f>D481*(($F$281)+1)+(IF(E481&lt;101,E481,IF(E481&lt;201,E481/2,IF(E481&lt;=301,E481/3,E481/4))))</f>
        <v>0</v>
      </c>
      <c r="G481" s="124" t="str">
        <f>G480</f>
        <v>2nd &amp; 5th Floor</v>
      </c>
      <c r="H481" s="125"/>
      <c r="I481" s="25"/>
      <c r="N481" s="65"/>
      <c r="O481" s="65"/>
      <c r="P481" s="65"/>
    </row>
    <row r="482" spans="1:16" s="26" customFormat="1" ht="15.75" hidden="1" customHeight="1" x14ac:dyDescent="0.35">
      <c r="A482" s="124" t="str">
        <f ca="1">(SUMPRODUCT(MID(0&amp;(LEFT(A481,SUM(LEN(A481)-LEN(SUBSTITUTE(A481,{"0","1","2"},""))))), LARGE(INDEX(ISNUMBER(--MID((LEFT(A481,SUM(LEN(A481)-LEN(SUBSTITUTE(A481,{"0","1","2"},""))))), ROW(INDIRECT("1:"&amp;LEN((LEFT(A481,SUM(LEN(A481)-LEN(SUBSTITUTE(A481,{"0","1","2"},"")))))))), 1)) * ROW(INDIRECT("1:"&amp;LEN((LEFT(A481,SUM(LEN(A481)-LEN(SUBSTITUTE(A481,{"0","1","2"},"")))))))), 0), ROW(INDIRECT("1:"&amp;LEN((LEFT(A481,SUM(LEN(A481)-LEN(SUBSTITUTE(A481,{"0","1","2"},"")))))))))+1, 1) * 10^ROW(INDIRECT("1:"&amp;LEN((LEFT(A481,SUM(LEN(A481)-LEN(SUBSTITUTE(A481,{"0","1","2"},""))))))))/10))*1+1&amp;""&amp;" &amp; "&amp;""&amp;(SUMPRODUCT(MID(0&amp;(--TRIM(RIGHT(SUBSTITUTE(LEFT(A481,_xlfn.AGGREGATE(16,6,FIND({0,1,2,3,4,5,6,7,8,9},A481,ROW(INDIRECT("1:"&amp;LEN(A481)))),1))," ",REPT(" ",LEN(A481))),LEN(A481)))), LARGE(INDEX(ISNUMBER(--MID((--TRIM(RIGHT(SUBSTITUTE(LEFT(A481,_xlfn.AGGREGATE(16,6,FIND({0,1,2,3,4,5,6,7,8,9},A481,ROW(INDIRECT("1:"&amp;LEN(A481)))),1))," ",REPT(" ",LEN(A481))),LEN(A481)))), ROW(INDIRECT("1:"&amp;LEN((--TRIM(RIGHT(SUBSTITUTE(LEFT(A481,_xlfn.AGGREGATE(16,6,FIND({0,1,2,3,4,5,6,7,8,9},A481,ROW(INDIRECT("1:"&amp;LEN(A481)))),1))," ",REPT(" ",LEN(A481))),LEN(A481))))))), 1)) * ROW(INDIRECT("1:"&amp;LEN((--TRIM(RIGHT(SUBSTITUTE(LEFT(A481,_xlfn.AGGREGATE(16,6,FIND({0,1,2,3,4,5,6,7,8,9},A481,ROW(INDIRECT("1:"&amp;LEN(A481)))),1))," ",REPT(" ",LEN(A481))),LEN(A481))))))), 0), ROW(INDIRECT("1:"&amp;LEN((--TRIM(RIGHT(SUBSTITUTE(LEFT(A481,_xlfn.AGGREGATE(16,6,FIND({0,1,2,3,4,5,6,7,8,9},A481,ROW(INDIRECT("1:"&amp;LEN(A481)))),1))," ",REPT(" ",LEN(A481))),LEN(A481))))))))+1, 1) * 10^ROW(INDIRECT("1:"&amp;LEN((--TRIM(RIGHT(SUBSTITUTE(LEFT(A481,_xlfn.AGGREGATE(16,6,FIND({0,1,2,3,4,5,6,7,8,9},A481,ROW(INDIRECT("1:"&amp;LEN(A481)))),1))," ",REPT(" ",LEN(A481))),LEN(A481)))))))/10))*1+1</f>
        <v>203 &amp; 503</v>
      </c>
      <c r="B482" s="125"/>
      <c r="C482" s="31"/>
      <c r="D482" s="31"/>
      <c r="E482" s="31">
        <v>0</v>
      </c>
      <c r="F482" s="31">
        <f>D482*(($F$281)+1)+(IF(E482&lt;101,E482,IF(E482&lt;201,E482/2,IF(E482&lt;=301,E482/3,E482/4))))</f>
        <v>0</v>
      </c>
      <c r="G482" s="124" t="str">
        <f>G481</f>
        <v>2nd &amp; 5th Floor</v>
      </c>
      <c r="H482" s="125"/>
      <c r="I482" s="25"/>
      <c r="N482" s="65"/>
      <c r="O482" s="65"/>
      <c r="P482" s="65"/>
    </row>
    <row r="483" spans="1:16" s="26" customFormat="1" ht="15.75" hidden="1" customHeight="1" x14ac:dyDescent="0.35">
      <c r="A483" s="124" t="str">
        <f ca="1">(SUMPRODUCT(MID(0&amp;(LEFT(A482,SUM(LEN(A482)-LEN(SUBSTITUTE(A482,{"0","1","2"},""))))), LARGE(INDEX(ISNUMBER(--MID((LEFT(A482,SUM(LEN(A482)-LEN(SUBSTITUTE(A482,{"0","1","2"},""))))), ROW(INDIRECT("1:"&amp;LEN((LEFT(A482,SUM(LEN(A482)-LEN(SUBSTITUTE(A482,{"0","1","2"},"")))))))), 1)) * ROW(INDIRECT("1:"&amp;LEN((LEFT(A482,SUM(LEN(A482)-LEN(SUBSTITUTE(A482,{"0","1","2"},"")))))))), 0), ROW(INDIRECT("1:"&amp;LEN((LEFT(A482,SUM(LEN(A482)-LEN(SUBSTITUTE(A482,{"0","1","2"},"")))))))))+1, 1) * 10^ROW(INDIRECT("1:"&amp;LEN((LEFT(A482,SUM(LEN(A482)-LEN(SUBSTITUTE(A482,{"0","1","2"},""))))))))/10))*1+1&amp;""&amp;" &amp; "&amp;""&amp;(SUMPRODUCT(MID(0&amp;(--TRIM(RIGHT(SUBSTITUTE(LEFT(A482,_xlfn.AGGREGATE(16,6,FIND({0,1,2,3,4,5,6,7,8,9},A482,ROW(INDIRECT("1:"&amp;LEN(A482)))),1))," ",REPT(" ",LEN(A482))),LEN(A482)))), LARGE(INDEX(ISNUMBER(--MID((--TRIM(RIGHT(SUBSTITUTE(LEFT(A482,_xlfn.AGGREGATE(16,6,FIND({0,1,2,3,4,5,6,7,8,9},A482,ROW(INDIRECT("1:"&amp;LEN(A482)))),1))," ",REPT(" ",LEN(A482))),LEN(A482)))), ROW(INDIRECT("1:"&amp;LEN((--TRIM(RIGHT(SUBSTITUTE(LEFT(A482,_xlfn.AGGREGATE(16,6,FIND({0,1,2,3,4,5,6,7,8,9},A482,ROW(INDIRECT("1:"&amp;LEN(A482)))),1))," ",REPT(" ",LEN(A482))),LEN(A482))))))), 1)) * ROW(INDIRECT("1:"&amp;LEN((--TRIM(RIGHT(SUBSTITUTE(LEFT(A482,_xlfn.AGGREGATE(16,6,FIND({0,1,2,3,4,5,6,7,8,9},A482,ROW(INDIRECT("1:"&amp;LEN(A482)))),1))," ",REPT(" ",LEN(A482))),LEN(A482))))))), 0), ROW(INDIRECT("1:"&amp;LEN((--TRIM(RIGHT(SUBSTITUTE(LEFT(A482,_xlfn.AGGREGATE(16,6,FIND({0,1,2,3,4,5,6,7,8,9},A482,ROW(INDIRECT("1:"&amp;LEN(A482)))),1))," ",REPT(" ",LEN(A482))),LEN(A482))))))))+1, 1) * 10^ROW(INDIRECT("1:"&amp;LEN((--TRIM(RIGHT(SUBSTITUTE(LEFT(A482,_xlfn.AGGREGATE(16,6,FIND({0,1,2,3,4,5,6,7,8,9},A482,ROW(INDIRECT("1:"&amp;LEN(A482)))),1))," ",REPT(" ",LEN(A482))),LEN(A482)))))))/10))*1+1</f>
        <v>204 &amp; 504</v>
      </c>
      <c r="B483" s="125"/>
      <c r="C483" s="31"/>
      <c r="D483" s="31"/>
      <c r="E483" s="31">
        <v>0</v>
      </c>
      <c r="F483" s="31">
        <f>D483*(($F$281)+1)+(IF(E483&lt;101,E483,IF(E483&lt;201,E483/2,IF(E483&lt;=301,E483/3,E483/4))))</f>
        <v>0</v>
      </c>
      <c r="G483" s="124" t="str">
        <f>G482</f>
        <v>2nd &amp; 5th Floor</v>
      </c>
      <c r="H483" s="125"/>
      <c r="I483" s="25"/>
      <c r="N483" s="65"/>
      <c r="O483" s="65"/>
      <c r="P483" s="65"/>
    </row>
    <row r="484" spans="1:16" s="26" customFormat="1" ht="15.75" hidden="1" customHeight="1" x14ac:dyDescent="0.35">
      <c r="A484" s="124" t="str">
        <f ca="1">(SUMPRODUCT(MID(0&amp;(LEFT(A483,SUM(LEN(A483)-LEN(SUBSTITUTE(A483,{"0","1","2"},""))))), LARGE(INDEX(ISNUMBER(--MID((LEFT(A483,SUM(LEN(A483)-LEN(SUBSTITUTE(A483,{"0","1","2"},""))))), ROW(INDIRECT("1:"&amp;LEN((LEFT(A483,SUM(LEN(A483)-LEN(SUBSTITUTE(A483,{"0","1","2"},"")))))))), 1)) * ROW(INDIRECT("1:"&amp;LEN((LEFT(A483,SUM(LEN(A483)-LEN(SUBSTITUTE(A483,{"0","1","2"},"")))))))), 0), ROW(INDIRECT("1:"&amp;LEN((LEFT(A483,SUM(LEN(A483)-LEN(SUBSTITUTE(A483,{"0","1","2"},"")))))))))+1, 1) * 10^ROW(INDIRECT("1:"&amp;LEN((LEFT(A483,SUM(LEN(A483)-LEN(SUBSTITUTE(A483,{"0","1","2"},""))))))))/10))*1+1&amp;""&amp;" &amp; "&amp;""&amp;(SUMPRODUCT(MID(0&amp;(--TRIM(RIGHT(SUBSTITUTE(LEFT(A483,_xlfn.AGGREGATE(16,6,FIND({0,1,2,3,4,5,6,7,8,9},A483,ROW(INDIRECT("1:"&amp;LEN(A483)))),1))," ",REPT(" ",LEN(A483))),LEN(A483)))), LARGE(INDEX(ISNUMBER(--MID((--TRIM(RIGHT(SUBSTITUTE(LEFT(A483,_xlfn.AGGREGATE(16,6,FIND({0,1,2,3,4,5,6,7,8,9},A483,ROW(INDIRECT("1:"&amp;LEN(A483)))),1))," ",REPT(" ",LEN(A483))),LEN(A483)))), ROW(INDIRECT("1:"&amp;LEN((--TRIM(RIGHT(SUBSTITUTE(LEFT(A483,_xlfn.AGGREGATE(16,6,FIND({0,1,2,3,4,5,6,7,8,9},A483,ROW(INDIRECT("1:"&amp;LEN(A483)))),1))," ",REPT(" ",LEN(A483))),LEN(A483))))))), 1)) * ROW(INDIRECT("1:"&amp;LEN((--TRIM(RIGHT(SUBSTITUTE(LEFT(A483,_xlfn.AGGREGATE(16,6,FIND({0,1,2,3,4,5,6,7,8,9},A483,ROW(INDIRECT("1:"&amp;LEN(A483)))),1))," ",REPT(" ",LEN(A483))),LEN(A483))))))), 0), ROW(INDIRECT("1:"&amp;LEN((--TRIM(RIGHT(SUBSTITUTE(LEFT(A483,_xlfn.AGGREGATE(16,6,FIND({0,1,2,3,4,5,6,7,8,9},A483,ROW(INDIRECT("1:"&amp;LEN(A483)))),1))," ",REPT(" ",LEN(A483))),LEN(A483))))))))+1, 1) * 10^ROW(INDIRECT("1:"&amp;LEN((--TRIM(RIGHT(SUBSTITUTE(LEFT(A483,_xlfn.AGGREGATE(16,6,FIND({0,1,2,3,4,5,6,7,8,9},A483,ROW(INDIRECT("1:"&amp;LEN(A483)))),1))," ",REPT(" ",LEN(A483))),LEN(A483)))))))/10))*1+1</f>
        <v>205 &amp; 505</v>
      </c>
      <c r="B484" s="125"/>
      <c r="C484" s="31"/>
      <c r="D484" s="31"/>
      <c r="E484" s="31">
        <v>0</v>
      </c>
      <c r="F484" s="31">
        <f>D484*(($F$281)+1)+(IF(E484&lt;101,E484,IF(E484&lt;201,E484/2,IF(E484&lt;=301,E484/3,E484/4))))</f>
        <v>0</v>
      </c>
      <c r="G484" s="124" t="str">
        <f>G483</f>
        <v>2nd &amp; 5th Floor</v>
      </c>
      <c r="H484" s="125"/>
      <c r="I484" s="25"/>
      <c r="N484" s="65"/>
      <c r="O484" s="65"/>
      <c r="P484" s="65"/>
    </row>
    <row r="485" spans="1:16" s="24" customFormat="1" x14ac:dyDescent="0.35">
      <c r="A485" s="213" t="s">
        <v>65</v>
      </c>
      <c r="B485" s="213"/>
      <c r="C485" s="213"/>
      <c r="D485" s="213"/>
      <c r="E485" s="213"/>
      <c r="F485" s="213"/>
      <c r="G485" s="213"/>
      <c r="H485" s="213"/>
      <c r="N485" s="65"/>
      <c r="O485" s="65"/>
      <c r="P485" s="65"/>
    </row>
    <row r="486" spans="1:16" s="36" customFormat="1" ht="124.5" customHeight="1" x14ac:dyDescent="0.35">
      <c r="A486" s="35" t="s">
        <v>132</v>
      </c>
      <c r="B486" s="240" t="s">
        <v>278</v>
      </c>
      <c r="C486" s="240"/>
      <c r="D486" s="240"/>
      <c r="E486" s="240"/>
      <c r="F486" s="240"/>
      <c r="G486" s="240"/>
      <c r="H486" s="240"/>
      <c r="N486" s="65"/>
      <c r="O486" s="65"/>
      <c r="P486" s="65"/>
    </row>
    <row r="487" spans="1:16" s="24" customFormat="1" ht="15.75" hidden="1" customHeight="1" x14ac:dyDescent="0.35">
      <c r="A487" s="105" t="s">
        <v>132</v>
      </c>
      <c r="B487" s="240" t="str">
        <f>(IF(H280="Saleable area Loading :","We have considered Saleable area of Bunglow as per our Calculation.","We considered Saleable area of Bunglow as per Builder area Sheet."))</f>
        <v>We have considered Saleable area of Bunglow as per our Calculation.</v>
      </c>
      <c r="C487" s="240"/>
      <c r="D487" s="240"/>
      <c r="E487" s="240"/>
      <c r="F487" s="240"/>
      <c r="G487" s="240"/>
      <c r="H487" s="240"/>
      <c r="N487" s="65"/>
      <c r="O487" s="65"/>
      <c r="P487" s="65"/>
    </row>
    <row r="488" spans="1:16" s="24" customFormat="1" ht="15.75" hidden="1" customHeight="1" x14ac:dyDescent="0.35">
      <c r="A488" s="105" t="s">
        <v>132</v>
      </c>
      <c r="B488" s="240" t="str">
        <f>(IF(F272="Saleable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88" s="240"/>
      <c r="D488" s="240"/>
      <c r="E488" s="240"/>
      <c r="F488" s="240"/>
      <c r="G488" s="240"/>
      <c r="H488" s="240"/>
      <c r="N488" s="65"/>
      <c r="O488" s="65"/>
      <c r="P488" s="65"/>
    </row>
    <row r="489" spans="1:16" s="24" customFormat="1" ht="15.75" customHeight="1" x14ac:dyDescent="0.35">
      <c r="A489" s="105" t="s">
        <v>132</v>
      </c>
      <c r="B489" s="117" t="s">
        <v>268</v>
      </c>
      <c r="C489" s="117"/>
      <c r="D489" s="117"/>
      <c r="E489" s="117"/>
      <c r="F489" s="117"/>
      <c r="G489" s="117"/>
      <c r="H489" s="117"/>
      <c r="N489" s="65"/>
      <c r="O489" s="65"/>
      <c r="P489" s="65"/>
    </row>
    <row r="490" spans="1:16" s="24" customFormat="1" ht="15.75" hidden="1" customHeight="1" x14ac:dyDescent="0.35">
      <c r="A490" s="105" t="s">
        <v>132</v>
      </c>
      <c r="B490" s="117" t="s">
        <v>219</v>
      </c>
      <c r="C490" s="117"/>
      <c r="D490" s="117"/>
      <c r="E490" s="117"/>
      <c r="F490" s="117"/>
      <c r="G490" s="117"/>
      <c r="H490" s="117"/>
      <c r="N490" s="65"/>
      <c r="O490" s="65"/>
      <c r="P490" s="65"/>
    </row>
    <row r="491" spans="1:16" s="24" customFormat="1" ht="15.75" hidden="1" customHeight="1" x14ac:dyDescent="0.35">
      <c r="A491" s="105" t="s">
        <v>132</v>
      </c>
      <c r="B491" s="117" t="s">
        <v>131</v>
      </c>
      <c r="C491" s="117"/>
      <c r="D491" s="117"/>
      <c r="E491" s="117"/>
      <c r="F491" s="117"/>
      <c r="G491" s="117"/>
      <c r="H491" s="117"/>
      <c r="N491" s="65"/>
      <c r="O491" s="65"/>
      <c r="P491" s="65"/>
    </row>
    <row r="492" spans="1:16" s="24" customFormat="1" ht="15.75" customHeight="1" x14ac:dyDescent="0.35">
      <c r="A492" s="105" t="s">
        <v>132</v>
      </c>
      <c r="B492" s="117" t="s">
        <v>114</v>
      </c>
      <c r="C492" s="117"/>
      <c r="D492" s="117"/>
      <c r="E492" s="117"/>
      <c r="F492" s="117"/>
      <c r="G492" s="117"/>
      <c r="H492" s="117"/>
      <c r="N492" s="65"/>
      <c r="O492" s="65"/>
      <c r="P492" s="65"/>
    </row>
    <row r="493" spans="1:16" s="24" customFormat="1" ht="34.5" customHeight="1" x14ac:dyDescent="0.35">
      <c r="A493" s="105" t="s">
        <v>132</v>
      </c>
      <c r="B493" s="117" t="s">
        <v>133</v>
      </c>
      <c r="C493" s="117"/>
      <c r="D493" s="117"/>
      <c r="E493" s="117"/>
      <c r="F493" s="117"/>
      <c r="G493" s="117"/>
      <c r="H493" s="117"/>
      <c r="N493" s="65"/>
      <c r="O493" s="65"/>
      <c r="P493" s="65"/>
    </row>
    <row r="494" spans="1:16" s="24" customFormat="1" ht="15.75" hidden="1" customHeight="1" x14ac:dyDescent="0.35">
      <c r="A494" s="105" t="s">
        <v>132</v>
      </c>
      <c r="B494" s="117" t="s">
        <v>218</v>
      </c>
      <c r="C494" s="117"/>
      <c r="D494" s="117"/>
      <c r="E494" s="117"/>
      <c r="F494" s="117"/>
      <c r="G494" s="117"/>
      <c r="H494" s="117"/>
      <c r="N494" s="65"/>
      <c r="O494" s="65"/>
      <c r="P494" s="65"/>
    </row>
    <row r="495" spans="1:16" s="24" customFormat="1" ht="15.75" customHeight="1" x14ac:dyDescent="0.35">
      <c r="A495" s="105" t="s">
        <v>132</v>
      </c>
      <c r="B495" s="117" t="s">
        <v>259</v>
      </c>
      <c r="C495" s="117"/>
      <c r="D495" s="117"/>
      <c r="E495" s="117"/>
      <c r="F495" s="117"/>
      <c r="G495" s="117"/>
      <c r="H495" s="117"/>
      <c r="N495" s="65"/>
      <c r="O495" s="65"/>
      <c r="P495" s="65"/>
    </row>
    <row r="496" spans="1:16" s="24" customFormat="1" ht="15.75" customHeight="1" x14ac:dyDescent="0.35">
      <c r="A496" s="86" t="s">
        <v>132</v>
      </c>
      <c r="B496" s="107" t="s">
        <v>262</v>
      </c>
      <c r="C496" s="108"/>
      <c r="D496" s="108"/>
      <c r="E496" s="108"/>
      <c r="F496" s="108"/>
      <c r="G496" s="108"/>
      <c r="H496" s="109"/>
      <c r="N496" s="65"/>
      <c r="O496" s="65"/>
      <c r="P496" s="65"/>
    </row>
    <row r="497" spans="1:16" s="24" customFormat="1" ht="15.75" customHeight="1" x14ac:dyDescent="0.35">
      <c r="A497" s="41" t="s">
        <v>132</v>
      </c>
      <c r="B497" s="130" t="s">
        <v>193</v>
      </c>
      <c r="C497" s="130"/>
      <c r="D497" s="130"/>
      <c r="E497" s="115" t="s">
        <v>194</v>
      </c>
      <c r="F497" s="116"/>
      <c r="G497" s="115" t="s">
        <v>220</v>
      </c>
      <c r="H497" s="116"/>
      <c r="N497" s="65"/>
      <c r="O497" s="65"/>
      <c r="P497" s="65"/>
    </row>
    <row r="498" spans="1:16" s="24" customFormat="1" ht="15.75" customHeight="1" x14ac:dyDescent="0.35">
      <c r="A498" s="41">
        <v>1</v>
      </c>
      <c r="B498" s="239" t="s">
        <v>195</v>
      </c>
      <c r="C498" s="239"/>
      <c r="D498" s="239"/>
      <c r="E498" s="110" t="s">
        <v>221</v>
      </c>
      <c r="F498" s="111"/>
      <c r="G498" s="110">
        <v>45248</v>
      </c>
      <c r="H498" s="111"/>
      <c r="N498" s="65"/>
      <c r="O498" s="65"/>
      <c r="P498" s="65"/>
    </row>
    <row r="499" spans="1:16" s="24" customFormat="1" ht="15.75" customHeight="1" x14ac:dyDescent="0.35">
      <c r="A499" s="41">
        <f t="shared" ref="A499:A505" si="21">A498+1</f>
        <v>2</v>
      </c>
      <c r="B499" s="212" t="s">
        <v>223</v>
      </c>
      <c r="C499" s="212"/>
      <c r="D499" s="212"/>
      <c r="E499" s="110" t="s">
        <v>222</v>
      </c>
      <c r="F499" s="111"/>
      <c r="G499" s="110">
        <v>45322</v>
      </c>
      <c r="H499" s="111"/>
      <c r="N499" s="65"/>
      <c r="O499" s="65"/>
      <c r="P499" s="65"/>
    </row>
    <row r="500" spans="1:16" s="24" customFormat="1" ht="15.75" customHeight="1" x14ac:dyDescent="0.35">
      <c r="A500" s="41">
        <f t="shared" si="21"/>
        <v>3</v>
      </c>
      <c r="B500" s="212" t="s">
        <v>224</v>
      </c>
      <c r="C500" s="212"/>
      <c r="D500" s="212"/>
      <c r="E500" s="110" t="s">
        <v>221</v>
      </c>
      <c r="F500" s="111"/>
      <c r="G500" s="110">
        <v>45348</v>
      </c>
      <c r="H500" s="111"/>
      <c r="N500" s="65"/>
      <c r="O500" s="65"/>
      <c r="P500" s="65"/>
    </row>
    <row r="501" spans="1:16" s="24" customFormat="1" ht="15.75" customHeight="1" x14ac:dyDescent="0.35">
      <c r="A501" s="41">
        <f t="shared" si="21"/>
        <v>4</v>
      </c>
      <c r="B501" s="177" t="s">
        <v>255</v>
      </c>
      <c r="C501" s="177"/>
      <c r="D501" s="177"/>
      <c r="E501" s="244" t="s">
        <v>222</v>
      </c>
      <c r="F501" s="245"/>
      <c r="G501" s="244">
        <v>45414</v>
      </c>
      <c r="H501" s="245"/>
      <c r="N501" s="65"/>
      <c r="O501" s="65"/>
      <c r="P501" s="65"/>
    </row>
    <row r="502" spans="1:16" s="24" customFormat="1" ht="15.75" customHeight="1" x14ac:dyDescent="0.35">
      <c r="A502" s="41">
        <f t="shared" si="21"/>
        <v>5</v>
      </c>
      <c r="B502" s="212" t="s">
        <v>256</v>
      </c>
      <c r="C502" s="212"/>
      <c r="D502" s="212"/>
      <c r="E502" s="113" t="s">
        <v>221</v>
      </c>
      <c r="F502" s="114"/>
      <c r="G502" s="110">
        <v>45593</v>
      </c>
      <c r="H502" s="111"/>
      <c r="N502" s="65"/>
      <c r="O502" s="65"/>
      <c r="P502" s="65"/>
    </row>
    <row r="503" spans="1:16" s="24" customFormat="1" ht="15.75" customHeight="1" x14ac:dyDescent="0.35">
      <c r="A503" s="41">
        <f t="shared" si="21"/>
        <v>6</v>
      </c>
      <c r="B503" s="212" t="s">
        <v>261</v>
      </c>
      <c r="C503" s="212"/>
      <c r="D503" s="212"/>
      <c r="E503" s="112" t="s">
        <v>221</v>
      </c>
      <c r="F503" s="112"/>
      <c r="G503" s="112">
        <v>45653</v>
      </c>
      <c r="H503" s="112"/>
      <c r="N503" s="65"/>
      <c r="O503" s="65"/>
      <c r="P503" s="65"/>
    </row>
    <row r="504" spans="1:16" s="24" customFormat="1" ht="15.75" customHeight="1" x14ac:dyDescent="0.35">
      <c r="A504" s="41">
        <f t="shared" si="21"/>
        <v>7</v>
      </c>
      <c r="B504" s="212" t="s">
        <v>264</v>
      </c>
      <c r="C504" s="212"/>
      <c r="D504" s="212"/>
      <c r="E504" s="110" t="s">
        <v>221</v>
      </c>
      <c r="F504" s="111"/>
      <c r="G504" s="110">
        <v>45700</v>
      </c>
      <c r="H504" s="111"/>
      <c r="N504" s="65"/>
      <c r="O504" s="65"/>
      <c r="P504" s="65"/>
    </row>
    <row r="505" spans="1:16" s="24" customFormat="1" ht="15.75" hidden="1" customHeight="1" x14ac:dyDescent="0.35">
      <c r="A505" s="41">
        <f t="shared" si="21"/>
        <v>8</v>
      </c>
      <c r="B505" s="130"/>
      <c r="C505" s="130"/>
      <c r="D505" s="130"/>
      <c r="E505" s="236"/>
      <c r="F505" s="237"/>
      <c r="G505" s="237"/>
      <c r="H505" s="238"/>
      <c r="N505" s="65"/>
      <c r="O505" s="65"/>
      <c r="P505" s="65"/>
    </row>
    <row r="506" spans="1:16" s="24" customFormat="1" ht="15.75" customHeight="1" x14ac:dyDescent="0.35">
      <c r="A506" s="96" t="s">
        <v>132</v>
      </c>
      <c r="B506" s="107" t="s">
        <v>269</v>
      </c>
      <c r="C506" s="108"/>
      <c r="D506" s="108"/>
      <c r="E506" s="108"/>
      <c r="F506" s="108"/>
      <c r="G506" s="108"/>
      <c r="H506" s="109"/>
      <c r="N506" s="65"/>
      <c r="O506" s="65"/>
      <c r="P506" s="65"/>
    </row>
    <row r="507" spans="1:16" s="24" customFormat="1" ht="78" customHeight="1" x14ac:dyDescent="0.35">
      <c r="A507" s="96" t="s">
        <v>132</v>
      </c>
      <c r="B507" s="107" t="s">
        <v>270</v>
      </c>
      <c r="C507" s="108"/>
      <c r="D507" s="108"/>
      <c r="E507" s="108"/>
      <c r="F507" s="108"/>
      <c r="G507" s="108"/>
      <c r="H507" s="109"/>
      <c r="N507" s="65"/>
      <c r="O507" s="65"/>
      <c r="P507" s="65"/>
    </row>
    <row r="508" spans="1:16" x14ac:dyDescent="0.35">
      <c r="A508" s="209" t="s">
        <v>58</v>
      </c>
      <c r="B508" s="210"/>
      <c r="C508" s="210"/>
      <c r="D508" s="210"/>
      <c r="E508" s="210"/>
      <c r="F508" s="210"/>
      <c r="G508" s="210"/>
      <c r="H508" s="211"/>
      <c r="N508" s="65"/>
      <c r="O508" s="65"/>
      <c r="P508" s="65"/>
    </row>
    <row r="509" spans="1:16" x14ac:dyDescent="0.35">
      <c r="A509" s="205" t="s">
        <v>59</v>
      </c>
      <c r="B509" s="206"/>
      <c r="C509" s="206"/>
      <c r="D509" s="206"/>
      <c r="E509" s="206"/>
      <c r="F509" s="206"/>
      <c r="G509" s="206"/>
      <c r="H509" s="207"/>
      <c r="N509" s="65"/>
      <c r="O509" s="65"/>
      <c r="P509" s="65"/>
    </row>
    <row r="510" spans="1:16" ht="15.75" customHeight="1" x14ac:dyDescent="0.35">
      <c r="A510" s="241" t="s">
        <v>60</v>
      </c>
      <c r="B510" s="242"/>
      <c r="C510" s="242"/>
      <c r="D510" s="242"/>
      <c r="E510" s="242"/>
      <c r="F510" s="242"/>
      <c r="G510" s="242"/>
      <c r="H510" s="243"/>
      <c r="N510" s="65"/>
      <c r="O510" s="65"/>
      <c r="P510" s="65"/>
    </row>
    <row r="511" spans="1:16" x14ac:dyDescent="0.35">
      <c r="A511" s="205" t="s">
        <v>61</v>
      </c>
      <c r="B511" s="206"/>
      <c r="C511" s="206"/>
      <c r="D511" s="206"/>
      <c r="E511" s="206"/>
      <c r="F511" s="206"/>
      <c r="G511" s="206"/>
      <c r="H511" s="207"/>
      <c r="N511" s="65"/>
      <c r="O511" s="65"/>
      <c r="P511" s="65"/>
    </row>
    <row r="512" spans="1:16" x14ac:dyDescent="0.35">
      <c r="A512" s="205" t="s">
        <v>62</v>
      </c>
      <c r="B512" s="206"/>
      <c r="C512" s="206"/>
      <c r="D512" s="206"/>
      <c r="E512" s="206"/>
      <c r="F512" s="206"/>
      <c r="G512" s="206"/>
      <c r="H512" s="207"/>
      <c r="N512" s="65"/>
      <c r="O512" s="65"/>
      <c r="P512" s="65"/>
    </row>
    <row r="513" spans="1:16" x14ac:dyDescent="0.35">
      <c r="A513" s="205" t="s">
        <v>115</v>
      </c>
      <c r="B513" s="206"/>
      <c r="C513" s="206"/>
      <c r="D513" s="206"/>
      <c r="E513" s="206"/>
      <c r="F513" s="206"/>
      <c r="G513" s="206"/>
      <c r="H513" s="207"/>
      <c r="N513" s="65"/>
      <c r="O513" s="65"/>
      <c r="P513" s="65"/>
    </row>
    <row r="514" spans="1:16" ht="33.75" customHeight="1" x14ac:dyDescent="0.35">
      <c r="A514" s="144" t="s">
        <v>116</v>
      </c>
      <c r="B514" s="208"/>
      <c r="C514" s="208"/>
      <c r="D514" s="208"/>
      <c r="E514" s="208"/>
      <c r="F514" s="208"/>
      <c r="G514" s="208"/>
      <c r="H514" s="145"/>
      <c r="N514" s="65"/>
      <c r="O514" s="65"/>
      <c r="P514" s="65"/>
    </row>
    <row r="515" spans="1:16" ht="15.75" customHeight="1" x14ac:dyDescent="0.35">
      <c r="A515" s="203" t="s">
        <v>72</v>
      </c>
      <c r="B515" s="203"/>
      <c r="C515" s="203" t="s">
        <v>277</v>
      </c>
      <c r="D515" s="203"/>
      <c r="E515" s="118" t="s">
        <v>95</v>
      </c>
      <c r="F515" s="120"/>
      <c r="G515" s="118" t="s">
        <v>276</v>
      </c>
      <c r="H515" s="120"/>
      <c r="N515" s="65"/>
      <c r="O515" s="65"/>
      <c r="P515" s="65"/>
    </row>
    <row r="516" spans="1:16" ht="15.75" customHeight="1" x14ac:dyDescent="0.35">
      <c r="A516" s="194" t="s">
        <v>74</v>
      </c>
      <c r="B516" s="195"/>
      <c r="C516" s="195"/>
      <c r="D516" s="195"/>
      <c r="E516" s="195"/>
      <c r="F516" s="195"/>
      <c r="G516" s="195"/>
      <c r="H516" s="196"/>
      <c r="N516" s="65"/>
      <c r="O516" s="65"/>
      <c r="P516" s="65"/>
    </row>
    <row r="517" spans="1:16" x14ac:dyDescent="0.35">
      <c r="A517" s="197"/>
      <c r="B517" s="198"/>
      <c r="C517" s="198"/>
      <c r="D517" s="198"/>
      <c r="E517" s="198"/>
      <c r="F517" s="198"/>
      <c r="G517" s="198"/>
      <c r="H517" s="199"/>
      <c r="N517" s="65"/>
      <c r="O517" s="65"/>
      <c r="P517" s="65"/>
    </row>
    <row r="518" spans="1:16" x14ac:dyDescent="0.35">
      <c r="A518" s="197"/>
      <c r="B518" s="198"/>
      <c r="C518" s="198"/>
      <c r="D518" s="198"/>
      <c r="E518" s="198"/>
      <c r="F518" s="198"/>
      <c r="G518" s="198"/>
      <c r="H518" s="199"/>
      <c r="N518" s="65"/>
      <c r="O518" s="65"/>
      <c r="P518" s="65"/>
    </row>
    <row r="519" spans="1:16" x14ac:dyDescent="0.35">
      <c r="A519" s="200"/>
      <c r="B519" s="201"/>
      <c r="C519" s="201"/>
      <c r="D519" s="201"/>
      <c r="E519" s="201"/>
      <c r="F519" s="201"/>
      <c r="G519" s="201"/>
      <c r="H519" s="202"/>
      <c r="N519" s="65"/>
      <c r="O519" s="65"/>
      <c r="P519" s="65"/>
    </row>
    <row r="520" spans="1:16" x14ac:dyDescent="0.35">
      <c r="A520" s="27" t="s">
        <v>63</v>
      </c>
      <c r="B520" s="28"/>
      <c r="C520" s="28"/>
      <c r="D520" s="27" t="str">
        <f>E8</f>
        <v>Lodha Villa Royale Palava</v>
      </c>
      <c r="F520" s="28"/>
      <c r="G520" s="28"/>
      <c r="H520" s="28"/>
      <c r="N520" s="65"/>
      <c r="O520" s="65"/>
      <c r="P520" s="65"/>
    </row>
    <row r="521" spans="1:16" x14ac:dyDescent="0.35">
      <c r="A521" s="28"/>
      <c r="B521" s="28"/>
      <c r="C521" s="28"/>
      <c r="D521" s="28"/>
      <c r="E521" s="28"/>
      <c r="F521" s="28"/>
      <c r="G521" s="28"/>
      <c r="H521" s="28"/>
      <c r="N521" s="65"/>
      <c r="O521" s="65"/>
      <c r="P521" s="65"/>
    </row>
    <row r="522" spans="1:16" x14ac:dyDescent="0.35">
      <c r="A522" s="28"/>
      <c r="B522" s="28"/>
      <c r="C522" s="28"/>
      <c r="D522" s="28"/>
      <c r="E522" s="28"/>
      <c r="F522" s="28"/>
      <c r="G522" s="28"/>
      <c r="H522" s="28"/>
      <c r="N522" s="65"/>
      <c r="O522" s="65"/>
      <c r="P522" s="65"/>
    </row>
    <row r="523" spans="1:16" ht="15" customHeight="1" x14ac:dyDescent="0.35">
      <c r="N523" s="65"/>
      <c r="O523" s="65"/>
      <c r="P523" s="65"/>
    </row>
    <row r="524" spans="1:16" x14ac:dyDescent="0.35">
      <c r="N524" s="65"/>
      <c r="O524" s="65"/>
      <c r="P524" s="65"/>
    </row>
    <row r="525" spans="1:16" x14ac:dyDescent="0.35">
      <c r="N525" s="65"/>
      <c r="O525" s="65"/>
      <c r="P525" s="65"/>
    </row>
    <row r="526" spans="1:16" x14ac:dyDescent="0.35">
      <c r="N526" s="65"/>
      <c r="O526" s="65"/>
      <c r="P526" s="65"/>
    </row>
    <row r="527" spans="1:16" x14ac:dyDescent="0.35">
      <c r="N527" s="65"/>
      <c r="O527" s="65"/>
      <c r="P527" s="65"/>
    </row>
    <row r="528" spans="1:16" x14ac:dyDescent="0.35">
      <c r="N528" s="65"/>
      <c r="O528" s="65"/>
      <c r="P528" s="65"/>
    </row>
    <row r="529" spans="14:16" x14ac:dyDescent="0.35">
      <c r="N529" s="65"/>
      <c r="O529" s="65"/>
      <c r="P529" s="65"/>
    </row>
    <row r="530" spans="14:16" x14ac:dyDescent="0.35">
      <c r="N530" s="65"/>
      <c r="O530" s="65"/>
      <c r="P530" s="65"/>
    </row>
    <row r="531" spans="14:16" x14ac:dyDescent="0.35">
      <c r="N531" s="65"/>
      <c r="O531" s="65"/>
      <c r="P531" s="65"/>
    </row>
    <row r="532" spans="14:16" x14ac:dyDescent="0.35">
      <c r="N532" s="65"/>
      <c r="O532" s="65"/>
      <c r="P532" s="65"/>
    </row>
    <row r="533" spans="14:16" x14ac:dyDescent="0.35">
      <c r="N533" s="65"/>
      <c r="O533" s="65"/>
      <c r="P533" s="65"/>
    </row>
    <row r="534" spans="14:16" x14ac:dyDescent="0.35">
      <c r="N534" s="65"/>
      <c r="O534" s="65"/>
      <c r="P534" s="65"/>
    </row>
    <row r="535" spans="14:16" x14ac:dyDescent="0.35">
      <c r="N535" s="65"/>
      <c r="O535" s="65"/>
      <c r="P535" s="65"/>
    </row>
    <row r="536" spans="14:16" x14ac:dyDescent="0.35">
      <c r="N536" s="65"/>
      <c r="O536" s="65"/>
      <c r="P536" s="65"/>
    </row>
    <row r="537" spans="14:16" x14ac:dyDescent="0.35">
      <c r="N537" s="65"/>
      <c r="O537" s="65"/>
      <c r="P537" s="65"/>
    </row>
    <row r="538" spans="14:16" x14ac:dyDescent="0.35">
      <c r="N538" s="65"/>
      <c r="O538" s="65"/>
      <c r="P538" s="65"/>
    </row>
    <row r="539" spans="14:16" x14ac:dyDescent="0.35">
      <c r="N539" s="65"/>
      <c r="O539" s="65"/>
      <c r="P539" s="65"/>
    </row>
    <row r="540" spans="14:16" x14ac:dyDescent="0.35">
      <c r="N540" s="65"/>
      <c r="O540" s="65"/>
      <c r="P540" s="65"/>
    </row>
    <row r="541" spans="14:16" x14ac:dyDescent="0.35">
      <c r="N541" s="65"/>
      <c r="O541" s="65"/>
      <c r="P541" s="65"/>
    </row>
    <row r="542" spans="14:16" x14ac:dyDescent="0.35">
      <c r="N542" s="65"/>
      <c r="O542" s="65"/>
      <c r="P542" s="65"/>
    </row>
    <row r="543" spans="14:16" x14ac:dyDescent="0.35">
      <c r="N543" s="65"/>
      <c r="O543" s="65"/>
      <c r="P543" s="65"/>
    </row>
    <row r="544" spans="14:16" x14ac:dyDescent="0.35">
      <c r="N544" s="65"/>
      <c r="O544" s="65"/>
      <c r="P544" s="65"/>
    </row>
    <row r="545" spans="14:16" x14ac:dyDescent="0.35">
      <c r="N545" s="65"/>
      <c r="O545" s="65"/>
      <c r="P545" s="65"/>
    </row>
    <row r="546" spans="14:16" x14ac:dyDescent="0.35">
      <c r="N546" s="65"/>
      <c r="O546" s="65"/>
      <c r="P546" s="65"/>
    </row>
    <row r="547" spans="14:16" x14ac:dyDescent="0.35">
      <c r="N547" s="65"/>
      <c r="O547" s="65"/>
      <c r="P547" s="65"/>
    </row>
    <row r="548" spans="14:16" x14ac:dyDescent="0.35">
      <c r="N548" s="65"/>
      <c r="O548" s="65"/>
      <c r="P548" s="65"/>
    </row>
    <row r="549" spans="14:16" x14ac:dyDescent="0.35">
      <c r="N549" s="65"/>
      <c r="O549" s="65"/>
      <c r="P549" s="65"/>
    </row>
    <row r="550" spans="14:16" x14ac:dyDescent="0.35">
      <c r="N550" s="65"/>
      <c r="O550" s="65"/>
      <c r="P550" s="65"/>
    </row>
    <row r="551" spans="14:16" x14ac:dyDescent="0.35">
      <c r="N551" s="65"/>
      <c r="O551" s="65"/>
      <c r="P551" s="65"/>
    </row>
    <row r="552" spans="14:16" x14ac:dyDescent="0.35">
      <c r="N552" s="65"/>
      <c r="O552" s="65"/>
      <c r="P552" s="65"/>
    </row>
    <row r="553" spans="14:16" x14ac:dyDescent="0.35">
      <c r="N553" s="65"/>
      <c r="O553" s="65"/>
      <c r="P553" s="65"/>
    </row>
    <row r="554" spans="14:16" x14ac:dyDescent="0.35">
      <c r="N554" s="65"/>
      <c r="O554" s="65"/>
      <c r="P554" s="65"/>
    </row>
    <row r="555" spans="14:16" x14ac:dyDescent="0.35">
      <c r="N555" s="65"/>
      <c r="O555" s="65"/>
      <c r="P555" s="65"/>
    </row>
    <row r="556" spans="14:16" x14ac:dyDescent="0.35">
      <c r="N556" s="65"/>
      <c r="O556" s="65"/>
      <c r="P556" s="65"/>
    </row>
    <row r="557" spans="14:16" x14ac:dyDescent="0.35">
      <c r="N557" s="65"/>
      <c r="O557" s="65"/>
      <c r="P557" s="65"/>
    </row>
    <row r="558" spans="14:16" x14ac:dyDescent="0.35">
      <c r="N558" s="65"/>
      <c r="O558" s="65"/>
      <c r="P558" s="65"/>
    </row>
    <row r="559" spans="14:16" x14ac:dyDescent="0.35">
      <c r="N559" s="65"/>
      <c r="O559" s="65"/>
      <c r="P559" s="65"/>
    </row>
    <row r="560" spans="14:16" x14ac:dyDescent="0.35">
      <c r="N560" s="65"/>
      <c r="O560" s="65"/>
      <c r="P560" s="65"/>
    </row>
    <row r="561" spans="1:16" x14ac:dyDescent="0.35">
      <c r="N561" s="65"/>
      <c r="O561" s="65"/>
      <c r="P561" s="65"/>
    </row>
    <row r="562" spans="1:16" x14ac:dyDescent="0.35">
      <c r="N562" s="65"/>
      <c r="O562" s="65"/>
      <c r="P562" s="65"/>
    </row>
    <row r="563" spans="1:16" x14ac:dyDescent="0.35">
      <c r="N563" s="65"/>
      <c r="O563" s="65"/>
      <c r="P563" s="65"/>
    </row>
    <row r="564" spans="1:16" x14ac:dyDescent="0.35">
      <c r="A564" s="27" t="s">
        <v>63</v>
      </c>
      <c r="B564" s="28"/>
      <c r="C564" s="28"/>
      <c r="D564" s="27" t="str">
        <f>E8</f>
        <v>Lodha Villa Royale Palava</v>
      </c>
      <c r="F564" s="28"/>
      <c r="G564" s="28"/>
      <c r="H564" s="28"/>
      <c r="N564" s="65"/>
      <c r="O564" s="65"/>
      <c r="P564" s="65"/>
    </row>
    <row r="565" spans="1:16" x14ac:dyDescent="0.35">
      <c r="A565" s="28"/>
      <c r="B565" s="28"/>
      <c r="C565" s="28"/>
      <c r="D565" s="28"/>
      <c r="E565" s="28"/>
      <c r="F565" s="28"/>
      <c r="G565" s="28"/>
      <c r="H565" s="28"/>
      <c r="N565" s="65"/>
      <c r="O565" s="65"/>
      <c r="P565" s="65"/>
    </row>
    <row r="566" spans="1:16" x14ac:dyDescent="0.35">
      <c r="A566" s="28"/>
      <c r="B566" s="28"/>
      <c r="C566" s="28"/>
      <c r="D566" s="28"/>
      <c r="E566" s="28"/>
      <c r="F566" s="28"/>
      <c r="G566" s="28"/>
      <c r="H566" s="28"/>
      <c r="N566" s="65"/>
      <c r="O566" s="65"/>
      <c r="P566" s="65"/>
    </row>
    <row r="567" spans="1:16" ht="15" customHeight="1" x14ac:dyDescent="0.35">
      <c r="N567" s="65"/>
      <c r="O567" s="65"/>
      <c r="P567" s="65"/>
    </row>
    <row r="568" spans="1:16" x14ac:dyDescent="0.35">
      <c r="N568" s="65"/>
      <c r="O568" s="65"/>
      <c r="P568" s="65"/>
    </row>
    <row r="569" spans="1:16" x14ac:dyDescent="0.35">
      <c r="N569" s="65"/>
      <c r="O569" s="65"/>
      <c r="P569" s="65"/>
    </row>
    <row r="570" spans="1:16" x14ac:dyDescent="0.35">
      <c r="N570" s="65"/>
      <c r="O570" s="65"/>
      <c r="P570" s="65"/>
    </row>
    <row r="571" spans="1:16" x14ac:dyDescent="0.35">
      <c r="N571" s="65"/>
      <c r="O571" s="65"/>
      <c r="P571" s="65"/>
    </row>
    <row r="572" spans="1:16" x14ac:dyDescent="0.35">
      <c r="N572" s="65"/>
      <c r="O572" s="65"/>
      <c r="P572" s="65"/>
    </row>
    <row r="573" spans="1:16" x14ac:dyDescent="0.35">
      <c r="N573" s="65"/>
      <c r="O573" s="65"/>
      <c r="P573" s="65"/>
    </row>
    <row r="574" spans="1:16" x14ac:dyDescent="0.35">
      <c r="N574" s="65"/>
      <c r="O574" s="65"/>
      <c r="P574" s="65"/>
    </row>
    <row r="575" spans="1:16" x14ac:dyDescent="0.35">
      <c r="N575" s="65"/>
      <c r="O575" s="65"/>
      <c r="P575" s="65"/>
    </row>
    <row r="576" spans="1:16" x14ac:dyDescent="0.35">
      <c r="N576" s="65"/>
      <c r="O576" s="65"/>
      <c r="P576" s="65"/>
    </row>
    <row r="577" spans="14:16" x14ac:dyDescent="0.35">
      <c r="N577" s="65"/>
      <c r="O577" s="65"/>
      <c r="P577" s="65"/>
    </row>
    <row r="578" spans="14:16" x14ac:dyDescent="0.35">
      <c r="N578" s="65"/>
      <c r="O578" s="65"/>
      <c r="P578" s="65"/>
    </row>
    <row r="579" spans="14:16" x14ac:dyDescent="0.35">
      <c r="N579" s="65"/>
      <c r="O579" s="65"/>
      <c r="P579" s="65"/>
    </row>
    <row r="580" spans="14:16" x14ac:dyDescent="0.35">
      <c r="N580" s="65"/>
      <c r="O580" s="65"/>
      <c r="P580" s="65"/>
    </row>
    <row r="581" spans="14:16" x14ac:dyDescent="0.35">
      <c r="N581" s="65"/>
      <c r="O581" s="65"/>
      <c r="P581" s="65"/>
    </row>
    <row r="582" spans="14:16" x14ac:dyDescent="0.35">
      <c r="N582" s="65"/>
      <c r="O582" s="65"/>
      <c r="P582" s="65"/>
    </row>
    <row r="583" spans="14:16" x14ac:dyDescent="0.35">
      <c r="N583" s="65"/>
      <c r="O583" s="65"/>
      <c r="P583" s="65"/>
    </row>
    <row r="584" spans="14:16" x14ac:dyDescent="0.35">
      <c r="N584" s="65"/>
      <c r="O584" s="65"/>
      <c r="P584" s="65"/>
    </row>
    <row r="585" spans="14:16" x14ac:dyDescent="0.35">
      <c r="N585" s="65"/>
      <c r="O585" s="65"/>
      <c r="P585" s="65"/>
    </row>
    <row r="586" spans="14:16" x14ac:dyDescent="0.35">
      <c r="N586" s="65"/>
      <c r="O586" s="65"/>
      <c r="P586" s="65"/>
    </row>
    <row r="587" spans="14:16" x14ac:dyDescent="0.35">
      <c r="N587" s="65"/>
      <c r="O587" s="65"/>
      <c r="P587" s="65"/>
    </row>
    <row r="588" spans="14:16" x14ac:dyDescent="0.35">
      <c r="N588" s="65"/>
      <c r="O588" s="65"/>
      <c r="P588" s="65"/>
    </row>
    <row r="589" spans="14:16" x14ac:dyDescent="0.35">
      <c r="N589" s="65"/>
      <c r="O589" s="65"/>
      <c r="P589" s="65"/>
    </row>
    <row r="590" spans="14:16" x14ac:dyDescent="0.35">
      <c r="N590" s="65"/>
      <c r="O590" s="65"/>
      <c r="P590" s="65"/>
    </row>
    <row r="591" spans="14:16" x14ac:dyDescent="0.35">
      <c r="N591" s="65"/>
      <c r="O591" s="65"/>
      <c r="P591" s="65"/>
    </row>
    <row r="592" spans="14:16" x14ac:dyDescent="0.35">
      <c r="N592" s="65"/>
      <c r="O592" s="65"/>
      <c r="P592" s="65"/>
    </row>
    <row r="593" spans="1:16" x14ac:dyDescent="0.35">
      <c r="N593" s="65"/>
      <c r="O593" s="65"/>
      <c r="P593" s="65"/>
    </row>
    <row r="594" spans="1:16" x14ac:dyDescent="0.35">
      <c r="N594" s="65"/>
      <c r="O594" s="65"/>
      <c r="P594" s="65"/>
    </row>
    <row r="595" spans="1:16" x14ac:dyDescent="0.35">
      <c r="N595" s="65"/>
      <c r="O595" s="65"/>
      <c r="P595" s="65"/>
    </row>
    <row r="596" spans="1:16" x14ac:dyDescent="0.35">
      <c r="N596" s="65"/>
      <c r="O596" s="65"/>
      <c r="P596" s="65"/>
    </row>
    <row r="597" spans="1:16" x14ac:dyDescent="0.35">
      <c r="N597" s="65"/>
      <c r="O597" s="65"/>
      <c r="P597" s="65"/>
    </row>
    <row r="598" spans="1:16" x14ac:dyDescent="0.35">
      <c r="N598" s="65"/>
      <c r="O598" s="65"/>
      <c r="P598" s="65"/>
    </row>
    <row r="599" spans="1:16" x14ac:dyDescent="0.35">
      <c r="N599" s="65"/>
      <c r="O599" s="65"/>
      <c r="P599" s="65"/>
    </row>
    <row r="600" spans="1:16" x14ac:dyDescent="0.35">
      <c r="N600" s="65"/>
      <c r="O600" s="65"/>
      <c r="P600" s="65"/>
    </row>
    <row r="601" spans="1:16" x14ac:dyDescent="0.35">
      <c r="N601" s="65"/>
      <c r="O601" s="65"/>
      <c r="P601" s="65"/>
    </row>
    <row r="602" spans="1:16" x14ac:dyDescent="0.35">
      <c r="N602" s="65"/>
      <c r="O602" s="65"/>
      <c r="P602" s="65"/>
    </row>
    <row r="603" spans="1:16" x14ac:dyDescent="0.35">
      <c r="N603" s="65"/>
      <c r="O603" s="65"/>
      <c r="P603" s="65"/>
    </row>
    <row r="604" spans="1:16" x14ac:dyDescent="0.35">
      <c r="N604" s="65"/>
      <c r="O604" s="65"/>
      <c r="P604" s="65"/>
    </row>
    <row r="605" spans="1:16" x14ac:dyDescent="0.35">
      <c r="N605" s="65"/>
      <c r="O605" s="65"/>
      <c r="P605" s="65"/>
    </row>
    <row r="606" spans="1:16" x14ac:dyDescent="0.35">
      <c r="N606" s="65"/>
      <c r="O606" s="65"/>
      <c r="P606" s="65"/>
    </row>
    <row r="607" spans="1:16" x14ac:dyDescent="0.35">
      <c r="N607" s="65"/>
      <c r="O607" s="65"/>
      <c r="P607" s="65"/>
    </row>
    <row r="608" spans="1:16" x14ac:dyDescent="0.35">
      <c r="A608" s="30" t="s">
        <v>144</v>
      </c>
      <c r="N608" s="65"/>
      <c r="O608" s="65"/>
      <c r="P608" s="65"/>
    </row>
    <row r="609" spans="14:16" x14ac:dyDescent="0.35">
      <c r="N609" s="65"/>
      <c r="O609" s="65"/>
      <c r="P609" s="65"/>
    </row>
    <row r="610" spans="14:16" x14ac:dyDescent="0.35">
      <c r="N610" s="65"/>
      <c r="O610" s="65"/>
      <c r="P610" s="65"/>
    </row>
    <row r="611" spans="14:16" x14ac:dyDescent="0.35">
      <c r="N611" s="65"/>
      <c r="O611" s="65"/>
      <c r="P611" s="65"/>
    </row>
    <row r="612" spans="14:16" x14ac:dyDescent="0.35">
      <c r="N612" s="65"/>
      <c r="O612" s="65"/>
      <c r="P612" s="65"/>
    </row>
    <row r="613" spans="14:16" x14ac:dyDescent="0.35">
      <c r="N613" s="65"/>
      <c r="O613" s="65"/>
      <c r="P613" s="65"/>
    </row>
    <row r="614" spans="14:16" x14ac:dyDescent="0.35">
      <c r="N614" s="65"/>
      <c r="O614" s="65"/>
      <c r="P614" s="65"/>
    </row>
    <row r="615" spans="14:16" x14ac:dyDescent="0.35">
      <c r="N615" s="65"/>
      <c r="O615" s="65"/>
      <c r="P615" s="65"/>
    </row>
    <row r="616" spans="14:16" x14ac:dyDescent="0.35">
      <c r="N616" s="65"/>
      <c r="O616" s="65"/>
      <c r="P616" s="65"/>
    </row>
    <row r="617" spans="14:16" x14ac:dyDescent="0.35">
      <c r="N617" s="65"/>
      <c r="O617" s="65"/>
      <c r="P617" s="65"/>
    </row>
    <row r="618" spans="14:16" x14ac:dyDescent="0.35">
      <c r="N618" s="65"/>
      <c r="O618" s="65"/>
      <c r="P618" s="65"/>
    </row>
    <row r="619" spans="14:16" x14ac:dyDescent="0.35">
      <c r="N619" s="65"/>
      <c r="O619" s="65"/>
      <c r="P619" s="65"/>
    </row>
    <row r="620" spans="14:16" x14ac:dyDescent="0.35">
      <c r="N620" s="65"/>
      <c r="O620" s="65"/>
      <c r="P620" s="65"/>
    </row>
    <row r="621" spans="14:16" x14ac:dyDescent="0.35">
      <c r="N621" s="65"/>
      <c r="O621" s="65"/>
      <c r="P621" s="65"/>
    </row>
    <row r="622" spans="14:16" x14ac:dyDescent="0.35">
      <c r="N622" s="65"/>
      <c r="O622" s="65"/>
      <c r="P622" s="65"/>
    </row>
    <row r="623" spans="14:16" x14ac:dyDescent="0.35">
      <c r="N623" s="65"/>
      <c r="O623" s="65"/>
      <c r="P623" s="65"/>
    </row>
    <row r="624" spans="14:16" x14ac:dyDescent="0.35">
      <c r="N624" s="65"/>
      <c r="O624" s="65"/>
      <c r="P624" s="65"/>
    </row>
    <row r="625" spans="14:16" x14ac:dyDescent="0.35">
      <c r="N625" s="65"/>
      <c r="O625" s="65"/>
      <c r="P625" s="65"/>
    </row>
    <row r="626" spans="14:16" x14ac:dyDescent="0.35">
      <c r="N626" s="65"/>
      <c r="O626" s="65"/>
      <c r="P626" s="65"/>
    </row>
    <row r="652" spans="1:1" x14ac:dyDescent="0.35">
      <c r="A652" s="30" t="s">
        <v>64</v>
      </c>
    </row>
  </sheetData>
  <mergeCells count="1040">
    <mergeCell ref="A513:H513"/>
    <mergeCell ref="A510:H510"/>
    <mergeCell ref="B496:H496"/>
    <mergeCell ref="B493:H493"/>
    <mergeCell ref="B491:H491"/>
    <mergeCell ref="B489:H489"/>
    <mergeCell ref="B487:H487"/>
    <mergeCell ref="B486:H486"/>
    <mergeCell ref="A53:B53"/>
    <mergeCell ref="A52:B52"/>
    <mergeCell ref="C52:E52"/>
    <mergeCell ref="G52:H52"/>
    <mergeCell ref="B495:H495"/>
    <mergeCell ref="C53:E53"/>
    <mergeCell ref="G53:H53"/>
    <mergeCell ref="G482:H482"/>
    <mergeCell ref="G481:H481"/>
    <mergeCell ref="G480:H480"/>
    <mergeCell ref="G477:H477"/>
    <mergeCell ref="G476:H476"/>
    <mergeCell ref="G475:H475"/>
    <mergeCell ref="G474:H474"/>
    <mergeCell ref="G472:H472"/>
    <mergeCell ref="G471:H471"/>
    <mergeCell ref="G470:H470"/>
    <mergeCell ref="G468:H468"/>
    <mergeCell ref="G466:H466"/>
    <mergeCell ref="E501:F501"/>
    <mergeCell ref="G501:H501"/>
    <mergeCell ref="D67:H67"/>
    <mergeCell ref="G85:H85"/>
    <mergeCell ref="A272:A273"/>
    <mergeCell ref="L452:M452"/>
    <mergeCell ref="L453:M453"/>
    <mergeCell ref="L454:M454"/>
    <mergeCell ref="L449:M449"/>
    <mergeCell ref="L450:M450"/>
    <mergeCell ref="L451:M451"/>
    <mergeCell ref="L458:M458"/>
    <mergeCell ref="L459:M459"/>
    <mergeCell ref="L455:M455"/>
    <mergeCell ref="L456:M456"/>
    <mergeCell ref="L457:M457"/>
    <mergeCell ref="E505:H505"/>
    <mergeCell ref="B497:D497"/>
    <mergeCell ref="B498:D498"/>
    <mergeCell ref="B499:D499"/>
    <mergeCell ref="B500:D500"/>
    <mergeCell ref="B501:D501"/>
    <mergeCell ref="B502:D502"/>
    <mergeCell ref="B503:D503"/>
    <mergeCell ref="B504:D504"/>
    <mergeCell ref="B505:D505"/>
    <mergeCell ref="B492:H492"/>
    <mergeCell ref="B488:H488"/>
    <mergeCell ref="A482:B482"/>
    <mergeCell ref="G499:H499"/>
    <mergeCell ref="G500:H500"/>
    <mergeCell ref="B490:H490"/>
    <mergeCell ref="A481:B481"/>
    <mergeCell ref="A484:B484"/>
    <mergeCell ref="G484:H484"/>
    <mergeCell ref="E503:F503"/>
    <mergeCell ref="G504:H504"/>
    <mergeCell ref="L434:M434"/>
    <mergeCell ref="L435:M435"/>
    <mergeCell ref="L436:M436"/>
    <mergeCell ref="L431:M431"/>
    <mergeCell ref="L432:M432"/>
    <mergeCell ref="L433:M433"/>
    <mergeCell ref="L440:M440"/>
    <mergeCell ref="L441:M441"/>
    <mergeCell ref="L442:M442"/>
    <mergeCell ref="L437:M437"/>
    <mergeCell ref="L438:M438"/>
    <mergeCell ref="L439:M439"/>
    <mergeCell ref="L446:M446"/>
    <mergeCell ref="L447:M447"/>
    <mergeCell ref="L448:M448"/>
    <mergeCell ref="L443:M443"/>
    <mergeCell ref="L444:M444"/>
    <mergeCell ref="L445:M445"/>
    <mergeCell ref="L416:M416"/>
    <mergeCell ref="L417:M417"/>
    <mergeCell ref="L418:M418"/>
    <mergeCell ref="L413:M413"/>
    <mergeCell ref="L414:M414"/>
    <mergeCell ref="L415:M415"/>
    <mergeCell ref="L422:M422"/>
    <mergeCell ref="L423:M423"/>
    <mergeCell ref="L424:M424"/>
    <mergeCell ref="L419:M419"/>
    <mergeCell ref="L420:M420"/>
    <mergeCell ref="L421:M421"/>
    <mergeCell ref="L428:M428"/>
    <mergeCell ref="L429:M429"/>
    <mergeCell ref="L430:M430"/>
    <mergeCell ref="L425:M425"/>
    <mergeCell ref="L426:M426"/>
    <mergeCell ref="L427:M427"/>
    <mergeCell ref="L398:M398"/>
    <mergeCell ref="L399:M399"/>
    <mergeCell ref="L400:M400"/>
    <mergeCell ref="L395:M395"/>
    <mergeCell ref="L396:M396"/>
    <mergeCell ref="L397:M397"/>
    <mergeCell ref="L404:M404"/>
    <mergeCell ref="L405:M405"/>
    <mergeCell ref="L406:M406"/>
    <mergeCell ref="L401:M401"/>
    <mergeCell ref="L402:M402"/>
    <mergeCell ref="L403:M403"/>
    <mergeCell ref="L410:M410"/>
    <mergeCell ref="L411:M411"/>
    <mergeCell ref="L412:M412"/>
    <mergeCell ref="L407:M407"/>
    <mergeCell ref="L408:M408"/>
    <mergeCell ref="L409:M409"/>
    <mergeCell ref="L380:M380"/>
    <mergeCell ref="L381:M381"/>
    <mergeCell ref="L382:M382"/>
    <mergeCell ref="L377:M377"/>
    <mergeCell ref="L378:M378"/>
    <mergeCell ref="L379:M379"/>
    <mergeCell ref="L386:M386"/>
    <mergeCell ref="L387:M387"/>
    <mergeCell ref="L388:M388"/>
    <mergeCell ref="L383:M383"/>
    <mergeCell ref="L384:M384"/>
    <mergeCell ref="L385:M385"/>
    <mergeCell ref="L392:M392"/>
    <mergeCell ref="L393:M393"/>
    <mergeCell ref="L394:M394"/>
    <mergeCell ref="L389:M389"/>
    <mergeCell ref="L390:M390"/>
    <mergeCell ref="L391:M391"/>
    <mergeCell ref="L362:M362"/>
    <mergeCell ref="L363:M363"/>
    <mergeCell ref="L364:M364"/>
    <mergeCell ref="L359:M359"/>
    <mergeCell ref="L360:M360"/>
    <mergeCell ref="L361:M361"/>
    <mergeCell ref="L368:M368"/>
    <mergeCell ref="L369:M369"/>
    <mergeCell ref="L370:M370"/>
    <mergeCell ref="L365:M365"/>
    <mergeCell ref="L366:M366"/>
    <mergeCell ref="L367:M367"/>
    <mergeCell ref="L374:M374"/>
    <mergeCell ref="L375:M375"/>
    <mergeCell ref="L376:M376"/>
    <mergeCell ref="L371:M371"/>
    <mergeCell ref="L372:M372"/>
    <mergeCell ref="L373:M373"/>
    <mergeCell ref="L345:M345"/>
    <mergeCell ref="L326:M326"/>
    <mergeCell ref="L327:M327"/>
    <mergeCell ref="L328:M328"/>
    <mergeCell ref="L346:M346"/>
    <mergeCell ref="L341:M341"/>
    <mergeCell ref="L342:M342"/>
    <mergeCell ref="L343:M343"/>
    <mergeCell ref="L350:M350"/>
    <mergeCell ref="L351:M351"/>
    <mergeCell ref="L352:M352"/>
    <mergeCell ref="L347:M347"/>
    <mergeCell ref="L348:M348"/>
    <mergeCell ref="L349:M349"/>
    <mergeCell ref="L356:M356"/>
    <mergeCell ref="L357:M357"/>
    <mergeCell ref="L358:M358"/>
    <mergeCell ref="L353:M353"/>
    <mergeCell ref="L354:M354"/>
    <mergeCell ref="L355:M355"/>
    <mergeCell ref="L321:M321"/>
    <mergeCell ref="L323:M323"/>
    <mergeCell ref="L324:M324"/>
    <mergeCell ref="L325:M325"/>
    <mergeCell ref="L332:M332"/>
    <mergeCell ref="L333:M333"/>
    <mergeCell ref="L334:M334"/>
    <mergeCell ref="L329:M329"/>
    <mergeCell ref="L330:M330"/>
    <mergeCell ref="L331:M331"/>
    <mergeCell ref="L338:M338"/>
    <mergeCell ref="L339:M339"/>
    <mergeCell ref="L340:M340"/>
    <mergeCell ref="L335:M335"/>
    <mergeCell ref="L336:M336"/>
    <mergeCell ref="L337:M337"/>
    <mergeCell ref="L344:M344"/>
    <mergeCell ref="L297:M297"/>
    <mergeCell ref="L306:M306"/>
    <mergeCell ref="L307:M307"/>
    <mergeCell ref="L308:M308"/>
    <mergeCell ref="L309:M309"/>
    <mergeCell ref="L302:M302"/>
    <mergeCell ref="L303:M303"/>
    <mergeCell ref="L304:M304"/>
    <mergeCell ref="L305:M305"/>
    <mergeCell ref="L315:M315"/>
    <mergeCell ref="L316:M316"/>
    <mergeCell ref="L310:M310"/>
    <mergeCell ref="L312:M312"/>
    <mergeCell ref="L313:M313"/>
    <mergeCell ref="L314:M314"/>
    <mergeCell ref="L311:M311"/>
    <mergeCell ref="L320:M320"/>
    <mergeCell ref="E41:H41"/>
    <mergeCell ref="A41:D41"/>
    <mergeCell ref="A462:B462"/>
    <mergeCell ref="A268:B268"/>
    <mergeCell ref="D280:D281"/>
    <mergeCell ref="E280:E281"/>
    <mergeCell ref="F249:H249"/>
    <mergeCell ref="G264:H264"/>
    <mergeCell ref="A48:B48"/>
    <mergeCell ref="C48:E48"/>
    <mergeCell ref="C51:E51"/>
    <mergeCell ref="G51:H51"/>
    <mergeCell ref="G48:H48"/>
    <mergeCell ref="G50:H50"/>
    <mergeCell ref="D56:H56"/>
    <mergeCell ref="C50:E50"/>
    <mergeCell ref="A59:C61"/>
    <mergeCell ref="D59:H59"/>
    <mergeCell ref="D60:H60"/>
    <mergeCell ref="C49:E49"/>
    <mergeCell ref="A54:B54"/>
    <mergeCell ref="C54:E54"/>
    <mergeCell ref="A49:B49"/>
    <mergeCell ref="G54:H54"/>
    <mergeCell ref="D61:H61"/>
    <mergeCell ref="D68:H68"/>
    <mergeCell ref="A66:C66"/>
    <mergeCell ref="D66:H66"/>
    <mergeCell ref="A67:C67"/>
    <mergeCell ref="C266:D266"/>
    <mergeCell ref="E266:F266"/>
    <mergeCell ref="G266:H266"/>
    <mergeCell ref="A516:H519"/>
    <mergeCell ref="A515:B515"/>
    <mergeCell ref="E515:F515"/>
    <mergeCell ref="C515:D515"/>
    <mergeCell ref="G515:H515"/>
    <mergeCell ref="A262:H262"/>
    <mergeCell ref="A260:E260"/>
    <mergeCell ref="F260:H260"/>
    <mergeCell ref="A261:E261"/>
    <mergeCell ref="F261:H261"/>
    <mergeCell ref="A461:H461"/>
    <mergeCell ref="A269:B269"/>
    <mergeCell ref="A470:B470"/>
    <mergeCell ref="A264:B264"/>
    <mergeCell ref="A511:H511"/>
    <mergeCell ref="A267:H267"/>
    <mergeCell ref="A514:H514"/>
    <mergeCell ref="A512:H512"/>
    <mergeCell ref="A508:H508"/>
    <mergeCell ref="A509:H509"/>
    <mergeCell ref="E268:F268"/>
    <mergeCell ref="G277:H277"/>
    <mergeCell ref="G275:H275"/>
    <mergeCell ref="G276:H276"/>
    <mergeCell ref="G278:H278"/>
    <mergeCell ref="C265:D265"/>
    <mergeCell ref="G265:H265"/>
    <mergeCell ref="A266:B266"/>
    <mergeCell ref="G478:H478"/>
    <mergeCell ref="A485:H485"/>
    <mergeCell ref="A477:B477"/>
    <mergeCell ref="A478:B478"/>
    <mergeCell ref="C14:H1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C19:D19"/>
    <mergeCell ref="E19:F19"/>
    <mergeCell ref="G19:H19"/>
    <mergeCell ref="C15:H15"/>
    <mergeCell ref="A29:D29"/>
    <mergeCell ref="A20:B20"/>
    <mergeCell ref="C20:D20"/>
    <mergeCell ref="E20:F20"/>
    <mergeCell ref="G20:H20"/>
    <mergeCell ref="A16:B16"/>
    <mergeCell ref="C16:H16"/>
    <mergeCell ref="F32:H32"/>
    <mergeCell ref="F33:H33"/>
    <mergeCell ref="A39:H39"/>
    <mergeCell ref="A55:H55"/>
    <mergeCell ref="A56:C56"/>
    <mergeCell ref="A57:C5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A46:H46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A62:C62"/>
    <mergeCell ref="A63:C63"/>
    <mergeCell ref="D62:H62"/>
    <mergeCell ref="D63:H63"/>
    <mergeCell ref="A42:D42"/>
    <mergeCell ref="E42:H42"/>
    <mergeCell ref="E43:H43"/>
    <mergeCell ref="E44:H44"/>
    <mergeCell ref="E45:H45"/>
    <mergeCell ref="A43:D43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E29:H29"/>
    <mergeCell ref="A30:D30"/>
    <mergeCell ref="E30:H30"/>
    <mergeCell ref="A26:D26"/>
    <mergeCell ref="E26:H26"/>
    <mergeCell ref="C31:E31"/>
    <mergeCell ref="F34:H34"/>
    <mergeCell ref="F31:H31"/>
    <mergeCell ref="F35:H35"/>
    <mergeCell ref="A37:B37"/>
    <mergeCell ref="D57:H57"/>
    <mergeCell ref="L278:M278"/>
    <mergeCell ref="L277:M277"/>
    <mergeCell ref="L276:M276"/>
    <mergeCell ref="L275:M275"/>
    <mergeCell ref="C269:D269"/>
    <mergeCell ref="E269:F269"/>
    <mergeCell ref="G269:H269"/>
    <mergeCell ref="F255:H255"/>
    <mergeCell ref="A249:E249"/>
    <mergeCell ref="A274:H274"/>
    <mergeCell ref="E272:E273"/>
    <mergeCell ref="G272:H273"/>
    <mergeCell ref="A36:H36"/>
    <mergeCell ref="A35:B35"/>
    <mergeCell ref="C35:E35"/>
    <mergeCell ref="C37:H37"/>
    <mergeCell ref="A40:D40"/>
    <mergeCell ref="E40:H40"/>
    <mergeCell ref="A44:D44"/>
    <mergeCell ref="G72:H72"/>
    <mergeCell ref="A45:D45"/>
    <mergeCell ref="L287:M287"/>
    <mergeCell ref="A471:B471"/>
    <mergeCell ref="A468:B468"/>
    <mergeCell ref="L288:M288"/>
    <mergeCell ref="L289:M289"/>
    <mergeCell ref="L290:M290"/>
    <mergeCell ref="L291:M291"/>
    <mergeCell ref="L292:M292"/>
    <mergeCell ref="L293:M293"/>
    <mergeCell ref="L298:M298"/>
    <mergeCell ref="L299:M299"/>
    <mergeCell ref="L300:M300"/>
    <mergeCell ref="L301:M301"/>
    <mergeCell ref="L294:M294"/>
    <mergeCell ref="D58:H58"/>
    <mergeCell ref="A58:C58"/>
    <mergeCell ref="G49:H49"/>
    <mergeCell ref="A50:B51"/>
    <mergeCell ref="A64:C64"/>
    <mergeCell ref="D64:H64"/>
    <mergeCell ref="A65:C65"/>
    <mergeCell ref="D65:H65"/>
    <mergeCell ref="A68:C68"/>
    <mergeCell ref="A259:E259"/>
    <mergeCell ref="C268:D268"/>
    <mergeCell ref="G268:H268"/>
    <mergeCell ref="F256:H256"/>
    <mergeCell ref="C263:D263"/>
    <mergeCell ref="F259:H259"/>
    <mergeCell ref="F257:H257"/>
    <mergeCell ref="A469:B469"/>
    <mergeCell ref="G263:H263"/>
    <mergeCell ref="L295:M295"/>
    <mergeCell ref="L296:M296"/>
    <mergeCell ref="L461:M461"/>
    <mergeCell ref="L322:M322"/>
    <mergeCell ref="L317:M317"/>
    <mergeCell ref="L318:M318"/>
    <mergeCell ref="L319:M319"/>
    <mergeCell ref="C272:C273"/>
    <mergeCell ref="B280:B281"/>
    <mergeCell ref="A473:H473"/>
    <mergeCell ref="A467:H467"/>
    <mergeCell ref="A460:H460"/>
    <mergeCell ref="A475:B475"/>
    <mergeCell ref="A476:B476"/>
    <mergeCell ref="A465:B465"/>
    <mergeCell ref="A479:H479"/>
    <mergeCell ref="A480:B480"/>
    <mergeCell ref="A282:H282"/>
    <mergeCell ref="A278:B278"/>
    <mergeCell ref="F280:F281"/>
    <mergeCell ref="G280:G281"/>
    <mergeCell ref="A280:A281"/>
    <mergeCell ref="A466:B466"/>
    <mergeCell ref="A463:B463"/>
    <mergeCell ref="A464:B464"/>
    <mergeCell ref="A279:H279"/>
    <mergeCell ref="L286:M286"/>
    <mergeCell ref="L283:M283"/>
    <mergeCell ref="L284:M284"/>
    <mergeCell ref="L285:M285"/>
    <mergeCell ref="A472:B472"/>
    <mergeCell ref="L460:M460"/>
    <mergeCell ref="G73:H73"/>
    <mergeCell ref="A38:B38"/>
    <mergeCell ref="C38:H38"/>
    <mergeCell ref="A47:B47"/>
    <mergeCell ref="C47:H47"/>
    <mergeCell ref="F250:H250"/>
    <mergeCell ref="A250:E250"/>
    <mergeCell ref="G469:H469"/>
    <mergeCell ref="G465:H465"/>
    <mergeCell ref="G462:H462"/>
    <mergeCell ref="D272:D273"/>
    <mergeCell ref="A252:E252"/>
    <mergeCell ref="A275:B275"/>
    <mergeCell ref="A276:B276"/>
    <mergeCell ref="E70:F70"/>
    <mergeCell ref="A257:E257"/>
    <mergeCell ref="F251:H251"/>
    <mergeCell ref="A256:E256"/>
    <mergeCell ref="A251:E251"/>
    <mergeCell ref="A248:E248"/>
    <mergeCell ref="F252:H252"/>
    <mergeCell ref="A253:E253"/>
    <mergeCell ref="A254:E254"/>
    <mergeCell ref="F254:H254"/>
    <mergeCell ref="A255:E255"/>
    <mergeCell ref="E113:F113"/>
    <mergeCell ref="E265:F265"/>
    <mergeCell ref="F248:H248"/>
    <mergeCell ref="F253:H253"/>
    <mergeCell ref="A258:E258"/>
    <mergeCell ref="E80:F80"/>
    <mergeCell ref="C280:C281"/>
    <mergeCell ref="G80:H80"/>
    <mergeCell ref="E81:F81"/>
    <mergeCell ref="G81:H81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E77:F77"/>
    <mergeCell ref="G77:H77"/>
    <mergeCell ref="E78:F78"/>
    <mergeCell ref="G78:H78"/>
    <mergeCell ref="E79:F79"/>
    <mergeCell ref="G79:H79"/>
    <mergeCell ref="E74:F74"/>
    <mergeCell ref="G74:H74"/>
    <mergeCell ref="E75:F75"/>
    <mergeCell ref="G75:H75"/>
    <mergeCell ref="E76:F76"/>
    <mergeCell ref="G76:H76"/>
    <mergeCell ref="G70:H70"/>
    <mergeCell ref="E71:F71"/>
    <mergeCell ref="G71:H71"/>
    <mergeCell ref="E72:F72"/>
    <mergeCell ref="E73:F73"/>
    <mergeCell ref="B85:D85"/>
    <mergeCell ref="E85:F85"/>
    <mergeCell ref="B86:D86"/>
    <mergeCell ref="E86:F86"/>
    <mergeCell ref="G86:H86"/>
    <mergeCell ref="B87:D87"/>
    <mergeCell ref="E87:F87"/>
    <mergeCell ref="G87:H87"/>
    <mergeCell ref="B88:D88"/>
    <mergeCell ref="E88:F88"/>
    <mergeCell ref="G88:H88"/>
    <mergeCell ref="B82:D82"/>
    <mergeCell ref="E82:F82"/>
    <mergeCell ref="G82:H82"/>
    <mergeCell ref="B83:D83"/>
    <mergeCell ref="E83:F83"/>
    <mergeCell ref="G83:H83"/>
    <mergeCell ref="B84:D84"/>
    <mergeCell ref="E84:F84"/>
    <mergeCell ref="G84:H84"/>
    <mergeCell ref="B92:D92"/>
    <mergeCell ref="E92:F92"/>
    <mergeCell ref="G92:H92"/>
    <mergeCell ref="B93:D93"/>
    <mergeCell ref="E93:F93"/>
    <mergeCell ref="G93:H93"/>
    <mergeCell ref="B94:D94"/>
    <mergeCell ref="E94:F94"/>
    <mergeCell ref="G94:H94"/>
    <mergeCell ref="B89:D89"/>
    <mergeCell ref="E89:F89"/>
    <mergeCell ref="G89:H89"/>
    <mergeCell ref="B90:D90"/>
    <mergeCell ref="E90:F90"/>
    <mergeCell ref="G90:H90"/>
    <mergeCell ref="B91:D91"/>
    <mergeCell ref="E91:F91"/>
    <mergeCell ref="G91:H91"/>
    <mergeCell ref="B98:D98"/>
    <mergeCell ref="E98:F98"/>
    <mergeCell ref="G98:H98"/>
    <mergeCell ref="B99:D99"/>
    <mergeCell ref="E99:F99"/>
    <mergeCell ref="G99:H99"/>
    <mergeCell ref="B100:D100"/>
    <mergeCell ref="E100:F100"/>
    <mergeCell ref="G100:H100"/>
    <mergeCell ref="B95:D95"/>
    <mergeCell ref="E95:F95"/>
    <mergeCell ref="G95:H95"/>
    <mergeCell ref="B96:D96"/>
    <mergeCell ref="E96:F96"/>
    <mergeCell ref="G96:H96"/>
    <mergeCell ref="B97:D97"/>
    <mergeCell ref="E97:F97"/>
    <mergeCell ref="G97:H97"/>
    <mergeCell ref="B104:D104"/>
    <mergeCell ref="E104:F104"/>
    <mergeCell ref="G104:H104"/>
    <mergeCell ref="B105:D105"/>
    <mergeCell ref="E105:F105"/>
    <mergeCell ref="G105:H105"/>
    <mergeCell ref="B106:D106"/>
    <mergeCell ref="E106:F106"/>
    <mergeCell ref="G106:H106"/>
    <mergeCell ref="B101:D101"/>
    <mergeCell ref="E101:F101"/>
    <mergeCell ref="G101:H101"/>
    <mergeCell ref="B102:D102"/>
    <mergeCell ref="E102:F102"/>
    <mergeCell ref="G102:H102"/>
    <mergeCell ref="B103:D103"/>
    <mergeCell ref="E103:F103"/>
    <mergeCell ref="G103:H103"/>
    <mergeCell ref="B110:D110"/>
    <mergeCell ref="E110:F110"/>
    <mergeCell ref="G110:H110"/>
    <mergeCell ref="B111:D111"/>
    <mergeCell ref="E111:F111"/>
    <mergeCell ref="G111:H111"/>
    <mergeCell ref="B112:D112"/>
    <mergeCell ref="E112:F112"/>
    <mergeCell ref="G112:H112"/>
    <mergeCell ref="B107:D107"/>
    <mergeCell ref="E107:F107"/>
    <mergeCell ref="G107:H107"/>
    <mergeCell ref="B108:D108"/>
    <mergeCell ref="E108:F108"/>
    <mergeCell ref="G108:H108"/>
    <mergeCell ref="B109:D109"/>
    <mergeCell ref="E109:F109"/>
    <mergeCell ref="G109:H109"/>
    <mergeCell ref="B117:D117"/>
    <mergeCell ref="E117:F117"/>
    <mergeCell ref="G117:H117"/>
    <mergeCell ref="B118:D118"/>
    <mergeCell ref="E118:F118"/>
    <mergeCell ref="G118:H118"/>
    <mergeCell ref="B119:D119"/>
    <mergeCell ref="E119:F119"/>
    <mergeCell ref="G119:H119"/>
    <mergeCell ref="B113:D113"/>
    <mergeCell ref="G113:H113"/>
    <mergeCell ref="B114:D114"/>
    <mergeCell ref="E114:F114"/>
    <mergeCell ref="G114:H114"/>
    <mergeCell ref="B115:D115"/>
    <mergeCell ref="E115:F115"/>
    <mergeCell ref="G115:H115"/>
    <mergeCell ref="B116:D116"/>
    <mergeCell ref="E116:F116"/>
    <mergeCell ref="G116:H116"/>
    <mergeCell ref="B123:D123"/>
    <mergeCell ref="E123:F123"/>
    <mergeCell ref="G123:H123"/>
    <mergeCell ref="B124:D124"/>
    <mergeCell ref="E124:F124"/>
    <mergeCell ref="G124:H124"/>
    <mergeCell ref="B125:D125"/>
    <mergeCell ref="E125:F125"/>
    <mergeCell ref="G125:H125"/>
    <mergeCell ref="B120:D120"/>
    <mergeCell ref="E120:F120"/>
    <mergeCell ref="G120:H120"/>
    <mergeCell ref="B121:D121"/>
    <mergeCell ref="E121:F121"/>
    <mergeCell ref="G121:H121"/>
    <mergeCell ref="B122:D122"/>
    <mergeCell ref="E122:F122"/>
    <mergeCell ref="G122:H122"/>
    <mergeCell ref="B129:D129"/>
    <mergeCell ref="E129:F129"/>
    <mergeCell ref="G129:H129"/>
    <mergeCell ref="B130:D130"/>
    <mergeCell ref="E130:F130"/>
    <mergeCell ref="G130:H130"/>
    <mergeCell ref="B131:D131"/>
    <mergeCell ref="E131:F131"/>
    <mergeCell ref="G131:H131"/>
    <mergeCell ref="B126:D126"/>
    <mergeCell ref="E126:F126"/>
    <mergeCell ref="G126:H126"/>
    <mergeCell ref="B127:D127"/>
    <mergeCell ref="E127:F127"/>
    <mergeCell ref="G127:H127"/>
    <mergeCell ref="B128:D128"/>
    <mergeCell ref="E128:F128"/>
    <mergeCell ref="G128:H128"/>
    <mergeCell ref="B135:D135"/>
    <mergeCell ref="E135:F135"/>
    <mergeCell ref="G135:H135"/>
    <mergeCell ref="B136:D136"/>
    <mergeCell ref="E136:F136"/>
    <mergeCell ref="G136:H136"/>
    <mergeCell ref="B137:D137"/>
    <mergeCell ref="E137:F137"/>
    <mergeCell ref="G137:H137"/>
    <mergeCell ref="B132:D132"/>
    <mergeCell ref="E132:F132"/>
    <mergeCell ref="G132:H132"/>
    <mergeCell ref="B133:D133"/>
    <mergeCell ref="E133:F133"/>
    <mergeCell ref="G133:H133"/>
    <mergeCell ref="B134:D134"/>
    <mergeCell ref="E134:F134"/>
    <mergeCell ref="G134:H134"/>
    <mergeCell ref="B141:D141"/>
    <mergeCell ref="E141:F141"/>
    <mergeCell ref="G141:H141"/>
    <mergeCell ref="B142:D142"/>
    <mergeCell ref="E142:F142"/>
    <mergeCell ref="G142:H142"/>
    <mergeCell ref="B143:D143"/>
    <mergeCell ref="E143:F143"/>
    <mergeCell ref="G143:H143"/>
    <mergeCell ref="B138:D138"/>
    <mergeCell ref="E138:F138"/>
    <mergeCell ref="G138:H138"/>
    <mergeCell ref="B139:D139"/>
    <mergeCell ref="E139:F139"/>
    <mergeCell ref="G139:H139"/>
    <mergeCell ref="B140:D140"/>
    <mergeCell ref="E140:F140"/>
    <mergeCell ref="G140:H140"/>
    <mergeCell ref="B147:D147"/>
    <mergeCell ref="E147:F147"/>
    <mergeCell ref="G147:H147"/>
    <mergeCell ref="B148:D148"/>
    <mergeCell ref="E148:F148"/>
    <mergeCell ref="G148:H148"/>
    <mergeCell ref="B149:D149"/>
    <mergeCell ref="E149:F149"/>
    <mergeCell ref="G149:H149"/>
    <mergeCell ref="B144:D144"/>
    <mergeCell ref="E144:F144"/>
    <mergeCell ref="G144:H144"/>
    <mergeCell ref="B145:D145"/>
    <mergeCell ref="E145:F145"/>
    <mergeCell ref="G145:H145"/>
    <mergeCell ref="B146:D146"/>
    <mergeCell ref="E146:F146"/>
    <mergeCell ref="G146:H146"/>
    <mergeCell ref="B153:D153"/>
    <mergeCell ref="E153:F153"/>
    <mergeCell ref="G153:H153"/>
    <mergeCell ref="B154:D154"/>
    <mergeCell ref="E154:F154"/>
    <mergeCell ref="G154:H154"/>
    <mergeCell ref="B155:D155"/>
    <mergeCell ref="E155:F155"/>
    <mergeCell ref="G155:H155"/>
    <mergeCell ref="B150:D150"/>
    <mergeCell ref="E150:F150"/>
    <mergeCell ref="G150:H150"/>
    <mergeCell ref="B151:D151"/>
    <mergeCell ref="E151:F151"/>
    <mergeCell ref="G151:H151"/>
    <mergeCell ref="B152:D152"/>
    <mergeCell ref="E152:F152"/>
    <mergeCell ref="G152:H152"/>
    <mergeCell ref="B159:D159"/>
    <mergeCell ref="E159:F159"/>
    <mergeCell ref="G159:H159"/>
    <mergeCell ref="B160:D160"/>
    <mergeCell ref="E160:F160"/>
    <mergeCell ref="G160:H160"/>
    <mergeCell ref="B161:D161"/>
    <mergeCell ref="E161:F161"/>
    <mergeCell ref="G161:H161"/>
    <mergeCell ref="B156:D156"/>
    <mergeCell ref="E156:F156"/>
    <mergeCell ref="G156:H156"/>
    <mergeCell ref="B157:D157"/>
    <mergeCell ref="E157:F157"/>
    <mergeCell ref="G157:H157"/>
    <mergeCell ref="B158:D158"/>
    <mergeCell ref="E158:F158"/>
    <mergeCell ref="G158:H158"/>
    <mergeCell ref="B165:D165"/>
    <mergeCell ref="E165:F165"/>
    <mergeCell ref="G165:H165"/>
    <mergeCell ref="B166:D166"/>
    <mergeCell ref="E166:F166"/>
    <mergeCell ref="G166:H166"/>
    <mergeCell ref="B167:D167"/>
    <mergeCell ref="E167:F167"/>
    <mergeCell ref="G167:H167"/>
    <mergeCell ref="B162:D162"/>
    <mergeCell ref="E162:F162"/>
    <mergeCell ref="G162:H162"/>
    <mergeCell ref="B163:D163"/>
    <mergeCell ref="E163:F163"/>
    <mergeCell ref="G163:H163"/>
    <mergeCell ref="B164:D164"/>
    <mergeCell ref="E164:F164"/>
    <mergeCell ref="G164:H164"/>
    <mergeCell ref="B171:D171"/>
    <mergeCell ref="E171:F171"/>
    <mergeCell ref="G171:H171"/>
    <mergeCell ref="B172:D172"/>
    <mergeCell ref="E172:F172"/>
    <mergeCell ref="G172:H172"/>
    <mergeCell ref="B173:D173"/>
    <mergeCell ref="E173:F173"/>
    <mergeCell ref="G173:H173"/>
    <mergeCell ref="B168:D168"/>
    <mergeCell ref="E168:F168"/>
    <mergeCell ref="G168:H168"/>
    <mergeCell ref="B169:D169"/>
    <mergeCell ref="E169:F169"/>
    <mergeCell ref="G169:H169"/>
    <mergeCell ref="B170:D170"/>
    <mergeCell ref="E170:F170"/>
    <mergeCell ref="G170:H170"/>
    <mergeCell ref="B177:D177"/>
    <mergeCell ref="E177:F177"/>
    <mergeCell ref="G177:H177"/>
    <mergeCell ref="B178:D178"/>
    <mergeCell ref="E178:F178"/>
    <mergeCell ref="G178:H178"/>
    <mergeCell ref="B179:D179"/>
    <mergeCell ref="E179:F179"/>
    <mergeCell ref="G179:H179"/>
    <mergeCell ref="B174:D174"/>
    <mergeCell ref="E174:F174"/>
    <mergeCell ref="G174:H174"/>
    <mergeCell ref="B175:D175"/>
    <mergeCell ref="E175:F175"/>
    <mergeCell ref="G175:H175"/>
    <mergeCell ref="B176:D176"/>
    <mergeCell ref="E176:F176"/>
    <mergeCell ref="G176:H176"/>
    <mergeCell ref="B183:D183"/>
    <mergeCell ref="E183:F183"/>
    <mergeCell ref="G183:H183"/>
    <mergeCell ref="B184:D184"/>
    <mergeCell ref="E184:F184"/>
    <mergeCell ref="G184:H184"/>
    <mergeCell ref="B185:D185"/>
    <mergeCell ref="E185:F185"/>
    <mergeCell ref="G185:H185"/>
    <mergeCell ref="B180:D180"/>
    <mergeCell ref="E180:F180"/>
    <mergeCell ref="G180:H180"/>
    <mergeCell ref="B181:D181"/>
    <mergeCell ref="E181:F181"/>
    <mergeCell ref="G181:H181"/>
    <mergeCell ref="B182:D182"/>
    <mergeCell ref="E182:F182"/>
    <mergeCell ref="G182:H182"/>
    <mergeCell ref="B189:D189"/>
    <mergeCell ref="E189:F189"/>
    <mergeCell ref="G189:H189"/>
    <mergeCell ref="B190:D190"/>
    <mergeCell ref="E190:F190"/>
    <mergeCell ref="G190:H190"/>
    <mergeCell ref="B191:D191"/>
    <mergeCell ref="E191:F191"/>
    <mergeCell ref="G191:H191"/>
    <mergeCell ref="B186:D186"/>
    <mergeCell ref="E186:F186"/>
    <mergeCell ref="G186:H186"/>
    <mergeCell ref="B187:D187"/>
    <mergeCell ref="E187:F187"/>
    <mergeCell ref="G187:H187"/>
    <mergeCell ref="B188:D188"/>
    <mergeCell ref="E188:F188"/>
    <mergeCell ref="G188:H188"/>
    <mergeCell ref="B195:D195"/>
    <mergeCell ref="E195:F195"/>
    <mergeCell ref="G195:H195"/>
    <mergeCell ref="B196:D196"/>
    <mergeCell ref="E196:F196"/>
    <mergeCell ref="G196:H196"/>
    <mergeCell ref="B197:D197"/>
    <mergeCell ref="E197:F197"/>
    <mergeCell ref="G197:H197"/>
    <mergeCell ref="B192:D192"/>
    <mergeCell ref="E192:F192"/>
    <mergeCell ref="G192:H192"/>
    <mergeCell ref="B193:D193"/>
    <mergeCell ref="E193:F193"/>
    <mergeCell ref="G193:H193"/>
    <mergeCell ref="B194:D194"/>
    <mergeCell ref="E194:F194"/>
    <mergeCell ref="G194:H194"/>
    <mergeCell ref="B201:D201"/>
    <mergeCell ref="E201:F201"/>
    <mergeCell ref="G201:H201"/>
    <mergeCell ref="B202:D202"/>
    <mergeCell ref="E202:F202"/>
    <mergeCell ref="G202:H202"/>
    <mergeCell ref="B203:D203"/>
    <mergeCell ref="E203:F203"/>
    <mergeCell ref="G203:H203"/>
    <mergeCell ref="B198:D198"/>
    <mergeCell ref="E198:F198"/>
    <mergeCell ref="G198:H198"/>
    <mergeCell ref="B199:D199"/>
    <mergeCell ref="E199:F199"/>
    <mergeCell ref="G199:H199"/>
    <mergeCell ref="B200:D200"/>
    <mergeCell ref="E200:F200"/>
    <mergeCell ref="G200:H200"/>
    <mergeCell ref="B207:D207"/>
    <mergeCell ref="E207:F207"/>
    <mergeCell ref="G207:H207"/>
    <mergeCell ref="B208:D208"/>
    <mergeCell ref="E208:F208"/>
    <mergeCell ref="G208:H208"/>
    <mergeCell ref="B209:D209"/>
    <mergeCell ref="E209:F209"/>
    <mergeCell ref="G209:H209"/>
    <mergeCell ref="B204:D204"/>
    <mergeCell ref="E204:F204"/>
    <mergeCell ref="G204:H204"/>
    <mergeCell ref="B205:D205"/>
    <mergeCell ref="E205:F205"/>
    <mergeCell ref="G205:H205"/>
    <mergeCell ref="B206:D206"/>
    <mergeCell ref="E206:F206"/>
    <mergeCell ref="G206:H206"/>
    <mergeCell ref="B213:D213"/>
    <mergeCell ref="E213:F213"/>
    <mergeCell ref="G213:H213"/>
    <mergeCell ref="B214:D214"/>
    <mergeCell ref="E214:F214"/>
    <mergeCell ref="G214:H214"/>
    <mergeCell ref="B215:D215"/>
    <mergeCell ref="E215:F215"/>
    <mergeCell ref="G215:H215"/>
    <mergeCell ref="B210:D210"/>
    <mergeCell ref="E210:F210"/>
    <mergeCell ref="G210:H210"/>
    <mergeCell ref="B211:D211"/>
    <mergeCell ref="E211:F211"/>
    <mergeCell ref="G211:H211"/>
    <mergeCell ref="B212:D212"/>
    <mergeCell ref="E212:F212"/>
    <mergeCell ref="G212:H212"/>
    <mergeCell ref="B219:D219"/>
    <mergeCell ref="E219:F219"/>
    <mergeCell ref="G219:H219"/>
    <mergeCell ref="B220:D220"/>
    <mergeCell ref="E220:F220"/>
    <mergeCell ref="G220:H220"/>
    <mergeCell ref="B221:D221"/>
    <mergeCell ref="E221:F221"/>
    <mergeCell ref="G221:H221"/>
    <mergeCell ref="B216:D216"/>
    <mergeCell ref="E216:F216"/>
    <mergeCell ref="G216:H216"/>
    <mergeCell ref="B217:D217"/>
    <mergeCell ref="E217:F217"/>
    <mergeCell ref="G217:H217"/>
    <mergeCell ref="B218:D218"/>
    <mergeCell ref="E218:F218"/>
    <mergeCell ref="G218:H218"/>
    <mergeCell ref="B225:D225"/>
    <mergeCell ref="E225:F225"/>
    <mergeCell ref="G225:H225"/>
    <mergeCell ref="B226:D226"/>
    <mergeCell ref="E226:F226"/>
    <mergeCell ref="G226:H226"/>
    <mergeCell ref="B227:D227"/>
    <mergeCell ref="E227:F227"/>
    <mergeCell ref="G227:H227"/>
    <mergeCell ref="B222:D222"/>
    <mergeCell ref="E222:F222"/>
    <mergeCell ref="G222:H222"/>
    <mergeCell ref="B223:D223"/>
    <mergeCell ref="E223:F223"/>
    <mergeCell ref="G223:H223"/>
    <mergeCell ref="B224:D224"/>
    <mergeCell ref="E224:F224"/>
    <mergeCell ref="G224:H224"/>
    <mergeCell ref="G234:H234"/>
    <mergeCell ref="B235:D235"/>
    <mergeCell ref="E235:F235"/>
    <mergeCell ref="G235:H235"/>
    <mergeCell ref="B236:D236"/>
    <mergeCell ref="E236:F236"/>
    <mergeCell ref="G236:H236"/>
    <mergeCell ref="B231:D231"/>
    <mergeCell ref="E231:F231"/>
    <mergeCell ref="G231:H231"/>
    <mergeCell ref="B232:D232"/>
    <mergeCell ref="E232:F232"/>
    <mergeCell ref="G232:H232"/>
    <mergeCell ref="B233:D233"/>
    <mergeCell ref="E233:F233"/>
    <mergeCell ref="G233:H233"/>
    <mergeCell ref="B228:D228"/>
    <mergeCell ref="E228:F228"/>
    <mergeCell ref="G228:H228"/>
    <mergeCell ref="B229:D229"/>
    <mergeCell ref="E229:F229"/>
    <mergeCell ref="G229:H229"/>
    <mergeCell ref="B230:D230"/>
    <mergeCell ref="E230:F230"/>
    <mergeCell ref="G230:H230"/>
    <mergeCell ref="G463:H463"/>
    <mergeCell ref="B272:B273"/>
    <mergeCell ref="A69:H69"/>
    <mergeCell ref="B243:D243"/>
    <mergeCell ref="E243:F243"/>
    <mergeCell ref="G243:H243"/>
    <mergeCell ref="B244:D244"/>
    <mergeCell ref="E244:F244"/>
    <mergeCell ref="G244:H244"/>
    <mergeCell ref="B245:D245"/>
    <mergeCell ref="E245:F245"/>
    <mergeCell ref="G245:H245"/>
    <mergeCell ref="B240:D240"/>
    <mergeCell ref="E240:F240"/>
    <mergeCell ref="G240:H240"/>
    <mergeCell ref="B241:D241"/>
    <mergeCell ref="E241:F241"/>
    <mergeCell ref="G241:H241"/>
    <mergeCell ref="B242:D242"/>
    <mergeCell ref="E242:F242"/>
    <mergeCell ref="G242:H242"/>
    <mergeCell ref="B237:D237"/>
    <mergeCell ref="E237:F237"/>
    <mergeCell ref="G237:H237"/>
    <mergeCell ref="B238:D238"/>
    <mergeCell ref="E238:F238"/>
    <mergeCell ref="G238:H238"/>
    <mergeCell ref="B239:D239"/>
    <mergeCell ref="E239:F239"/>
    <mergeCell ref="G239:H239"/>
    <mergeCell ref="B234:D234"/>
    <mergeCell ref="E234:F234"/>
    <mergeCell ref="B506:H506"/>
    <mergeCell ref="B507:H507"/>
    <mergeCell ref="E504:F504"/>
    <mergeCell ref="G503:H503"/>
    <mergeCell ref="E502:F502"/>
    <mergeCell ref="G502:H502"/>
    <mergeCell ref="E497:F497"/>
    <mergeCell ref="G497:H497"/>
    <mergeCell ref="E498:F498"/>
    <mergeCell ref="G498:H498"/>
    <mergeCell ref="E499:F499"/>
    <mergeCell ref="E500:F500"/>
    <mergeCell ref="B494:H494"/>
    <mergeCell ref="B246:D246"/>
    <mergeCell ref="E246:F246"/>
    <mergeCell ref="G246:H246"/>
    <mergeCell ref="B247:D247"/>
    <mergeCell ref="E247:F247"/>
    <mergeCell ref="G247:H247"/>
    <mergeCell ref="A483:B483"/>
    <mergeCell ref="G483:H483"/>
    <mergeCell ref="A474:B474"/>
    <mergeCell ref="A277:B277"/>
    <mergeCell ref="C264:D264"/>
    <mergeCell ref="E264:F264"/>
    <mergeCell ref="F258:H258"/>
    <mergeCell ref="E263:F263"/>
    <mergeCell ref="A263:B263"/>
    <mergeCell ref="A265:B265"/>
    <mergeCell ref="A270:H270"/>
    <mergeCell ref="G464:H464"/>
    <mergeCell ref="A271:H271"/>
  </mergeCells>
  <dataValidations disablePrompts="1" count="1">
    <dataValidation type="list" allowBlank="1" showInputMessage="1" showErrorMessage="1" sqref="H281">
      <formula1>"45%,50%,55%,60%"</formula1>
    </dataValidation>
  </dataValidation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6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8" max="7" man="1"/>
    <brk id="519" max="16383" man="1"/>
    <brk id="563" max="16383" man="1"/>
    <brk id="607" max="16383" man="1"/>
    <brk id="65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1"/>
  <sheetViews>
    <sheetView workbookViewId="0">
      <selection activeCell="D2" sqref="D2"/>
    </sheetView>
  </sheetViews>
  <sheetFormatPr defaultRowHeight="14.5" x14ac:dyDescent="0.35"/>
  <cols>
    <col min="3" max="3" width="13.54296875" customWidth="1"/>
    <col min="14" max="14" width="12.1796875" customWidth="1"/>
  </cols>
  <sheetData>
    <row r="1" spans="2:15" x14ac:dyDescent="0.35">
      <c r="C1" s="72" t="s">
        <v>225</v>
      </c>
      <c r="D1" s="246" t="s">
        <v>254</v>
      </c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2:15" x14ac:dyDescent="0.35">
      <c r="E2" s="73"/>
      <c r="F2" s="73"/>
      <c r="G2" s="73"/>
      <c r="H2" s="73"/>
      <c r="I2" s="73"/>
      <c r="J2" s="73"/>
    </row>
    <row r="3" spans="2:15" x14ac:dyDescent="0.35">
      <c r="B3" s="72" t="s">
        <v>226</v>
      </c>
      <c r="C3" s="74" t="s">
        <v>227</v>
      </c>
      <c r="D3" s="247" t="s">
        <v>228</v>
      </c>
      <c r="E3" s="247"/>
      <c r="F3" s="247"/>
      <c r="G3" s="75"/>
      <c r="H3" s="247" t="s">
        <v>229</v>
      </c>
      <c r="I3" s="247"/>
      <c r="J3" s="247"/>
      <c r="K3" s="247" t="s">
        <v>230</v>
      </c>
      <c r="L3" s="247"/>
      <c r="M3" s="247"/>
    </row>
    <row r="4" spans="2:15" x14ac:dyDescent="0.35">
      <c r="B4" s="72">
        <v>1</v>
      </c>
      <c r="C4" s="74"/>
      <c r="D4" s="74" t="s">
        <v>231</v>
      </c>
      <c r="E4" s="74" t="s">
        <v>232</v>
      </c>
      <c r="F4" s="74" t="s">
        <v>233</v>
      </c>
      <c r="G4" s="74"/>
      <c r="H4" s="74" t="s">
        <v>231</v>
      </c>
      <c r="I4" s="74" t="s">
        <v>232</v>
      </c>
      <c r="J4" s="74" t="s">
        <v>233</v>
      </c>
      <c r="K4" s="74" t="s">
        <v>231</v>
      </c>
      <c r="L4" s="74" t="s">
        <v>232</v>
      </c>
      <c r="M4" s="74" t="s">
        <v>233</v>
      </c>
    </row>
    <row r="5" spans="2:15" x14ac:dyDescent="0.35">
      <c r="B5" s="72">
        <f>B4+1</f>
        <v>2</v>
      </c>
      <c r="C5" s="76" t="s">
        <v>234</v>
      </c>
      <c r="D5" s="76">
        <v>5.6</v>
      </c>
      <c r="E5" s="76">
        <v>6.54</v>
      </c>
      <c r="F5" s="76">
        <f>D5*E5</f>
        <v>36.623999999999995</v>
      </c>
      <c r="G5" s="77"/>
      <c r="H5" s="77"/>
      <c r="I5" s="77"/>
      <c r="J5" s="77">
        <f>H5*I5</f>
        <v>0</v>
      </c>
      <c r="K5" s="77"/>
      <c r="L5" s="77"/>
      <c r="M5" s="77">
        <f>K5*L5</f>
        <v>0</v>
      </c>
    </row>
    <row r="6" spans="2:15" x14ac:dyDescent="0.35">
      <c r="B6" s="72">
        <f>B5+1</f>
        <v>3</v>
      </c>
      <c r="C6" s="76" t="s">
        <v>234</v>
      </c>
      <c r="D6" s="76">
        <v>2.8</v>
      </c>
      <c r="E6" s="76">
        <v>2.77</v>
      </c>
      <c r="F6" s="76">
        <f>D6*E6</f>
        <v>7.7559999999999993</v>
      </c>
      <c r="G6" s="77"/>
      <c r="H6" s="77"/>
      <c r="I6" s="77"/>
      <c r="J6" s="77">
        <f t="shared" ref="J6:J39" si="0">H6*I6</f>
        <v>0</v>
      </c>
      <c r="K6" s="77"/>
      <c r="L6" s="77"/>
      <c r="M6" s="77">
        <f t="shared" ref="M6:M39" si="1">K6*L6</f>
        <v>0</v>
      </c>
      <c r="N6">
        <v>31.16</v>
      </c>
      <c r="O6" t="s">
        <v>235</v>
      </c>
    </row>
    <row r="7" spans="2:15" x14ac:dyDescent="0.35">
      <c r="B7" s="78">
        <f>B6+1</f>
        <v>4</v>
      </c>
      <c r="C7" s="76" t="s">
        <v>234</v>
      </c>
      <c r="D7" s="77">
        <v>4.5999999999999996</v>
      </c>
      <c r="E7" s="77">
        <v>1.52</v>
      </c>
      <c r="F7" s="77">
        <f t="shared" ref="F7:F38" si="2">D7*E7</f>
        <v>6.9919999999999991</v>
      </c>
      <c r="G7" s="77"/>
      <c r="H7" s="77"/>
      <c r="I7" s="77"/>
      <c r="J7" s="77">
        <f t="shared" si="0"/>
        <v>0</v>
      </c>
      <c r="K7" s="77"/>
      <c r="L7" s="77"/>
      <c r="M7" s="77">
        <f t="shared" si="1"/>
        <v>0</v>
      </c>
      <c r="N7">
        <v>31.16</v>
      </c>
      <c r="O7" t="s">
        <v>235</v>
      </c>
    </row>
    <row r="8" spans="2:15" x14ac:dyDescent="0.35">
      <c r="C8" s="76" t="s">
        <v>234</v>
      </c>
      <c r="D8" s="77">
        <v>2.2999999999999998</v>
      </c>
      <c r="E8" s="77">
        <v>1.05</v>
      </c>
      <c r="F8" s="77">
        <f t="shared" si="2"/>
        <v>2.415</v>
      </c>
      <c r="G8" s="77"/>
      <c r="H8" s="77"/>
      <c r="I8" s="77"/>
      <c r="J8" s="77">
        <f t="shared" si="0"/>
        <v>0</v>
      </c>
      <c r="K8" s="77"/>
      <c r="L8" s="77"/>
      <c r="M8" s="77">
        <f t="shared" si="1"/>
        <v>0</v>
      </c>
    </row>
    <row r="9" spans="2:15" x14ac:dyDescent="0.35">
      <c r="C9" s="77" t="s">
        <v>251</v>
      </c>
      <c r="D9" s="79">
        <v>4.1500000000000004</v>
      </c>
      <c r="E9" s="79">
        <v>1.53</v>
      </c>
      <c r="F9" s="79">
        <f t="shared" si="2"/>
        <v>6.3495000000000008</v>
      </c>
      <c r="G9" s="77"/>
      <c r="H9" s="77"/>
      <c r="I9" s="77"/>
      <c r="J9" s="77">
        <f t="shared" si="0"/>
        <v>0</v>
      </c>
      <c r="K9" s="77"/>
      <c r="L9" s="77"/>
      <c r="M9" s="77">
        <f t="shared" si="1"/>
        <v>0</v>
      </c>
    </row>
    <row r="10" spans="2:15" x14ac:dyDescent="0.35">
      <c r="C10" s="77" t="s">
        <v>237</v>
      </c>
      <c r="D10" s="79">
        <v>3.7</v>
      </c>
      <c r="E10" s="79">
        <v>2.4</v>
      </c>
      <c r="F10" s="79">
        <f t="shared" si="2"/>
        <v>8.8800000000000008</v>
      </c>
      <c r="G10" s="77"/>
      <c r="H10" s="77"/>
      <c r="I10" s="77"/>
      <c r="J10" s="77">
        <f t="shared" si="0"/>
        <v>0</v>
      </c>
      <c r="K10" s="77"/>
      <c r="L10" s="77"/>
      <c r="M10" s="77">
        <f t="shared" si="1"/>
        <v>0</v>
      </c>
    </row>
    <row r="11" spans="2:15" x14ac:dyDescent="0.35">
      <c r="C11" s="79" t="s">
        <v>249</v>
      </c>
      <c r="D11" s="79">
        <v>1.65</v>
      </c>
      <c r="E11" s="79">
        <v>2.44</v>
      </c>
      <c r="F11" s="77">
        <f t="shared" si="2"/>
        <v>4.0259999999999998</v>
      </c>
      <c r="G11" s="77"/>
      <c r="H11" s="77"/>
      <c r="I11" s="77"/>
      <c r="J11" s="77">
        <f t="shared" si="0"/>
        <v>0</v>
      </c>
      <c r="K11" s="77"/>
      <c r="L11" s="77"/>
      <c r="M11" s="77">
        <f t="shared" si="1"/>
        <v>0</v>
      </c>
    </row>
    <row r="12" spans="2:15" x14ac:dyDescent="0.35">
      <c r="C12" s="77" t="s">
        <v>236</v>
      </c>
      <c r="D12" s="77">
        <v>1.1000000000000001</v>
      </c>
      <c r="E12" s="77">
        <v>1.1399999999999999</v>
      </c>
      <c r="F12" s="77">
        <f t="shared" si="2"/>
        <v>1.254</v>
      </c>
      <c r="G12" s="77"/>
      <c r="H12" s="77"/>
      <c r="I12" s="77"/>
      <c r="J12" s="77">
        <f t="shared" si="0"/>
        <v>0</v>
      </c>
      <c r="K12" s="77"/>
      <c r="L12" s="77"/>
      <c r="M12" s="77">
        <f t="shared" si="1"/>
        <v>0</v>
      </c>
    </row>
    <row r="13" spans="2:15" x14ac:dyDescent="0.35">
      <c r="C13" s="77" t="s">
        <v>236</v>
      </c>
      <c r="D13" s="77">
        <v>3.15</v>
      </c>
      <c r="E13" s="77">
        <v>1.74</v>
      </c>
      <c r="F13" s="77">
        <f t="shared" si="2"/>
        <v>5.4809999999999999</v>
      </c>
      <c r="G13" s="77"/>
      <c r="H13" s="77"/>
      <c r="I13" s="77"/>
      <c r="J13" s="77">
        <f t="shared" si="0"/>
        <v>0</v>
      </c>
      <c r="K13" s="77"/>
      <c r="L13" s="77"/>
      <c r="M13" s="77">
        <f t="shared" si="1"/>
        <v>0</v>
      </c>
    </row>
    <row r="14" spans="2:15" x14ac:dyDescent="0.35">
      <c r="C14" s="77" t="s">
        <v>236</v>
      </c>
      <c r="D14" s="77">
        <v>1.35</v>
      </c>
      <c r="E14" s="77">
        <v>1.34</v>
      </c>
      <c r="F14" s="77">
        <f t="shared" si="2"/>
        <v>1.8090000000000002</v>
      </c>
      <c r="G14" s="77"/>
      <c r="H14" s="77"/>
      <c r="I14" s="77"/>
      <c r="J14" s="77">
        <f t="shared" si="0"/>
        <v>0</v>
      </c>
      <c r="K14" s="77"/>
      <c r="L14" s="77"/>
      <c r="M14" s="77">
        <f t="shared" si="1"/>
        <v>0</v>
      </c>
    </row>
    <row r="15" spans="2:15" x14ac:dyDescent="0.35">
      <c r="C15" s="77" t="s">
        <v>236</v>
      </c>
      <c r="D15" s="77">
        <v>2</v>
      </c>
      <c r="E15" s="77">
        <v>1.74</v>
      </c>
      <c r="F15" s="77">
        <f t="shared" si="2"/>
        <v>3.48</v>
      </c>
      <c r="G15" s="77"/>
      <c r="H15" s="77"/>
      <c r="I15" s="77"/>
      <c r="J15" s="77">
        <f t="shared" si="0"/>
        <v>0</v>
      </c>
      <c r="K15" s="77"/>
      <c r="L15" s="77"/>
      <c r="M15" s="77">
        <f t="shared" si="1"/>
        <v>0</v>
      </c>
    </row>
    <row r="16" spans="2:15" x14ac:dyDescent="0.35">
      <c r="C16" s="77" t="s">
        <v>250</v>
      </c>
      <c r="D16" s="77">
        <v>2.0499999999999998</v>
      </c>
      <c r="E16" s="80">
        <v>1.75</v>
      </c>
      <c r="F16" s="77">
        <f t="shared" si="2"/>
        <v>3.5874999999999995</v>
      </c>
      <c r="G16" s="77"/>
      <c r="H16" s="77"/>
      <c r="I16" s="77"/>
      <c r="J16" s="77">
        <f t="shared" si="0"/>
        <v>0</v>
      </c>
      <c r="K16" s="77"/>
      <c r="L16" s="77"/>
      <c r="M16" s="77">
        <f t="shared" si="1"/>
        <v>0</v>
      </c>
    </row>
    <row r="17" spans="3:19" x14ac:dyDescent="0.35">
      <c r="C17" s="77" t="s">
        <v>250</v>
      </c>
      <c r="D17" s="77">
        <v>1.18</v>
      </c>
      <c r="E17" s="77">
        <v>1.85</v>
      </c>
      <c r="F17" s="76">
        <f t="shared" si="2"/>
        <v>2.1829999999999998</v>
      </c>
      <c r="G17" s="77"/>
      <c r="H17" s="77"/>
      <c r="I17" s="77"/>
      <c r="J17" s="77">
        <f t="shared" si="0"/>
        <v>0</v>
      </c>
      <c r="K17" s="77"/>
      <c r="L17" s="77"/>
      <c r="M17" s="77">
        <f t="shared" si="1"/>
        <v>0</v>
      </c>
    </row>
    <row r="18" spans="3:19" x14ac:dyDescent="0.35">
      <c r="C18" s="77" t="s">
        <v>250</v>
      </c>
      <c r="D18" s="76">
        <v>2</v>
      </c>
      <c r="E18" s="76">
        <v>1.75</v>
      </c>
      <c r="F18" s="76">
        <f t="shared" si="2"/>
        <v>3.5</v>
      </c>
      <c r="G18" s="77"/>
      <c r="H18" s="77"/>
      <c r="I18" s="77"/>
      <c r="J18" s="77">
        <f t="shared" si="0"/>
        <v>0</v>
      </c>
      <c r="K18" s="77"/>
      <c r="L18" s="77"/>
      <c r="M18" s="77">
        <f t="shared" si="1"/>
        <v>0</v>
      </c>
    </row>
    <row r="19" spans="3:19" x14ac:dyDescent="0.35">
      <c r="C19" s="76" t="s">
        <v>244</v>
      </c>
      <c r="D19" s="76">
        <v>4</v>
      </c>
      <c r="E19" s="76">
        <v>3.71</v>
      </c>
      <c r="F19" s="76">
        <f t="shared" si="2"/>
        <v>14.84</v>
      </c>
      <c r="G19" s="77"/>
      <c r="H19" s="77"/>
      <c r="I19" s="77"/>
      <c r="J19" s="77">
        <f t="shared" si="0"/>
        <v>0</v>
      </c>
      <c r="K19" s="77"/>
      <c r="L19" s="77"/>
      <c r="M19" s="77">
        <f t="shared" si="1"/>
        <v>0</v>
      </c>
    </row>
    <row r="20" spans="3:19" x14ac:dyDescent="0.35">
      <c r="C20" s="76" t="s">
        <v>239</v>
      </c>
      <c r="D20" s="81">
        <v>1.7</v>
      </c>
      <c r="E20" s="81">
        <v>0.86</v>
      </c>
      <c r="F20" s="76">
        <f t="shared" si="2"/>
        <v>1.462</v>
      </c>
      <c r="G20" s="77"/>
      <c r="H20" s="77"/>
      <c r="I20" s="77"/>
      <c r="J20" s="77">
        <f t="shared" si="0"/>
        <v>0</v>
      </c>
      <c r="K20" s="77"/>
      <c r="L20" s="77"/>
      <c r="M20" s="77">
        <f t="shared" si="1"/>
        <v>0</v>
      </c>
      <c r="O20">
        <f>1/2*3.2*3.6</f>
        <v>5.7600000000000007</v>
      </c>
    </row>
    <row r="21" spans="3:19" x14ac:dyDescent="0.35">
      <c r="C21" s="76" t="s">
        <v>239</v>
      </c>
      <c r="D21" s="82">
        <v>1.75</v>
      </c>
      <c r="E21" s="82">
        <v>0.96</v>
      </c>
      <c r="F21" s="82">
        <f t="shared" si="2"/>
        <v>1.68</v>
      </c>
      <c r="G21" s="77"/>
      <c r="H21" s="77"/>
      <c r="I21" s="77"/>
      <c r="J21" s="77">
        <f t="shared" si="0"/>
        <v>0</v>
      </c>
      <c r="K21" s="77"/>
      <c r="L21" s="77"/>
      <c r="M21" s="77">
        <f t="shared" si="1"/>
        <v>0</v>
      </c>
    </row>
    <row r="22" spans="3:19" x14ac:dyDescent="0.35">
      <c r="C22" s="76" t="s">
        <v>239</v>
      </c>
      <c r="D22" s="82">
        <v>1.1599999999999999</v>
      </c>
      <c r="E22" s="82">
        <v>0.8</v>
      </c>
      <c r="F22" s="82">
        <f t="shared" si="2"/>
        <v>0.92799999999999994</v>
      </c>
      <c r="G22" s="77"/>
      <c r="H22" s="77"/>
      <c r="I22" s="77"/>
      <c r="J22" s="77">
        <f t="shared" si="0"/>
        <v>0</v>
      </c>
      <c r="K22" s="77"/>
      <c r="L22" s="77"/>
      <c r="M22" s="77">
        <f t="shared" si="1"/>
        <v>0</v>
      </c>
    </row>
    <row r="23" spans="3:19" x14ac:dyDescent="0.35">
      <c r="C23" s="76" t="s">
        <v>238</v>
      </c>
      <c r="D23" s="82">
        <v>4.88</v>
      </c>
      <c r="E23" s="82">
        <v>5.54</v>
      </c>
      <c r="F23" s="82">
        <f t="shared" si="2"/>
        <v>27.0352</v>
      </c>
      <c r="G23" s="77" t="s">
        <v>241</v>
      </c>
      <c r="H23" s="77"/>
      <c r="I23" s="77"/>
      <c r="J23" s="77">
        <f t="shared" si="0"/>
        <v>0</v>
      </c>
      <c r="K23" s="77"/>
      <c r="L23" s="77"/>
      <c r="M23" s="77">
        <f t="shared" si="1"/>
        <v>0</v>
      </c>
    </row>
    <row r="24" spans="3:19" x14ac:dyDescent="0.35">
      <c r="C24" s="82" t="s">
        <v>239</v>
      </c>
      <c r="D24" s="82">
        <v>1.5</v>
      </c>
      <c r="E24" s="82">
        <v>4.74</v>
      </c>
      <c r="F24" s="82">
        <f t="shared" si="2"/>
        <v>7.11</v>
      </c>
      <c r="G24" s="77" t="s">
        <v>242</v>
      </c>
      <c r="H24" s="77"/>
      <c r="I24" s="77"/>
      <c r="J24" s="77">
        <f t="shared" si="0"/>
        <v>0</v>
      </c>
      <c r="K24" s="77"/>
      <c r="L24" s="77"/>
      <c r="M24" s="77">
        <f t="shared" si="1"/>
        <v>0</v>
      </c>
    </row>
    <row r="25" spans="3:19" x14ac:dyDescent="0.35">
      <c r="C25" s="82" t="s">
        <v>239</v>
      </c>
      <c r="D25" s="83">
        <v>2.95</v>
      </c>
      <c r="E25" s="83">
        <v>3.49</v>
      </c>
      <c r="F25" s="82">
        <f t="shared" si="2"/>
        <v>10.295500000000001</v>
      </c>
      <c r="G25" s="77"/>
      <c r="H25" s="77"/>
      <c r="I25" s="77"/>
      <c r="J25" s="77">
        <f t="shared" si="0"/>
        <v>0</v>
      </c>
      <c r="K25" s="77"/>
      <c r="L25" s="77"/>
      <c r="M25" s="77">
        <f t="shared" si="1"/>
        <v>0</v>
      </c>
    </row>
    <row r="26" spans="3:19" x14ac:dyDescent="0.35">
      <c r="C26" s="76" t="s">
        <v>252</v>
      </c>
      <c r="D26" s="76">
        <v>2.4500000000000002</v>
      </c>
      <c r="E26" s="76">
        <v>3.49</v>
      </c>
      <c r="F26" s="82">
        <f t="shared" si="2"/>
        <v>8.5505000000000013</v>
      </c>
      <c r="G26" s="77"/>
      <c r="H26" s="77"/>
      <c r="I26" s="77"/>
      <c r="J26" s="77">
        <f t="shared" si="0"/>
        <v>0</v>
      </c>
      <c r="K26" s="77"/>
      <c r="L26" s="77"/>
      <c r="M26" s="77">
        <f t="shared" si="1"/>
        <v>0</v>
      </c>
    </row>
    <row r="27" spans="3:19" x14ac:dyDescent="0.35">
      <c r="C27" s="76" t="s">
        <v>253</v>
      </c>
      <c r="D27" s="76">
        <v>4</v>
      </c>
      <c r="E27" s="76">
        <v>3.71</v>
      </c>
      <c r="F27" s="82">
        <f t="shared" si="2"/>
        <v>14.84</v>
      </c>
      <c r="G27" s="77"/>
      <c r="H27" s="77"/>
      <c r="I27" s="77"/>
      <c r="J27" s="77">
        <f t="shared" si="0"/>
        <v>0</v>
      </c>
      <c r="K27" s="77"/>
      <c r="L27" s="77"/>
      <c r="M27" s="77">
        <f t="shared" si="1"/>
        <v>0</v>
      </c>
    </row>
    <row r="28" spans="3:19" x14ac:dyDescent="0.35">
      <c r="C28" s="76" t="s">
        <v>243</v>
      </c>
      <c r="D28" s="76">
        <v>1.95</v>
      </c>
      <c r="E28" s="76">
        <v>0.95</v>
      </c>
      <c r="F28" s="82">
        <f t="shared" si="2"/>
        <v>1.8524999999999998</v>
      </c>
      <c r="G28" s="77" t="s">
        <v>241</v>
      </c>
      <c r="H28" s="77"/>
      <c r="I28" s="77"/>
      <c r="J28" s="77">
        <f t="shared" si="0"/>
        <v>0</v>
      </c>
      <c r="K28" s="77"/>
      <c r="L28" s="77"/>
      <c r="M28" s="77">
        <f t="shared" si="1"/>
        <v>0</v>
      </c>
    </row>
    <row r="29" spans="3:19" x14ac:dyDescent="0.35">
      <c r="C29" s="76" t="s">
        <v>243</v>
      </c>
      <c r="D29" s="82">
        <v>1.7</v>
      </c>
      <c r="E29" s="82">
        <v>0.86</v>
      </c>
      <c r="F29" s="82">
        <f t="shared" si="2"/>
        <v>1.462</v>
      </c>
      <c r="G29" s="77" t="s">
        <v>242</v>
      </c>
      <c r="H29" s="77"/>
      <c r="I29" s="77"/>
      <c r="J29" s="77">
        <f t="shared" si="0"/>
        <v>0</v>
      </c>
      <c r="K29" s="77"/>
      <c r="L29" s="77"/>
      <c r="M29" s="77">
        <f t="shared" si="1"/>
        <v>0</v>
      </c>
      <c r="N29" s="84" t="s">
        <v>245</v>
      </c>
      <c r="O29">
        <f>5.5*3.5</f>
        <v>19.25</v>
      </c>
      <c r="P29">
        <f>1/2*4.4*0.9</f>
        <v>1.9800000000000002</v>
      </c>
      <c r="Q29">
        <f>1/2*3.6*2.5</f>
        <v>4.5</v>
      </c>
      <c r="R29">
        <f>1.2*0.9</f>
        <v>1.08</v>
      </c>
      <c r="S29">
        <f>SUM(O29:R29)</f>
        <v>26.810000000000002</v>
      </c>
    </row>
    <row r="30" spans="3:19" x14ac:dyDescent="0.35">
      <c r="C30" s="76" t="s">
        <v>243</v>
      </c>
      <c r="D30" s="82">
        <v>1.75</v>
      </c>
      <c r="E30" s="82">
        <v>0.86</v>
      </c>
      <c r="F30" s="82">
        <f t="shared" si="2"/>
        <v>1.5049999999999999</v>
      </c>
      <c r="G30" s="77" t="s">
        <v>242</v>
      </c>
      <c r="H30" s="77"/>
      <c r="I30" s="77"/>
      <c r="J30" s="77">
        <f t="shared" si="0"/>
        <v>0</v>
      </c>
      <c r="K30" s="77"/>
      <c r="L30" s="77"/>
      <c r="M30" s="77">
        <f t="shared" si="1"/>
        <v>0</v>
      </c>
    </row>
    <row r="31" spans="3:19" x14ac:dyDescent="0.35">
      <c r="C31" s="76" t="s">
        <v>243</v>
      </c>
      <c r="D31" s="82">
        <v>1.1499999999999999</v>
      </c>
      <c r="E31" s="82">
        <v>0.8</v>
      </c>
      <c r="F31" s="82">
        <f t="shared" si="2"/>
        <v>0.91999999999999993</v>
      </c>
      <c r="G31" s="77" t="s">
        <v>242</v>
      </c>
      <c r="H31" s="77"/>
      <c r="I31" s="77"/>
      <c r="J31" s="77">
        <f t="shared" si="0"/>
        <v>0</v>
      </c>
      <c r="K31" s="77"/>
      <c r="L31" s="77"/>
      <c r="M31" s="77">
        <f t="shared" si="1"/>
        <v>0</v>
      </c>
    </row>
    <row r="32" spans="3:19" x14ac:dyDescent="0.35">
      <c r="C32" s="76" t="s">
        <v>240</v>
      </c>
      <c r="D32" s="82">
        <v>4.8499999999999996</v>
      </c>
      <c r="E32" s="82">
        <v>3.42</v>
      </c>
      <c r="F32" s="82">
        <f t="shared" si="2"/>
        <v>16.587</v>
      </c>
      <c r="G32" s="77"/>
      <c r="H32" s="77"/>
      <c r="I32" s="77"/>
      <c r="J32" s="77">
        <f t="shared" si="0"/>
        <v>0</v>
      </c>
      <c r="K32" s="77"/>
      <c r="L32" s="77"/>
      <c r="M32" s="77">
        <f t="shared" si="1"/>
        <v>0</v>
      </c>
    </row>
    <row r="33" spans="3:20" x14ac:dyDescent="0.35">
      <c r="C33" s="76" t="s">
        <v>240</v>
      </c>
      <c r="D33" s="82">
        <v>1.1000000000000001</v>
      </c>
      <c r="E33" s="82">
        <v>2.23</v>
      </c>
      <c r="F33" s="82">
        <f t="shared" si="2"/>
        <v>2.4530000000000003</v>
      </c>
      <c r="G33" s="77" t="s">
        <v>241</v>
      </c>
      <c r="H33" s="77"/>
      <c r="I33" s="77"/>
      <c r="J33" s="77">
        <f t="shared" si="0"/>
        <v>0</v>
      </c>
      <c r="K33" s="77"/>
      <c r="L33" s="77"/>
      <c r="M33" s="77">
        <f t="shared" si="1"/>
        <v>0</v>
      </c>
    </row>
    <row r="34" spans="3:20" x14ac:dyDescent="0.35">
      <c r="C34" s="76" t="s">
        <v>240</v>
      </c>
      <c r="D34" s="82">
        <v>2.2000000000000002</v>
      </c>
      <c r="E34" s="82">
        <v>1.79</v>
      </c>
      <c r="F34" s="82">
        <f t="shared" si="2"/>
        <v>3.9380000000000006</v>
      </c>
      <c r="G34" s="77" t="s">
        <v>242</v>
      </c>
      <c r="H34" s="77"/>
      <c r="I34" s="77"/>
      <c r="J34" s="77">
        <f t="shared" si="0"/>
        <v>0</v>
      </c>
      <c r="K34" s="77"/>
      <c r="L34" s="77"/>
      <c r="M34" s="77">
        <f t="shared" si="1"/>
        <v>0</v>
      </c>
    </row>
    <row r="35" spans="3:20" x14ac:dyDescent="0.35">
      <c r="C35" s="76" t="s">
        <v>240</v>
      </c>
      <c r="D35" s="82">
        <v>1.8</v>
      </c>
      <c r="E35" s="82">
        <v>1.74</v>
      </c>
      <c r="F35" s="82">
        <f t="shared" si="2"/>
        <v>3.1320000000000001</v>
      </c>
      <c r="G35" s="77"/>
      <c r="H35" s="77"/>
      <c r="I35" s="77"/>
      <c r="J35" s="77">
        <f t="shared" si="0"/>
        <v>0</v>
      </c>
      <c r="K35" s="77"/>
      <c r="L35" s="77"/>
      <c r="M35" s="77">
        <f t="shared" si="1"/>
        <v>0</v>
      </c>
    </row>
    <row r="36" spans="3:20" x14ac:dyDescent="0.35">
      <c r="C36" s="76" t="s">
        <v>240</v>
      </c>
      <c r="D36" s="82">
        <v>2.2000000000000002</v>
      </c>
      <c r="E36" s="82">
        <v>1.79</v>
      </c>
      <c r="F36" s="82">
        <f t="shared" si="2"/>
        <v>3.9380000000000006</v>
      </c>
      <c r="G36" s="77"/>
      <c r="H36" s="77"/>
      <c r="I36" s="77"/>
      <c r="J36" s="77"/>
      <c r="K36" s="77"/>
      <c r="L36" s="77"/>
      <c r="M36" s="77"/>
    </row>
    <row r="37" spans="3:20" x14ac:dyDescent="0.35">
      <c r="C37" s="76" t="s">
        <v>246</v>
      </c>
      <c r="D37" s="76">
        <v>3.48</v>
      </c>
      <c r="E37" s="76">
        <v>4.04</v>
      </c>
      <c r="F37" s="76">
        <f t="shared" si="2"/>
        <v>14.059200000000001</v>
      </c>
      <c r="G37" s="77"/>
      <c r="H37" s="77"/>
      <c r="I37" s="77"/>
      <c r="J37" s="77">
        <f t="shared" si="0"/>
        <v>0</v>
      </c>
      <c r="K37" s="77"/>
      <c r="L37" s="77"/>
      <c r="M37" s="77">
        <f t="shared" si="1"/>
        <v>0</v>
      </c>
      <c r="N37" s="85" t="s">
        <v>246</v>
      </c>
      <c r="O37">
        <f>5.26*4.5</f>
        <v>23.669999999999998</v>
      </c>
      <c r="P37">
        <f>5.5*3.5</f>
        <v>19.25</v>
      </c>
      <c r="Q37">
        <f>1/2*4*3.5</f>
        <v>7</v>
      </c>
      <c r="R37">
        <f>1/2*1*1</f>
        <v>0.5</v>
      </c>
      <c r="S37">
        <f>1/2*1*1</f>
        <v>0.5</v>
      </c>
      <c r="T37">
        <f>SUM(O37:S37)</f>
        <v>50.92</v>
      </c>
    </row>
    <row r="38" spans="3:20" x14ac:dyDescent="0.35">
      <c r="C38" s="76" t="s">
        <v>247</v>
      </c>
      <c r="D38" s="76">
        <v>0.68</v>
      </c>
      <c r="E38" s="76">
        <v>1.4</v>
      </c>
      <c r="F38" s="76">
        <f t="shared" si="2"/>
        <v>0.95199999999999996</v>
      </c>
      <c r="G38" s="77"/>
      <c r="H38" s="77"/>
      <c r="I38" s="77"/>
      <c r="J38" s="77">
        <f t="shared" si="0"/>
        <v>0</v>
      </c>
      <c r="K38" s="77"/>
      <c r="L38" s="77"/>
      <c r="M38" s="77">
        <f t="shared" si="1"/>
        <v>0</v>
      </c>
    </row>
    <row r="39" spans="3:20" x14ac:dyDescent="0.35">
      <c r="C39" s="77" t="s">
        <v>248</v>
      </c>
      <c r="D39" s="77"/>
      <c r="E39" s="77"/>
      <c r="F39" s="77">
        <v>4.5599999999999996</v>
      </c>
      <c r="G39" s="77"/>
      <c r="H39" s="77"/>
      <c r="I39" s="77"/>
      <c r="J39" s="77">
        <f t="shared" si="0"/>
        <v>0</v>
      </c>
      <c r="K39" s="77"/>
      <c r="L39" s="77"/>
      <c r="M39" s="77">
        <f t="shared" si="1"/>
        <v>0</v>
      </c>
    </row>
    <row r="40" spans="3:20" x14ac:dyDescent="0.35">
      <c r="C40" s="77" t="s">
        <v>128</v>
      </c>
      <c r="D40" s="77"/>
      <c r="E40" s="77">
        <f>F40*10.764</f>
        <v>2545.0067915999994</v>
      </c>
      <c r="F40" s="77">
        <f>SUM(F5:F39)</f>
        <v>236.43689999999995</v>
      </c>
      <c r="G40" s="77"/>
      <c r="H40" s="77"/>
      <c r="I40" s="77">
        <f>J40*10.764</f>
        <v>0</v>
      </c>
      <c r="J40" s="77">
        <f>SUM(J5:J39)</f>
        <v>0</v>
      </c>
      <c r="K40" s="77"/>
      <c r="L40" s="77">
        <f>M40*10.764</f>
        <v>0</v>
      </c>
      <c r="M40" s="77">
        <f>SUM(M5:M39)</f>
        <v>0</v>
      </c>
    </row>
    <row r="41" spans="3:20" x14ac:dyDescent="0.35">
      <c r="E41">
        <f>E40+I40</f>
        <v>2545.0067915999994</v>
      </c>
    </row>
  </sheetData>
  <mergeCells count="4">
    <mergeCell ref="D1:N1"/>
    <mergeCell ref="D3:F3"/>
    <mergeCell ref="H3:J3"/>
    <mergeCell ref="K3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8"/>
  <sheetViews>
    <sheetView topLeftCell="A88" workbookViewId="0">
      <selection activeCell="L103" sqref="L103"/>
    </sheetView>
  </sheetViews>
  <sheetFormatPr defaultColWidth="9.1796875" defaultRowHeight="14.5" x14ac:dyDescent="0.35"/>
  <cols>
    <col min="1" max="1" width="8.26953125" style="42" customWidth="1"/>
    <col min="2" max="2" width="10.26953125" style="42" bestFit="1" customWidth="1"/>
    <col min="3" max="3" width="9.54296875" style="42" customWidth="1"/>
    <col min="4" max="4" width="15" style="42" customWidth="1"/>
    <col min="5" max="5" width="9" style="42" customWidth="1"/>
    <col min="6" max="6" width="6.81640625" style="42" customWidth="1"/>
    <col min="7" max="7" width="11" style="42" customWidth="1"/>
    <col min="8" max="8" width="16.81640625" style="42" customWidth="1"/>
    <col min="9" max="9" width="13.7265625" style="42" customWidth="1"/>
    <col min="10" max="11" width="10.1796875" style="42" customWidth="1"/>
    <col min="12" max="12" width="10.54296875" style="42" customWidth="1"/>
    <col min="13" max="13" width="13.7265625" style="42" customWidth="1"/>
    <col min="14" max="14" width="11.453125" style="42" customWidth="1"/>
    <col min="15" max="15" width="16.54296875" style="42" customWidth="1"/>
    <col min="16" max="16" width="32" style="42" customWidth="1"/>
    <col min="17" max="16384" width="9.1796875" style="42"/>
  </cols>
  <sheetData>
    <row r="1" spans="1:24" ht="24.75" customHeight="1" thickBot="1" x14ac:dyDescent="0.4">
      <c r="A1" s="44" t="s">
        <v>196</v>
      </c>
      <c r="B1" s="45" t="s">
        <v>204</v>
      </c>
      <c r="C1" s="45" t="s">
        <v>57</v>
      </c>
      <c r="D1" s="45" t="s">
        <v>117</v>
      </c>
      <c r="E1" s="45" t="s">
        <v>48</v>
      </c>
      <c r="F1" s="45" t="s">
        <v>197</v>
      </c>
      <c r="G1" s="45" t="s">
        <v>198</v>
      </c>
      <c r="H1" s="45" t="s">
        <v>119</v>
      </c>
      <c r="I1" s="45" t="s">
        <v>199</v>
      </c>
      <c r="J1" s="45" t="s">
        <v>200</v>
      </c>
      <c r="K1" s="45" t="s">
        <v>201</v>
      </c>
      <c r="L1" s="45" t="s">
        <v>202</v>
      </c>
      <c r="M1" s="45" t="s">
        <v>118</v>
      </c>
      <c r="N1" s="45" t="s">
        <v>78</v>
      </c>
      <c r="O1" s="45" t="s">
        <v>77</v>
      </c>
      <c r="P1" s="58" t="s">
        <v>83</v>
      </c>
      <c r="Q1" s="59"/>
      <c r="R1" s="59"/>
      <c r="S1" s="59"/>
      <c r="T1" s="59"/>
      <c r="U1" s="59"/>
      <c r="V1" s="59"/>
      <c r="W1" s="59"/>
      <c r="X1" s="59"/>
    </row>
    <row r="2" spans="1:24" ht="15.5" x14ac:dyDescent="0.35">
      <c r="A2" s="70">
        <f>Report!A71</f>
        <v>1</v>
      </c>
      <c r="B2" s="46" t="s">
        <v>203</v>
      </c>
      <c r="C2" s="46">
        <v>1</v>
      </c>
      <c r="D2" s="46">
        <v>0</v>
      </c>
      <c r="E2" s="46">
        <v>0</v>
      </c>
      <c r="F2" s="46">
        <v>0</v>
      </c>
      <c r="G2" s="46">
        <v>0</v>
      </c>
      <c r="H2" s="46">
        <v>0</v>
      </c>
      <c r="I2" s="46">
        <v>0</v>
      </c>
      <c r="J2" s="46">
        <v>0</v>
      </c>
      <c r="K2" s="46">
        <v>0</v>
      </c>
      <c r="L2" s="46">
        <v>0</v>
      </c>
      <c r="M2" s="46">
        <v>0</v>
      </c>
      <c r="N2" s="54">
        <f t="shared" ref="N2:N65" si="0">(((E2/C2*10)+(40/(1+C2)*F2)+(7.5/(C2)*G2)+(7.5/(C2)*H2)+(10/C2*I2)+(10/C2*J2)+(5/C2*K2)+(5/C2*L2)+(5/C2*M2))/100)</f>
        <v>0</v>
      </c>
      <c r="O2" s="43">
        <f>((((D2/C2)*20)+((E2/C2)*25)+(30/(C2+1)*F2)+(5/C2*G2)+(5/C2*H2)+(5/C2*I2)+(5/C2*J2)+(0/C2*K2)+(0/C2*L2)+(5/C2*M2))/100)</f>
        <v>0</v>
      </c>
      <c r="P2" s="55" t="str">
        <f>(IF(N2&gt;99%,"All work completed. Please provide OC.",IF(N2&gt;89.8%,"Plinth, RCC, Brick, Plaster, Flooring, Painting work Completed. Finishing work is in process.",(IF(D2=0,"Work not yet Started.",IF(D2=25%*C2,"Piling work in process",IF(D2=50%*C2,"Excavation work in process",IF(D2=C2,"Excavation work Completed. ","0")))&amp;(IF(E2=0%,"",IF(E2=25%*C2,"Footing work is process",IF(E2=50%*C2,"Footing work Completed",IF(E2=75%*C2,"Plinth work is process",IF(E2=C2,"Plinth work completed","0")))))))&amp;(IF(F2=(1+C2),", RCC Slab",IF(F2&gt;0,", RCC upto "&amp;F2&amp;" Slab",""))&amp;(IF(G2=C2,", Brickwork",IF(G2&gt;0,", Brickwork upto "&amp;G2&amp;" Floor",""))&amp;(IF(H2=C2,", Internal Plaster",IF(H2&gt;0,", Internal Plaster upto "&amp;H2&amp;" Floor",""))&amp;(IF(I2=C2,", External Plaster",IF(I2&gt;0,", External Plaster upto "&amp;I2&amp;" Floor",""))&amp;(IF(J2=C2,", Flooring",IF(J2&gt;0,", Flooring upto "&amp;J2&amp;" Floor",""))&amp;(IF(K2=C2,", Painting",IF(K2&gt;0,", Painting upto "&amp;K2&amp;" Floor",""))&amp;(IF(L2&gt;0,", Finishing upto "&amp;L2&amp;" Floor","")&amp;(IF(F2&gt;0.5," Completed","")))))))))))))</f>
        <v>Work not yet Started.</v>
      </c>
      <c r="Q2" s="60"/>
      <c r="R2" s="60"/>
      <c r="S2" s="60"/>
      <c r="T2" s="60"/>
      <c r="U2" s="60"/>
      <c r="V2" s="60"/>
      <c r="W2" s="60"/>
      <c r="X2" s="60"/>
    </row>
    <row r="3" spans="1:24" ht="15.5" x14ac:dyDescent="0.35">
      <c r="A3" s="70">
        <f>Report!A72</f>
        <v>2</v>
      </c>
      <c r="B3" s="47" t="s">
        <v>203</v>
      </c>
      <c r="C3" s="47">
        <v>1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54">
        <f t="shared" si="0"/>
        <v>0</v>
      </c>
      <c r="O3" s="48">
        <f t="shared" ref="O3:O34" si="1">((((D3/C3)*20)+((E3/C3)*25)+(30/(C3+1)*F3)+(5/C3*G3)+(5/C3*H3)+(5/C3*I3)+(5/C3*J3)+(0/C3*K3)+(0/C3*L3)+(5/C3*M3))/100)</f>
        <v>0</v>
      </c>
      <c r="P3" s="56" t="str">
        <f>(IF(N3&gt;99%,"All work completed. Please provide OC.",IF(N3&gt;89.8%,"Plinth, RCC, Brick, Plaster, Flooring, Painting work Completed. Finishing work is in process.",(IF(D3=0,"Work not yet Started.",IF(D3=25%*C3,"Piling work in process",IF(D3=50%*C3,"Excavation work in process",IF(D3=C3,"Excavation work Completed. ","0")))&amp;(IF(E3=0%,"",IF(E3=25%*C3,"Footing work is process",IF(E3=50%*C3,"Footing work Completed",IF(E3=75%*C3,"Plinth work is process",IF(E3=C3,"Plinth work completed","0")))))))&amp;(IF(F3=(1+C3),", RCC Slab",IF(F3&gt;0,", RCC upto "&amp;F3&amp;" Slab",""))&amp;(IF(G3=C3,", Brickwork",IF(G3&gt;0,", Brickwork upto "&amp;G3&amp;" Floor",""))&amp;(IF(H3=C3,", Internal Plaster",IF(H3&gt;0,", Internal Plaster upto "&amp;H3&amp;" Floor",""))&amp;(IF(I3=C3,", External Plaster",IF(I3&gt;0,", External Plaster upto "&amp;I3&amp;" Floor",""))&amp;(IF(J3=C3,", Flooring",IF(J3&gt;0,", Flooring upto "&amp;J3&amp;" Floor",""))&amp;(IF(K3=C3,", Painting",IF(K3&gt;0,", Painting upto "&amp;K3&amp;" Floor",""))&amp;(IF(L3&gt;0,", Finishing upto "&amp;L3&amp;" Floor","")&amp;(IF(F3&gt;0.5," Completed","")))))))))))))</f>
        <v>Work not yet Started.</v>
      </c>
      <c r="Q3" s="60"/>
      <c r="R3" s="60"/>
      <c r="S3" s="60"/>
      <c r="T3" s="60"/>
      <c r="U3" s="60"/>
      <c r="V3" s="60"/>
      <c r="W3" s="60"/>
      <c r="X3" s="60"/>
    </row>
    <row r="4" spans="1:24" s="94" customFormat="1" ht="15.5" x14ac:dyDescent="0.35">
      <c r="A4" s="88">
        <f>Report!A73</f>
        <v>3</v>
      </c>
      <c r="B4" s="89" t="s">
        <v>203</v>
      </c>
      <c r="C4" s="89">
        <v>1</v>
      </c>
      <c r="D4" s="89">
        <v>1</v>
      </c>
      <c r="E4" s="89">
        <v>1</v>
      </c>
      <c r="F4" s="89">
        <v>2</v>
      </c>
      <c r="G4" s="89">
        <v>1</v>
      </c>
      <c r="H4" s="89">
        <v>1</v>
      </c>
      <c r="I4" s="89">
        <v>1</v>
      </c>
      <c r="J4" s="89">
        <v>1</v>
      </c>
      <c r="K4" s="89">
        <v>1</v>
      </c>
      <c r="L4" s="89">
        <v>1</v>
      </c>
      <c r="M4" s="89">
        <v>1</v>
      </c>
      <c r="N4" s="90">
        <f t="shared" si="0"/>
        <v>1</v>
      </c>
      <c r="O4" s="91">
        <f t="shared" si="1"/>
        <v>1</v>
      </c>
      <c r="P4" s="92" t="str">
        <f>(IF(N4&gt;99%,"All work completed. Please provide OC.",IF(N4&gt;89.8%,"Plinth, RCC, Brick, Plaster, Flooring, Painting work Completed. Finishing work is in process.",(IF(D4=0,"Work not yet Started.",IF(D4=25%*C4,"Piling work in process",IF(D4=50%*C4,"Excavation work in process",IF(D4=C4,"Excavation work Completed. ","0")))&amp;(IF(E4=0%,"",IF(E4=25%*C4,"Footing work is process",IF(E4=50%*C4,"Footing work Completed",IF(E4=75%*C4,"Plinth work is process",IF(E4=C4,"Plinth work completed","0")))))))&amp;(IF(F4=(1+C4),", RCC Slab",IF(F4&gt;0,", RCC upto "&amp;F4&amp;" Slab",""))&amp;(IF(G4=C4,", Brickwork",IF(G4&gt;0,", Brickwork upto "&amp;G4&amp;" Floor",""))&amp;(IF(H4=C4,", Internal Plaster",IF(H4&gt;0,", Internal Plaster upto "&amp;H4&amp;" Floor",""))&amp;(IF(I4=C4,", External Plaster",IF(I4&gt;0,", External Plaster upto "&amp;I4&amp;" Floor",""))&amp;(IF(J4=C4,", Flooring",IF(J4&gt;0,", Flooring upto "&amp;J4&amp;" Floor",""))&amp;(IF(K4=C4,", Painting",IF(K4&gt;0,", Painting upto "&amp;K4&amp;" Floor",""))&amp;(IF(L4&gt;0,", Finishing upto "&amp;L4&amp;" Floor","")&amp;(IF(F4&gt;0.5," Completed","")))))))))))))</f>
        <v>All work completed. Please provide OC.</v>
      </c>
      <c r="Q4" s="93"/>
      <c r="R4" s="93"/>
      <c r="S4" s="93"/>
      <c r="T4" s="93"/>
      <c r="U4" s="93"/>
      <c r="V4" s="93"/>
      <c r="W4" s="93"/>
      <c r="X4" s="93"/>
    </row>
    <row r="5" spans="1:24" ht="15.5" x14ac:dyDescent="0.35">
      <c r="A5" s="70">
        <f>Report!A74</f>
        <v>4</v>
      </c>
      <c r="B5" s="47" t="s">
        <v>203</v>
      </c>
      <c r="C5" s="47">
        <v>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54">
        <f t="shared" si="0"/>
        <v>0</v>
      </c>
      <c r="O5" s="48">
        <f t="shared" si="1"/>
        <v>0</v>
      </c>
      <c r="P5" s="56" t="str">
        <f>(IF(N5&gt;99%,"All work completed. Please provide OC.",IF(N5&gt;89.8%,"Plinth, RCC, Brick, Plaster, Flooring, Painting work Completed. Finishing work is in process.",(IF(D5=0,"Work not yet Started.",IF(D5=25%*C5,"Piling work in process",IF(D5=50%*C5,"Excavation work in process",IF(D5=C5,"Excavation work Completed. ","0")))&amp;(IF(E5=0%,"",IF(E5=25%*C5,"Footing work is process",IF(E5=50%*C5,"Footing work Completed",IF(E5=75%*C5,"Plinth work is process",IF(E5=C5,"Plinth work completed","0")))))))&amp;(IF(F5=(1+C5),", RCC Slab",IF(F5&gt;0,", RCC upto "&amp;F5&amp;" Slab",""))&amp;(IF(G5=C5,", Brickwork",IF(G5&gt;0,", Brickwork upto "&amp;G5&amp;" Floor",""))&amp;(IF(H5=C5,", Internal Plaster",IF(H5&gt;0,", Internal Plaster upto "&amp;H5&amp;" Floor",""))&amp;(IF(I5=C5,", External Plaster",IF(I5&gt;0,", External Plaster upto "&amp;I5&amp;" Floor",""))&amp;(IF(J5=C5,", Flooring",IF(J5&gt;0,", Flooring upto "&amp;J5&amp;" Floor",""))&amp;(IF(K5=C5,", Painting",IF(K5&gt;0,", Painting upto "&amp;K5&amp;" Floor",""))&amp;(IF(L5&gt;0,", Finishing upto "&amp;L5&amp;" Floor","")&amp;(IF(F5&gt;0.5," Completed","")))))))))))))</f>
        <v>Work not yet Started.</v>
      </c>
      <c r="Q5" s="60"/>
      <c r="R5" s="60"/>
      <c r="S5" s="60"/>
      <c r="T5" s="60"/>
      <c r="U5" s="60"/>
      <c r="V5" s="60"/>
      <c r="W5" s="60"/>
      <c r="X5" s="60"/>
    </row>
    <row r="6" spans="1:24" ht="15.5" x14ac:dyDescent="0.35">
      <c r="A6" s="70">
        <f>Report!A75</f>
        <v>5</v>
      </c>
      <c r="B6" s="47" t="s">
        <v>203</v>
      </c>
      <c r="C6" s="47">
        <v>1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54">
        <f t="shared" si="0"/>
        <v>0</v>
      </c>
      <c r="O6" s="48">
        <f t="shared" si="1"/>
        <v>0</v>
      </c>
      <c r="P6" s="56" t="str">
        <f t="shared" ref="P6:P14" si="2">(IF(N6&gt;99%,"All work completed. Please provide OC.",IF(N6&gt;89.8%,"Plinth, RCC, Brick, Plaster, Flooring, Painting work Completed. Finishing work is in process.",(IF(D6=0,"Work not yet Started.",IF(D6=25%*C6,"Piling work in process",IF(D6=50%*C6,"Excavation work in process",IF(D6=C6,"Excavation work Completed. ","0")))&amp;(IF(E6=0%,"",IF(E6=25%*C6,"Footing work is process",IF(E6=50%*C6,"Footing work Completed",IF(E6=75%*C6,"Plinth work is process",IF(E6=C6,"Plinth work completed","0")))))))&amp;(IF(F6=(1+C6),", RCC Slab",IF(F6&gt;0,", RCC upto "&amp;F6&amp;" Slab",""))&amp;(IF(G6=C6,", Brickwork",IF(G6&gt;0,", Brickwork upto "&amp;G6&amp;" Floor",""))&amp;(IF(H6=C6,", Internal Plaster",IF(H6&gt;0,", Internal Plaster upto "&amp;H6&amp;" Floor",""))&amp;(IF(I6=C6,", External Plaster",IF(I6&gt;0,", External Plaster upto "&amp;I6&amp;" Floor",""))&amp;(IF(J6=C6,", Flooring",IF(J6&gt;0,", Flooring upto "&amp;J6&amp;" Floor",""))&amp;(IF(K6=C6,", Painting",IF(K6&gt;0,", Painting upto "&amp;K6&amp;" Floor",""))&amp;(IF(L6&gt;0,", Finishing upto "&amp;L6&amp;" Floor","")&amp;(IF(F6&gt;0.5," Completed","")))))))))))))</f>
        <v>Work not yet Started.</v>
      </c>
      <c r="Q6" s="60"/>
      <c r="R6" s="60"/>
      <c r="S6" s="60"/>
      <c r="T6" s="60"/>
      <c r="U6" s="60"/>
      <c r="V6" s="60"/>
      <c r="W6" s="60"/>
      <c r="X6" s="60"/>
    </row>
    <row r="7" spans="1:24" ht="15.5" x14ac:dyDescent="0.35">
      <c r="A7" s="70">
        <f>Report!A76</f>
        <v>6</v>
      </c>
      <c r="B7" s="47" t="s">
        <v>203</v>
      </c>
      <c r="C7" s="47">
        <v>1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54">
        <f t="shared" si="0"/>
        <v>0</v>
      </c>
      <c r="O7" s="48">
        <f t="shared" si="1"/>
        <v>0</v>
      </c>
      <c r="P7" s="56" t="str">
        <f t="shared" si="2"/>
        <v>Work not yet Started.</v>
      </c>
      <c r="Q7" s="60"/>
      <c r="R7" s="60"/>
      <c r="S7" s="60"/>
      <c r="T7" s="60"/>
      <c r="U7" s="60"/>
      <c r="V7" s="60"/>
      <c r="W7" s="60"/>
      <c r="X7" s="60"/>
    </row>
    <row r="8" spans="1:24" ht="15.5" x14ac:dyDescent="0.35">
      <c r="A8" s="70">
        <f>Report!A77</f>
        <v>7</v>
      </c>
      <c r="B8" s="47" t="s">
        <v>203</v>
      </c>
      <c r="C8" s="47">
        <v>1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54">
        <f t="shared" si="0"/>
        <v>0</v>
      </c>
      <c r="O8" s="48">
        <f t="shared" si="1"/>
        <v>0</v>
      </c>
      <c r="P8" s="56" t="str">
        <f t="shared" si="2"/>
        <v>Work not yet Started.</v>
      </c>
      <c r="Q8" s="60"/>
      <c r="R8" s="60"/>
      <c r="S8" s="60"/>
      <c r="T8" s="60"/>
      <c r="U8" s="60"/>
      <c r="V8" s="60"/>
      <c r="W8" s="60"/>
      <c r="X8" s="60"/>
    </row>
    <row r="9" spans="1:24" ht="15.5" x14ac:dyDescent="0.35">
      <c r="A9" s="70">
        <f>Report!A78</f>
        <v>8</v>
      </c>
      <c r="B9" s="47" t="s">
        <v>203</v>
      </c>
      <c r="C9" s="47">
        <v>1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54">
        <f t="shared" si="0"/>
        <v>0</v>
      </c>
      <c r="O9" s="48">
        <f t="shared" si="1"/>
        <v>0</v>
      </c>
      <c r="P9" s="56" t="str">
        <f t="shared" si="2"/>
        <v>Work not yet Started.</v>
      </c>
      <c r="Q9" s="60"/>
      <c r="R9" s="60"/>
      <c r="S9" s="60"/>
      <c r="T9" s="60"/>
      <c r="U9" s="60"/>
      <c r="V9" s="60"/>
      <c r="W9" s="60"/>
      <c r="X9" s="60"/>
    </row>
    <row r="10" spans="1:24" ht="15.5" x14ac:dyDescent="0.35">
      <c r="A10" s="70">
        <f>Report!A79</f>
        <v>9</v>
      </c>
      <c r="B10" s="47" t="s">
        <v>203</v>
      </c>
      <c r="C10" s="47">
        <v>1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54">
        <f t="shared" si="0"/>
        <v>0</v>
      </c>
      <c r="O10" s="48">
        <f t="shared" si="1"/>
        <v>0</v>
      </c>
      <c r="P10" s="56" t="str">
        <f>(IF(N10&gt;99%,"All work completed. Please provide OC.",IF(N10&gt;89.8%,"Plinth, RCC, Brick, Plaster, Flooring, Painting work Completed. Finishing work is in process.",(IF(D10=0,"Work not yet Started.",IF(D10=25%*C10,"Piling work in process",IF(D10=50%*C10,"Excavation work in process",IF(D10=C10,"Excavation work Completed. ","0")))&amp;(IF(E10=0%,"",IF(E10=25%*C10,"Footing work is process",IF(E10=50%*C10,"Footing work Completed",IF(E10=75%*C10,"Plinth work is process",IF(E10=C10,"Plinth work completed","0")))))))&amp;(IF(F10=(1+C10),", RCC Slab",IF(F10&gt;0,", RCC upto "&amp;F10&amp;" Slab",""))&amp;(IF(G10=C10,", Brickwork",IF(G10&gt;0,", Brickwork upto "&amp;G10&amp;" Floor",""))&amp;(IF(H10=C10,", Internal Plaster",IF(H10&gt;0,", Internal Plaster upto "&amp;H10&amp;" Floor",""))&amp;(IF(I10=C10,", External Plaster",IF(I10&gt;0,", External Plaster upto "&amp;I10&amp;" Floor",""))&amp;(IF(J10=C10,", Flooring",IF(J10&gt;0,", Flooring upto "&amp;J10&amp;" Floor",""))&amp;(IF(K10=C10,", Painting",IF(K10&gt;0,", Painting upto "&amp;K10&amp;" Floor",""))&amp;(IF(L10&gt;0,", Finishing upto "&amp;L10&amp;" Floor","")&amp;(IF(F10&gt;0.5," Completed","")))))))))))))</f>
        <v>Work not yet Started.</v>
      </c>
      <c r="Q10" s="60"/>
      <c r="R10" s="60"/>
      <c r="S10" s="60"/>
      <c r="T10" s="60"/>
      <c r="U10" s="60"/>
      <c r="V10" s="60"/>
      <c r="W10" s="60"/>
      <c r="X10" s="60"/>
    </row>
    <row r="11" spans="1:24" ht="15.5" x14ac:dyDescent="0.35">
      <c r="A11" s="70">
        <f>Report!A80</f>
        <v>10</v>
      </c>
      <c r="B11" s="47" t="s">
        <v>203</v>
      </c>
      <c r="C11" s="47">
        <v>1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54">
        <f t="shared" si="0"/>
        <v>0</v>
      </c>
      <c r="O11" s="48">
        <f t="shared" si="1"/>
        <v>0</v>
      </c>
      <c r="P11" s="56" t="str">
        <f t="shared" si="2"/>
        <v>Work not yet Started.</v>
      </c>
      <c r="Q11" s="60"/>
      <c r="R11" s="60"/>
      <c r="S11" s="60"/>
      <c r="T11" s="60"/>
      <c r="U11" s="60"/>
      <c r="V11" s="60"/>
      <c r="W11" s="60"/>
      <c r="X11" s="60"/>
    </row>
    <row r="12" spans="1:24" ht="15.5" x14ac:dyDescent="0.35">
      <c r="A12" s="70">
        <f>Report!A81</f>
        <v>11</v>
      </c>
      <c r="B12" s="47" t="s">
        <v>203</v>
      </c>
      <c r="C12" s="47">
        <v>1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54">
        <f t="shared" si="0"/>
        <v>0</v>
      </c>
      <c r="O12" s="48">
        <f t="shared" si="1"/>
        <v>0</v>
      </c>
      <c r="P12" s="56" t="str">
        <f t="shared" si="2"/>
        <v>Work not yet Started.</v>
      </c>
      <c r="Q12" s="60"/>
      <c r="R12" s="60"/>
      <c r="S12" s="60"/>
      <c r="T12" s="60"/>
      <c r="U12" s="60"/>
      <c r="V12" s="60"/>
      <c r="W12" s="60"/>
      <c r="X12" s="60"/>
    </row>
    <row r="13" spans="1:24" ht="15.5" x14ac:dyDescent="0.35">
      <c r="A13" s="70">
        <f>Report!A82</f>
        <v>12</v>
      </c>
      <c r="B13" s="47" t="s">
        <v>203</v>
      </c>
      <c r="C13" s="47">
        <v>1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54">
        <f t="shared" si="0"/>
        <v>0</v>
      </c>
      <c r="O13" s="48">
        <f t="shared" si="1"/>
        <v>0</v>
      </c>
      <c r="P13" s="56" t="str">
        <f>(IF(N13&gt;99%,"All work completed. Please provide OC.",IF(N13&gt;89.8%,"Plinth, RCC, Brick, Plaster, Flooring, Painting work Completed. Finishing work is in process.",(IF(D13=0,"Work not yet Started.",IF(D13=25%*C13,"Piling work in process",IF(D13=50%*C13,"Excavation work in process",IF(D13=C13,"Excavation work Completed. ","0")))&amp;(IF(E13=0%,"",IF(E13=25%*C13,"Footing work is process",IF(E13=50%*C13,"Footing work Completed",IF(E13=75%*C13,"Plinth work is process",IF(E13=C13,"Plinth work completed","0")))))))&amp;(IF(F13=(1+C13),", RCC Slab",IF(F13&gt;0,", RCC upto "&amp;F13&amp;" Slab",""))&amp;(IF(G13=C13,", Brickwork",IF(G13&gt;0,", Brickwork upto "&amp;G13&amp;" Floor",""))&amp;(IF(H13=C13,", Internal Plaster",IF(H13&gt;0,", Internal Plaster upto "&amp;H13&amp;" Floor",""))&amp;(IF(I13=C13,", External Plaster",IF(I13&gt;0,", External Plaster upto "&amp;I13&amp;" Floor",""))&amp;(IF(J13=C13,", Flooring",IF(J13&gt;0,", Flooring upto "&amp;J13&amp;" Floor",""))&amp;(IF(K13=C13,", Painting",IF(K13&gt;0,", Painting upto "&amp;K13&amp;" Floor",""))&amp;(IF(L13&gt;0,", Finishing upto "&amp;L13&amp;" Floor","")&amp;(IF(F13&gt;0.5," Completed","")))))))))))))</f>
        <v>Work not yet Started.</v>
      </c>
      <c r="Q13" s="60"/>
      <c r="R13" s="60"/>
      <c r="S13" s="60"/>
      <c r="T13" s="60"/>
      <c r="U13" s="60"/>
      <c r="V13" s="60"/>
      <c r="W13" s="60"/>
      <c r="X13" s="60"/>
    </row>
    <row r="14" spans="1:24" ht="15.5" x14ac:dyDescent="0.35">
      <c r="A14" s="70">
        <f>Report!A83</f>
        <v>14</v>
      </c>
      <c r="B14" s="47" t="s">
        <v>203</v>
      </c>
      <c r="C14" s="47">
        <v>1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54">
        <f t="shared" si="0"/>
        <v>0</v>
      </c>
      <c r="O14" s="48">
        <f t="shared" si="1"/>
        <v>0</v>
      </c>
      <c r="P14" s="56" t="str">
        <f t="shared" si="2"/>
        <v>Work not yet Started.</v>
      </c>
      <c r="Q14" s="60"/>
      <c r="R14" s="60"/>
      <c r="S14" s="60"/>
      <c r="T14" s="60"/>
      <c r="U14" s="60"/>
      <c r="V14" s="60"/>
      <c r="W14" s="60"/>
      <c r="X14" s="60"/>
    </row>
    <row r="15" spans="1:24" ht="15.5" x14ac:dyDescent="0.35">
      <c r="A15" s="70">
        <f>Report!A84</f>
        <v>15</v>
      </c>
      <c r="B15" s="47" t="s">
        <v>203</v>
      </c>
      <c r="C15" s="47">
        <v>1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54">
        <f t="shared" si="0"/>
        <v>0</v>
      </c>
      <c r="O15" s="48">
        <f t="shared" si="1"/>
        <v>0</v>
      </c>
      <c r="P15" s="56" t="str">
        <f>(IF(N15&gt;99%,"All work completed. Please provide OC.",IF(N15&gt;89.8%,"Plinth, RCC, Brick, Plaster, Flooring, Painting work Completed. Finishing work is in process.",(IF(D15=0,"Work not yet Started.",IF(D15=25%*C15,"Piling work in process",IF(D15=50%*C15,"Excavation work in process",IF(D15=C15,"Excavation work Completed. ","0")))&amp;(IF(E15=0%,"",IF(E15=25%*C15,"Footing work is process",IF(E15=50%*C15,"Footing work Completed",IF(E15=75%*C15,"Plinth work is process",IF(E15=C15,"Plinth work completed","0")))))))&amp;(IF(F15=(1+C15),", RCC Slab",IF(F15&gt;0,", RCC upto "&amp;F15&amp;" Slab",""))&amp;(IF(G15=C15,", Brickwork",IF(G15&gt;0,", Brickwork upto "&amp;G15&amp;" Floor",""))&amp;(IF(H15=C15,", Internal Plaster",IF(H15&gt;0,", Internal Plaster upto "&amp;H15&amp;" Floor",""))&amp;(IF(I15=C15,", External Plaster",IF(I15&gt;0,", External Plaster upto "&amp;I15&amp;" Floor",""))&amp;(IF(J15=C15,", Flooring",IF(J15&gt;0,", Flooring upto "&amp;J15&amp;" Floor",""))&amp;(IF(K15=C15,", Painting",IF(K15&gt;0,", Painting upto "&amp;K15&amp;" Floor",""))&amp;(IF(L15&gt;0,", Finishing upto "&amp;L15&amp;" Floor","")&amp;(IF(F15&gt;0.5," Completed","")))))))))))))</f>
        <v>Work not yet Started.</v>
      </c>
      <c r="Q15" s="60"/>
      <c r="R15" s="60"/>
      <c r="S15" s="60"/>
      <c r="T15" s="60"/>
      <c r="U15" s="60"/>
      <c r="V15" s="60"/>
      <c r="W15" s="60"/>
      <c r="X15" s="60"/>
    </row>
    <row r="16" spans="1:24" ht="15.5" x14ac:dyDescent="0.35">
      <c r="A16" s="70">
        <f>Report!A85</f>
        <v>16</v>
      </c>
      <c r="B16" s="47" t="s">
        <v>203</v>
      </c>
      <c r="C16" s="47">
        <v>1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54">
        <f t="shared" si="0"/>
        <v>0</v>
      </c>
      <c r="O16" s="48">
        <f t="shared" si="1"/>
        <v>0</v>
      </c>
      <c r="P16" s="56" t="str">
        <f>(IF(N16&gt;99%,"All work completed. Please provide OC.",IF(N16&gt;89.8%,"Plinth, RCC, Brick, Plaster, Flooring, Painting work Completed. Finishing work is in process.",(IF(D16=0,"Work not yet Started.",IF(D16=25%*C16,"Piling work in process",IF(D16=50%*C16,"Excavation work in process",IF(D16=C16,"Excavation work Completed. ","0")))&amp;(IF(E16=0%,"",IF(E16=25%*C16,"Footing work is process",IF(E16=50%*C16,"Footing work Completed",IF(E16=75%*C16,"Plinth work is process",IF(E16=C16,"Plinth work completed","0")))))))&amp;(IF(F16=(1+C16),", RCC Slab",IF(F16&gt;0,", RCC upto "&amp;F16&amp;" Slab",""))&amp;(IF(G16=C16,", Brickwork",IF(G16&gt;0,", Brickwork upto "&amp;G16&amp;" Floor",""))&amp;(IF(H16=C16,", Internal Plaster",IF(H16&gt;0,", Internal Plaster upto "&amp;H16&amp;" Floor",""))&amp;(IF(I16=C16,", External Plaster",IF(I16&gt;0,", External Plaster upto "&amp;I16&amp;" Floor",""))&amp;(IF(J16=C16,", Flooring",IF(J16&gt;0,", Flooring upto "&amp;J16&amp;" Floor",""))&amp;(IF(K16=C16,", Painting",IF(K16&gt;0,", Painting upto "&amp;K16&amp;" Floor",""))&amp;(IF(L16&gt;0,", Finishing upto "&amp;L16&amp;" Floor","")&amp;(IF(F16&gt;0.5," Completed","")))))))))))))</f>
        <v>Work not yet Started.</v>
      </c>
      <c r="Q16" s="60"/>
      <c r="R16" s="60"/>
      <c r="S16" s="60"/>
      <c r="T16" s="60"/>
      <c r="U16" s="60"/>
      <c r="V16" s="60"/>
      <c r="W16" s="60"/>
      <c r="X16" s="60"/>
    </row>
    <row r="17" spans="1:24" ht="15.5" x14ac:dyDescent="0.35">
      <c r="A17" s="70">
        <f>Report!A86</f>
        <v>17</v>
      </c>
      <c r="B17" s="47" t="s">
        <v>203</v>
      </c>
      <c r="C17" s="47">
        <v>1</v>
      </c>
      <c r="D17" s="47">
        <v>0.5</v>
      </c>
      <c r="E17" s="47"/>
      <c r="F17" s="47"/>
      <c r="G17" s="47"/>
      <c r="H17" s="47"/>
      <c r="I17" s="47"/>
      <c r="J17" s="47"/>
      <c r="K17" s="47"/>
      <c r="L17" s="47"/>
      <c r="M17" s="47"/>
      <c r="N17" s="54">
        <f t="shared" si="0"/>
        <v>0</v>
      </c>
      <c r="O17" s="48">
        <f t="shared" si="1"/>
        <v>0.1</v>
      </c>
      <c r="P17" s="56" t="str">
        <f t="shared" ref="P17:P34" si="3">(IF(N17&gt;99%,"All work completed. Please provide OC.",IF(N17&gt;89.8%,"Plinth, RCC, Brick, Plaster, Flooring, Painting work Completed. Finishing work is in process.",(IF(D17=0,"Work not yet Started.",IF(D17=25%*C17,"Piling work in process",IF(D17=50%*C17,"Excavation work in process",IF(D17=C17,"Excavation work Completed. ","0")))&amp;(IF(E17=0%,"",IF(E17=25%*C17,"Footing work is process",IF(E17=50%*C17,"Footing work Completed",IF(E17=75%*C17,"Plinth work is process",IF(E17=C17,"Plinth work completed","0")))))))&amp;(IF(F17=(1+C17),", RCC Slab",IF(F17&gt;0,", RCC upto "&amp;F17&amp;" Slab",""))&amp;(IF(G17=C17,", Brickwork",IF(G17&gt;0,", Brickwork upto "&amp;G17&amp;" Floor",""))&amp;(IF(H17=C17,", Internal Plaster",IF(H17&gt;0,", Internal Plaster upto "&amp;H17&amp;" Floor",""))&amp;(IF(I17=C17,", External Plaster",IF(I17&gt;0,", External Plaster upto "&amp;I17&amp;" Floor",""))&amp;(IF(J17=C17,", Flooring",IF(J17&gt;0,", Flooring upto "&amp;J17&amp;" Floor",""))&amp;(IF(K17=C17,", Painting",IF(K17&gt;0,", Painting upto "&amp;K17&amp;" Floor",""))&amp;(IF(L17&gt;0,", Finishing upto "&amp;L17&amp;" Floor","")&amp;(IF(F17&gt;0.5," Completed","")))))))))))))</f>
        <v>Excavation work in process</v>
      </c>
      <c r="Q17" s="60"/>
      <c r="R17" s="60"/>
      <c r="S17" s="60"/>
      <c r="T17" s="60"/>
      <c r="U17" s="60"/>
      <c r="V17" s="60"/>
      <c r="W17" s="60"/>
      <c r="X17" s="60"/>
    </row>
    <row r="18" spans="1:24" ht="15.5" x14ac:dyDescent="0.35">
      <c r="A18" s="70">
        <f>Report!A87</f>
        <v>18</v>
      </c>
      <c r="B18" s="47" t="s">
        <v>203</v>
      </c>
      <c r="C18" s="47">
        <v>1</v>
      </c>
      <c r="D18" s="47">
        <v>1</v>
      </c>
      <c r="E18" s="47">
        <v>1</v>
      </c>
      <c r="F18" s="47"/>
      <c r="G18" s="47"/>
      <c r="H18" s="47"/>
      <c r="I18" s="47"/>
      <c r="J18" s="47"/>
      <c r="K18" s="47"/>
      <c r="L18" s="47"/>
      <c r="M18" s="47"/>
      <c r="N18" s="54">
        <f t="shared" si="0"/>
        <v>0.1</v>
      </c>
      <c r="O18" s="48">
        <f t="shared" si="1"/>
        <v>0.45</v>
      </c>
      <c r="P18" s="56" t="str">
        <f t="shared" si="3"/>
        <v>Excavation work Completed. Plinth work completed</v>
      </c>
      <c r="Q18" s="60"/>
      <c r="R18" s="60"/>
      <c r="S18" s="60"/>
      <c r="T18" s="60"/>
      <c r="U18" s="60"/>
      <c r="V18" s="60"/>
      <c r="W18" s="60"/>
      <c r="X18" s="60"/>
    </row>
    <row r="19" spans="1:24" ht="15.5" x14ac:dyDescent="0.35">
      <c r="A19" s="70">
        <f>Report!A88</f>
        <v>19</v>
      </c>
      <c r="B19" s="47" t="s">
        <v>203</v>
      </c>
      <c r="C19" s="47">
        <v>1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54">
        <f t="shared" si="0"/>
        <v>0</v>
      </c>
      <c r="O19" s="48">
        <f t="shared" si="1"/>
        <v>0</v>
      </c>
      <c r="P19" s="56" t="str">
        <f t="shared" si="3"/>
        <v>Work not yet Started.</v>
      </c>
      <c r="Q19" s="60"/>
      <c r="R19" s="60"/>
      <c r="S19" s="60"/>
      <c r="T19" s="60"/>
      <c r="U19" s="60"/>
      <c r="V19" s="60"/>
      <c r="W19" s="60"/>
      <c r="X19" s="60"/>
    </row>
    <row r="20" spans="1:24" ht="15.5" x14ac:dyDescent="0.35">
      <c r="A20" s="70">
        <f>Report!A89</f>
        <v>20</v>
      </c>
      <c r="B20" s="47" t="s">
        <v>203</v>
      </c>
      <c r="C20" s="47">
        <v>1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54">
        <f t="shared" si="0"/>
        <v>0</v>
      </c>
      <c r="O20" s="48">
        <f t="shared" si="1"/>
        <v>0</v>
      </c>
      <c r="P20" s="56" t="str">
        <f t="shared" si="3"/>
        <v>Work not yet Started.</v>
      </c>
      <c r="Q20" s="60"/>
      <c r="R20" s="60"/>
      <c r="S20" s="60"/>
      <c r="T20" s="60"/>
      <c r="U20" s="60"/>
      <c r="V20" s="60"/>
      <c r="W20" s="60"/>
      <c r="X20" s="60"/>
    </row>
    <row r="21" spans="1:24" ht="15.5" x14ac:dyDescent="0.35">
      <c r="A21" s="70">
        <f>Report!A90</f>
        <v>21</v>
      </c>
      <c r="B21" s="47" t="s">
        <v>203</v>
      </c>
      <c r="C21" s="47">
        <v>1</v>
      </c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54">
        <f t="shared" si="0"/>
        <v>0</v>
      </c>
      <c r="O21" s="48">
        <f t="shared" si="1"/>
        <v>0</v>
      </c>
      <c r="P21" s="56" t="str">
        <f t="shared" si="3"/>
        <v>Work not yet Started.</v>
      </c>
      <c r="Q21" s="60"/>
      <c r="R21" s="60"/>
      <c r="S21" s="60"/>
      <c r="T21" s="60"/>
      <c r="U21" s="60"/>
      <c r="V21" s="60"/>
      <c r="W21" s="60"/>
      <c r="X21" s="60"/>
    </row>
    <row r="22" spans="1:24" ht="15.5" x14ac:dyDescent="0.35">
      <c r="A22" s="70">
        <f>Report!A91</f>
        <v>22</v>
      </c>
      <c r="B22" s="47" t="s">
        <v>203</v>
      </c>
      <c r="C22" s="47">
        <v>1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54">
        <f t="shared" si="0"/>
        <v>0</v>
      </c>
      <c r="O22" s="48">
        <f t="shared" si="1"/>
        <v>0</v>
      </c>
      <c r="P22" s="56" t="str">
        <f t="shared" si="3"/>
        <v>Work not yet Started.</v>
      </c>
      <c r="Q22" s="60"/>
      <c r="R22" s="60"/>
      <c r="S22" s="60"/>
      <c r="T22" s="60"/>
      <c r="U22" s="60"/>
      <c r="V22" s="60"/>
      <c r="W22" s="60"/>
      <c r="X22" s="60"/>
    </row>
    <row r="23" spans="1:24" ht="15.5" x14ac:dyDescent="0.35">
      <c r="A23" s="70">
        <f>Report!A92</f>
        <v>23</v>
      </c>
      <c r="B23" s="47" t="s">
        <v>203</v>
      </c>
      <c r="C23" s="47">
        <v>1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54">
        <f t="shared" si="0"/>
        <v>0</v>
      </c>
      <c r="O23" s="48">
        <f t="shared" si="1"/>
        <v>0</v>
      </c>
      <c r="P23" s="56" t="str">
        <f t="shared" si="3"/>
        <v>Work not yet Started.</v>
      </c>
      <c r="Q23" s="60"/>
      <c r="R23" s="60"/>
      <c r="S23" s="60"/>
      <c r="T23" s="60"/>
      <c r="U23" s="60"/>
      <c r="V23" s="60"/>
      <c r="W23" s="60"/>
      <c r="X23" s="60"/>
    </row>
    <row r="24" spans="1:24" ht="15.5" x14ac:dyDescent="0.35">
      <c r="A24" s="70">
        <f>Report!A93</f>
        <v>24</v>
      </c>
      <c r="B24" s="47" t="s">
        <v>203</v>
      </c>
      <c r="C24" s="47">
        <v>1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54">
        <f t="shared" si="0"/>
        <v>0</v>
      </c>
      <c r="O24" s="48">
        <f t="shared" si="1"/>
        <v>0</v>
      </c>
      <c r="P24" s="56" t="str">
        <f t="shared" si="3"/>
        <v>Work not yet Started.</v>
      </c>
      <c r="Q24" s="60"/>
      <c r="R24" s="60"/>
      <c r="S24" s="60"/>
      <c r="T24" s="60"/>
      <c r="U24" s="60"/>
      <c r="V24" s="60"/>
      <c r="W24" s="60"/>
      <c r="X24" s="60"/>
    </row>
    <row r="25" spans="1:24" ht="15.5" x14ac:dyDescent="0.35">
      <c r="A25" s="70">
        <f>Report!A94</f>
        <v>25</v>
      </c>
      <c r="B25" s="47" t="s">
        <v>203</v>
      </c>
      <c r="C25" s="47">
        <v>1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54">
        <f t="shared" si="0"/>
        <v>0</v>
      </c>
      <c r="O25" s="48">
        <f t="shared" si="1"/>
        <v>0</v>
      </c>
      <c r="P25" s="56" t="str">
        <f t="shared" si="3"/>
        <v>Work not yet Started.</v>
      </c>
      <c r="Q25" s="60"/>
      <c r="R25" s="60"/>
      <c r="S25" s="60"/>
      <c r="T25" s="60"/>
      <c r="U25" s="60"/>
      <c r="V25" s="60"/>
      <c r="W25" s="60"/>
      <c r="X25" s="60"/>
    </row>
    <row r="26" spans="1:24" ht="15.5" x14ac:dyDescent="0.35">
      <c r="A26" s="70">
        <f>Report!A95</f>
        <v>26</v>
      </c>
      <c r="B26" s="47" t="s">
        <v>203</v>
      </c>
      <c r="C26" s="47">
        <v>1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54">
        <f t="shared" si="0"/>
        <v>0</v>
      </c>
      <c r="O26" s="48">
        <f t="shared" si="1"/>
        <v>0</v>
      </c>
      <c r="P26" s="56" t="str">
        <f t="shared" si="3"/>
        <v>Work not yet Started.</v>
      </c>
      <c r="Q26" s="60"/>
      <c r="R26" s="60"/>
      <c r="S26" s="60"/>
      <c r="T26" s="60"/>
      <c r="U26" s="60"/>
      <c r="V26" s="60"/>
      <c r="W26" s="60"/>
      <c r="X26" s="60"/>
    </row>
    <row r="27" spans="1:24" ht="15.5" x14ac:dyDescent="0.35">
      <c r="A27" s="70">
        <f>Report!A96</f>
        <v>27</v>
      </c>
      <c r="B27" s="47" t="s">
        <v>203</v>
      </c>
      <c r="C27" s="47">
        <v>1</v>
      </c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54">
        <f t="shared" si="0"/>
        <v>0</v>
      </c>
      <c r="O27" s="48">
        <f t="shared" si="1"/>
        <v>0</v>
      </c>
      <c r="P27" s="56" t="str">
        <f t="shared" si="3"/>
        <v>Work not yet Started.</v>
      </c>
      <c r="Q27" s="60"/>
      <c r="R27" s="60"/>
      <c r="S27" s="60"/>
      <c r="T27" s="60"/>
      <c r="U27" s="60"/>
      <c r="V27" s="60"/>
      <c r="W27" s="60"/>
      <c r="X27" s="60"/>
    </row>
    <row r="28" spans="1:24" ht="15.5" x14ac:dyDescent="0.35">
      <c r="A28" s="70">
        <f>Report!A97</f>
        <v>28</v>
      </c>
      <c r="B28" s="47" t="s">
        <v>203</v>
      </c>
      <c r="C28" s="47">
        <v>1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54">
        <f t="shared" si="0"/>
        <v>0</v>
      </c>
      <c r="O28" s="48">
        <f t="shared" si="1"/>
        <v>0</v>
      </c>
      <c r="P28" s="56" t="str">
        <f t="shared" si="3"/>
        <v>Work not yet Started.</v>
      </c>
      <c r="Q28" s="60"/>
      <c r="R28" s="60"/>
      <c r="S28" s="60"/>
      <c r="T28" s="60"/>
      <c r="U28" s="60"/>
      <c r="V28" s="60"/>
      <c r="W28" s="60"/>
      <c r="X28" s="60"/>
    </row>
    <row r="29" spans="1:24" ht="15.5" x14ac:dyDescent="0.35">
      <c r="A29" s="70">
        <f>Report!A98</f>
        <v>29</v>
      </c>
      <c r="B29" s="47" t="s">
        <v>203</v>
      </c>
      <c r="C29" s="47">
        <v>1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54">
        <f t="shared" si="0"/>
        <v>0</v>
      </c>
      <c r="O29" s="48">
        <f t="shared" si="1"/>
        <v>0</v>
      </c>
      <c r="P29" s="56" t="str">
        <f t="shared" si="3"/>
        <v>Work not yet Started.</v>
      </c>
      <c r="Q29" s="60"/>
      <c r="R29" s="60"/>
      <c r="S29" s="60"/>
      <c r="T29" s="60"/>
      <c r="U29" s="60"/>
      <c r="V29" s="60"/>
      <c r="W29" s="60"/>
      <c r="X29" s="60"/>
    </row>
    <row r="30" spans="1:24" ht="15.5" x14ac:dyDescent="0.35">
      <c r="A30" s="70">
        <f>Report!A99</f>
        <v>30</v>
      </c>
      <c r="B30" s="47" t="s">
        <v>203</v>
      </c>
      <c r="C30" s="47">
        <v>1</v>
      </c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54">
        <f t="shared" si="0"/>
        <v>0</v>
      </c>
      <c r="O30" s="48">
        <f t="shared" si="1"/>
        <v>0</v>
      </c>
      <c r="P30" s="56" t="str">
        <f t="shared" si="3"/>
        <v>Work not yet Started.</v>
      </c>
      <c r="Q30" s="60"/>
      <c r="R30" s="60"/>
      <c r="S30" s="60"/>
      <c r="T30" s="60"/>
      <c r="U30" s="60"/>
      <c r="V30" s="60"/>
      <c r="W30" s="60"/>
      <c r="X30" s="60"/>
    </row>
    <row r="31" spans="1:24" ht="15.5" x14ac:dyDescent="0.35">
      <c r="A31" s="70">
        <f>Report!A100</f>
        <v>31</v>
      </c>
      <c r="B31" s="47" t="s">
        <v>203</v>
      </c>
      <c r="C31" s="47">
        <v>1</v>
      </c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54">
        <f t="shared" si="0"/>
        <v>0</v>
      </c>
      <c r="O31" s="48">
        <f t="shared" si="1"/>
        <v>0</v>
      </c>
      <c r="P31" s="56" t="str">
        <f t="shared" si="3"/>
        <v>Work not yet Started.</v>
      </c>
      <c r="Q31" s="60"/>
      <c r="R31" s="60"/>
      <c r="S31" s="60"/>
      <c r="T31" s="60"/>
      <c r="U31" s="60"/>
      <c r="V31" s="60"/>
      <c r="W31" s="60"/>
      <c r="X31" s="60"/>
    </row>
    <row r="32" spans="1:24" ht="15.5" x14ac:dyDescent="0.35">
      <c r="A32" s="70">
        <f>Report!A101</f>
        <v>32</v>
      </c>
      <c r="B32" s="47" t="s">
        <v>203</v>
      </c>
      <c r="C32" s="47">
        <v>1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54">
        <f t="shared" si="0"/>
        <v>0</v>
      </c>
      <c r="O32" s="48">
        <f t="shared" si="1"/>
        <v>0</v>
      </c>
      <c r="P32" s="56" t="str">
        <f t="shared" si="3"/>
        <v>Work not yet Started.</v>
      </c>
      <c r="Q32" s="60"/>
      <c r="R32" s="60"/>
      <c r="S32" s="60"/>
      <c r="T32" s="60"/>
      <c r="U32" s="60"/>
      <c r="V32" s="60"/>
      <c r="W32" s="60"/>
      <c r="X32" s="60"/>
    </row>
    <row r="33" spans="1:24" ht="15.5" x14ac:dyDescent="0.35">
      <c r="A33" s="70">
        <f>Report!A102</f>
        <v>33</v>
      </c>
      <c r="B33" s="47" t="s">
        <v>203</v>
      </c>
      <c r="C33" s="47">
        <v>1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54">
        <f t="shared" si="0"/>
        <v>0</v>
      </c>
      <c r="O33" s="48">
        <f t="shared" si="1"/>
        <v>0</v>
      </c>
      <c r="P33" s="56" t="str">
        <f t="shared" si="3"/>
        <v>Work not yet Started.</v>
      </c>
      <c r="Q33" s="60"/>
      <c r="R33" s="60"/>
      <c r="S33" s="60"/>
      <c r="T33" s="60"/>
      <c r="U33" s="60"/>
      <c r="V33" s="60"/>
      <c r="W33" s="60"/>
      <c r="X33" s="60"/>
    </row>
    <row r="34" spans="1:24" ht="15.5" x14ac:dyDescent="0.35">
      <c r="A34" s="70">
        <f>Report!A103</f>
        <v>34</v>
      </c>
      <c r="B34" s="47" t="s">
        <v>203</v>
      </c>
      <c r="C34" s="47">
        <v>1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54">
        <f t="shared" si="0"/>
        <v>0</v>
      </c>
      <c r="O34" s="48">
        <f t="shared" si="1"/>
        <v>0</v>
      </c>
      <c r="P34" s="56" t="str">
        <f t="shared" si="3"/>
        <v>Work not yet Started.</v>
      </c>
      <c r="Q34" s="60"/>
      <c r="R34" s="60"/>
      <c r="S34" s="60"/>
      <c r="T34" s="60"/>
      <c r="U34" s="60"/>
      <c r="V34" s="60"/>
      <c r="W34" s="60"/>
      <c r="X34" s="60"/>
    </row>
    <row r="35" spans="1:24" ht="15.5" x14ac:dyDescent="0.35">
      <c r="A35" s="70">
        <f>Report!A104</f>
        <v>35</v>
      </c>
      <c r="B35" s="47" t="s">
        <v>203</v>
      </c>
      <c r="C35" s="47">
        <v>1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54">
        <f t="shared" si="0"/>
        <v>0</v>
      </c>
      <c r="O35" s="48">
        <f t="shared" ref="O35:O40" si="4">((((D35/C35)*20)+((E35/C35)*25)+(30/(C35+1)*F35)+(5/C35*G35)+(5/C35*H35)+(5/C35*I35)+(5/C35*J35)+(0/C35*K35)+(0/C35*L35)+(5/C35*M35))/100)</f>
        <v>0</v>
      </c>
      <c r="P35" s="56" t="str">
        <f t="shared" ref="P35:P40" si="5">(IF(N35&gt;99%,"All work completed. Please provide OC.",IF(N35&gt;89.8%,"Plinth, RCC, Brick, Plaster, Flooring, Painting work Completed. Finishing work is in process.",(IF(D35=0,"Work not yet Started.",IF(D35=25%*C35,"Piling work in process",IF(D35=50%*C35,"Excavation work in process",IF(D35=C35,"Excavation work Completed. ","0")))&amp;(IF(E35=0%,"",IF(E35=25%*C35,"Footing work is process",IF(E35=50%*C35,"Footing work Completed",IF(E35=75%*C35,"Plinth work is process",IF(E35=C35,"Plinth work completed","0")))))))&amp;(IF(F35=(1+C35),", RCC Slab",IF(F35&gt;0,", RCC upto "&amp;F35&amp;" Slab",""))&amp;(IF(G35=C35,", Brickwork",IF(G35&gt;0,", Brickwork upto "&amp;G35&amp;" Floor",""))&amp;(IF(H35=C35,", Internal Plaster",IF(H35&gt;0,", Internal Plaster upto "&amp;H35&amp;" Floor",""))&amp;(IF(I35=C35,", External Plaster",IF(I35&gt;0,", External Plaster upto "&amp;I35&amp;" Floor",""))&amp;(IF(J35=C35,", Flooring",IF(J35&gt;0,", Flooring upto "&amp;J35&amp;" Floor",""))&amp;(IF(K35=C35,", Painting",IF(K35&gt;0,", Painting upto "&amp;K35&amp;" Floor",""))&amp;(IF(L35&gt;0,", Finishing upto "&amp;L35&amp;" Floor","")&amp;(IF(F35&gt;0.5," Completed","")))))))))))))</f>
        <v>Work not yet Started.</v>
      </c>
      <c r="Q35" s="60"/>
      <c r="R35" s="60"/>
      <c r="S35" s="60"/>
      <c r="T35" s="60"/>
      <c r="U35" s="60"/>
      <c r="V35" s="60"/>
      <c r="W35" s="60"/>
      <c r="X35" s="60"/>
    </row>
    <row r="36" spans="1:24" ht="15.5" x14ac:dyDescent="0.35">
      <c r="A36" s="70">
        <f>Report!A105</f>
        <v>36</v>
      </c>
      <c r="B36" s="47" t="s">
        <v>203</v>
      </c>
      <c r="C36" s="47">
        <v>1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54">
        <f t="shared" si="0"/>
        <v>0</v>
      </c>
      <c r="O36" s="48">
        <f t="shared" si="4"/>
        <v>0</v>
      </c>
      <c r="P36" s="56" t="str">
        <f t="shared" si="5"/>
        <v>Work not yet Started.</v>
      </c>
      <c r="Q36" s="60"/>
      <c r="R36" s="60"/>
      <c r="S36" s="60"/>
      <c r="T36" s="60"/>
      <c r="U36" s="60"/>
      <c r="V36" s="60"/>
      <c r="W36" s="60"/>
      <c r="X36" s="60"/>
    </row>
    <row r="37" spans="1:24" ht="15.5" x14ac:dyDescent="0.35">
      <c r="A37" s="70">
        <f>Report!A106</f>
        <v>37</v>
      </c>
      <c r="B37" s="47" t="s">
        <v>203</v>
      </c>
      <c r="C37" s="47">
        <v>1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54">
        <f t="shared" si="0"/>
        <v>0</v>
      </c>
      <c r="O37" s="48">
        <f t="shared" si="4"/>
        <v>0</v>
      </c>
      <c r="P37" s="56" t="str">
        <f t="shared" si="5"/>
        <v>Work not yet Started.</v>
      </c>
      <c r="Q37" s="60"/>
      <c r="R37" s="60"/>
      <c r="S37" s="60"/>
      <c r="T37" s="60"/>
      <c r="U37" s="60"/>
      <c r="V37" s="60"/>
      <c r="W37" s="60"/>
      <c r="X37" s="60"/>
    </row>
    <row r="38" spans="1:24" ht="15.5" x14ac:dyDescent="0.35">
      <c r="A38" s="70">
        <f>Report!A107</f>
        <v>38</v>
      </c>
      <c r="B38" s="47" t="s">
        <v>203</v>
      </c>
      <c r="C38" s="47">
        <v>1</v>
      </c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4">
        <f t="shared" si="0"/>
        <v>0</v>
      </c>
      <c r="O38" s="48">
        <f t="shared" si="4"/>
        <v>0</v>
      </c>
      <c r="P38" s="56" t="str">
        <f t="shared" si="5"/>
        <v>Work not yet Started.</v>
      </c>
      <c r="Q38" s="60"/>
      <c r="R38" s="60"/>
      <c r="S38" s="60"/>
      <c r="T38" s="60"/>
      <c r="U38" s="60"/>
      <c r="V38" s="60"/>
      <c r="W38" s="60"/>
      <c r="X38" s="60"/>
    </row>
    <row r="39" spans="1:24" ht="15.5" x14ac:dyDescent="0.35">
      <c r="A39" s="70">
        <f>Report!A108</f>
        <v>39</v>
      </c>
      <c r="B39" s="47" t="s">
        <v>203</v>
      </c>
      <c r="C39" s="47">
        <v>1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54">
        <f t="shared" si="0"/>
        <v>0</v>
      </c>
      <c r="O39" s="48">
        <f t="shared" si="4"/>
        <v>0</v>
      </c>
      <c r="P39" s="56" t="str">
        <f t="shared" si="5"/>
        <v>Work not yet Started.</v>
      </c>
      <c r="Q39" s="60"/>
      <c r="R39" s="60"/>
      <c r="S39" s="60"/>
      <c r="T39" s="60"/>
      <c r="U39" s="60"/>
      <c r="V39" s="60"/>
      <c r="W39" s="60"/>
      <c r="X39" s="60"/>
    </row>
    <row r="40" spans="1:24" ht="15.5" x14ac:dyDescent="0.35">
      <c r="A40" s="70">
        <f>Report!A109</f>
        <v>40</v>
      </c>
      <c r="B40" s="47" t="s">
        <v>203</v>
      </c>
      <c r="C40" s="47">
        <v>1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54">
        <f t="shared" si="0"/>
        <v>0</v>
      </c>
      <c r="O40" s="48">
        <f t="shared" si="4"/>
        <v>0</v>
      </c>
      <c r="P40" s="56" t="str">
        <f t="shared" si="5"/>
        <v>Work not yet Started.</v>
      </c>
      <c r="Q40" s="60"/>
      <c r="R40" s="60"/>
      <c r="S40" s="60"/>
      <c r="T40" s="60"/>
      <c r="U40" s="60"/>
      <c r="V40" s="60"/>
      <c r="W40" s="60"/>
      <c r="X40" s="60"/>
    </row>
    <row r="41" spans="1:24" ht="15.5" x14ac:dyDescent="0.35">
      <c r="A41" s="70">
        <f>Report!A110</f>
        <v>41</v>
      </c>
      <c r="B41" s="47" t="s">
        <v>203</v>
      </c>
      <c r="C41" s="47">
        <v>1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4">
        <f t="shared" si="0"/>
        <v>0</v>
      </c>
      <c r="O41" s="48">
        <f t="shared" ref="O41:O104" si="6">((((D41/C41)*20)+((E41/C41)*25)+(30/(C41+1)*F41)+(5/C41*G41)+(5/C41*H41)+(5/C41*I41)+(5/C41*J41)+(0/C41*K41)+(0/C41*L41)+(5/C41*M41))/100)</f>
        <v>0</v>
      </c>
      <c r="P41" s="56" t="str">
        <f t="shared" ref="P41:P104" si="7">(IF(N41&gt;99%,"All work completed. Please provide OC.",IF(N41&gt;89.8%,"Plinth, RCC, Brick, Plaster, Flooring, Painting work Completed. Finishing work is in process.",(IF(D41=0,"Work not yet Started.",IF(D41=25%*C41,"Piling work in process",IF(D41=50%*C41,"Excavation work in process",IF(D41=C41,"Excavation work Completed. ","0")))&amp;(IF(E41=0%,"",IF(E41=25%*C41,"Footing work is process",IF(E41=50%*C41,"Footing work Completed",IF(E41=75%*C41,"Plinth work is process",IF(E41=C41,"Plinth work completed","0")))))))&amp;(IF(F41=(1+C41),", RCC Slab",IF(F41&gt;0,", RCC upto "&amp;F41&amp;" Slab",""))&amp;(IF(G41=C41,", Brickwork",IF(G41&gt;0,", Brickwork upto "&amp;G41&amp;" Floor",""))&amp;(IF(H41=C41,", Internal Plaster",IF(H41&gt;0,", Internal Plaster upto "&amp;H41&amp;" Floor",""))&amp;(IF(I41=C41,", External Plaster",IF(I41&gt;0,", External Plaster upto "&amp;I41&amp;" Floor",""))&amp;(IF(J41=C41,", Flooring",IF(J41&gt;0,", Flooring upto "&amp;J41&amp;" Floor",""))&amp;(IF(K41=C41,", Painting",IF(K41&gt;0,", Painting upto "&amp;K41&amp;" Floor",""))&amp;(IF(L41&gt;0,", Finishing upto "&amp;L41&amp;" Floor","")&amp;(IF(F41&gt;0.5," Completed","")))))))))))))</f>
        <v>Work not yet Started.</v>
      </c>
      <c r="Q41" s="60"/>
      <c r="R41" s="60"/>
      <c r="S41" s="60"/>
      <c r="T41" s="60"/>
      <c r="U41" s="60"/>
      <c r="V41" s="60"/>
      <c r="W41" s="60"/>
      <c r="X41" s="60"/>
    </row>
    <row r="42" spans="1:24" ht="15.5" x14ac:dyDescent="0.35">
      <c r="A42" s="70">
        <f>Report!A111</f>
        <v>42</v>
      </c>
      <c r="B42" s="47" t="s">
        <v>203</v>
      </c>
      <c r="C42" s="47">
        <v>1</v>
      </c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4">
        <f t="shared" si="0"/>
        <v>0</v>
      </c>
      <c r="O42" s="48">
        <f t="shared" si="6"/>
        <v>0</v>
      </c>
      <c r="P42" s="56" t="str">
        <f t="shared" si="7"/>
        <v>Work not yet Started.</v>
      </c>
      <c r="Q42" s="60"/>
      <c r="R42" s="60"/>
      <c r="S42" s="60"/>
      <c r="T42" s="60"/>
      <c r="U42" s="60"/>
      <c r="V42" s="60"/>
      <c r="W42" s="60"/>
      <c r="X42" s="60"/>
    </row>
    <row r="43" spans="1:24" ht="15.5" x14ac:dyDescent="0.35">
      <c r="A43" s="70">
        <f>Report!A112</f>
        <v>43</v>
      </c>
      <c r="B43" s="47" t="s">
        <v>203</v>
      </c>
      <c r="C43" s="47">
        <v>1</v>
      </c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4">
        <f t="shared" si="0"/>
        <v>0</v>
      </c>
      <c r="O43" s="48">
        <f t="shared" si="6"/>
        <v>0</v>
      </c>
      <c r="P43" s="56" t="str">
        <f t="shared" si="7"/>
        <v>Work not yet Started.</v>
      </c>
      <c r="Q43" s="60"/>
      <c r="R43" s="60"/>
      <c r="S43" s="60"/>
      <c r="T43" s="60"/>
      <c r="U43" s="60"/>
      <c r="V43" s="60"/>
      <c r="W43" s="60"/>
      <c r="X43" s="60"/>
    </row>
    <row r="44" spans="1:24" ht="15.5" x14ac:dyDescent="0.35">
      <c r="A44" s="70">
        <f>Report!A113</f>
        <v>44</v>
      </c>
      <c r="B44" s="47" t="s">
        <v>203</v>
      </c>
      <c r="C44" s="47">
        <v>1</v>
      </c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54">
        <f t="shared" si="0"/>
        <v>0</v>
      </c>
      <c r="O44" s="48">
        <f t="shared" si="6"/>
        <v>0</v>
      </c>
      <c r="P44" s="56" t="str">
        <f t="shared" si="7"/>
        <v>Work not yet Started.</v>
      </c>
      <c r="Q44" s="60"/>
      <c r="R44" s="60"/>
      <c r="S44" s="60"/>
      <c r="T44" s="60"/>
      <c r="U44" s="60"/>
      <c r="V44" s="60"/>
      <c r="W44" s="60"/>
      <c r="X44" s="60"/>
    </row>
    <row r="45" spans="1:24" ht="15.5" x14ac:dyDescent="0.35">
      <c r="A45" s="70">
        <f>Report!A114</f>
        <v>45</v>
      </c>
      <c r="B45" s="47" t="s">
        <v>203</v>
      </c>
      <c r="C45" s="47">
        <v>1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54">
        <f t="shared" si="0"/>
        <v>0</v>
      </c>
      <c r="O45" s="48">
        <f t="shared" si="6"/>
        <v>0</v>
      </c>
      <c r="P45" s="56" t="str">
        <f t="shared" si="7"/>
        <v>Work not yet Started.</v>
      </c>
      <c r="Q45" s="60"/>
      <c r="R45" s="60"/>
      <c r="S45" s="60"/>
      <c r="T45" s="60"/>
      <c r="U45" s="60"/>
      <c r="V45" s="60"/>
      <c r="W45" s="60"/>
      <c r="X45" s="60"/>
    </row>
    <row r="46" spans="1:24" ht="15.5" x14ac:dyDescent="0.35">
      <c r="A46" s="70">
        <f>Report!A115</f>
        <v>46</v>
      </c>
      <c r="B46" s="47" t="s">
        <v>203</v>
      </c>
      <c r="C46" s="47">
        <v>1</v>
      </c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54">
        <f t="shared" si="0"/>
        <v>0</v>
      </c>
      <c r="O46" s="48">
        <f t="shared" si="6"/>
        <v>0</v>
      </c>
      <c r="P46" s="56" t="str">
        <f t="shared" si="7"/>
        <v>Work not yet Started.</v>
      </c>
      <c r="Q46" s="60"/>
      <c r="R46" s="60"/>
      <c r="S46" s="60"/>
      <c r="T46" s="60"/>
      <c r="U46" s="60"/>
      <c r="V46" s="60"/>
      <c r="W46" s="60"/>
      <c r="X46" s="60"/>
    </row>
    <row r="47" spans="1:24" ht="15.5" x14ac:dyDescent="0.35">
      <c r="A47" s="70">
        <f>Report!A116</f>
        <v>47</v>
      </c>
      <c r="B47" s="47" t="s">
        <v>203</v>
      </c>
      <c r="C47" s="47">
        <v>1</v>
      </c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54">
        <f t="shared" si="0"/>
        <v>0</v>
      </c>
      <c r="O47" s="48">
        <f t="shared" si="6"/>
        <v>0</v>
      </c>
      <c r="P47" s="56" t="str">
        <f t="shared" si="7"/>
        <v>Work not yet Started.</v>
      </c>
      <c r="Q47" s="60"/>
      <c r="R47" s="60"/>
      <c r="S47" s="60"/>
      <c r="T47" s="60"/>
      <c r="U47" s="60"/>
      <c r="V47" s="60"/>
      <c r="W47" s="60"/>
      <c r="X47" s="60"/>
    </row>
    <row r="48" spans="1:24" ht="15.5" x14ac:dyDescent="0.35">
      <c r="A48" s="70">
        <f>Report!A117</f>
        <v>48</v>
      </c>
      <c r="B48" s="47" t="s">
        <v>203</v>
      </c>
      <c r="C48" s="47">
        <v>1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54">
        <f t="shared" si="0"/>
        <v>0</v>
      </c>
      <c r="O48" s="48">
        <f t="shared" si="6"/>
        <v>0</v>
      </c>
      <c r="P48" s="56" t="str">
        <f t="shared" si="7"/>
        <v>Work not yet Started.</v>
      </c>
      <c r="Q48" s="60"/>
      <c r="R48" s="60"/>
      <c r="S48" s="60"/>
      <c r="T48" s="60"/>
      <c r="U48" s="60"/>
      <c r="V48" s="60"/>
      <c r="W48" s="60"/>
      <c r="X48" s="60"/>
    </row>
    <row r="49" spans="1:24" ht="15.5" x14ac:dyDescent="0.35">
      <c r="A49" s="70">
        <f>Report!A118</f>
        <v>49</v>
      </c>
      <c r="B49" s="47" t="s">
        <v>203</v>
      </c>
      <c r="C49" s="47">
        <v>1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54">
        <f t="shared" si="0"/>
        <v>0</v>
      </c>
      <c r="O49" s="48">
        <f t="shared" si="6"/>
        <v>0</v>
      </c>
      <c r="P49" s="56" t="str">
        <f t="shared" si="7"/>
        <v>Work not yet Started.</v>
      </c>
      <c r="Q49" s="60"/>
      <c r="R49" s="60"/>
      <c r="S49" s="60"/>
      <c r="T49" s="60"/>
      <c r="U49" s="60"/>
      <c r="V49" s="60"/>
      <c r="W49" s="60"/>
      <c r="X49" s="60"/>
    </row>
    <row r="50" spans="1:24" ht="15.5" x14ac:dyDescent="0.35">
      <c r="A50" s="70">
        <f>Report!A119</f>
        <v>50</v>
      </c>
      <c r="B50" s="47" t="s">
        <v>203</v>
      </c>
      <c r="C50" s="47">
        <v>1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54">
        <f t="shared" si="0"/>
        <v>0</v>
      </c>
      <c r="O50" s="48">
        <f t="shared" si="6"/>
        <v>0</v>
      </c>
      <c r="P50" s="56" t="str">
        <f t="shared" si="7"/>
        <v>Work not yet Started.</v>
      </c>
      <c r="Q50" s="60"/>
      <c r="R50" s="60"/>
      <c r="S50" s="60"/>
      <c r="T50" s="60"/>
      <c r="U50" s="60"/>
      <c r="V50" s="60"/>
      <c r="W50" s="60"/>
      <c r="X50" s="60"/>
    </row>
    <row r="51" spans="1:24" ht="15.5" x14ac:dyDescent="0.35">
      <c r="A51" s="70">
        <f>Report!A120</f>
        <v>51</v>
      </c>
      <c r="B51" s="47" t="s">
        <v>203</v>
      </c>
      <c r="C51" s="47">
        <v>1</v>
      </c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54">
        <f t="shared" si="0"/>
        <v>0</v>
      </c>
      <c r="O51" s="48">
        <f t="shared" si="6"/>
        <v>0</v>
      </c>
      <c r="P51" s="56" t="str">
        <f t="shared" si="7"/>
        <v>Work not yet Started.</v>
      </c>
      <c r="Q51" s="60"/>
      <c r="R51" s="60"/>
      <c r="S51" s="60"/>
      <c r="T51" s="60"/>
      <c r="U51" s="60"/>
      <c r="V51" s="60"/>
      <c r="W51" s="60"/>
      <c r="X51" s="60"/>
    </row>
    <row r="52" spans="1:24" ht="15.5" x14ac:dyDescent="0.35">
      <c r="A52" s="70">
        <f>Report!A121</f>
        <v>52</v>
      </c>
      <c r="B52" s="47" t="s">
        <v>203</v>
      </c>
      <c r="C52" s="47">
        <v>1</v>
      </c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54">
        <f t="shared" si="0"/>
        <v>0</v>
      </c>
      <c r="O52" s="48">
        <f t="shared" si="6"/>
        <v>0</v>
      </c>
      <c r="P52" s="56" t="str">
        <f t="shared" si="7"/>
        <v>Work not yet Started.</v>
      </c>
      <c r="Q52" s="60"/>
      <c r="R52" s="60"/>
      <c r="S52" s="60"/>
      <c r="T52" s="60"/>
      <c r="U52" s="60"/>
      <c r="V52" s="60"/>
      <c r="W52" s="60"/>
      <c r="X52" s="60"/>
    </row>
    <row r="53" spans="1:24" ht="15.5" x14ac:dyDescent="0.35">
      <c r="A53" s="70">
        <f>Report!A122</f>
        <v>53</v>
      </c>
      <c r="B53" s="47" t="s">
        <v>203</v>
      </c>
      <c r="C53" s="47">
        <v>1</v>
      </c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54">
        <f t="shared" si="0"/>
        <v>0</v>
      </c>
      <c r="O53" s="48">
        <f t="shared" si="6"/>
        <v>0</v>
      </c>
      <c r="P53" s="56" t="str">
        <f t="shared" si="7"/>
        <v>Work not yet Started.</v>
      </c>
      <c r="Q53" s="60"/>
      <c r="R53" s="60"/>
      <c r="S53" s="60"/>
      <c r="T53" s="60"/>
      <c r="U53" s="60"/>
      <c r="V53" s="60"/>
      <c r="W53" s="60"/>
      <c r="X53" s="60"/>
    </row>
    <row r="54" spans="1:24" ht="15.5" x14ac:dyDescent="0.35">
      <c r="A54" s="70">
        <f>Report!A123</f>
        <v>54</v>
      </c>
      <c r="B54" s="47" t="s">
        <v>203</v>
      </c>
      <c r="C54" s="47">
        <v>1</v>
      </c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54">
        <f t="shared" si="0"/>
        <v>0</v>
      </c>
      <c r="O54" s="48">
        <f t="shared" si="6"/>
        <v>0</v>
      </c>
      <c r="P54" s="56" t="str">
        <f t="shared" si="7"/>
        <v>Work not yet Started.</v>
      </c>
      <c r="Q54" s="60"/>
      <c r="R54" s="60"/>
      <c r="S54" s="60"/>
      <c r="T54" s="60"/>
      <c r="U54" s="60"/>
      <c r="V54" s="60"/>
      <c r="W54" s="60"/>
      <c r="X54" s="60"/>
    </row>
    <row r="55" spans="1:24" ht="15.5" x14ac:dyDescent="0.35">
      <c r="A55" s="70">
        <f>Report!A124</f>
        <v>55</v>
      </c>
      <c r="B55" s="47" t="s">
        <v>203</v>
      </c>
      <c r="C55" s="47">
        <v>1</v>
      </c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54">
        <f t="shared" si="0"/>
        <v>0</v>
      </c>
      <c r="O55" s="48">
        <f t="shared" si="6"/>
        <v>0</v>
      </c>
      <c r="P55" s="56" t="str">
        <f t="shared" si="7"/>
        <v>Work not yet Started.</v>
      </c>
      <c r="Q55" s="60"/>
      <c r="R55" s="60"/>
      <c r="S55" s="60"/>
      <c r="T55" s="60"/>
      <c r="U55" s="60"/>
      <c r="V55" s="60"/>
      <c r="W55" s="60"/>
      <c r="X55" s="60"/>
    </row>
    <row r="56" spans="1:24" ht="15.5" x14ac:dyDescent="0.35">
      <c r="A56" s="70">
        <f>Report!A125</f>
        <v>56</v>
      </c>
      <c r="B56" s="47" t="s">
        <v>203</v>
      </c>
      <c r="C56" s="47">
        <v>1</v>
      </c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54">
        <f t="shared" si="0"/>
        <v>0</v>
      </c>
      <c r="O56" s="48">
        <f t="shared" si="6"/>
        <v>0</v>
      </c>
      <c r="P56" s="56" t="str">
        <f t="shared" si="7"/>
        <v>Work not yet Started.</v>
      </c>
      <c r="Q56" s="60"/>
      <c r="R56" s="60"/>
      <c r="S56" s="60"/>
      <c r="T56" s="60"/>
      <c r="U56" s="60"/>
      <c r="V56" s="60"/>
      <c r="W56" s="60"/>
      <c r="X56" s="60"/>
    </row>
    <row r="57" spans="1:24" ht="15.5" x14ac:dyDescent="0.35">
      <c r="A57" s="70">
        <f>Report!A126</f>
        <v>57</v>
      </c>
      <c r="B57" s="47" t="s">
        <v>203</v>
      </c>
      <c r="C57" s="47">
        <v>1</v>
      </c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54">
        <f t="shared" si="0"/>
        <v>0</v>
      </c>
      <c r="O57" s="48">
        <f t="shared" si="6"/>
        <v>0</v>
      </c>
      <c r="P57" s="56" t="str">
        <f t="shared" si="7"/>
        <v>Work not yet Started.</v>
      </c>
      <c r="Q57" s="60"/>
      <c r="R57" s="60"/>
      <c r="S57" s="60"/>
      <c r="T57" s="60"/>
      <c r="U57" s="60"/>
      <c r="V57" s="60"/>
      <c r="W57" s="60"/>
      <c r="X57" s="60"/>
    </row>
    <row r="58" spans="1:24" ht="15.5" x14ac:dyDescent="0.35">
      <c r="A58" s="70">
        <f>Report!A127</f>
        <v>58</v>
      </c>
      <c r="B58" s="47" t="s">
        <v>203</v>
      </c>
      <c r="C58" s="47">
        <v>1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54">
        <f t="shared" si="0"/>
        <v>0</v>
      </c>
      <c r="O58" s="48">
        <f t="shared" si="6"/>
        <v>0</v>
      </c>
      <c r="P58" s="56" t="str">
        <f t="shared" si="7"/>
        <v>Work not yet Started.</v>
      </c>
      <c r="Q58" s="60"/>
      <c r="R58" s="60"/>
      <c r="S58" s="60"/>
      <c r="T58" s="60"/>
      <c r="U58" s="60"/>
      <c r="V58" s="60"/>
      <c r="W58" s="60"/>
      <c r="X58" s="60"/>
    </row>
    <row r="59" spans="1:24" ht="15.5" x14ac:dyDescent="0.35">
      <c r="A59" s="70">
        <f>Report!A128</f>
        <v>59</v>
      </c>
      <c r="B59" s="47" t="s">
        <v>203</v>
      </c>
      <c r="C59" s="47">
        <v>1</v>
      </c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54">
        <f t="shared" si="0"/>
        <v>0</v>
      </c>
      <c r="O59" s="48">
        <f t="shared" si="6"/>
        <v>0</v>
      </c>
      <c r="P59" s="56" t="str">
        <f t="shared" si="7"/>
        <v>Work not yet Started.</v>
      </c>
      <c r="Q59" s="60"/>
      <c r="R59" s="60"/>
      <c r="S59" s="60"/>
      <c r="T59" s="60"/>
      <c r="U59" s="60"/>
      <c r="V59" s="60"/>
      <c r="W59" s="60"/>
      <c r="X59" s="60"/>
    </row>
    <row r="60" spans="1:24" ht="15.5" x14ac:dyDescent="0.35">
      <c r="A60" s="70">
        <f>Report!A129</f>
        <v>60</v>
      </c>
      <c r="B60" s="47" t="s">
        <v>203</v>
      </c>
      <c r="C60" s="47">
        <v>1</v>
      </c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54">
        <f t="shared" si="0"/>
        <v>0</v>
      </c>
      <c r="O60" s="48">
        <f t="shared" si="6"/>
        <v>0</v>
      </c>
      <c r="P60" s="56" t="str">
        <f t="shared" si="7"/>
        <v>Work not yet Started.</v>
      </c>
      <c r="Q60" s="60"/>
      <c r="R60" s="60"/>
      <c r="S60" s="60"/>
      <c r="T60" s="60"/>
      <c r="U60" s="60"/>
      <c r="V60" s="60"/>
      <c r="W60" s="60"/>
      <c r="X60" s="60"/>
    </row>
    <row r="61" spans="1:24" ht="15.5" x14ac:dyDescent="0.35">
      <c r="A61" s="70">
        <f>Report!A130</f>
        <v>61</v>
      </c>
      <c r="B61" s="47" t="s">
        <v>203</v>
      </c>
      <c r="C61" s="47">
        <v>1</v>
      </c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54">
        <f t="shared" si="0"/>
        <v>0</v>
      </c>
      <c r="O61" s="48">
        <f t="shared" si="6"/>
        <v>0</v>
      </c>
      <c r="P61" s="56" t="str">
        <f t="shared" si="7"/>
        <v>Work not yet Started.</v>
      </c>
      <c r="Q61" s="60"/>
      <c r="R61" s="60"/>
      <c r="S61" s="60"/>
      <c r="T61" s="60"/>
      <c r="U61" s="60"/>
      <c r="V61" s="60"/>
      <c r="W61" s="60"/>
      <c r="X61" s="60"/>
    </row>
    <row r="62" spans="1:24" ht="15.5" x14ac:dyDescent="0.35">
      <c r="A62" s="70">
        <f>Report!A131</f>
        <v>62</v>
      </c>
      <c r="B62" s="47" t="s">
        <v>203</v>
      </c>
      <c r="C62" s="47">
        <v>1</v>
      </c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54">
        <f t="shared" si="0"/>
        <v>0</v>
      </c>
      <c r="O62" s="48">
        <f t="shared" si="6"/>
        <v>0</v>
      </c>
      <c r="P62" s="56" t="str">
        <f t="shared" si="7"/>
        <v>Work not yet Started.</v>
      </c>
      <c r="Q62" s="60"/>
      <c r="R62" s="60"/>
      <c r="S62" s="60"/>
      <c r="T62" s="60"/>
      <c r="U62" s="60"/>
      <c r="V62" s="60"/>
      <c r="W62" s="60"/>
      <c r="X62" s="60"/>
    </row>
    <row r="63" spans="1:24" ht="15.5" x14ac:dyDescent="0.35">
      <c r="A63" s="70">
        <f>Report!A132</f>
        <v>63</v>
      </c>
      <c r="B63" s="47" t="s">
        <v>203</v>
      </c>
      <c r="C63" s="47">
        <v>1</v>
      </c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54">
        <f t="shared" si="0"/>
        <v>0</v>
      </c>
      <c r="O63" s="48">
        <f t="shared" si="6"/>
        <v>0</v>
      </c>
      <c r="P63" s="56" t="str">
        <f t="shared" si="7"/>
        <v>Work not yet Started.</v>
      </c>
      <c r="Q63" s="60"/>
      <c r="R63" s="60"/>
      <c r="S63" s="60"/>
      <c r="T63" s="60"/>
      <c r="U63" s="60"/>
      <c r="V63" s="60"/>
      <c r="W63" s="60"/>
      <c r="X63" s="60"/>
    </row>
    <row r="64" spans="1:24" ht="15.5" x14ac:dyDescent="0.35">
      <c r="A64" s="70">
        <f>Report!A133</f>
        <v>64</v>
      </c>
      <c r="B64" s="47" t="s">
        <v>203</v>
      </c>
      <c r="C64" s="47">
        <v>1</v>
      </c>
      <c r="D64" s="47">
        <v>1</v>
      </c>
      <c r="E64" s="47">
        <v>1</v>
      </c>
      <c r="F64" s="47"/>
      <c r="G64" s="47"/>
      <c r="H64" s="47"/>
      <c r="I64" s="47"/>
      <c r="J64" s="47"/>
      <c r="K64" s="47"/>
      <c r="L64" s="47"/>
      <c r="M64" s="47"/>
      <c r="N64" s="54">
        <f t="shared" si="0"/>
        <v>0.1</v>
      </c>
      <c r="O64" s="48">
        <f t="shared" si="6"/>
        <v>0.45</v>
      </c>
      <c r="P64" s="56" t="str">
        <f t="shared" si="7"/>
        <v>Excavation work Completed. Plinth work completed</v>
      </c>
      <c r="Q64" s="60"/>
      <c r="R64" s="60"/>
      <c r="S64" s="60"/>
      <c r="T64" s="60"/>
      <c r="U64" s="60"/>
      <c r="V64" s="60"/>
      <c r="W64" s="60"/>
      <c r="X64" s="60"/>
    </row>
    <row r="65" spans="1:24" ht="15.5" x14ac:dyDescent="0.35">
      <c r="A65" s="70">
        <f>Report!A134</f>
        <v>65</v>
      </c>
      <c r="B65" s="47" t="s">
        <v>203</v>
      </c>
      <c r="C65" s="47">
        <v>1</v>
      </c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54">
        <f t="shared" si="0"/>
        <v>0</v>
      </c>
      <c r="O65" s="48">
        <f t="shared" si="6"/>
        <v>0</v>
      </c>
      <c r="P65" s="56" t="str">
        <f t="shared" si="7"/>
        <v>Work not yet Started.</v>
      </c>
      <c r="Q65" s="60"/>
      <c r="R65" s="60"/>
      <c r="S65" s="60"/>
      <c r="T65" s="60"/>
      <c r="U65" s="60"/>
      <c r="V65" s="60"/>
      <c r="W65" s="60"/>
      <c r="X65" s="60"/>
    </row>
    <row r="66" spans="1:24" ht="15.5" x14ac:dyDescent="0.35">
      <c r="A66" s="70">
        <f>Report!A135</f>
        <v>66</v>
      </c>
      <c r="B66" s="47" t="s">
        <v>203</v>
      </c>
      <c r="C66" s="47">
        <v>1</v>
      </c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54">
        <f t="shared" ref="N66:N129" si="8">(((E66/C66*10)+(40/(1+C66)*F66)+(7.5/(C66)*G66)+(7.5/(C66)*H66)+(10/C66*I66)+(10/C66*J66)+(5/C66*K66)+(5/C66*L66)+(5/C66*M66))/100)</f>
        <v>0</v>
      </c>
      <c r="O66" s="48">
        <f t="shared" si="6"/>
        <v>0</v>
      </c>
      <c r="P66" s="56" t="str">
        <f t="shared" si="7"/>
        <v>Work not yet Started.</v>
      </c>
      <c r="Q66" s="60"/>
      <c r="R66" s="60"/>
      <c r="S66" s="60"/>
      <c r="T66" s="60"/>
      <c r="U66" s="60"/>
      <c r="V66" s="60"/>
      <c r="W66" s="60"/>
      <c r="X66" s="60"/>
    </row>
    <row r="67" spans="1:24" ht="15.5" x14ac:dyDescent="0.35">
      <c r="A67" s="70">
        <f>Report!A136</f>
        <v>67</v>
      </c>
      <c r="B67" s="47" t="s">
        <v>203</v>
      </c>
      <c r="C67" s="47">
        <v>1</v>
      </c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54">
        <f t="shared" si="8"/>
        <v>0</v>
      </c>
      <c r="O67" s="48">
        <f t="shared" si="6"/>
        <v>0</v>
      </c>
      <c r="P67" s="56" t="str">
        <f t="shared" si="7"/>
        <v>Work not yet Started.</v>
      </c>
      <c r="Q67" s="60"/>
      <c r="R67" s="60"/>
      <c r="S67" s="60"/>
      <c r="T67" s="60"/>
      <c r="U67" s="60"/>
      <c r="V67" s="60"/>
      <c r="W67" s="60"/>
      <c r="X67" s="60"/>
    </row>
    <row r="68" spans="1:24" ht="15.5" x14ac:dyDescent="0.35">
      <c r="A68" s="70">
        <f>Report!A137</f>
        <v>68</v>
      </c>
      <c r="B68" s="47" t="s">
        <v>203</v>
      </c>
      <c r="C68" s="47">
        <v>1</v>
      </c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54">
        <f t="shared" si="8"/>
        <v>0</v>
      </c>
      <c r="O68" s="48">
        <f t="shared" si="6"/>
        <v>0</v>
      </c>
      <c r="P68" s="56" t="str">
        <f t="shared" si="7"/>
        <v>Work not yet Started.</v>
      </c>
      <c r="Q68" s="60"/>
      <c r="R68" s="60"/>
      <c r="S68" s="60"/>
      <c r="T68" s="60"/>
      <c r="U68" s="60"/>
      <c r="V68" s="60"/>
      <c r="W68" s="60"/>
      <c r="X68" s="60"/>
    </row>
    <row r="69" spans="1:24" ht="15.5" x14ac:dyDescent="0.35">
      <c r="A69" s="70">
        <f>Report!A138</f>
        <v>69</v>
      </c>
      <c r="B69" s="47" t="s">
        <v>203</v>
      </c>
      <c r="C69" s="47">
        <v>1</v>
      </c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54">
        <f t="shared" si="8"/>
        <v>0</v>
      </c>
      <c r="O69" s="48">
        <f t="shared" si="6"/>
        <v>0</v>
      </c>
      <c r="P69" s="56" t="str">
        <f t="shared" si="7"/>
        <v>Work not yet Started.</v>
      </c>
      <c r="Q69" s="60"/>
      <c r="R69" s="60"/>
      <c r="S69" s="60"/>
      <c r="T69" s="60"/>
      <c r="U69" s="60"/>
      <c r="V69" s="60"/>
      <c r="W69" s="60"/>
      <c r="X69" s="60"/>
    </row>
    <row r="70" spans="1:24" s="94" customFormat="1" ht="15.5" x14ac:dyDescent="0.35">
      <c r="A70" s="88">
        <f>Report!A139</f>
        <v>70</v>
      </c>
      <c r="B70" s="89" t="s">
        <v>203</v>
      </c>
      <c r="C70" s="89">
        <v>1</v>
      </c>
      <c r="D70" s="89">
        <v>1</v>
      </c>
      <c r="E70" s="89">
        <v>1</v>
      </c>
      <c r="F70" s="89">
        <v>2</v>
      </c>
      <c r="G70" s="89">
        <v>1</v>
      </c>
      <c r="H70" s="89">
        <v>1</v>
      </c>
      <c r="I70" s="89">
        <v>1</v>
      </c>
      <c r="J70" s="89"/>
      <c r="K70" s="89"/>
      <c r="L70" s="89"/>
      <c r="M70" s="89"/>
      <c r="N70" s="90">
        <f t="shared" si="8"/>
        <v>0.75</v>
      </c>
      <c r="O70" s="91">
        <f t="shared" si="6"/>
        <v>0.9</v>
      </c>
      <c r="P70" s="92" t="str">
        <f t="shared" si="7"/>
        <v>Excavation work Completed. Plinth work completed, RCC Slab, Brickwork, Internal Plaster, External Plaster Completed</v>
      </c>
      <c r="Q70" s="93"/>
      <c r="R70" s="93"/>
      <c r="S70" s="93"/>
      <c r="T70" s="93"/>
      <c r="U70" s="93"/>
      <c r="V70" s="93"/>
      <c r="W70" s="93"/>
      <c r="X70" s="93"/>
    </row>
    <row r="71" spans="1:24" ht="15.5" x14ac:dyDescent="0.35">
      <c r="A71" s="70">
        <f>Report!A140</f>
        <v>71</v>
      </c>
      <c r="B71" s="47" t="s">
        <v>203</v>
      </c>
      <c r="C71" s="47">
        <v>1</v>
      </c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54">
        <f t="shared" si="8"/>
        <v>0</v>
      </c>
      <c r="O71" s="48">
        <f t="shared" si="6"/>
        <v>0</v>
      </c>
      <c r="P71" s="56" t="str">
        <f t="shared" si="7"/>
        <v>Work not yet Started.</v>
      </c>
      <c r="Q71" s="60"/>
      <c r="R71" s="60"/>
      <c r="S71" s="60"/>
      <c r="T71" s="60"/>
      <c r="U71" s="60"/>
      <c r="V71" s="60"/>
      <c r="W71" s="60"/>
      <c r="X71" s="60"/>
    </row>
    <row r="72" spans="1:24" ht="15.5" x14ac:dyDescent="0.35">
      <c r="A72" s="70">
        <f>Report!A141</f>
        <v>72</v>
      </c>
      <c r="B72" s="47" t="s">
        <v>203</v>
      </c>
      <c r="C72" s="47">
        <v>1</v>
      </c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54">
        <f t="shared" si="8"/>
        <v>0</v>
      </c>
      <c r="O72" s="48">
        <f t="shared" si="6"/>
        <v>0</v>
      </c>
      <c r="P72" s="56" t="str">
        <f t="shared" si="7"/>
        <v>Work not yet Started.</v>
      </c>
      <c r="Q72" s="60"/>
      <c r="R72" s="60"/>
      <c r="S72" s="60"/>
      <c r="T72" s="60"/>
      <c r="U72" s="60"/>
      <c r="V72" s="60"/>
      <c r="W72" s="60"/>
      <c r="X72" s="60"/>
    </row>
    <row r="73" spans="1:24" ht="15.5" x14ac:dyDescent="0.35">
      <c r="A73" s="70">
        <f>Report!A142</f>
        <v>73</v>
      </c>
      <c r="B73" s="47" t="s">
        <v>203</v>
      </c>
      <c r="C73" s="47">
        <v>1</v>
      </c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54">
        <f t="shared" si="8"/>
        <v>0</v>
      </c>
      <c r="O73" s="48">
        <f t="shared" si="6"/>
        <v>0</v>
      </c>
      <c r="P73" s="56" t="str">
        <f t="shared" si="7"/>
        <v>Work not yet Started.</v>
      </c>
      <c r="Q73" s="60"/>
      <c r="R73" s="60"/>
      <c r="S73" s="60"/>
      <c r="T73" s="60"/>
      <c r="U73" s="60"/>
      <c r="V73" s="60"/>
      <c r="W73" s="60"/>
      <c r="X73" s="60"/>
    </row>
    <row r="74" spans="1:24" ht="15.5" x14ac:dyDescent="0.35">
      <c r="A74" s="70">
        <f>Report!A143</f>
        <v>76</v>
      </c>
      <c r="B74" s="47" t="s">
        <v>203</v>
      </c>
      <c r="C74" s="47">
        <v>1</v>
      </c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54">
        <f t="shared" si="8"/>
        <v>0</v>
      </c>
      <c r="O74" s="48">
        <f t="shared" si="6"/>
        <v>0</v>
      </c>
      <c r="P74" s="56" t="str">
        <f t="shared" si="7"/>
        <v>Work not yet Started.</v>
      </c>
      <c r="Q74" s="60"/>
      <c r="R74" s="60"/>
      <c r="S74" s="60"/>
      <c r="T74" s="60"/>
      <c r="U74" s="60"/>
      <c r="V74" s="60"/>
      <c r="W74" s="60"/>
      <c r="X74" s="60"/>
    </row>
    <row r="75" spans="1:24" ht="15.5" x14ac:dyDescent="0.35">
      <c r="A75" s="70">
        <f>Report!A144</f>
        <v>77</v>
      </c>
      <c r="B75" s="47" t="s">
        <v>203</v>
      </c>
      <c r="C75" s="47">
        <v>1</v>
      </c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54">
        <f t="shared" si="8"/>
        <v>0</v>
      </c>
      <c r="O75" s="48">
        <f t="shared" si="6"/>
        <v>0</v>
      </c>
      <c r="P75" s="56" t="str">
        <f t="shared" si="7"/>
        <v>Work not yet Started.</v>
      </c>
      <c r="Q75" s="60"/>
      <c r="R75" s="60"/>
      <c r="S75" s="60"/>
      <c r="T75" s="60"/>
      <c r="U75" s="60"/>
      <c r="V75" s="60"/>
      <c r="W75" s="60"/>
      <c r="X75" s="60"/>
    </row>
    <row r="76" spans="1:24" ht="15.5" x14ac:dyDescent="0.35">
      <c r="A76" s="70">
        <f>Report!A145</f>
        <v>78</v>
      </c>
      <c r="B76" s="47" t="s">
        <v>203</v>
      </c>
      <c r="C76" s="47">
        <v>1</v>
      </c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54">
        <f t="shared" si="8"/>
        <v>0</v>
      </c>
      <c r="O76" s="48">
        <f t="shared" si="6"/>
        <v>0</v>
      </c>
      <c r="P76" s="56" t="str">
        <f t="shared" si="7"/>
        <v>Work not yet Started.</v>
      </c>
      <c r="Q76" s="60"/>
      <c r="R76" s="60"/>
      <c r="S76" s="60"/>
      <c r="T76" s="60"/>
      <c r="U76" s="60"/>
      <c r="V76" s="60"/>
      <c r="W76" s="60"/>
      <c r="X76" s="60"/>
    </row>
    <row r="77" spans="1:24" ht="15.5" x14ac:dyDescent="0.35">
      <c r="A77" s="70">
        <f>Report!A146</f>
        <v>79</v>
      </c>
      <c r="B77" s="47" t="s">
        <v>203</v>
      </c>
      <c r="C77" s="47">
        <v>1</v>
      </c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54">
        <f t="shared" si="8"/>
        <v>0</v>
      </c>
      <c r="O77" s="48">
        <f t="shared" si="6"/>
        <v>0</v>
      </c>
      <c r="P77" s="56" t="str">
        <f t="shared" si="7"/>
        <v>Work not yet Started.</v>
      </c>
      <c r="Q77" s="60"/>
      <c r="R77" s="60"/>
      <c r="S77" s="60"/>
      <c r="T77" s="60"/>
      <c r="U77" s="60"/>
      <c r="V77" s="60"/>
      <c r="W77" s="60"/>
      <c r="X77" s="60"/>
    </row>
    <row r="78" spans="1:24" ht="15.5" x14ac:dyDescent="0.35">
      <c r="A78" s="70">
        <f>Report!A147</f>
        <v>80</v>
      </c>
      <c r="B78" s="47" t="s">
        <v>203</v>
      </c>
      <c r="C78" s="47">
        <v>1</v>
      </c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54">
        <f t="shared" si="8"/>
        <v>0</v>
      </c>
      <c r="O78" s="48">
        <f t="shared" si="6"/>
        <v>0</v>
      </c>
      <c r="P78" s="56" t="str">
        <f t="shared" si="7"/>
        <v>Work not yet Started.</v>
      </c>
      <c r="Q78" s="60"/>
      <c r="R78" s="60"/>
      <c r="S78" s="60"/>
      <c r="T78" s="60"/>
      <c r="U78" s="60"/>
      <c r="V78" s="60"/>
      <c r="W78" s="60"/>
      <c r="X78" s="60"/>
    </row>
    <row r="79" spans="1:24" ht="15.5" x14ac:dyDescent="0.35">
      <c r="A79" s="70">
        <f>Report!A148</f>
        <v>81</v>
      </c>
      <c r="B79" s="47" t="s">
        <v>203</v>
      </c>
      <c r="C79" s="47">
        <v>1</v>
      </c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54">
        <f t="shared" si="8"/>
        <v>0</v>
      </c>
      <c r="O79" s="48">
        <f t="shared" si="6"/>
        <v>0</v>
      </c>
      <c r="P79" s="56" t="str">
        <f t="shared" si="7"/>
        <v>Work not yet Started.</v>
      </c>
      <c r="Q79" s="60"/>
      <c r="R79" s="60"/>
      <c r="S79" s="60"/>
      <c r="T79" s="60"/>
      <c r="U79" s="60"/>
      <c r="V79" s="60"/>
      <c r="W79" s="60"/>
      <c r="X79" s="60"/>
    </row>
    <row r="80" spans="1:24" ht="15.5" x14ac:dyDescent="0.35">
      <c r="A80" s="70">
        <f>Report!A149</f>
        <v>82</v>
      </c>
      <c r="B80" s="47" t="s">
        <v>203</v>
      </c>
      <c r="C80" s="47">
        <v>1</v>
      </c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54">
        <f t="shared" si="8"/>
        <v>0</v>
      </c>
      <c r="O80" s="48">
        <f t="shared" si="6"/>
        <v>0</v>
      </c>
      <c r="P80" s="56" t="str">
        <f t="shared" si="7"/>
        <v>Work not yet Started.</v>
      </c>
      <c r="Q80" s="60"/>
      <c r="R80" s="60"/>
      <c r="S80" s="60"/>
      <c r="T80" s="60"/>
      <c r="U80" s="60"/>
      <c r="V80" s="60"/>
      <c r="W80" s="60"/>
      <c r="X80" s="60"/>
    </row>
    <row r="81" spans="1:24" ht="15.5" x14ac:dyDescent="0.35">
      <c r="A81" s="70">
        <f>Report!A150</f>
        <v>83</v>
      </c>
      <c r="B81" s="47" t="s">
        <v>203</v>
      </c>
      <c r="C81" s="47">
        <v>1</v>
      </c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54">
        <f t="shared" si="8"/>
        <v>0</v>
      </c>
      <c r="O81" s="48">
        <f t="shared" si="6"/>
        <v>0</v>
      </c>
      <c r="P81" s="56" t="str">
        <f t="shared" si="7"/>
        <v>Work not yet Started.</v>
      </c>
      <c r="Q81" s="60"/>
      <c r="R81" s="60"/>
      <c r="S81" s="60"/>
      <c r="T81" s="60"/>
      <c r="U81" s="60"/>
      <c r="V81" s="60"/>
      <c r="W81" s="60"/>
      <c r="X81" s="60"/>
    </row>
    <row r="82" spans="1:24" ht="15.5" x14ac:dyDescent="0.35">
      <c r="A82" s="70">
        <f>Report!A151</f>
        <v>84</v>
      </c>
      <c r="B82" s="47" t="s">
        <v>203</v>
      </c>
      <c r="C82" s="47">
        <v>1</v>
      </c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54">
        <f t="shared" si="8"/>
        <v>0</v>
      </c>
      <c r="O82" s="48">
        <f t="shared" si="6"/>
        <v>0</v>
      </c>
      <c r="P82" s="56" t="str">
        <f t="shared" si="7"/>
        <v>Work not yet Started.</v>
      </c>
      <c r="Q82" s="60"/>
      <c r="R82" s="60"/>
      <c r="S82" s="60"/>
      <c r="T82" s="60"/>
      <c r="U82" s="60"/>
      <c r="V82" s="60"/>
      <c r="W82" s="60"/>
      <c r="X82" s="60"/>
    </row>
    <row r="83" spans="1:24" ht="15.5" x14ac:dyDescent="0.35">
      <c r="A83" s="70">
        <f>Report!A152</f>
        <v>85</v>
      </c>
      <c r="B83" s="47" t="s">
        <v>203</v>
      </c>
      <c r="C83" s="47">
        <v>1</v>
      </c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54">
        <f t="shared" si="8"/>
        <v>0</v>
      </c>
      <c r="O83" s="48">
        <f t="shared" si="6"/>
        <v>0</v>
      </c>
      <c r="P83" s="56" t="str">
        <f t="shared" si="7"/>
        <v>Work not yet Started.</v>
      </c>
      <c r="Q83" s="60"/>
      <c r="R83" s="60"/>
      <c r="S83" s="60"/>
      <c r="T83" s="60"/>
      <c r="U83" s="60"/>
      <c r="V83" s="60"/>
      <c r="W83" s="60"/>
      <c r="X83" s="60"/>
    </row>
    <row r="84" spans="1:24" ht="15.5" x14ac:dyDescent="0.35">
      <c r="A84" s="70">
        <f>Report!A153</f>
        <v>90</v>
      </c>
      <c r="B84" s="47" t="s">
        <v>203</v>
      </c>
      <c r="C84" s="47">
        <v>1</v>
      </c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54">
        <f t="shared" si="8"/>
        <v>0</v>
      </c>
      <c r="O84" s="48">
        <f t="shared" si="6"/>
        <v>0</v>
      </c>
      <c r="P84" s="56" t="str">
        <f t="shared" si="7"/>
        <v>Work not yet Started.</v>
      </c>
      <c r="Q84" s="60"/>
      <c r="R84" s="60"/>
      <c r="S84" s="60"/>
      <c r="T84" s="60"/>
      <c r="U84" s="60"/>
      <c r="V84" s="60"/>
      <c r="W84" s="60"/>
      <c r="X84" s="60"/>
    </row>
    <row r="85" spans="1:24" ht="15.5" x14ac:dyDescent="0.35">
      <c r="A85" s="70">
        <f>Report!A154</f>
        <v>91</v>
      </c>
      <c r="B85" s="47" t="s">
        <v>203</v>
      </c>
      <c r="C85" s="47">
        <v>1</v>
      </c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54">
        <f t="shared" si="8"/>
        <v>0</v>
      </c>
      <c r="O85" s="48">
        <f t="shared" si="6"/>
        <v>0</v>
      </c>
      <c r="P85" s="56" t="str">
        <f t="shared" si="7"/>
        <v>Work not yet Started.</v>
      </c>
      <c r="Q85" s="60"/>
      <c r="R85" s="60"/>
      <c r="S85" s="60"/>
      <c r="T85" s="60"/>
      <c r="U85" s="60"/>
      <c r="V85" s="60"/>
      <c r="W85" s="60"/>
      <c r="X85" s="60"/>
    </row>
    <row r="86" spans="1:24" ht="15.5" x14ac:dyDescent="0.35">
      <c r="A86" s="70">
        <f>Report!A155</f>
        <v>92</v>
      </c>
      <c r="B86" s="47" t="s">
        <v>203</v>
      </c>
      <c r="C86" s="47">
        <v>1</v>
      </c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54">
        <f t="shared" si="8"/>
        <v>0</v>
      </c>
      <c r="O86" s="48">
        <f t="shared" si="6"/>
        <v>0</v>
      </c>
      <c r="P86" s="56" t="str">
        <f t="shared" si="7"/>
        <v>Work not yet Started.</v>
      </c>
      <c r="Q86" s="60"/>
      <c r="R86" s="60"/>
      <c r="S86" s="60"/>
      <c r="T86" s="60"/>
      <c r="U86" s="60"/>
      <c r="V86" s="60"/>
      <c r="W86" s="60"/>
      <c r="X86" s="60"/>
    </row>
    <row r="87" spans="1:24" ht="15.5" x14ac:dyDescent="0.35">
      <c r="A87" s="70">
        <f>Report!A156</f>
        <v>93</v>
      </c>
      <c r="B87" s="47" t="s">
        <v>203</v>
      </c>
      <c r="C87" s="47">
        <v>1</v>
      </c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54">
        <f t="shared" si="8"/>
        <v>0</v>
      </c>
      <c r="O87" s="48">
        <f t="shared" si="6"/>
        <v>0</v>
      </c>
      <c r="P87" s="56" t="str">
        <f t="shared" si="7"/>
        <v>Work not yet Started.</v>
      </c>
      <c r="Q87" s="60"/>
      <c r="R87" s="60"/>
      <c r="S87" s="60"/>
      <c r="T87" s="60"/>
      <c r="U87" s="60"/>
      <c r="V87" s="60"/>
      <c r="W87" s="60"/>
      <c r="X87" s="60"/>
    </row>
    <row r="88" spans="1:24" ht="15.5" x14ac:dyDescent="0.35">
      <c r="A88" s="70">
        <f>Report!A157</f>
        <v>94</v>
      </c>
      <c r="B88" s="47" t="s">
        <v>203</v>
      </c>
      <c r="C88" s="47">
        <v>1</v>
      </c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54">
        <f t="shared" si="8"/>
        <v>0</v>
      </c>
      <c r="O88" s="48">
        <f t="shared" si="6"/>
        <v>0</v>
      </c>
      <c r="P88" s="56" t="str">
        <f t="shared" si="7"/>
        <v>Work not yet Started.</v>
      </c>
      <c r="Q88" s="60"/>
      <c r="R88" s="60"/>
      <c r="S88" s="60"/>
      <c r="T88" s="60"/>
      <c r="U88" s="60"/>
      <c r="V88" s="60"/>
      <c r="W88" s="60"/>
      <c r="X88" s="60"/>
    </row>
    <row r="89" spans="1:24" ht="15.5" x14ac:dyDescent="0.35">
      <c r="A89" s="70">
        <f>Report!A158</f>
        <v>95</v>
      </c>
      <c r="B89" s="47" t="s">
        <v>203</v>
      </c>
      <c r="C89" s="47">
        <v>1</v>
      </c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54">
        <f t="shared" si="8"/>
        <v>0</v>
      </c>
      <c r="O89" s="48">
        <f t="shared" si="6"/>
        <v>0</v>
      </c>
      <c r="P89" s="56" t="str">
        <f t="shared" si="7"/>
        <v>Work not yet Started.</v>
      </c>
      <c r="Q89" s="60"/>
      <c r="R89" s="60"/>
      <c r="S89" s="60"/>
      <c r="T89" s="60"/>
      <c r="U89" s="60"/>
      <c r="V89" s="60"/>
      <c r="W89" s="60"/>
      <c r="X89" s="60"/>
    </row>
    <row r="90" spans="1:24" ht="15.5" x14ac:dyDescent="0.35">
      <c r="A90" s="70">
        <f>Report!A159</f>
        <v>96</v>
      </c>
      <c r="B90" s="47" t="s">
        <v>203</v>
      </c>
      <c r="C90" s="47">
        <v>1</v>
      </c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54">
        <f t="shared" si="8"/>
        <v>0</v>
      </c>
      <c r="O90" s="48">
        <f t="shared" si="6"/>
        <v>0</v>
      </c>
      <c r="P90" s="56" t="str">
        <f t="shared" si="7"/>
        <v>Work not yet Started.</v>
      </c>
      <c r="Q90" s="60"/>
      <c r="R90" s="60"/>
      <c r="S90" s="60"/>
      <c r="T90" s="60"/>
      <c r="U90" s="60"/>
      <c r="V90" s="60"/>
      <c r="W90" s="60"/>
      <c r="X90" s="60"/>
    </row>
    <row r="91" spans="1:24" ht="15.5" x14ac:dyDescent="0.35">
      <c r="A91" s="70">
        <f>Report!A160</f>
        <v>97</v>
      </c>
      <c r="B91" s="47" t="s">
        <v>203</v>
      </c>
      <c r="C91" s="47">
        <v>1</v>
      </c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54">
        <f t="shared" si="8"/>
        <v>0</v>
      </c>
      <c r="O91" s="48">
        <f t="shared" si="6"/>
        <v>0</v>
      </c>
      <c r="P91" s="56" t="str">
        <f t="shared" si="7"/>
        <v>Work not yet Started.</v>
      </c>
      <c r="Q91" s="60"/>
      <c r="R91" s="60"/>
      <c r="S91" s="60"/>
      <c r="T91" s="60"/>
      <c r="U91" s="60"/>
      <c r="V91" s="60"/>
      <c r="W91" s="60"/>
      <c r="X91" s="60"/>
    </row>
    <row r="92" spans="1:24" ht="15.5" x14ac:dyDescent="0.35">
      <c r="A92" s="70">
        <f>Report!A161</f>
        <v>98</v>
      </c>
      <c r="B92" s="47" t="s">
        <v>203</v>
      </c>
      <c r="C92" s="47">
        <v>1</v>
      </c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54">
        <f t="shared" si="8"/>
        <v>0</v>
      </c>
      <c r="O92" s="48">
        <f t="shared" si="6"/>
        <v>0</v>
      </c>
      <c r="P92" s="56" t="str">
        <f t="shared" si="7"/>
        <v>Work not yet Started.</v>
      </c>
      <c r="Q92" s="60"/>
      <c r="R92" s="60"/>
      <c r="S92" s="60"/>
      <c r="T92" s="60"/>
      <c r="U92" s="60"/>
      <c r="V92" s="60"/>
      <c r="W92" s="60"/>
      <c r="X92" s="60"/>
    </row>
    <row r="93" spans="1:24" ht="15.5" x14ac:dyDescent="0.35">
      <c r="A93" s="70">
        <f>Report!A162</f>
        <v>99</v>
      </c>
      <c r="B93" s="47" t="s">
        <v>203</v>
      </c>
      <c r="C93" s="47">
        <v>1</v>
      </c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54">
        <f t="shared" si="8"/>
        <v>0</v>
      </c>
      <c r="O93" s="48">
        <f t="shared" si="6"/>
        <v>0</v>
      </c>
      <c r="P93" s="56" t="str">
        <f t="shared" si="7"/>
        <v>Work not yet Started.</v>
      </c>
      <c r="Q93" s="60"/>
      <c r="R93" s="60"/>
      <c r="S93" s="60"/>
      <c r="T93" s="60"/>
      <c r="U93" s="60"/>
      <c r="V93" s="60"/>
      <c r="W93" s="60"/>
      <c r="X93" s="60"/>
    </row>
    <row r="94" spans="1:24" ht="15.5" x14ac:dyDescent="0.35">
      <c r="A94" s="70">
        <f>Report!A163</f>
        <v>100</v>
      </c>
      <c r="B94" s="47" t="s">
        <v>203</v>
      </c>
      <c r="C94" s="47">
        <v>1</v>
      </c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54">
        <f t="shared" si="8"/>
        <v>0</v>
      </c>
      <c r="O94" s="48">
        <f t="shared" si="6"/>
        <v>0</v>
      </c>
      <c r="P94" s="56" t="str">
        <f t="shared" si="7"/>
        <v>Work not yet Started.</v>
      </c>
      <c r="Q94" s="60"/>
      <c r="R94" s="60"/>
      <c r="S94" s="60"/>
      <c r="T94" s="60"/>
      <c r="U94" s="60"/>
      <c r="V94" s="60"/>
      <c r="W94" s="60"/>
      <c r="X94" s="60"/>
    </row>
    <row r="95" spans="1:24" ht="15.5" x14ac:dyDescent="0.35">
      <c r="A95" s="70">
        <f>Report!A164</f>
        <v>101</v>
      </c>
      <c r="B95" s="47" t="s">
        <v>203</v>
      </c>
      <c r="C95" s="47">
        <v>1</v>
      </c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54">
        <f t="shared" si="8"/>
        <v>0</v>
      </c>
      <c r="O95" s="48">
        <f t="shared" si="6"/>
        <v>0</v>
      </c>
      <c r="P95" s="56" t="str">
        <f t="shared" si="7"/>
        <v>Work not yet Started.</v>
      </c>
      <c r="Q95" s="60"/>
      <c r="R95" s="60"/>
      <c r="S95" s="60"/>
      <c r="T95" s="60"/>
      <c r="U95" s="60"/>
      <c r="V95" s="60"/>
      <c r="W95" s="60"/>
      <c r="X95" s="60"/>
    </row>
    <row r="96" spans="1:24" ht="15.5" x14ac:dyDescent="0.35">
      <c r="A96" s="70">
        <f>Report!A165</f>
        <v>102</v>
      </c>
      <c r="B96" s="47" t="s">
        <v>203</v>
      </c>
      <c r="C96" s="47">
        <v>1</v>
      </c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54">
        <f t="shared" si="8"/>
        <v>0</v>
      </c>
      <c r="O96" s="48">
        <f t="shared" si="6"/>
        <v>0</v>
      </c>
      <c r="P96" s="56" t="str">
        <f t="shared" si="7"/>
        <v>Work not yet Started.</v>
      </c>
      <c r="Q96" s="60"/>
      <c r="R96" s="60"/>
      <c r="S96" s="60"/>
      <c r="T96" s="60"/>
      <c r="U96" s="60"/>
      <c r="V96" s="60"/>
      <c r="W96" s="60"/>
      <c r="X96" s="60"/>
    </row>
    <row r="97" spans="1:24" ht="15.5" x14ac:dyDescent="0.35">
      <c r="A97" s="70">
        <f>Report!A166</f>
        <v>103</v>
      </c>
      <c r="B97" s="47" t="s">
        <v>203</v>
      </c>
      <c r="C97" s="47">
        <v>1</v>
      </c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54">
        <f t="shared" si="8"/>
        <v>0</v>
      </c>
      <c r="O97" s="48">
        <f t="shared" si="6"/>
        <v>0</v>
      </c>
      <c r="P97" s="56" t="str">
        <f t="shared" si="7"/>
        <v>Work not yet Started.</v>
      </c>
      <c r="Q97" s="60"/>
      <c r="R97" s="60"/>
      <c r="S97" s="60"/>
      <c r="T97" s="60"/>
      <c r="U97" s="60"/>
      <c r="V97" s="60"/>
      <c r="W97" s="60"/>
      <c r="X97" s="60"/>
    </row>
    <row r="98" spans="1:24" ht="15.5" x14ac:dyDescent="0.35">
      <c r="A98" s="70">
        <f>Report!A167</f>
        <v>104</v>
      </c>
      <c r="B98" s="47" t="s">
        <v>203</v>
      </c>
      <c r="C98" s="47">
        <v>1</v>
      </c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54">
        <f t="shared" si="8"/>
        <v>0</v>
      </c>
      <c r="O98" s="48">
        <f t="shared" si="6"/>
        <v>0</v>
      </c>
      <c r="P98" s="56" t="str">
        <f t="shared" si="7"/>
        <v>Work not yet Started.</v>
      </c>
      <c r="Q98" s="60"/>
      <c r="R98" s="60"/>
      <c r="S98" s="60"/>
      <c r="T98" s="60"/>
      <c r="U98" s="60"/>
      <c r="V98" s="60"/>
      <c r="W98" s="60"/>
      <c r="X98" s="60"/>
    </row>
    <row r="99" spans="1:24" ht="15.5" x14ac:dyDescent="0.35">
      <c r="A99" s="70">
        <f>Report!A168</f>
        <v>105</v>
      </c>
      <c r="B99" s="47" t="s">
        <v>203</v>
      </c>
      <c r="C99" s="47">
        <v>1</v>
      </c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54">
        <f t="shared" si="8"/>
        <v>0</v>
      </c>
      <c r="O99" s="48">
        <f t="shared" si="6"/>
        <v>0</v>
      </c>
      <c r="P99" s="56" t="str">
        <f t="shared" si="7"/>
        <v>Work not yet Started.</v>
      </c>
      <c r="Q99" s="60"/>
      <c r="R99" s="60"/>
      <c r="S99" s="60"/>
      <c r="T99" s="60"/>
      <c r="U99" s="60"/>
      <c r="V99" s="60"/>
      <c r="W99" s="60"/>
      <c r="X99" s="60"/>
    </row>
    <row r="100" spans="1:24" ht="15.5" x14ac:dyDescent="0.35">
      <c r="A100" s="70">
        <f>Report!A169</f>
        <v>106</v>
      </c>
      <c r="B100" s="47" t="s">
        <v>203</v>
      </c>
      <c r="C100" s="47">
        <v>1</v>
      </c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54">
        <f t="shared" si="8"/>
        <v>0</v>
      </c>
      <c r="O100" s="48">
        <f t="shared" si="6"/>
        <v>0</v>
      </c>
      <c r="P100" s="56" t="str">
        <f t="shared" si="7"/>
        <v>Work not yet Started.</v>
      </c>
      <c r="Q100" s="60"/>
      <c r="R100" s="60"/>
      <c r="S100" s="60"/>
      <c r="T100" s="60"/>
      <c r="U100" s="60"/>
      <c r="V100" s="60"/>
      <c r="W100" s="60"/>
      <c r="X100" s="60"/>
    </row>
    <row r="101" spans="1:24" ht="15.5" x14ac:dyDescent="0.35">
      <c r="A101" s="70">
        <f>Report!A170</f>
        <v>107</v>
      </c>
      <c r="B101" s="47" t="s">
        <v>203</v>
      </c>
      <c r="C101" s="47">
        <v>1</v>
      </c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54">
        <f t="shared" si="8"/>
        <v>0</v>
      </c>
      <c r="O101" s="48">
        <f t="shared" si="6"/>
        <v>0</v>
      </c>
      <c r="P101" s="56" t="str">
        <f t="shared" si="7"/>
        <v>Work not yet Started.</v>
      </c>
      <c r="Q101" s="60"/>
      <c r="R101" s="60"/>
      <c r="S101" s="60"/>
      <c r="T101" s="60"/>
      <c r="U101" s="60"/>
      <c r="V101" s="60"/>
      <c r="W101" s="60"/>
      <c r="X101" s="60"/>
    </row>
    <row r="102" spans="1:24" s="94" customFormat="1" ht="15.5" x14ac:dyDescent="0.35">
      <c r="A102" s="88">
        <f>Report!A171</f>
        <v>108</v>
      </c>
      <c r="B102" s="89" t="s">
        <v>203</v>
      </c>
      <c r="C102" s="89">
        <v>1</v>
      </c>
      <c r="D102" s="89">
        <v>1</v>
      </c>
      <c r="E102" s="89">
        <v>1</v>
      </c>
      <c r="F102" s="89">
        <v>2</v>
      </c>
      <c r="G102" s="89">
        <v>1</v>
      </c>
      <c r="H102" s="89">
        <v>1</v>
      </c>
      <c r="I102" s="89">
        <v>1</v>
      </c>
      <c r="J102" s="89">
        <v>1</v>
      </c>
      <c r="K102" s="89">
        <v>1</v>
      </c>
      <c r="L102" s="89">
        <v>0.3</v>
      </c>
      <c r="M102" s="89"/>
      <c r="N102" s="90">
        <f t="shared" si="8"/>
        <v>0.91500000000000004</v>
      </c>
      <c r="O102" s="91">
        <f t="shared" si="6"/>
        <v>0.95</v>
      </c>
      <c r="P102" s="92" t="str">
        <f t="shared" si="7"/>
        <v>Plinth, RCC, Brick, Plaster, Flooring, Painting work Completed. Finishing work is in process.</v>
      </c>
      <c r="Q102" s="93"/>
      <c r="R102" s="93"/>
      <c r="S102" s="93"/>
      <c r="T102" s="93"/>
      <c r="U102" s="93"/>
      <c r="V102" s="93"/>
      <c r="W102" s="93"/>
      <c r="X102" s="93"/>
    </row>
    <row r="103" spans="1:24" ht="15.5" x14ac:dyDescent="0.35">
      <c r="A103" s="70">
        <f>Report!A172</f>
        <v>109</v>
      </c>
      <c r="B103" s="47" t="s">
        <v>203</v>
      </c>
      <c r="C103" s="47">
        <v>1</v>
      </c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54">
        <f t="shared" si="8"/>
        <v>0</v>
      </c>
      <c r="O103" s="48">
        <f t="shared" si="6"/>
        <v>0</v>
      </c>
      <c r="P103" s="56" t="str">
        <f t="shared" si="7"/>
        <v>Work not yet Started.</v>
      </c>
      <c r="Q103" s="60"/>
      <c r="R103" s="60"/>
      <c r="S103" s="60"/>
      <c r="T103" s="60"/>
      <c r="U103" s="60"/>
      <c r="V103" s="60"/>
      <c r="W103" s="60"/>
      <c r="X103" s="60"/>
    </row>
    <row r="104" spans="1:24" ht="15.5" x14ac:dyDescent="0.35">
      <c r="A104" s="70">
        <f>Report!A173</f>
        <v>110</v>
      </c>
      <c r="B104" s="47" t="s">
        <v>203</v>
      </c>
      <c r="C104" s="47">
        <v>1</v>
      </c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54">
        <f t="shared" si="8"/>
        <v>0</v>
      </c>
      <c r="O104" s="48">
        <f t="shared" si="6"/>
        <v>0</v>
      </c>
      <c r="P104" s="56" t="str">
        <f t="shared" si="7"/>
        <v>Work not yet Started.</v>
      </c>
      <c r="Q104" s="60"/>
      <c r="R104" s="60"/>
      <c r="S104" s="60"/>
      <c r="T104" s="60"/>
      <c r="U104" s="60"/>
      <c r="V104" s="60"/>
      <c r="W104" s="60"/>
      <c r="X104" s="60"/>
    </row>
    <row r="105" spans="1:24" ht="15.5" x14ac:dyDescent="0.35">
      <c r="A105" s="70">
        <f>Report!A174</f>
        <v>111</v>
      </c>
      <c r="B105" s="47" t="s">
        <v>203</v>
      </c>
      <c r="C105" s="47">
        <v>1</v>
      </c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54">
        <f t="shared" si="8"/>
        <v>0</v>
      </c>
      <c r="O105" s="48">
        <f t="shared" ref="O105:O168" si="9">((((D105/C105)*20)+((E105/C105)*25)+(30/(C105+1)*F105)+(5/C105*G105)+(5/C105*H105)+(5/C105*I105)+(5/C105*J105)+(0/C105*K105)+(0/C105*L105)+(5/C105*M105))/100)</f>
        <v>0</v>
      </c>
      <c r="P105" s="56" t="str">
        <f t="shared" ref="P105:P168" si="10">(IF(N105&gt;99%,"All work completed. Please provide OC.",IF(N105&gt;89.8%,"Plinth, RCC, Brick, Plaster, Flooring, Painting work Completed. Finishing work is in process.",(IF(D105=0,"Work not yet Started.",IF(D105=25%*C105,"Piling work in process",IF(D105=50%*C105,"Excavation work in process",IF(D105=C105,"Excavation work Completed. ","0")))&amp;(IF(E105=0%,"",IF(E105=25%*C105,"Footing work is process",IF(E105=50%*C105,"Footing work Completed",IF(E105=75%*C105,"Plinth work is process",IF(E105=C105,"Plinth work completed","0")))))))&amp;(IF(F105=(1+C105),", RCC Slab",IF(F105&gt;0,", RCC upto "&amp;F105&amp;" Slab",""))&amp;(IF(G105=C105,", Brickwork",IF(G105&gt;0,", Brickwork upto "&amp;G105&amp;" Floor",""))&amp;(IF(H105=C105,", Internal Plaster",IF(H105&gt;0,", Internal Plaster upto "&amp;H105&amp;" Floor",""))&amp;(IF(I105=C105,", External Plaster",IF(I105&gt;0,", External Plaster upto "&amp;I105&amp;" Floor",""))&amp;(IF(J105=C105,", Flooring",IF(J105&gt;0,", Flooring upto "&amp;J105&amp;" Floor",""))&amp;(IF(K105=C105,", Painting",IF(K105&gt;0,", Painting upto "&amp;K105&amp;" Floor",""))&amp;(IF(L105&gt;0,", Finishing upto "&amp;L105&amp;" Floor","")&amp;(IF(F105&gt;0.5," Completed","")))))))))))))</f>
        <v>Work not yet Started.</v>
      </c>
      <c r="Q105" s="60"/>
      <c r="R105" s="60"/>
      <c r="S105" s="60"/>
      <c r="T105" s="60"/>
      <c r="U105" s="60"/>
      <c r="V105" s="60"/>
      <c r="W105" s="60"/>
      <c r="X105" s="60"/>
    </row>
    <row r="106" spans="1:24" ht="15.5" x14ac:dyDescent="0.35">
      <c r="A106" s="70">
        <f>Report!A175</f>
        <v>112</v>
      </c>
      <c r="B106" s="47" t="s">
        <v>203</v>
      </c>
      <c r="C106" s="47">
        <v>1</v>
      </c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54">
        <f t="shared" si="8"/>
        <v>0</v>
      </c>
      <c r="O106" s="48">
        <f t="shared" si="9"/>
        <v>0</v>
      </c>
      <c r="P106" s="56" t="str">
        <f t="shared" si="10"/>
        <v>Work not yet Started.</v>
      </c>
      <c r="Q106" s="60"/>
      <c r="R106" s="60"/>
      <c r="S106" s="60"/>
      <c r="T106" s="60"/>
      <c r="U106" s="60"/>
      <c r="V106" s="60"/>
      <c r="W106" s="60"/>
      <c r="X106" s="60"/>
    </row>
    <row r="107" spans="1:24" s="94" customFormat="1" ht="15.5" x14ac:dyDescent="0.35">
      <c r="A107" s="88">
        <f>Report!A176</f>
        <v>114</v>
      </c>
      <c r="B107" s="89" t="s">
        <v>203</v>
      </c>
      <c r="C107" s="89">
        <v>1</v>
      </c>
      <c r="D107" s="89">
        <v>1</v>
      </c>
      <c r="E107" s="89">
        <v>1</v>
      </c>
      <c r="F107" s="89">
        <v>2</v>
      </c>
      <c r="G107" s="89">
        <v>1</v>
      </c>
      <c r="H107" s="89">
        <v>1</v>
      </c>
      <c r="I107" s="89">
        <v>1</v>
      </c>
      <c r="J107" s="89">
        <v>0.3</v>
      </c>
      <c r="K107" s="89"/>
      <c r="L107" s="89"/>
      <c r="M107" s="89"/>
      <c r="N107" s="90">
        <f t="shared" si="8"/>
        <v>0.78</v>
      </c>
      <c r="O107" s="91">
        <f t="shared" si="9"/>
        <v>0.91500000000000004</v>
      </c>
      <c r="P107" s="92" t="str">
        <f t="shared" si="10"/>
        <v>Excavation work Completed. Plinth work completed, RCC Slab, Brickwork, Internal Plaster, External Plaster, Flooring upto 0.3 Floor Completed</v>
      </c>
      <c r="Q107" s="93"/>
      <c r="R107" s="93"/>
      <c r="S107" s="93"/>
      <c r="T107" s="93"/>
      <c r="U107" s="93"/>
      <c r="V107" s="93"/>
      <c r="W107" s="93"/>
      <c r="X107" s="93"/>
    </row>
    <row r="108" spans="1:24" ht="15.5" x14ac:dyDescent="0.35">
      <c r="A108" s="70">
        <f>Report!A177</f>
        <v>115</v>
      </c>
      <c r="B108" s="47" t="s">
        <v>203</v>
      </c>
      <c r="C108" s="47">
        <v>1</v>
      </c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54">
        <f t="shared" si="8"/>
        <v>0</v>
      </c>
      <c r="O108" s="48">
        <f t="shared" si="9"/>
        <v>0</v>
      </c>
      <c r="P108" s="56" t="str">
        <f t="shared" si="10"/>
        <v>Work not yet Started.</v>
      </c>
      <c r="Q108" s="60"/>
      <c r="R108" s="60"/>
      <c r="S108" s="60"/>
      <c r="T108" s="60"/>
      <c r="U108" s="60"/>
      <c r="V108" s="60"/>
      <c r="W108" s="60"/>
      <c r="X108" s="60"/>
    </row>
    <row r="109" spans="1:24" s="94" customFormat="1" ht="15.5" x14ac:dyDescent="0.35">
      <c r="A109" s="88">
        <f>Report!A178</f>
        <v>116</v>
      </c>
      <c r="B109" s="89" t="s">
        <v>203</v>
      </c>
      <c r="C109" s="89">
        <v>1</v>
      </c>
      <c r="D109" s="89">
        <v>1</v>
      </c>
      <c r="E109" s="89">
        <v>1</v>
      </c>
      <c r="F109" s="89"/>
      <c r="G109" s="89"/>
      <c r="H109" s="89"/>
      <c r="I109" s="89"/>
      <c r="J109" s="89"/>
      <c r="K109" s="89"/>
      <c r="L109" s="89"/>
      <c r="M109" s="89"/>
      <c r="N109" s="90">
        <f t="shared" si="8"/>
        <v>0.1</v>
      </c>
      <c r="O109" s="91">
        <f t="shared" si="9"/>
        <v>0.45</v>
      </c>
      <c r="P109" s="92" t="str">
        <f t="shared" si="10"/>
        <v>Excavation work Completed. Plinth work completed</v>
      </c>
      <c r="Q109" s="93"/>
      <c r="R109" s="93"/>
      <c r="S109" s="93"/>
      <c r="T109" s="93"/>
      <c r="U109" s="93"/>
      <c r="V109" s="93"/>
      <c r="W109" s="93"/>
      <c r="X109" s="93"/>
    </row>
    <row r="110" spans="1:24" ht="15.5" x14ac:dyDescent="0.35">
      <c r="A110" s="70">
        <f>Report!A179</f>
        <v>117</v>
      </c>
      <c r="B110" s="47" t="s">
        <v>203</v>
      </c>
      <c r="C110" s="47">
        <v>1</v>
      </c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54">
        <f t="shared" si="8"/>
        <v>0</v>
      </c>
      <c r="O110" s="48">
        <f t="shared" si="9"/>
        <v>0</v>
      </c>
      <c r="P110" s="56" t="str">
        <f t="shared" si="10"/>
        <v>Work not yet Started.</v>
      </c>
      <c r="Q110" s="60"/>
      <c r="R110" s="60"/>
      <c r="S110" s="60"/>
      <c r="T110" s="60"/>
      <c r="U110" s="60"/>
      <c r="V110" s="60"/>
      <c r="W110" s="60"/>
      <c r="X110" s="60"/>
    </row>
    <row r="111" spans="1:24" ht="15.5" x14ac:dyDescent="0.35">
      <c r="A111" s="70">
        <f>Report!A180</f>
        <v>118</v>
      </c>
      <c r="B111" s="47" t="s">
        <v>203</v>
      </c>
      <c r="C111" s="47">
        <v>1</v>
      </c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54">
        <f t="shared" si="8"/>
        <v>0</v>
      </c>
      <c r="O111" s="48">
        <f t="shared" si="9"/>
        <v>0</v>
      </c>
      <c r="P111" s="56" t="str">
        <f t="shared" si="10"/>
        <v>Work not yet Started.</v>
      </c>
      <c r="Q111" s="60"/>
      <c r="R111" s="60"/>
      <c r="S111" s="60"/>
      <c r="T111" s="60"/>
      <c r="U111" s="60"/>
      <c r="V111" s="60"/>
      <c r="W111" s="60"/>
      <c r="X111" s="60"/>
    </row>
    <row r="112" spans="1:24" ht="15.5" x14ac:dyDescent="0.35">
      <c r="A112" s="70">
        <f>Report!A181</f>
        <v>119</v>
      </c>
      <c r="B112" s="47" t="s">
        <v>203</v>
      </c>
      <c r="C112" s="47">
        <v>1</v>
      </c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54">
        <f t="shared" si="8"/>
        <v>0</v>
      </c>
      <c r="O112" s="48">
        <f t="shared" si="9"/>
        <v>0</v>
      </c>
      <c r="P112" s="56" t="str">
        <f t="shared" si="10"/>
        <v>Work not yet Started.</v>
      </c>
      <c r="Q112" s="60"/>
      <c r="R112" s="60"/>
      <c r="S112" s="60"/>
      <c r="T112" s="60"/>
      <c r="U112" s="60"/>
      <c r="V112" s="60"/>
      <c r="W112" s="60"/>
      <c r="X112" s="60"/>
    </row>
    <row r="113" spans="1:24" ht="15.5" x14ac:dyDescent="0.35">
      <c r="A113" s="70">
        <f>Report!A182</f>
        <v>120</v>
      </c>
      <c r="B113" s="47" t="s">
        <v>203</v>
      </c>
      <c r="C113" s="47">
        <v>1</v>
      </c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54">
        <f t="shared" si="8"/>
        <v>0</v>
      </c>
      <c r="O113" s="48">
        <f t="shared" si="9"/>
        <v>0</v>
      </c>
      <c r="P113" s="56" t="str">
        <f t="shared" si="10"/>
        <v>Work not yet Started.</v>
      </c>
      <c r="Q113" s="60"/>
      <c r="R113" s="60"/>
      <c r="S113" s="60"/>
      <c r="T113" s="60"/>
      <c r="U113" s="60"/>
      <c r="V113" s="60"/>
      <c r="W113" s="60"/>
      <c r="X113" s="60"/>
    </row>
    <row r="114" spans="1:24" ht="15.5" x14ac:dyDescent="0.35">
      <c r="A114" s="70">
        <f>Report!A183</f>
        <v>121</v>
      </c>
      <c r="B114" s="47" t="s">
        <v>203</v>
      </c>
      <c r="C114" s="47">
        <v>1</v>
      </c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54">
        <f t="shared" si="8"/>
        <v>0</v>
      </c>
      <c r="O114" s="48">
        <f t="shared" si="9"/>
        <v>0</v>
      </c>
      <c r="P114" s="56" t="str">
        <f t="shared" si="10"/>
        <v>Work not yet Started.</v>
      </c>
      <c r="Q114" s="60"/>
      <c r="R114" s="60"/>
      <c r="S114" s="60"/>
      <c r="T114" s="60"/>
      <c r="U114" s="60"/>
      <c r="V114" s="60"/>
      <c r="W114" s="60"/>
      <c r="X114" s="60"/>
    </row>
    <row r="115" spans="1:24" ht="15.5" x14ac:dyDescent="0.35">
      <c r="A115" s="70">
        <f>Report!A184</f>
        <v>122</v>
      </c>
      <c r="B115" s="47" t="s">
        <v>203</v>
      </c>
      <c r="C115" s="47">
        <v>1</v>
      </c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54">
        <f t="shared" si="8"/>
        <v>0</v>
      </c>
      <c r="O115" s="48">
        <f t="shared" si="9"/>
        <v>0</v>
      </c>
      <c r="P115" s="56" t="str">
        <f t="shared" si="10"/>
        <v>Work not yet Started.</v>
      </c>
      <c r="Q115" s="60"/>
      <c r="R115" s="60"/>
      <c r="S115" s="60"/>
      <c r="T115" s="60"/>
      <c r="U115" s="60"/>
      <c r="V115" s="60"/>
      <c r="W115" s="60"/>
      <c r="X115" s="60"/>
    </row>
    <row r="116" spans="1:24" ht="15.5" x14ac:dyDescent="0.35">
      <c r="A116" s="70">
        <f>Report!A185</f>
        <v>123</v>
      </c>
      <c r="B116" s="47" t="s">
        <v>203</v>
      </c>
      <c r="C116" s="47">
        <v>1</v>
      </c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54">
        <f t="shared" si="8"/>
        <v>0</v>
      </c>
      <c r="O116" s="48">
        <f t="shared" si="9"/>
        <v>0</v>
      </c>
      <c r="P116" s="56" t="str">
        <f t="shared" si="10"/>
        <v>Work not yet Started.</v>
      </c>
      <c r="Q116" s="60"/>
      <c r="R116" s="60"/>
      <c r="S116" s="60"/>
      <c r="T116" s="60"/>
      <c r="U116" s="60"/>
      <c r="V116" s="60"/>
      <c r="W116" s="60"/>
      <c r="X116" s="60"/>
    </row>
    <row r="117" spans="1:24" ht="15.5" x14ac:dyDescent="0.35">
      <c r="A117" s="70">
        <f>Report!A186</f>
        <v>124</v>
      </c>
      <c r="B117" s="47" t="s">
        <v>203</v>
      </c>
      <c r="C117" s="47">
        <v>1</v>
      </c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54">
        <f t="shared" si="8"/>
        <v>0</v>
      </c>
      <c r="O117" s="48">
        <f t="shared" si="9"/>
        <v>0</v>
      </c>
      <c r="P117" s="56" t="str">
        <f t="shared" si="10"/>
        <v>Work not yet Started.</v>
      </c>
      <c r="Q117" s="60"/>
      <c r="R117" s="60"/>
      <c r="S117" s="60"/>
      <c r="T117" s="60"/>
      <c r="U117" s="60"/>
      <c r="V117" s="60"/>
      <c r="W117" s="60"/>
      <c r="X117" s="60"/>
    </row>
    <row r="118" spans="1:24" ht="15.5" x14ac:dyDescent="0.35">
      <c r="A118" s="70">
        <f>Report!A187</f>
        <v>125</v>
      </c>
      <c r="B118" s="47" t="s">
        <v>203</v>
      </c>
      <c r="C118" s="47">
        <v>1</v>
      </c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54">
        <f t="shared" si="8"/>
        <v>0</v>
      </c>
      <c r="O118" s="48">
        <f t="shared" si="9"/>
        <v>0</v>
      </c>
      <c r="P118" s="56" t="str">
        <f t="shared" si="10"/>
        <v>Work not yet Started.</v>
      </c>
      <c r="Q118" s="60"/>
      <c r="R118" s="60"/>
      <c r="S118" s="60"/>
      <c r="T118" s="60"/>
      <c r="U118" s="60"/>
      <c r="V118" s="60"/>
      <c r="W118" s="60"/>
      <c r="X118" s="60"/>
    </row>
    <row r="119" spans="1:24" ht="15.5" x14ac:dyDescent="0.35">
      <c r="A119" s="70">
        <f>Report!A188</f>
        <v>126</v>
      </c>
      <c r="B119" s="47" t="s">
        <v>203</v>
      </c>
      <c r="C119" s="47">
        <v>1</v>
      </c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54">
        <f t="shared" si="8"/>
        <v>0</v>
      </c>
      <c r="O119" s="48">
        <f t="shared" si="9"/>
        <v>0</v>
      </c>
      <c r="P119" s="56" t="str">
        <f t="shared" si="10"/>
        <v>Work not yet Started.</v>
      </c>
      <c r="Q119" s="60"/>
      <c r="R119" s="60"/>
      <c r="S119" s="60"/>
      <c r="T119" s="60"/>
      <c r="U119" s="60"/>
      <c r="V119" s="60"/>
      <c r="W119" s="60"/>
      <c r="X119" s="60"/>
    </row>
    <row r="120" spans="1:24" ht="15.5" x14ac:dyDescent="0.35">
      <c r="A120" s="70">
        <f>Report!A189</f>
        <v>127</v>
      </c>
      <c r="B120" s="47" t="s">
        <v>203</v>
      </c>
      <c r="C120" s="47">
        <v>1</v>
      </c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54">
        <f t="shared" si="8"/>
        <v>0</v>
      </c>
      <c r="O120" s="48">
        <f t="shared" si="9"/>
        <v>0</v>
      </c>
      <c r="P120" s="56" t="str">
        <f t="shared" si="10"/>
        <v>Work not yet Started.</v>
      </c>
      <c r="Q120" s="60"/>
      <c r="R120" s="60"/>
      <c r="S120" s="60"/>
      <c r="T120" s="60"/>
      <c r="U120" s="60"/>
      <c r="V120" s="60"/>
      <c r="W120" s="60"/>
      <c r="X120" s="60"/>
    </row>
    <row r="121" spans="1:24" ht="15.5" x14ac:dyDescent="0.35">
      <c r="A121" s="70">
        <f>Report!A190</f>
        <v>128</v>
      </c>
      <c r="B121" s="47" t="s">
        <v>203</v>
      </c>
      <c r="C121" s="47">
        <v>1</v>
      </c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54">
        <f t="shared" si="8"/>
        <v>0</v>
      </c>
      <c r="O121" s="48">
        <f t="shared" si="9"/>
        <v>0</v>
      </c>
      <c r="P121" s="56" t="str">
        <f t="shared" si="10"/>
        <v>Work not yet Started.</v>
      </c>
      <c r="Q121" s="60"/>
      <c r="R121" s="60"/>
      <c r="S121" s="60"/>
      <c r="T121" s="60"/>
      <c r="U121" s="60"/>
      <c r="V121" s="60"/>
      <c r="W121" s="60"/>
      <c r="X121" s="60"/>
    </row>
    <row r="122" spans="1:24" ht="15.5" x14ac:dyDescent="0.35">
      <c r="A122" s="70">
        <f>Report!A191</f>
        <v>129</v>
      </c>
      <c r="B122" s="47" t="s">
        <v>203</v>
      </c>
      <c r="C122" s="47">
        <v>1</v>
      </c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54">
        <f t="shared" si="8"/>
        <v>0</v>
      </c>
      <c r="O122" s="48">
        <f t="shared" si="9"/>
        <v>0</v>
      </c>
      <c r="P122" s="56" t="str">
        <f t="shared" si="10"/>
        <v>Work not yet Started.</v>
      </c>
      <c r="Q122" s="60"/>
      <c r="R122" s="60"/>
      <c r="S122" s="60"/>
      <c r="T122" s="60"/>
      <c r="U122" s="60"/>
      <c r="V122" s="60"/>
      <c r="W122" s="60"/>
      <c r="X122" s="60"/>
    </row>
    <row r="123" spans="1:24" ht="15.5" x14ac:dyDescent="0.35">
      <c r="A123" s="70">
        <f>Report!A192</f>
        <v>130</v>
      </c>
      <c r="B123" s="47" t="s">
        <v>203</v>
      </c>
      <c r="C123" s="47">
        <v>1</v>
      </c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54">
        <f t="shared" si="8"/>
        <v>0</v>
      </c>
      <c r="O123" s="48">
        <f t="shared" si="9"/>
        <v>0</v>
      </c>
      <c r="P123" s="56" t="str">
        <f t="shared" si="10"/>
        <v>Work not yet Started.</v>
      </c>
      <c r="Q123" s="60"/>
      <c r="R123" s="60"/>
      <c r="S123" s="60"/>
      <c r="T123" s="60"/>
      <c r="U123" s="60"/>
      <c r="V123" s="60"/>
      <c r="W123" s="60"/>
      <c r="X123" s="60"/>
    </row>
    <row r="124" spans="1:24" ht="15.5" x14ac:dyDescent="0.35">
      <c r="A124" s="70">
        <f>Report!A193</f>
        <v>131</v>
      </c>
      <c r="B124" s="47" t="s">
        <v>203</v>
      </c>
      <c r="C124" s="47">
        <v>1</v>
      </c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54">
        <f t="shared" si="8"/>
        <v>0</v>
      </c>
      <c r="O124" s="48">
        <f t="shared" si="9"/>
        <v>0</v>
      </c>
      <c r="P124" s="56" t="str">
        <f t="shared" si="10"/>
        <v>Work not yet Started.</v>
      </c>
      <c r="Q124" s="60"/>
      <c r="R124" s="60"/>
      <c r="S124" s="60"/>
      <c r="T124" s="60"/>
      <c r="U124" s="60"/>
      <c r="V124" s="60"/>
      <c r="W124" s="60"/>
      <c r="X124" s="60"/>
    </row>
    <row r="125" spans="1:24" ht="15.5" x14ac:dyDescent="0.35">
      <c r="A125" s="70">
        <f>Report!A194</f>
        <v>132</v>
      </c>
      <c r="B125" s="47" t="s">
        <v>203</v>
      </c>
      <c r="C125" s="47">
        <v>1</v>
      </c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54">
        <f t="shared" si="8"/>
        <v>0</v>
      </c>
      <c r="O125" s="48">
        <f t="shared" si="9"/>
        <v>0</v>
      </c>
      <c r="P125" s="56" t="str">
        <f t="shared" si="10"/>
        <v>Work not yet Started.</v>
      </c>
      <c r="Q125" s="60"/>
      <c r="R125" s="60"/>
      <c r="S125" s="60"/>
      <c r="T125" s="60"/>
      <c r="U125" s="60"/>
      <c r="V125" s="60"/>
      <c r="W125" s="60"/>
      <c r="X125" s="60"/>
    </row>
    <row r="126" spans="1:24" ht="15.5" x14ac:dyDescent="0.35">
      <c r="A126" s="70">
        <f>Report!A195</f>
        <v>133</v>
      </c>
      <c r="B126" s="47" t="s">
        <v>203</v>
      </c>
      <c r="C126" s="47">
        <v>1</v>
      </c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54">
        <f t="shared" si="8"/>
        <v>0</v>
      </c>
      <c r="O126" s="48">
        <f t="shared" si="9"/>
        <v>0</v>
      </c>
      <c r="P126" s="56" t="str">
        <f t="shared" si="10"/>
        <v>Work not yet Started.</v>
      </c>
      <c r="Q126" s="60"/>
      <c r="R126" s="60"/>
      <c r="S126" s="60"/>
      <c r="T126" s="60"/>
      <c r="U126" s="60"/>
      <c r="V126" s="60"/>
      <c r="W126" s="60"/>
      <c r="X126" s="60"/>
    </row>
    <row r="127" spans="1:24" ht="15.5" x14ac:dyDescent="0.35">
      <c r="A127" s="70">
        <f>Report!A196</f>
        <v>134</v>
      </c>
      <c r="B127" s="47" t="s">
        <v>203</v>
      </c>
      <c r="C127" s="47">
        <v>1</v>
      </c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54">
        <f t="shared" si="8"/>
        <v>0</v>
      </c>
      <c r="O127" s="48">
        <f t="shared" si="9"/>
        <v>0</v>
      </c>
      <c r="P127" s="56" t="str">
        <f t="shared" si="10"/>
        <v>Work not yet Started.</v>
      </c>
      <c r="Q127" s="60"/>
      <c r="R127" s="60"/>
      <c r="S127" s="60"/>
      <c r="T127" s="60"/>
      <c r="U127" s="60"/>
      <c r="V127" s="60"/>
      <c r="W127" s="60"/>
      <c r="X127" s="60"/>
    </row>
    <row r="128" spans="1:24" ht="15.5" x14ac:dyDescent="0.35">
      <c r="A128" s="70">
        <f>Report!A197</f>
        <v>135</v>
      </c>
      <c r="B128" s="47" t="s">
        <v>203</v>
      </c>
      <c r="C128" s="47">
        <v>1</v>
      </c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54">
        <f t="shared" si="8"/>
        <v>0</v>
      </c>
      <c r="O128" s="48">
        <f t="shared" si="9"/>
        <v>0</v>
      </c>
      <c r="P128" s="56" t="str">
        <f t="shared" si="10"/>
        <v>Work not yet Started.</v>
      </c>
      <c r="Q128" s="60"/>
      <c r="R128" s="60"/>
      <c r="S128" s="60"/>
      <c r="T128" s="60"/>
      <c r="U128" s="60"/>
      <c r="V128" s="60"/>
      <c r="W128" s="60"/>
      <c r="X128" s="60"/>
    </row>
    <row r="129" spans="1:24" s="94" customFormat="1" ht="15.5" x14ac:dyDescent="0.35">
      <c r="A129" s="88">
        <f>Report!A198</f>
        <v>136</v>
      </c>
      <c r="B129" s="89" t="s">
        <v>203</v>
      </c>
      <c r="C129" s="89">
        <v>1</v>
      </c>
      <c r="D129" s="89">
        <v>1</v>
      </c>
      <c r="E129" s="89">
        <v>1</v>
      </c>
      <c r="F129" s="89">
        <v>2</v>
      </c>
      <c r="G129" s="89">
        <v>1</v>
      </c>
      <c r="H129" s="89">
        <v>1</v>
      </c>
      <c r="I129" s="89">
        <v>0.5</v>
      </c>
      <c r="J129" s="89"/>
      <c r="K129" s="89"/>
      <c r="L129" s="89"/>
      <c r="M129" s="89"/>
      <c r="N129" s="90">
        <f t="shared" si="8"/>
        <v>0.7</v>
      </c>
      <c r="O129" s="91">
        <f t="shared" si="9"/>
        <v>0.875</v>
      </c>
      <c r="P129" s="92" t="str">
        <f t="shared" si="10"/>
        <v>Excavation work Completed. Plinth work completed, RCC Slab, Brickwork, Internal Plaster, External Plaster upto 0.5 Floor Completed</v>
      </c>
      <c r="Q129" s="93"/>
      <c r="R129" s="93"/>
      <c r="S129" s="93"/>
      <c r="T129" s="93"/>
      <c r="U129" s="93"/>
      <c r="V129" s="93"/>
      <c r="W129" s="93"/>
      <c r="X129" s="93"/>
    </row>
    <row r="130" spans="1:24" ht="15.5" x14ac:dyDescent="0.35">
      <c r="A130" s="70">
        <f>Report!A199</f>
        <v>137</v>
      </c>
      <c r="B130" s="47" t="s">
        <v>203</v>
      </c>
      <c r="C130" s="47">
        <v>1</v>
      </c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54">
        <f t="shared" ref="N130:N178" si="11">(((E130/C130*10)+(40/(1+C130)*F130)+(7.5/(C130)*G130)+(7.5/(C130)*H130)+(10/C130*I130)+(10/C130*J130)+(5/C130*K130)+(5/C130*L130)+(5/C130*M130))/100)</f>
        <v>0</v>
      </c>
      <c r="O130" s="48">
        <f t="shared" si="9"/>
        <v>0</v>
      </c>
      <c r="P130" s="56" t="str">
        <f t="shared" si="10"/>
        <v>Work not yet Started.</v>
      </c>
      <c r="Q130" s="60"/>
      <c r="R130" s="60"/>
      <c r="S130" s="60"/>
      <c r="T130" s="60"/>
      <c r="U130" s="60"/>
      <c r="V130" s="60"/>
      <c r="W130" s="60"/>
      <c r="X130" s="60"/>
    </row>
    <row r="131" spans="1:24" ht="15.5" x14ac:dyDescent="0.35">
      <c r="A131" s="70">
        <f>Report!A200</f>
        <v>138</v>
      </c>
      <c r="B131" s="47" t="s">
        <v>203</v>
      </c>
      <c r="C131" s="47">
        <v>1</v>
      </c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54">
        <f t="shared" si="11"/>
        <v>0</v>
      </c>
      <c r="O131" s="48">
        <f t="shared" si="9"/>
        <v>0</v>
      </c>
      <c r="P131" s="56" t="str">
        <f t="shared" si="10"/>
        <v>Work not yet Started.</v>
      </c>
      <c r="Q131" s="60"/>
      <c r="R131" s="60"/>
      <c r="S131" s="60"/>
      <c r="T131" s="60"/>
      <c r="U131" s="60"/>
      <c r="V131" s="60"/>
      <c r="W131" s="60"/>
      <c r="X131" s="60"/>
    </row>
    <row r="132" spans="1:24" ht="15.5" x14ac:dyDescent="0.35">
      <c r="A132" s="70">
        <f>Report!A201</f>
        <v>139</v>
      </c>
      <c r="B132" s="47" t="s">
        <v>203</v>
      </c>
      <c r="C132" s="47">
        <v>1</v>
      </c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54">
        <f t="shared" si="11"/>
        <v>0</v>
      </c>
      <c r="O132" s="48">
        <f t="shared" si="9"/>
        <v>0</v>
      </c>
      <c r="P132" s="56" t="str">
        <f t="shared" si="10"/>
        <v>Work not yet Started.</v>
      </c>
      <c r="Q132" s="60"/>
      <c r="R132" s="60"/>
      <c r="S132" s="60"/>
      <c r="T132" s="60"/>
      <c r="U132" s="60"/>
      <c r="V132" s="60"/>
      <c r="W132" s="60"/>
      <c r="X132" s="60"/>
    </row>
    <row r="133" spans="1:24" ht="15.5" x14ac:dyDescent="0.35">
      <c r="A133" s="70">
        <f>Report!A202</f>
        <v>140</v>
      </c>
      <c r="B133" s="47" t="s">
        <v>203</v>
      </c>
      <c r="C133" s="47">
        <v>1</v>
      </c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54">
        <f t="shared" si="11"/>
        <v>0</v>
      </c>
      <c r="O133" s="48">
        <f t="shared" si="9"/>
        <v>0</v>
      </c>
      <c r="P133" s="56" t="str">
        <f t="shared" si="10"/>
        <v>Work not yet Started.</v>
      </c>
      <c r="Q133" s="60"/>
      <c r="R133" s="60"/>
      <c r="S133" s="60"/>
      <c r="T133" s="60"/>
      <c r="U133" s="60"/>
      <c r="V133" s="60"/>
      <c r="W133" s="60"/>
      <c r="X133" s="60"/>
    </row>
    <row r="134" spans="1:24" ht="15.5" x14ac:dyDescent="0.35">
      <c r="A134" s="70">
        <f>Report!A203</f>
        <v>141</v>
      </c>
      <c r="B134" s="47" t="s">
        <v>203</v>
      </c>
      <c r="C134" s="47">
        <v>1</v>
      </c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54">
        <f t="shared" si="11"/>
        <v>0</v>
      </c>
      <c r="O134" s="48">
        <f t="shared" si="9"/>
        <v>0</v>
      </c>
      <c r="P134" s="56" t="str">
        <f t="shared" si="10"/>
        <v>Work not yet Started.</v>
      </c>
      <c r="Q134" s="60"/>
      <c r="R134" s="60"/>
      <c r="S134" s="60"/>
      <c r="T134" s="60"/>
      <c r="U134" s="60"/>
      <c r="V134" s="60"/>
      <c r="W134" s="60"/>
      <c r="X134" s="60"/>
    </row>
    <row r="135" spans="1:24" ht="15.5" x14ac:dyDescent="0.35">
      <c r="A135" s="70">
        <f>Report!A204</f>
        <v>142</v>
      </c>
      <c r="B135" s="47" t="s">
        <v>203</v>
      </c>
      <c r="C135" s="47">
        <v>1</v>
      </c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54">
        <f t="shared" si="11"/>
        <v>0</v>
      </c>
      <c r="O135" s="48">
        <f t="shared" si="9"/>
        <v>0</v>
      </c>
      <c r="P135" s="56" t="str">
        <f t="shared" si="10"/>
        <v>Work not yet Started.</v>
      </c>
      <c r="Q135" s="60"/>
      <c r="R135" s="60"/>
      <c r="S135" s="60"/>
      <c r="T135" s="60"/>
      <c r="U135" s="60"/>
      <c r="V135" s="60"/>
      <c r="W135" s="60"/>
      <c r="X135" s="60"/>
    </row>
    <row r="136" spans="1:24" ht="15.5" x14ac:dyDescent="0.35">
      <c r="A136" s="70">
        <f>Report!A205</f>
        <v>143</v>
      </c>
      <c r="B136" s="47" t="s">
        <v>203</v>
      </c>
      <c r="C136" s="47">
        <v>1</v>
      </c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54">
        <f t="shared" si="11"/>
        <v>0</v>
      </c>
      <c r="O136" s="48">
        <f t="shared" si="9"/>
        <v>0</v>
      </c>
      <c r="P136" s="56" t="str">
        <f t="shared" si="10"/>
        <v>Work not yet Started.</v>
      </c>
      <c r="Q136" s="60"/>
      <c r="R136" s="60"/>
      <c r="S136" s="60"/>
      <c r="T136" s="60"/>
      <c r="U136" s="60"/>
      <c r="V136" s="60"/>
      <c r="W136" s="60"/>
      <c r="X136" s="60"/>
    </row>
    <row r="137" spans="1:24" ht="15.5" x14ac:dyDescent="0.35">
      <c r="A137" s="70">
        <f>Report!A206</f>
        <v>144</v>
      </c>
      <c r="B137" s="47" t="s">
        <v>203</v>
      </c>
      <c r="C137" s="47">
        <v>1</v>
      </c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54">
        <f t="shared" si="11"/>
        <v>0</v>
      </c>
      <c r="O137" s="48">
        <f t="shared" si="9"/>
        <v>0</v>
      </c>
      <c r="P137" s="56" t="str">
        <f t="shared" si="10"/>
        <v>Work not yet Started.</v>
      </c>
      <c r="Q137" s="60"/>
      <c r="R137" s="60"/>
      <c r="S137" s="60"/>
      <c r="T137" s="60"/>
      <c r="U137" s="60"/>
      <c r="V137" s="60"/>
      <c r="W137" s="60"/>
      <c r="X137" s="60"/>
    </row>
    <row r="138" spans="1:24" ht="15.5" x14ac:dyDescent="0.35">
      <c r="A138" s="70">
        <f>Report!A207</f>
        <v>145</v>
      </c>
      <c r="B138" s="47" t="s">
        <v>203</v>
      </c>
      <c r="C138" s="47">
        <v>1</v>
      </c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54">
        <f t="shared" si="11"/>
        <v>0</v>
      </c>
      <c r="O138" s="48">
        <f t="shared" si="9"/>
        <v>0</v>
      </c>
      <c r="P138" s="56" t="str">
        <f t="shared" si="10"/>
        <v>Work not yet Started.</v>
      </c>
      <c r="Q138" s="60"/>
      <c r="R138" s="60"/>
      <c r="S138" s="60"/>
      <c r="T138" s="60"/>
      <c r="U138" s="60"/>
      <c r="V138" s="60"/>
      <c r="W138" s="60"/>
      <c r="X138" s="60"/>
    </row>
    <row r="139" spans="1:24" ht="15.5" x14ac:dyDescent="0.35">
      <c r="A139" s="70">
        <f>Report!A208</f>
        <v>146</v>
      </c>
      <c r="B139" s="47" t="s">
        <v>203</v>
      </c>
      <c r="C139" s="47">
        <v>1</v>
      </c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54">
        <f t="shared" si="11"/>
        <v>0</v>
      </c>
      <c r="O139" s="48">
        <f t="shared" si="9"/>
        <v>0</v>
      </c>
      <c r="P139" s="56" t="str">
        <f t="shared" si="10"/>
        <v>Work not yet Started.</v>
      </c>
      <c r="Q139" s="60"/>
      <c r="R139" s="60"/>
      <c r="S139" s="60"/>
      <c r="T139" s="60"/>
      <c r="U139" s="60"/>
      <c r="V139" s="60"/>
      <c r="W139" s="60"/>
      <c r="X139" s="60"/>
    </row>
    <row r="140" spans="1:24" ht="15.5" x14ac:dyDescent="0.35">
      <c r="A140" s="70">
        <f>Report!A209</f>
        <v>147</v>
      </c>
      <c r="B140" s="47" t="s">
        <v>203</v>
      </c>
      <c r="C140" s="47">
        <v>1</v>
      </c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54">
        <f t="shared" si="11"/>
        <v>0</v>
      </c>
      <c r="O140" s="48">
        <f t="shared" si="9"/>
        <v>0</v>
      </c>
      <c r="P140" s="56" t="str">
        <f t="shared" si="10"/>
        <v>Work not yet Started.</v>
      </c>
      <c r="Q140" s="60"/>
      <c r="R140" s="60"/>
      <c r="S140" s="60"/>
      <c r="T140" s="60"/>
      <c r="U140" s="60"/>
      <c r="V140" s="60"/>
      <c r="W140" s="60"/>
      <c r="X140" s="60"/>
    </row>
    <row r="141" spans="1:24" ht="15.5" x14ac:dyDescent="0.35">
      <c r="A141" s="70">
        <f>Report!A210</f>
        <v>148</v>
      </c>
      <c r="B141" s="47" t="s">
        <v>203</v>
      </c>
      <c r="C141" s="47">
        <v>1</v>
      </c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54">
        <f t="shared" si="11"/>
        <v>0</v>
      </c>
      <c r="O141" s="48">
        <f t="shared" si="9"/>
        <v>0</v>
      </c>
      <c r="P141" s="56" t="str">
        <f t="shared" si="10"/>
        <v>Work not yet Started.</v>
      </c>
      <c r="Q141" s="60"/>
      <c r="R141" s="60"/>
      <c r="S141" s="60"/>
      <c r="T141" s="60"/>
      <c r="U141" s="60"/>
      <c r="V141" s="60"/>
      <c r="W141" s="60"/>
      <c r="X141" s="60"/>
    </row>
    <row r="142" spans="1:24" ht="15.5" x14ac:dyDescent="0.35">
      <c r="A142" s="70">
        <f>Report!A211</f>
        <v>149</v>
      </c>
      <c r="B142" s="47" t="s">
        <v>203</v>
      </c>
      <c r="C142" s="47">
        <v>1</v>
      </c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54">
        <f t="shared" si="11"/>
        <v>0</v>
      </c>
      <c r="O142" s="48">
        <f t="shared" si="9"/>
        <v>0</v>
      </c>
      <c r="P142" s="56" t="str">
        <f t="shared" si="10"/>
        <v>Work not yet Started.</v>
      </c>
      <c r="Q142" s="60"/>
      <c r="R142" s="60"/>
      <c r="S142" s="60"/>
      <c r="T142" s="60"/>
      <c r="U142" s="60"/>
      <c r="V142" s="60"/>
      <c r="W142" s="60"/>
      <c r="X142" s="60"/>
    </row>
    <row r="143" spans="1:24" ht="15.5" x14ac:dyDescent="0.35">
      <c r="A143" s="70">
        <f>Report!A212</f>
        <v>150</v>
      </c>
      <c r="B143" s="47" t="s">
        <v>203</v>
      </c>
      <c r="C143" s="47">
        <v>1</v>
      </c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54">
        <f t="shared" si="11"/>
        <v>0</v>
      </c>
      <c r="O143" s="48">
        <f t="shared" si="9"/>
        <v>0</v>
      </c>
      <c r="P143" s="56" t="str">
        <f t="shared" si="10"/>
        <v>Work not yet Started.</v>
      </c>
      <c r="Q143" s="60"/>
      <c r="R143" s="60"/>
      <c r="S143" s="60"/>
      <c r="T143" s="60"/>
      <c r="U143" s="60"/>
      <c r="V143" s="60"/>
      <c r="W143" s="60"/>
      <c r="X143" s="60"/>
    </row>
    <row r="144" spans="1:24" ht="15.5" x14ac:dyDescent="0.35">
      <c r="A144" s="70">
        <f>Report!A213</f>
        <v>151</v>
      </c>
      <c r="B144" s="47" t="s">
        <v>203</v>
      </c>
      <c r="C144" s="47">
        <v>1</v>
      </c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54">
        <f t="shared" si="11"/>
        <v>0</v>
      </c>
      <c r="O144" s="48">
        <f t="shared" si="9"/>
        <v>0</v>
      </c>
      <c r="P144" s="56" t="str">
        <f t="shared" si="10"/>
        <v>Work not yet Started.</v>
      </c>
      <c r="Q144" s="60"/>
      <c r="R144" s="60"/>
      <c r="S144" s="60"/>
      <c r="T144" s="60"/>
      <c r="U144" s="60"/>
      <c r="V144" s="60"/>
      <c r="W144" s="60"/>
      <c r="X144" s="60"/>
    </row>
    <row r="145" spans="1:24" ht="15.5" x14ac:dyDescent="0.35">
      <c r="A145" s="70">
        <f>Report!A214</f>
        <v>152</v>
      </c>
      <c r="B145" s="47" t="s">
        <v>203</v>
      </c>
      <c r="C145" s="47">
        <v>1</v>
      </c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54">
        <f t="shared" si="11"/>
        <v>0</v>
      </c>
      <c r="O145" s="48">
        <f t="shared" si="9"/>
        <v>0</v>
      </c>
      <c r="P145" s="56" t="str">
        <f t="shared" si="10"/>
        <v>Work not yet Started.</v>
      </c>
      <c r="Q145" s="60"/>
      <c r="R145" s="60"/>
      <c r="S145" s="60"/>
      <c r="T145" s="60"/>
      <c r="U145" s="60"/>
      <c r="V145" s="60"/>
      <c r="W145" s="60"/>
      <c r="X145" s="60"/>
    </row>
    <row r="146" spans="1:24" ht="15.5" x14ac:dyDescent="0.35">
      <c r="A146" s="70">
        <f>Report!A215</f>
        <v>153</v>
      </c>
      <c r="B146" s="47" t="s">
        <v>203</v>
      </c>
      <c r="C146" s="47">
        <v>1</v>
      </c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54">
        <f t="shared" si="11"/>
        <v>0</v>
      </c>
      <c r="O146" s="48">
        <f t="shared" si="9"/>
        <v>0</v>
      </c>
      <c r="P146" s="56" t="str">
        <f t="shared" si="10"/>
        <v>Work not yet Started.</v>
      </c>
      <c r="Q146" s="60"/>
      <c r="R146" s="60"/>
      <c r="S146" s="60"/>
      <c r="T146" s="60"/>
      <c r="U146" s="60"/>
      <c r="V146" s="60"/>
      <c r="W146" s="60"/>
      <c r="X146" s="60"/>
    </row>
    <row r="147" spans="1:24" ht="15.5" x14ac:dyDescent="0.35">
      <c r="A147" s="70">
        <f>Report!A216</f>
        <v>154</v>
      </c>
      <c r="B147" s="47" t="s">
        <v>203</v>
      </c>
      <c r="C147" s="47">
        <v>1</v>
      </c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54">
        <f t="shared" si="11"/>
        <v>0</v>
      </c>
      <c r="O147" s="48">
        <f t="shared" si="9"/>
        <v>0</v>
      </c>
      <c r="P147" s="56" t="str">
        <f t="shared" si="10"/>
        <v>Work not yet Started.</v>
      </c>
      <c r="Q147" s="60"/>
      <c r="R147" s="60"/>
      <c r="S147" s="60"/>
      <c r="T147" s="60"/>
      <c r="U147" s="60"/>
      <c r="V147" s="60"/>
      <c r="W147" s="60"/>
      <c r="X147" s="60"/>
    </row>
    <row r="148" spans="1:24" ht="15.5" x14ac:dyDescent="0.35">
      <c r="A148" s="70">
        <f>Report!A217</f>
        <v>155</v>
      </c>
      <c r="B148" s="47" t="s">
        <v>203</v>
      </c>
      <c r="C148" s="47">
        <v>1</v>
      </c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54">
        <f t="shared" si="11"/>
        <v>0</v>
      </c>
      <c r="O148" s="48">
        <f t="shared" si="9"/>
        <v>0</v>
      </c>
      <c r="P148" s="56" t="str">
        <f t="shared" si="10"/>
        <v>Work not yet Started.</v>
      </c>
      <c r="Q148" s="60"/>
      <c r="R148" s="60"/>
      <c r="S148" s="60"/>
      <c r="T148" s="60"/>
      <c r="U148" s="60"/>
      <c r="V148" s="60"/>
      <c r="W148" s="60"/>
      <c r="X148" s="60"/>
    </row>
    <row r="149" spans="1:24" ht="15.5" x14ac:dyDescent="0.35">
      <c r="A149" s="70">
        <f>Report!A218</f>
        <v>156</v>
      </c>
      <c r="B149" s="47" t="s">
        <v>203</v>
      </c>
      <c r="C149" s="47">
        <v>1</v>
      </c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54">
        <f t="shared" si="11"/>
        <v>0</v>
      </c>
      <c r="O149" s="48">
        <f t="shared" si="9"/>
        <v>0</v>
      </c>
      <c r="P149" s="56" t="str">
        <f t="shared" si="10"/>
        <v>Work not yet Started.</v>
      </c>
      <c r="Q149" s="60"/>
      <c r="R149" s="60"/>
      <c r="S149" s="60"/>
      <c r="T149" s="60"/>
      <c r="U149" s="60"/>
      <c r="V149" s="60"/>
      <c r="W149" s="60"/>
      <c r="X149" s="60"/>
    </row>
    <row r="150" spans="1:24" ht="15.5" x14ac:dyDescent="0.35">
      <c r="A150" s="70">
        <f>Report!A219</f>
        <v>157</v>
      </c>
      <c r="B150" s="47" t="s">
        <v>203</v>
      </c>
      <c r="C150" s="47">
        <v>1</v>
      </c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54">
        <f t="shared" si="11"/>
        <v>0</v>
      </c>
      <c r="O150" s="48">
        <f t="shared" si="9"/>
        <v>0</v>
      </c>
      <c r="P150" s="56" t="str">
        <f t="shared" si="10"/>
        <v>Work not yet Started.</v>
      </c>
      <c r="Q150" s="60"/>
      <c r="R150" s="60"/>
      <c r="S150" s="60"/>
      <c r="T150" s="60"/>
      <c r="U150" s="60"/>
      <c r="V150" s="60"/>
      <c r="W150" s="60"/>
      <c r="X150" s="60"/>
    </row>
    <row r="151" spans="1:24" ht="15.5" x14ac:dyDescent="0.35">
      <c r="A151" s="70">
        <f>Report!A220</f>
        <v>158</v>
      </c>
      <c r="B151" s="47" t="s">
        <v>203</v>
      </c>
      <c r="C151" s="47">
        <v>1</v>
      </c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54">
        <f t="shared" si="11"/>
        <v>0</v>
      </c>
      <c r="O151" s="48">
        <f t="shared" si="9"/>
        <v>0</v>
      </c>
      <c r="P151" s="56" t="str">
        <f t="shared" si="10"/>
        <v>Work not yet Started.</v>
      </c>
      <c r="Q151" s="60"/>
      <c r="R151" s="60"/>
      <c r="S151" s="60"/>
      <c r="T151" s="60"/>
      <c r="U151" s="60"/>
      <c r="V151" s="60"/>
      <c r="W151" s="60"/>
      <c r="X151" s="60"/>
    </row>
    <row r="152" spans="1:24" ht="15.5" x14ac:dyDescent="0.35">
      <c r="A152" s="70">
        <f>Report!A221</f>
        <v>159</v>
      </c>
      <c r="B152" s="47" t="s">
        <v>203</v>
      </c>
      <c r="C152" s="47">
        <v>1</v>
      </c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54">
        <f t="shared" si="11"/>
        <v>0</v>
      </c>
      <c r="O152" s="48">
        <f t="shared" si="9"/>
        <v>0</v>
      </c>
      <c r="P152" s="56" t="str">
        <f t="shared" si="10"/>
        <v>Work not yet Started.</v>
      </c>
      <c r="Q152" s="60"/>
      <c r="R152" s="60"/>
      <c r="S152" s="60"/>
      <c r="T152" s="60"/>
      <c r="U152" s="60"/>
      <c r="V152" s="60"/>
      <c r="W152" s="60"/>
      <c r="X152" s="60"/>
    </row>
    <row r="153" spans="1:24" ht="15.5" x14ac:dyDescent="0.35">
      <c r="A153" s="70">
        <f>Report!A222</f>
        <v>160</v>
      </c>
      <c r="B153" s="47" t="s">
        <v>203</v>
      </c>
      <c r="C153" s="47">
        <v>1</v>
      </c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54">
        <f t="shared" si="11"/>
        <v>0</v>
      </c>
      <c r="O153" s="48">
        <f t="shared" si="9"/>
        <v>0</v>
      </c>
      <c r="P153" s="56" t="str">
        <f t="shared" si="10"/>
        <v>Work not yet Started.</v>
      </c>
      <c r="Q153" s="60"/>
      <c r="R153" s="60"/>
      <c r="S153" s="60"/>
      <c r="T153" s="60"/>
      <c r="U153" s="60"/>
      <c r="V153" s="60"/>
      <c r="W153" s="60"/>
      <c r="X153" s="60"/>
    </row>
    <row r="154" spans="1:24" ht="15.5" x14ac:dyDescent="0.35">
      <c r="A154" s="70">
        <f>Report!A223</f>
        <v>161</v>
      </c>
      <c r="B154" s="47" t="s">
        <v>203</v>
      </c>
      <c r="C154" s="47">
        <v>1</v>
      </c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54">
        <f t="shared" si="11"/>
        <v>0</v>
      </c>
      <c r="O154" s="48">
        <f t="shared" si="9"/>
        <v>0</v>
      </c>
      <c r="P154" s="56" t="str">
        <f t="shared" si="10"/>
        <v>Work not yet Started.</v>
      </c>
      <c r="Q154" s="60"/>
      <c r="R154" s="60"/>
      <c r="S154" s="60"/>
      <c r="T154" s="60"/>
      <c r="U154" s="60"/>
      <c r="V154" s="60"/>
      <c r="W154" s="60"/>
      <c r="X154" s="60"/>
    </row>
    <row r="155" spans="1:24" ht="15.5" x14ac:dyDescent="0.35">
      <c r="A155" s="70">
        <f>Report!A224</f>
        <v>162</v>
      </c>
      <c r="B155" s="47" t="s">
        <v>203</v>
      </c>
      <c r="C155" s="47">
        <v>1</v>
      </c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54">
        <f t="shared" si="11"/>
        <v>0</v>
      </c>
      <c r="O155" s="48">
        <f t="shared" si="9"/>
        <v>0</v>
      </c>
      <c r="P155" s="56" t="str">
        <f t="shared" si="10"/>
        <v>Work not yet Started.</v>
      </c>
      <c r="Q155" s="60"/>
      <c r="R155" s="60"/>
      <c r="S155" s="60"/>
      <c r="T155" s="60"/>
      <c r="U155" s="60"/>
      <c r="V155" s="60"/>
      <c r="W155" s="60"/>
      <c r="X155" s="60"/>
    </row>
    <row r="156" spans="1:24" ht="15.5" x14ac:dyDescent="0.35">
      <c r="A156" s="70">
        <f>Report!A225</f>
        <v>163</v>
      </c>
      <c r="B156" s="47" t="s">
        <v>203</v>
      </c>
      <c r="C156" s="47">
        <v>1</v>
      </c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54">
        <f t="shared" si="11"/>
        <v>0</v>
      </c>
      <c r="O156" s="48">
        <f t="shared" si="9"/>
        <v>0</v>
      </c>
      <c r="P156" s="56" t="str">
        <f t="shared" si="10"/>
        <v>Work not yet Started.</v>
      </c>
      <c r="Q156" s="60"/>
      <c r="R156" s="60"/>
      <c r="S156" s="60"/>
      <c r="T156" s="60"/>
      <c r="U156" s="60"/>
      <c r="V156" s="60"/>
      <c r="W156" s="60"/>
      <c r="X156" s="60"/>
    </row>
    <row r="157" spans="1:24" ht="15.5" x14ac:dyDescent="0.35">
      <c r="A157" s="70">
        <f>Report!A226</f>
        <v>164</v>
      </c>
      <c r="B157" s="47" t="s">
        <v>203</v>
      </c>
      <c r="C157" s="47">
        <v>1</v>
      </c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54">
        <f t="shared" si="11"/>
        <v>0</v>
      </c>
      <c r="O157" s="48">
        <f t="shared" si="9"/>
        <v>0</v>
      </c>
      <c r="P157" s="56" t="str">
        <f t="shared" si="10"/>
        <v>Work not yet Started.</v>
      </c>
      <c r="Q157" s="60"/>
      <c r="R157" s="60"/>
      <c r="S157" s="60"/>
      <c r="T157" s="60"/>
      <c r="U157" s="60"/>
      <c r="V157" s="60"/>
      <c r="W157" s="60"/>
      <c r="X157" s="60"/>
    </row>
    <row r="158" spans="1:24" ht="15.5" x14ac:dyDescent="0.35">
      <c r="A158" s="70">
        <f>Report!A227</f>
        <v>165</v>
      </c>
      <c r="B158" s="47" t="s">
        <v>203</v>
      </c>
      <c r="C158" s="47">
        <v>1</v>
      </c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54">
        <f t="shared" si="11"/>
        <v>0</v>
      </c>
      <c r="O158" s="48">
        <f t="shared" si="9"/>
        <v>0</v>
      </c>
      <c r="P158" s="56" t="str">
        <f t="shared" si="10"/>
        <v>Work not yet Started.</v>
      </c>
      <c r="Q158" s="60"/>
      <c r="R158" s="60"/>
      <c r="S158" s="60"/>
      <c r="T158" s="60"/>
      <c r="U158" s="60"/>
      <c r="V158" s="60"/>
      <c r="W158" s="60"/>
      <c r="X158" s="60"/>
    </row>
    <row r="159" spans="1:24" ht="15.5" x14ac:dyDescent="0.35">
      <c r="A159" s="70">
        <f>Report!A228</f>
        <v>166</v>
      </c>
      <c r="B159" s="47" t="s">
        <v>203</v>
      </c>
      <c r="C159" s="47">
        <v>1</v>
      </c>
      <c r="D159" s="47">
        <v>1</v>
      </c>
      <c r="E159" s="47">
        <v>1</v>
      </c>
      <c r="F159" s="47"/>
      <c r="G159" s="47"/>
      <c r="H159" s="47"/>
      <c r="I159" s="47"/>
      <c r="J159" s="47"/>
      <c r="K159" s="47"/>
      <c r="L159" s="47"/>
      <c r="M159" s="47"/>
      <c r="N159" s="54">
        <f t="shared" si="11"/>
        <v>0.1</v>
      </c>
      <c r="O159" s="48">
        <f t="shared" si="9"/>
        <v>0.45</v>
      </c>
      <c r="P159" s="56" t="str">
        <f t="shared" si="10"/>
        <v>Excavation work Completed. Plinth work completed</v>
      </c>
      <c r="Q159" s="60"/>
      <c r="R159" s="60"/>
      <c r="S159" s="60"/>
      <c r="T159" s="60"/>
      <c r="U159" s="60"/>
      <c r="V159" s="60"/>
      <c r="W159" s="60"/>
      <c r="X159" s="60"/>
    </row>
    <row r="160" spans="1:24" ht="15.5" x14ac:dyDescent="0.35">
      <c r="A160" s="70">
        <f>Report!A229</f>
        <v>167</v>
      </c>
      <c r="B160" s="47" t="s">
        <v>203</v>
      </c>
      <c r="C160" s="47">
        <v>1</v>
      </c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54">
        <f t="shared" si="11"/>
        <v>0</v>
      </c>
      <c r="O160" s="48">
        <f t="shared" si="9"/>
        <v>0</v>
      </c>
      <c r="P160" s="56" t="str">
        <f t="shared" si="10"/>
        <v>Work not yet Started.</v>
      </c>
      <c r="Q160" s="60"/>
      <c r="R160" s="60"/>
      <c r="S160" s="60"/>
      <c r="T160" s="60"/>
      <c r="U160" s="60"/>
      <c r="V160" s="60"/>
      <c r="W160" s="60"/>
      <c r="X160" s="60"/>
    </row>
    <row r="161" spans="1:24" ht="15.5" x14ac:dyDescent="0.35">
      <c r="A161" s="70">
        <f>Report!A230</f>
        <v>168</v>
      </c>
      <c r="B161" s="47" t="s">
        <v>203</v>
      </c>
      <c r="C161" s="47">
        <v>1</v>
      </c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54">
        <f t="shared" si="11"/>
        <v>0</v>
      </c>
      <c r="O161" s="48">
        <f t="shared" si="9"/>
        <v>0</v>
      </c>
      <c r="P161" s="56" t="str">
        <f t="shared" si="10"/>
        <v>Work not yet Started.</v>
      </c>
      <c r="Q161" s="60"/>
      <c r="R161" s="60"/>
      <c r="S161" s="60"/>
      <c r="T161" s="60"/>
      <c r="U161" s="60"/>
      <c r="V161" s="60"/>
      <c r="W161" s="60"/>
      <c r="X161" s="60"/>
    </row>
    <row r="162" spans="1:24" ht="15.5" x14ac:dyDescent="0.35">
      <c r="A162" s="70">
        <f>Report!A231</f>
        <v>169</v>
      </c>
      <c r="B162" s="47" t="s">
        <v>203</v>
      </c>
      <c r="C162" s="47">
        <v>1</v>
      </c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54">
        <f t="shared" si="11"/>
        <v>0</v>
      </c>
      <c r="O162" s="48">
        <f t="shared" si="9"/>
        <v>0</v>
      </c>
      <c r="P162" s="56" t="str">
        <f t="shared" si="10"/>
        <v>Work not yet Started.</v>
      </c>
      <c r="Q162" s="60"/>
      <c r="R162" s="60"/>
      <c r="S162" s="60"/>
      <c r="T162" s="60"/>
      <c r="U162" s="60"/>
      <c r="V162" s="60"/>
      <c r="W162" s="60"/>
      <c r="X162" s="60"/>
    </row>
    <row r="163" spans="1:24" ht="15.5" x14ac:dyDescent="0.35">
      <c r="A163" s="70">
        <f>Report!A232</f>
        <v>170</v>
      </c>
      <c r="B163" s="47" t="s">
        <v>203</v>
      </c>
      <c r="C163" s="47">
        <v>1</v>
      </c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54">
        <f t="shared" si="11"/>
        <v>0</v>
      </c>
      <c r="O163" s="48">
        <f t="shared" si="9"/>
        <v>0</v>
      </c>
      <c r="P163" s="56" t="str">
        <f t="shared" si="10"/>
        <v>Work not yet Started.</v>
      </c>
      <c r="Q163" s="60"/>
      <c r="R163" s="60"/>
      <c r="S163" s="60"/>
      <c r="T163" s="60"/>
      <c r="U163" s="60"/>
      <c r="V163" s="60"/>
      <c r="W163" s="60"/>
      <c r="X163" s="60"/>
    </row>
    <row r="164" spans="1:24" ht="15.5" x14ac:dyDescent="0.35">
      <c r="A164" s="70">
        <f>Report!A233</f>
        <v>171</v>
      </c>
      <c r="B164" s="47" t="s">
        <v>203</v>
      </c>
      <c r="C164" s="47">
        <v>1</v>
      </c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54">
        <f t="shared" si="11"/>
        <v>0</v>
      </c>
      <c r="O164" s="48">
        <f t="shared" si="9"/>
        <v>0</v>
      </c>
      <c r="P164" s="56" t="str">
        <f t="shared" si="10"/>
        <v>Work not yet Started.</v>
      </c>
      <c r="Q164" s="60"/>
      <c r="R164" s="60"/>
      <c r="S164" s="60"/>
      <c r="T164" s="60"/>
      <c r="U164" s="60"/>
      <c r="V164" s="60"/>
      <c r="W164" s="60"/>
      <c r="X164" s="60"/>
    </row>
    <row r="165" spans="1:24" ht="15.5" x14ac:dyDescent="0.35">
      <c r="A165" s="70">
        <f>Report!A234</f>
        <v>172</v>
      </c>
      <c r="B165" s="47" t="s">
        <v>203</v>
      </c>
      <c r="C165" s="47">
        <v>1</v>
      </c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54">
        <f t="shared" si="11"/>
        <v>0</v>
      </c>
      <c r="O165" s="48">
        <f t="shared" si="9"/>
        <v>0</v>
      </c>
      <c r="P165" s="56" t="str">
        <f t="shared" si="10"/>
        <v>Work not yet Started.</v>
      </c>
      <c r="Q165" s="60"/>
      <c r="R165" s="60"/>
      <c r="S165" s="60"/>
      <c r="T165" s="60"/>
      <c r="U165" s="60"/>
      <c r="V165" s="60"/>
      <c r="W165" s="60"/>
      <c r="X165" s="60"/>
    </row>
    <row r="166" spans="1:24" ht="15.5" x14ac:dyDescent="0.35">
      <c r="A166" s="70">
        <f>Report!A235</f>
        <v>173</v>
      </c>
      <c r="B166" s="47" t="s">
        <v>203</v>
      </c>
      <c r="C166" s="47">
        <v>1</v>
      </c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54">
        <f t="shared" si="11"/>
        <v>0</v>
      </c>
      <c r="O166" s="48">
        <f t="shared" si="9"/>
        <v>0</v>
      </c>
      <c r="P166" s="56" t="str">
        <f t="shared" si="10"/>
        <v>Work not yet Started.</v>
      </c>
      <c r="Q166" s="60"/>
      <c r="R166" s="60"/>
      <c r="S166" s="60"/>
      <c r="T166" s="60"/>
      <c r="U166" s="60"/>
      <c r="V166" s="60"/>
      <c r="W166" s="60"/>
      <c r="X166" s="60"/>
    </row>
    <row r="167" spans="1:24" ht="15.5" x14ac:dyDescent="0.35">
      <c r="A167" s="70">
        <f>Report!A236</f>
        <v>174</v>
      </c>
      <c r="B167" s="47" t="s">
        <v>203</v>
      </c>
      <c r="C167" s="47">
        <v>1</v>
      </c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54">
        <f>(((E167/C167*10)+(40/(1+C167)*F167)+(7.5/(C167)*G167)+(7.5/(C167)*H167)+(10/C167*I167)+(10/C167*J167)+(5/C167*K167)+(5/C167*L167)+(5/C167*M167))/100)</f>
        <v>0</v>
      </c>
      <c r="O167" s="48">
        <f>((((D167/C167)*20)+((E167/C167)*25)+(30/(C167+1)*F167)+(5/C167*G167)+(5/C167*H167)+(5/C167*I167)+(5/C167*J167)+(0/C167*K167)+(0/C167*L167)+(5/C167*M167))/100)</f>
        <v>0</v>
      </c>
      <c r="P167" s="56" t="str">
        <f>(IF(N167&gt;99%,"All work completed. Please provide OC.",IF(N167&gt;89.8%,"Plinth, RCC, Brick, Plaster, Flooring, Painting work Completed. Finishing work is in process.",(IF(D167=0,"Work not yet Started.",IF(D167=25%*C167,"Piling work in process",IF(D167=50%*C167,"Excavation work in process",IF(D167=C167,"Excavation work Completed. ","0")))&amp;(IF(E167=0%,"",IF(E167=25%*C167,"Footing work is process",IF(E167=50%*C167,"Footing work Completed",IF(E167=75%*C167,"Plinth work is process",IF(E167=C167,"Plinth work completed","0")))))))&amp;(IF(F167=(1+C167),", RCC Slab",IF(F167&gt;0,", RCC upto "&amp;F167&amp;" Slab",""))&amp;(IF(G167=C167,", Brickwork",IF(G167&gt;0,", Brickwork upto "&amp;G167&amp;" Floor",""))&amp;(IF(H167=C167,", Internal Plaster",IF(H167&gt;0,", Internal Plaster upto "&amp;H167&amp;" Floor",""))&amp;(IF(I167=C167,", External Plaster",IF(I167&gt;0,", External Plaster upto "&amp;I167&amp;" Floor",""))&amp;(IF(J167=C167,", Flooring",IF(J167&gt;0,", Flooring upto "&amp;J167&amp;" Floor",""))&amp;(IF(K167=C167,", Painting",IF(K167&gt;0,", Painting upto "&amp;K167&amp;" Floor",""))&amp;(IF(L167&gt;0,", Finishing upto "&amp;L167&amp;" Floor","")&amp;(IF(F167&gt;0.5," Completed","")))))))))))))</f>
        <v>Work not yet Started.</v>
      </c>
      <c r="Q167" s="60"/>
      <c r="R167" s="60"/>
      <c r="S167" s="60"/>
      <c r="T167" s="60"/>
      <c r="U167" s="60"/>
      <c r="V167" s="60"/>
      <c r="W167" s="60"/>
      <c r="X167" s="60"/>
    </row>
    <row r="168" spans="1:24" ht="15.5" x14ac:dyDescent="0.35">
      <c r="A168" s="70">
        <f>Report!A237</f>
        <v>175</v>
      </c>
      <c r="B168" s="47" t="s">
        <v>203</v>
      </c>
      <c r="C168" s="47">
        <v>1</v>
      </c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54">
        <f t="shared" si="11"/>
        <v>0</v>
      </c>
      <c r="O168" s="48">
        <f t="shared" si="9"/>
        <v>0</v>
      </c>
      <c r="P168" s="56" t="str">
        <f t="shared" si="10"/>
        <v>Work not yet Started.</v>
      </c>
      <c r="Q168" s="60"/>
      <c r="R168" s="60"/>
      <c r="S168" s="60"/>
      <c r="T168" s="60"/>
      <c r="U168" s="60"/>
      <c r="V168" s="60"/>
      <c r="W168" s="60"/>
      <c r="X168" s="60"/>
    </row>
    <row r="169" spans="1:24" ht="15.5" x14ac:dyDescent="0.35">
      <c r="A169" s="70">
        <f>Report!A238</f>
        <v>176</v>
      </c>
      <c r="B169" s="47" t="s">
        <v>203</v>
      </c>
      <c r="C169" s="47">
        <v>1</v>
      </c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54">
        <f>(((E169/C169*10)+(40/(1+C169)*F169)+(7.5/(C169)*G169)+(7.5/(C169)*H169)+(10/C169*I169)+(10/C169*J169)+(5/C169*K169)+(5/C169*L169)+(5/C169*M169))/100)</f>
        <v>0</v>
      </c>
      <c r="O169" s="48">
        <f>((((D169/C169)*20)+((E169/C169)*25)+(30/(C169+1)*F169)+(5/C169*G169)+(5/C169*H169)+(5/C169*I169)+(5/C169*J169)+(0/C169*K169)+(0/C169*L169)+(5/C169*M169))/100)</f>
        <v>0</v>
      </c>
      <c r="P169" s="56" t="str">
        <f>(IF(N169&gt;99%,"All work completed. Please provide OC.",IF(N169&gt;89.8%,"Plinth, RCC, Brick, Plaster, Flooring, Painting work Completed. Finishing work is in process.",(IF(D169=0,"Work not yet Started.",IF(D169=25%*C169,"Piling work in process",IF(D169=50%*C169,"Excavation work in process",IF(D169=C169,"Excavation work Completed. ","0")))&amp;(IF(E169=0%,"",IF(E169=25%*C169,"Footing work is process",IF(E169=50%*C169,"Footing work Completed",IF(E169=75%*C169,"Plinth work is process",IF(E169=C169,"Plinth work completed","0")))))))&amp;(IF(F169=(1+C169),", RCC Slab",IF(F169&gt;0,", RCC upto "&amp;F169&amp;" Slab",""))&amp;(IF(G169=C169,", Brickwork",IF(G169&gt;0,", Brickwork upto "&amp;G169&amp;" Floor",""))&amp;(IF(H169=C169,", Internal Plaster",IF(H169&gt;0,", Internal Plaster upto "&amp;H169&amp;" Floor",""))&amp;(IF(I169=C169,", External Plaster",IF(I169&gt;0,", External Plaster upto "&amp;I169&amp;" Floor",""))&amp;(IF(J169=C169,", Flooring",IF(J169&gt;0,", Flooring upto "&amp;J169&amp;" Floor",""))&amp;(IF(K169=C169,", Painting",IF(K169&gt;0,", Painting upto "&amp;K169&amp;" Floor",""))&amp;(IF(L169&gt;0,", Finishing upto "&amp;L169&amp;" Floor","")&amp;(IF(F169&gt;0.5," Completed","")))))))))))))</f>
        <v>Work not yet Started.</v>
      </c>
      <c r="Q169" s="60"/>
      <c r="R169" s="60"/>
      <c r="S169" s="60"/>
      <c r="T169" s="60"/>
      <c r="U169" s="60"/>
      <c r="V169" s="60"/>
      <c r="W169" s="60"/>
      <c r="X169" s="60"/>
    </row>
    <row r="170" spans="1:24" ht="15.5" x14ac:dyDescent="0.35">
      <c r="A170" s="70">
        <f>Report!A239</f>
        <v>177</v>
      </c>
      <c r="B170" s="47" t="s">
        <v>203</v>
      </c>
      <c r="C170" s="47">
        <v>1</v>
      </c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54">
        <f t="shared" si="11"/>
        <v>0</v>
      </c>
      <c r="O170" s="48">
        <f t="shared" ref="O170:O178" si="12">((((D170/C170)*20)+((E170/C170)*25)+(30/(C170+1)*F170)+(5/C170*G170)+(5/C170*H170)+(5/C170*I170)+(5/C170*J170)+(0/C170*K170)+(0/C170*L170)+(5/C170*M170))/100)</f>
        <v>0</v>
      </c>
      <c r="P170" s="56" t="str">
        <f t="shared" ref="P170:P178" si="13">(IF(N170&gt;99%,"All work completed. Please provide OC.",IF(N170&gt;89.8%,"Plinth, RCC, Brick, Plaster, Flooring, Painting work Completed. Finishing work is in process.",(IF(D170=0,"Work not yet Started.",IF(D170=25%*C170,"Piling work in process",IF(D170=50%*C170,"Excavation work in process",IF(D170=C170,"Excavation work Completed. ","0")))&amp;(IF(E170=0%,"",IF(E170=25%*C170,"Footing work is process",IF(E170=50%*C170,"Footing work Completed",IF(E170=75%*C170,"Plinth work is process",IF(E170=C170,"Plinth work completed","0")))))))&amp;(IF(F170=(1+C170),", RCC Slab",IF(F170&gt;0,", RCC upto "&amp;F170&amp;" Slab",""))&amp;(IF(G170=C170,", Brickwork",IF(G170&gt;0,", Brickwork upto "&amp;G170&amp;" Floor",""))&amp;(IF(H170=C170,", Internal Plaster",IF(H170&gt;0,", Internal Plaster upto "&amp;H170&amp;" Floor",""))&amp;(IF(I170=C170,", External Plaster",IF(I170&gt;0,", External Plaster upto "&amp;I170&amp;" Floor",""))&amp;(IF(J170=C170,", Flooring",IF(J170&gt;0,", Flooring upto "&amp;J170&amp;" Floor",""))&amp;(IF(K170=C170,", Painting",IF(K170&gt;0,", Painting upto "&amp;K170&amp;" Floor",""))&amp;(IF(L170&gt;0,", Finishing upto "&amp;L170&amp;" Floor","")&amp;(IF(F170&gt;0.5," Completed","")))))))))))))</f>
        <v>Work not yet Started.</v>
      </c>
      <c r="Q170" s="60"/>
      <c r="R170" s="60"/>
      <c r="S170" s="60"/>
      <c r="T170" s="60"/>
      <c r="U170" s="60"/>
      <c r="V170" s="60"/>
      <c r="W170" s="60"/>
      <c r="X170" s="60"/>
    </row>
    <row r="171" spans="1:24" ht="15.5" x14ac:dyDescent="0.35">
      <c r="A171" s="70">
        <f>Report!A240</f>
        <v>178</v>
      </c>
      <c r="B171" s="47" t="s">
        <v>203</v>
      </c>
      <c r="C171" s="47">
        <v>1</v>
      </c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54">
        <f t="shared" si="11"/>
        <v>0</v>
      </c>
      <c r="O171" s="48">
        <f t="shared" si="12"/>
        <v>0</v>
      </c>
      <c r="P171" s="56" t="str">
        <f t="shared" si="13"/>
        <v>Work not yet Started.</v>
      </c>
      <c r="Q171" s="60"/>
      <c r="R171" s="60"/>
      <c r="S171" s="60"/>
      <c r="T171" s="60"/>
      <c r="U171" s="60"/>
      <c r="V171" s="60"/>
      <c r="W171" s="60"/>
      <c r="X171" s="60"/>
    </row>
    <row r="172" spans="1:24" ht="15.5" x14ac:dyDescent="0.35">
      <c r="A172" s="70">
        <f>Report!A241</f>
        <v>179</v>
      </c>
      <c r="B172" s="47" t="s">
        <v>203</v>
      </c>
      <c r="C172" s="47">
        <v>1</v>
      </c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54">
        <f t="shared" si="11"/>
        <v>0</v>
      </c>
      <c r="O172" s="48">
        <f t="shared" si="12"/>
        <v>0</v>
      </c>
      <c r="P172" s="56" t="str">
        <f t="shared" si="13"/>
        <v>Work not yet Started.</v>
      </c>
      <c r="Q172" s="60"/>
      <c r="R172" s="60"/>
      <c r="S172" s="60"/>
      <c r="T172" s="60"/>
      <c r="U172" s="60"/>
      <c r="V172" s="60"/>
      <c r="W172" s="60"/>
      <c r="X172" s="60"/>
    </row>
    <row r="173" spans="1:24" ht="15.5" x14ac:dyDescent="0.35">
      <c r="A173" s="70">
        <f>Report!A242</f>
        <v>180</v>
      </c>
      <c r="B173" s="47" t="s">
        <v>203</v>
      </c>
      <c r="C173" s="47">
        <v>1</v>
      </c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54">
        <f t="shared" si="11"/>
        <v>0</v>
      </c>
      <c r="O173" s="48">
        <f t="shared" si="12"/>
        <v>0</v>
      </c>
      <c r="P173" s="56" t="str">
        <f t="shared" si="13"/>
        <v>Work not yet Started.</v>
      </c>
      <c r="Q173" s="60"/>
      <c r="R173" s="60"/>
      <c r="S173" s="60"/>
      <c r="T173" s="60"/>
      <c r="U173" s="60"/>
      <c r="V173" s="60"/>
      <c r="W173" s="60"/>
      <c r="X173" s="60"/>
    </row>
    <row r="174" spans="1:24" ht="15.5" x14ac:dyDescent="0.35">
      <c r="A174" s="70">
        <f>Report!A243</f>
        <v>181</v>
      </c>
      <c r="B174" s="47" t="s">
        <v>203</v>
      </c>
      <c r="C174" s="47">
        <v>1</v>
      </c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54">
        <f t="shared" si="11"/>
        <v>0</v>
      </c>
      <c r="O174" s="48">
        <f t="shared" si="12"/>
        <v>0</v>
      </c>
      <c r="P174" s="56" t="str">
        <f t="shared" si="13"/>
        <v>Work not yet Started.</v>
      </c>
      <c r="Q174" s="60"/>
      <c r="R174" s="60"/>
      <c r="S174" s="60"/>
      <c r="T174" s="60"/>
      <c r="U174" s="60"/>
      <c r="V174" s="60"/>
      <c r="W174" s="60"/>
      <c r="X174" s="60"/>
    </row>
    <row r="175" spans="1:24" ht="15.5" x14ac:dyDescent="0.35">
      <c r="A175" s="70">
        <f>Report!A244</f>
        <v>182</v>
      </c>
      <c r="B175" s="47" t="s">
        <v>203</v>
      </c>
      <c r="C175" s="47">
        <v>1</v>
      </c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54">
        <f t="shared" si="11"/>
        <v>0</v>
      </c>
      <c r="O175" s="48">
        <f t="shared" si="12"/>
        <v>0</v>
      </c>
      <c r="P175" s="56" t="str">
        <f t="shared" si="13"/>
        <v>Work not yet Started.</v>
      </c>
      <c r="Q175" s="60"/>
      <c r="R175" s="60"/>
      <c r="S175" s="60"/>
      <c r="T175" s="60"/>
      <c r="U175" s="60"/>
      <c r="V175" s="60"/>
      <c r="W175" s="60"/>
      <c r="X175" s="60"/>
    </row>
    <row r="176" spans="1:24" ht="15.5" x14ac:dyDescent="0.35">
      <c r="A176" s="70">
        <f>Report!A245</f>
        <v>183</v>
      </c>
      <c r="B176" s="47" t="s">
        <v>203</v>
      </c>
      <c r="C176" s="47">
        <v>1</v>
      </c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54">
        <f t="shared" si="11"/>
        <v>0</v>
      </c>
      <c r="O176" s="48">
        <f t="shared" si="12"/>
        <v>0</v>
      </c>
      <c r="P176" s="56" t="str">
        <f t="shared" si="13"/>
        <v>Work not yet Started.</v>
      </c>
      <c r="Q176" s="60"/>
      <c r="R176" s="60"/>
      <c r="S176" s="60"/>
      <c r="T176" s="60"/>
      <c r="U176" s="60"/>
      <c r="V176" s="60"/>
      <c r="W176" s="60"/>
      <c r="X176" s="60"/>
    </row>
    <row r="177" spans="1:24" ht="15.5" x14ac:dyDescent="0.35">
      <c r="A177" s="70">
        <f>Report!A246</f>
        <v>184</v>
      </c>
      <c r="B177" s="47" t="s">
        <v>203</v>
      </c>
      <c r="C177" s="47">
        <v>1</v>
      </c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54">
        <f t="shared" si="11"/>
        <v>0</v>
      </c>
      <c r="O177" s="48">
        <f t="shared" si="12"/>
        <v>0</v>
      </c>
      <c r="P177" s="56" t="str">
        <f t="shared" si="13"/>
        <v>Work not yet Started.</v>
      </c>
      <c r="Q177" s="60"/>
      <c r="R177" s="60"/>
      <c r="S177" s="60"/>
      <c r="T177" s="60"/>
      <c r="U177" s="60"/>
      <c r="V177" s="60"/>
      <c r="W177" s="60"/>
      <c r="X177" s="60"/>
    </row>
    <row r="178" spans="1:24" ht="16" thickBot="1" x14ac:dyDescent="0.4">
      <c r="A178" s="70">
        <f>Report!A247</f>
        <v>185</v>
      </c>
      <c r="B178" s="49" t="s">
        <v>203</v>
      </c>
      <c r="C178" s="49">
        <v>1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61">
        <f t="shared" si="11"/>
        <v>0</v>
      </c>
      <c r="O178" s="50">
        <f t="shared" si="12"/>
        <v>0</v>
      </c>
      <c r="P178" s="57" t="str">
        <f t="shared" si="13"/>
        <v>Work not yet Started.</v>
      </c>
      <c r="Q178" s="60"/>
      <c r="R178" s="60"/>
      <c r="S178" s="60"/>
      <c r="T178" s="60"/>
      <c r="U178" s="60"/>
      <c r="V178" s="60"/>
      <c r="W178" s="60"/>
      <c r="X178" s="6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2" zoomScaleNormal="100" workbookViewId="0">
      <selection activeCell="H37" sqref="H37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48" t="s">
        <v>96</v>
      </c>
      <c r="C3" s="248"/>
      <c r="D3" s="248"/>
      <c r="E3" s="248"/>
      <c r="F3" s="248"/>
      <c r="G3" s="248"/>
      <c r="H3" s="248"/>
    </row>
    <row r="4" spans="1:9" x14ac:dyDescent="0.35">
      <c r="A4" s="2"/>
      <c r="B4" s="3" t="s">
        <v>97</v>
      </c>
      <c r="C4" s="3" t="s">
        <v>98</v>
      </c>
      <c r="D4" s="3" t="s">
        <v>180</v>
      </c>
      <c r="E4" s="3" t="s">
        <v>99</v>
      </c>
      <c r="F4" s="3" t="s">
        <v>105</v>
      </c>
      <c r="G4" s="3" t="s">
        <v>106</v>
      </c>
      <c r="H4" s="3" t="s">
        <v>100</v>
      </c>
    </row>
    <row r="5" spans="1:9" ht="15" customHeight="1" x14ac:dyDescent="0.35">
      <c r="A5" s="2"/>
      <c r="B5" s="37" t="s">
        <v>102</v>
      </c>
      <c r="C5" s="6"/>
      <c r="D5" s="37" t="s">
        <v>169</v>
      </c>
      <c r="E5" s="31"/>
      <c r="F5" s="7">
        <v>2267</v>
      </c>
      <c r="G5" s="7">
        <f>H5/F5</f>
        <v>6352.0070577856195</v>
      </c>
      <c r="H5" s="8">
        <v>14400000</v>
      </c>
    </row>
    <row r="6" spans="1:9" x14ac:dyDescent="0.35">
      <c r="A6" s="2"/>
      <c r="B6" s="5"/>
      <c r="C6" s="9"/>
      <c r="D6" s="37" t="s">
        <v>163</v>
      </c>
      <c r="E6" s="5"/>
      <c r="F6" s="7">
        <v>3197</v>
      </c>
      <c r="G6" s="7">
        <f t="shared" ref="G6:G11" si="0">H6/F6</f>
        <v>6287.1441976853303</v>
      </c>
      <c r="H6" s="8">
        <v>20100000</v>
      </c>
    </row>
    <row r="7" spans="1:9" ht="15" customHeight="1" x14ac:dyDescent="0.35">
      <c r="A7" s="2"/>
      <c r="B7" s="5"/>
      <c r="C7" s="6"/>
      <c r="D7" s="37" t="s">
        <v>164</v>
      </c>
      <c r="E7" s="5"/>
      <c r="F7" s="7">
        <v>4064</v>
      </c>
      <c r="G7" s="7">
        <f t="shared" si="0"/>
        <v>6397.6377952755902</v>
      </c>
      <c r="H7" s="8">
        <v>26000000</v>
      </c>
    </row>
    <row r="8" spans="1:9" x14ac:dyDescent="0.35">
      <c r="A8" s="2"/>
      <c r="B8" s="5"/>
      <c r="C8" s="9"/>
      <c r="D8" s="37" t="s">
        <v>162</v>
      </c>
      <c r="E8" s="5"/>
      <c r="F8" s="7">
        <v>5742</v>
      </c>
      <c r="G8" s="7">
        <f t="shared" si="0"/>
        <v>6792.0585161964473</v>
      </c>
      <c r="H8" s="8">
        <v>39000000</v>
      </c>
    </row>
    <row r="9" spans="1:9" ht="15" customHeight="1" x14ac:dyDescent="0.35">
      <c r="A9" s="2"/>
      <c r="B9" s="5" t="s">
        <v>101</v>
      </c>
      <c r="C9" s="9"/>
      <c r="D9" s="5"/>
      <c r="E9" s="5"/>
      <c r="F9" s="7">
        <f>E9*1.6</f>
        <v>0</v>
      </c>
      <c r="G9" s="7" t="e">
        <f t="shared" si="0"/>
        <v>#DIV/0!</v>
      </c>
      <c r="H9" s="8"/>
    </row>
    <row r="10" spans="1:9" ht="15" customHeight="1" x14ac:dyDescent="0.35">
      <c r="A10" s="2"/>
      <c r="B10" s="37" t="s">
        <v>102</v>
      </c>
      <c r="C10" s="6"/>
      <c r="D10" s="5"/>
      <c r="E10" s="5"/>
      <c r="F10" s="7">
        <f>E10*1.6</f>
        <v>0</v>
      </c>
      <c r="G10" s="7" t="e">
        <f t="shared" si="0"/>
        <v>#DIV/0!</v>
      </c>
      <c r="H10" s="8"/>
    </row>
    <row r="11" spans="1:9" ht="15" customHeight="1" x14ac:dyDescent="0.35">
      <c r="A11" s="2"/>
      <c r="B11" s="5" t="s">
        <v>102</v>
      </c>
      <c r="C11" s="6"/>
      <c r="D11" s="5"/>
      <c r="E11" s="5"/>
      <c r="F11" s="7">
        <f>E11*1.6</f>
        <v>0</v>
      </c>
      <c r="G11" s="7" t="e">
        <f t="shared" si="0"/>
        <v>#DIV/0!</v>
      </c>
      <c r="H11" s="8"/>
    </row>
    <row r="12" spans="1:9" ht="15" customHeight="1" x14ac:dyDescent="0.35">
      <c r="A12" s="2"/>
      <c r="B12" s="10" t="s">
        <v>103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104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Report</vt:lpstr>
      <vt:lpstr>Area Calcutation</vt:lpstr>
      <vt:lpstr>Construction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2025-08-30T14:02:45Z</cp:lastPrinted>
  <dcterms:created xsi:type="dcterms:W3CDTF">2019-07-16T09:29:46Z</dcterms:created>
  <dcterms:modified xsi:type="dcterms:W3CDTF">2025-08-30T14:03:26Z</dcterms:modified>
</cp:coreProperties>
</file>