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Elysia D4\Elysia D4\OneDrive_1_8-16-2025 (1)\"/>
    </mc:Choice>
  </mc:AlternateContent>
  <bookViews>
    <workbookView xWindow="-120" yWindow="-120" windowWidth="20730" windowHeight="11160"/>
  </bookViews>
  <sheets>
    <sheet name="Report" sheetId="3" r:id="rId1"/>
    <sheet name="Construction table" sheetId="4" r:id="rId2"/>
    <sheet name="Remarks" sheetId="5" r:id="rId3"/>
    <sheet name="Area Calculation" sheetId="6" r:id="rId4"/>
  </sheets>
  <definedNames>
    <definedName name="_xlnm.Print_Area" localSheetId="0">Report!$A$1:$H$345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12" i="3" l="1"/>
  <c r="I158" i="3"/>
  <c r="I156" i="3"/>
  <c r="G124" i="3"/>
  <c r="I139" i="3"/>
  <c r="M112" i="3" l="1"/>
  <c r="M111" i="3"/>
  <c r="J111" i="3"/>
  <c r="I111" i="3"/>
  <c r="I150" i="3"/>
  <c r="I147" i="3"/>
  <c r="I145" i="3"/>
  <c r="I144" i="3"/>
  <c r="D209" i="3"/>
  <c r="D207" i="3"/>
  <c r="F170" i="3"/>
  <c r="E170" i="3"/>
  <c r="F169" i="3"/>
  <c r="E169" i="3"/>
  <c r="F168" i="3"/>
  <c r="E168" i="3"/>
  <c r="F167" i="3"/>
  <c r="E167" i="3"/>
  <c r="F166" i="3"/>
  <c r="E166" i="3"/>
  <c r="F165" i="3"/>
  <c r="E165" i="3"/>
  <c r="F163" i="3"/>
  <c r="E163" i="3"/>
  <c r="F161" i="3"/>
  <c r="H161" i="3" s="1"/>
  <c r="E161" i="3"/>
  <c r="F160" i="3"/>
  <c r="H160" i="3" s="1"/>
  <c r="E160" i="3"/>
  <c r="F159" i="3"/>
  <c r="E159" i="3"/>
  <c r="F158" i="3"/>
  <c r="E158" i="3"/>
  <c r="F157" i="3"/>
  <c r="H157" i="3" s="1"/>
  <c r="E157" i="3"/>
  <c r="F156" i="3"/>
  <c r="E156" i="3"/>
  <c r="F154" i="3"/>
  <c r="E154" i="3"/>
  <c r="H159" i="3"/>
  <c r="H156" i="3"/>
  <c r="A155" i="3"/>
  <c r="A156" i="3" s="1"/>
  <c r="A157" i="3" s="1"/>
  <c r="A158" i="3" s="1"/>
  <c r="A159" i="3" s="1"/>
  <c r="A160" i="3" s="1"/>
  <c r="A161" i="3" s="1"/>
  <c r="F152" i="3"/>
  <c r="E152" i="3"/>
  <c r="F151" i="3"/>
  <c r="E151" i="3"/>
  <c r="F150" i="3"/>
  <c r="E150" i="3"/>
  <c r="F149" i="3"/>
  <c r="E149" i="3"/>
  <c r="F148" i="3"/>
  <c r="H148" i="3" s="1"/>
  <c r="E148" i="3"/>
  <c r="F147" i="3"/>
  <c r="E147" i="3"/>
  <c r="F146" i="3"/>
  <c r="E146" i="3"/>
  <c r="F145" i="3"/>
  <c r="E145" i="3"/>
  <c r="H150" i="3"/>
  <c r="A146" i="3"/>
  <c r="A147" i="3" s="1"/>
  <c r="A148" i="3" s="1"/>
  <c r="A149" i="3" s="1"/>
  <c r="A150" i="3" s="1"/>
  <c r="A151" i="3" s="1"/>
  <c r="A152" i="3" s="1"/>
  <c r="J138" i="3"/>
  <c r="I138" i="3"/>
  <c r="F141" i="3"/>
  <c r="E141" i="3"/>
  <c r="F140" i="3"/>
  <c r="E140" i="3"/>
  <c r="F139" i="3"/>
  <c r="E139" i="3"/>
  <c r="F138" i="3"/>
  <c r="E138" i="3"/>
  <c r="E124" i="3" s="1"/>
  <c r="E126" i="3" s="1"/>
  <c r="E127" i="3" s="1"/>
  <c r="H140" i="3"/>
  <c r="A138" i="3"/>
  <c r="A139" i="3" s="1"/>
  <c r="A140" i="3" s="1"/>
  <c r="A141" i="3" s="1"/>
  <c r="A142" i="3" s="1"/>
  <c r="A143" i="3" s="1"/>
  <c r="A137" i="3"/>
  <c r="G115" i="3"/>
  <c r="G114" i="3"/>
  <c r="H53" i="3"/>
  <c r="H54" i="3" s="1"/>
  <c r="C53" i="3"/>
  <c r="C17" i="3"/>
  <c r="H163" i="3"/>
  <c r="H145" i="3" l="1"/>
  <c r="H147" i="3"/>
  <c r="H151" i="3"/>
  <c r="H158" i="3"/>
  <c r="H139" i="3"/>
  <c r="H141" i="3"/>
  <c r="H146" i="3"/>
  <c r="H154" i="3"/>
  <c r="H152" i="3"/>
  <c r="H149" i="3"/>
  <c r="H138"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97" i="3"/>
  <c r="H196" i="3"/>
  <c r="H195" i="3"/>
  <c r="H194" i="3"/>
  <c r="H193" i="3"/>
  <c r="H192" i="3"/>
  <c r="H191" i="3"/>
  <c r="H190" i="3"/>
  <c r="H188" i="3"/>
  <c r="H187" i="3"/>
  <c r="H186" i="3"/>
  <c r="H185" i="3"/>
  <c r="H184" i="3"/>
  <c r="H183" i="3"/>
  <c r="H182" i="3"/>
  <c r="H181" i="3"/>
  <c r="H179" i="3"/>
  <c r="H178" i="3"/>
  <c r="H177" i="3"/>
  <c r="H176" i="3"/>
  <c r="H175" i="3"/>
  <c r="H174" i="3"/>
  <c r="H173" i="3"/>
  <c r="H172" i="3"/>
  <c r="H165" i="3"/>
  <c r="H166" i="3"/>
  <c r="H167" i="3"/>
  <c r="H168" i="3"/>
  <c r="H169" i="3"/>
  <c r="H170" i="3"/>
  <c r="G126" i="3" l="1"/>
  <c r="G121" i="3"/>
  <c r="E121" i="3"/>
  <c r="A93" i="3"/>
  <c r="D94" i="3" s="1"/>
  <c r="J103" i="3" s="1"/>
  <c r="A77" i="3"/>
  <c r="D78" i="3" s="1"/>
  <c r="A61" i="3"/>
  <c r="D62" i="3" s="1"/>
  <c r="J102" i="3" l="1"/>
  <c r="C38" i="4"/>
  <c r="G37" i="4"/>
  <c r="F37" i="4"/>
  <c r="G36" i="4"/>
  <c r="F36" i="4"/>
  <c r="G35" i="4"/>
  <c r="F35" i="4"/>
  <c r="G34" i="4"/>
  <c r="F34" i="4"/>
  <c r="G33" i="4"/>
  <c r="F33" i="4"/>
  <c r="G32" i="4"/>
  <c r="F32" i="4"/>
  <c r="G31" i="4"/>
  <c r="F31" i="4"/>
  <c r="G30" i="4"/>
  <c r="F30" i="4"/>
  <c r="G29" i="4"/>
  <c r="F29" i="4"/>
  <c r="G28" i="4"/>
  <c r="F28" i="4"/>
  <c r="G27" i="4"/>
  <c r="F27" i="4"/>
  <c r="G26" i="4"/>
  <c r="F26" i="4"/>
  <c r="F38" i="4" s="1"/>
  <c r="K15" i="4"/>
  <c r="K14" i="4"/>
  <c r="K13" i="4"/>
  <c r="H78" i="3"/>
  <c r="I5" i="4"/>
  <c r="G38" i="4" l="1"/>
  <c r="E18" i="4"/>
  <c r="E15" i="4"/>
  <c r="E17" i="4"/>
  <c r="E11" i="4"/>
  <c r="K6" i="4"/>
  <c r="E9" i="4"/>
  <c r="K8" i="4"/>
  <c r="C7" i="4" s="1"/>
  <c r="E14" i="4"/>
  <c r="E12" i="4"/>
  <c r="E16" i="4"/>
  <c r="E10" i="4"/>
  <c r="K9" i="4"/>
  <c r="K10" i="4" s="1"/>
  <c r="K11" i="4" s="1"/>
  <c r="E13" i="4"/>
  <c r="K7" i="4"/>
  <c r="J87" i="3"/>
  <c r="J86" i="3"/>
  <c r="K12" i="4" l="1"/>
  <c r="K16" i="4" s="1"/>
  <c r="C8" i="4" s="1"/>
  <c r="E8" i="4" s="1"/>
  <c r="E7" i="4"/>
  <c r="A164" i="3"/>
  <c r="A165" i="3" s="1"/>
  <c r="A166" i="3" s="1"/>
  <c r="A167" i="3" s="1"/>
  <c r="A168" i="3" s="1"/>
  <c r="A169" i="3" s="1"/>
  <c r="A170" i="3" s="1"/>
  <c r="F7" i="4" l="1"/>
  <c r="J4" i="4" s="1"/>
  <c r="H7" i="4" s="1"/>
  <c r="G4" i="3" l="1"/>
  <c r="H121" i="3" l="1"/>
  <c r="G127" i="3" s="1"/>
  <c r="D208" i="3" l="1"/>
  <c r="G116" i="3"/>
  <c r="J71" i="3"/>
  <c r="J70" i="3"/>
  <c r="H62" i="3"/>
  <c r="J66" i="3" l="1"/>
  <c r="D71" i="3"/>
  <c r="D68" i="3"/>
  <c r="D66" i="3"/>
  <c r="J64" i="3"/>
  <c r="C64" i="3" s="1"/>
  <c r="D75" i="3"/>
  <c r="D73" i="3"/>
  <c r="D70" i="3"/>
  <c r="D67" i="3"/>
  <c r="J65" i="3"/>
  <c r="J63" i="3"/>
  <c r="D74" i="3"/>
  <c r="D72" i="3"/>
  <c r="D69" i="3"/>
  <c r="D91" i="3" l="1"/>
  <c r="D83" i="3"/>
  <c r="D86" i="3"/>
  <c r="J80" i="3"/>
  <c r="D90" i="3"/>
  <c r="D84" i="3"/>
  <c r="J79" i="3"/>
  <c r="D89" i="3"/>
  <c r="J82" i="3"/>
  <c r="J83" i="3" s="1"/>
  <c r="D88" i="3"/>
  <c r="D82" i="3"/>
  <c r="J81" i="3"/>
  <c r="C80" i="3" s="1"/>
  <c r="D87" i="3"/>
  <c r="D85" i="3"/>
  <c r="J67" i="3"/>
  <c r="J72" i="3" s="1"/>
  <c r="D80" i="3" l="1"/>
  <c r="J84" i="3"/>
  <c r="J88" i="3"/>
  <c r="J85" i="3"/>
  <c r="D64"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U172" i="3"/>
  <c r="U181" i="3"/>
  <c r="V181" i="3"/>
  <c r="V190" i="3"/>
  <c r="U190" i="3"/>
  <c r="V172" i="3"/>
  <c r="E96" i="3" l="1"/>
  <c r="I93" i="3" s="1"/>
  <c r="G96" i="3" s="1"/>
  <c r="E64" i="3"/>
  <c r="G108" i="3" s="1"/>
  <c r="T190" i="3"/>
  <c r="U191" i="3"/>
  <c r="V191" i="3"/>
  <c r="V192" i="3" s="1"/>
  <c r="V193" i="3" s="1"/>
  <c r="V194" i="3" s="1"/>
  <c r="V195" i="3" s="1"/>
  <c r="V196" i="3" s="1"/>
  <c r="V197" i="3" s="1"/>
  <c r="T181" i="3"/>
  <c r="U182" i="3"/>
  <c r="V182" i="3"/>
  <c r="V183" i="3" s="1"/>
  <c r="V184" i="3" s="1"/>
  <c r="V185" i="3" s="1"/>
  <c r="V186" i="3" s="1"/>
  <c r="V187" i="3" s="1"/>
  <c r="V188" i="3" s="1"/>
  <c r="V173" i="3"/>
  <c r="V174" i="3" s="1"/>
  <c r="V175" i="3" s="1"/>
  <c r="V176" i="3" s="1"/>
  <c r="V177" i="3" s="1"/>
  <c r="V178" i="3" s="1"/>
  <c r="V179" i="3" s="1"/>
  <c r="U173" i="3"/>
  <c r="T172" i="3"/>
  <c r="D65" i="3" l="1"/>
  <c r="I61" i="3"/>
  <c r="G64" i="3" s="1"/>
  <c r="A190" i="3"/>
  <c r="A181" i="3"/>
  <c r="A172" i="3"/>
  <c r="T191" i="3"/>
  <c r="A191" i="3" s="1"/>
  <c r="U192" i="3"/>
  <c r="T192" i="3" s="1"/>
  <c r="T182" i="3"/>
  <c r="A182" i="3" s="1"/>
  <c r="U183" i="3"/>
  <c r="T183" i="3" s="1"/>
  <c r="U174" i="3"/>
  <c r="T173" i="3"/>
  <c r="A173" i="3" s="1"/>
  <c r="A192" i="3" l="1"/>
  <c r="A183" i="3"/>
  <c r="U193" i="3"/>
  <c r="T193" i="3" s="1"/>
  <c r="U184" i="3"/>
  <c r="T184" i="3" s="1"/>
  <c r="U175" i="3"/>
  <c r="T174" i="3"/>
  <c r="A174" i="3" s="1"/>
  <c r="A193" i="3" l="1"/>
  <c r="A184" i="3"/>
  <c r="U194" i="3"/>
  <c r="T194" i="3" s="1"/>
  <c r="U185" i="3"/>
  <c r="T185" i="3" s="1"/>
  <c r="U176" i="3"/>
  <c r="T175" i="3"/>
  <c r="A175" i="3" s="1"/>
  <c r="A194" i="3" l="1"/>
  <c r="A185" i="3"/>
  <c r="U195" i="3"/>
  <c r="T195" i="3" s="1"/>
  <c r="U186" i="3"/>
  <c r="T186" i="3" s="1"/>
  <c r="U177" i="3"/>
  <c r="T176" i="3"/>
  <c r="A176" i="3" s="1"/>
  <c r="A195" i="3" l="1"/>
  <c r="A186" i="3"/>
  <c r="U196" i="3"/>
  <c r="T196" i="3" s="1"/>
  <c r="U187" i="3"/>
  <c r="T187" i="3" s="1"/>
  <c r="U178" i="3"/>
  <c r="T177" i="3"/>
  <c r="A177" i="3" s="1"/>
  <c r="A196" i="3" l="1"/>
  <c r="A187" i="3"/>
  <c r="U197" i="3"/>
  <c r="T197" i="3" s="1"/>
  <c r="U188" i="3"/>
  <c r="T188" i="3" s="1"/>
  <c r="U179" i="3"/>
  <c r="T178" i="3"/>
  <c r="A178" i="3" s="1"/>
  <c r="A197" i="3" l="1"/>
  <c r="A188" i="3"/>
  <c r="T179" i="3"/>
  <c r="A179"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<sst xmlns="http://schemas.openxmlformats.org/spreadsheetml/2006/main" count="631" uniqueCount="367">
  <si>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</si>
  <si>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</si>
  <si>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</si>
  <si>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</si>
  <si>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</si>
  <si>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</si>
  <si>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</si>
  <si>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</si>
  <si>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</si>
  <si>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</si>
  <si>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</si>
  <si>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</si>
  <si>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</si>
  <si>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</si>
  <si>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</si>
  <si>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</si>
  <si>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</si>
  <si>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</si>
  <si>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</si>
  <si>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</si>
  <si>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</si>
  <si>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</si>
  <si>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</si>
  <si>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</si>
  <si>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</si>
  <si>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</si>
  <si>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</si>
  <si>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</si>
  <si>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</si>
  <si>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</si>
  <si>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</si>
  <si>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</si>
  <si>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</si>
  <si>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</si>
  <si>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</si>
  <si>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</si>
  <si>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</si>
  <si>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</si>
  <si>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</si>
  <si>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</si>
  <si>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</si>
  <si>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</si>
  <si>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</si>
  <si>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</si>
  <si>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</si>
  <si>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</si>
  <si>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</si>
  <si>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</si>
  <si>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</si>
  <si>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</si>
  <si>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</si>
  <si>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</si>
  <si>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</si>
  <si>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</si>
  <si>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</si>
  <si>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</si>
  <si>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</si>
  <si>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</si>
  <si>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</si>
  <si>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</si>
  <si>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</si>
  <si>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</si>
  <si>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</si>
  <si>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</si>
  <si>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</si>
  <si>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</si>
  <si>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</si>
  <si>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</si>
  <si>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</si>
  <si>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</si>
  <si>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</si>
  <si>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</si>
  <si>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</si>
  <si>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</si>
  <si>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</si>
  <si>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</si>
  <si>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</si>
  <si>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</si>
  <si>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</si>
  <si>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</si>
  <si>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</si>
  <si>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</si>
  <si>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</si>
  <si>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</si>
  <si>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</si>
  <si>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</si>
  <si>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</si>
  <si>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</si>
  <si>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</si>
  <si>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</si>
  <si>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</si>
  <si>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</si>
  <si>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</si>
  <si>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</si>
  <si>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</si>
  <si>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</si>
  <si>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</si>
  <si>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</si>
  <si>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</si>
  <si>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</si>
  <si>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</si>
  <si>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</si>
  <si>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</si>
  <si>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</si>
  <si>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</si>
  <si>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</si>
  <si>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</si>
  <si>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</si>
  <si>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</si>
  <si>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</si>
  <si>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</si>
  <si>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</si>
  <si>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</si>
  <si>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</si>
  <si>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</si>
  <si>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</si>
  <si>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</si>
  <si>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</si>
  <si>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</si>
  <si>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</si>
  <si>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</si>
  <si>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</si>
  <si>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</si>
  <si>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</si>
  <si>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</si>
  <si>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</si>
  <si>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</si>
  <si>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</si>
  <si>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</si>
  <si>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</si>
  <si>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</si>
  <si>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</si>
  <si>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</si>
  <si>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</si>
  <si>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</si>
  <si>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</si>
  <si>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</si>
  <si>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</si>
  <si>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</si>
  <si>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</si>
  <si>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</si>
  <si>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</si>
  <si>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</si>
  <si>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</si>
  <si>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</si>
  <si>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</si>
  <si>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</si>
  <si>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</si>
  <si>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</si>
  <si>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</si>
  <si>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</si>
  <si>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</si>
  <si>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</si>
  <si>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</si>
  <si>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</si>
  <si>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</si>
  <si>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</si>
  <si>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</si>
  <si>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</si>
  <si>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</si>
  <si>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</si>
  <si>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</si>
  <si>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</si>
  <si>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</si>
  <si>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</si>
  <si>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</si>
  <si>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</si>
  <si>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</si>
  <si>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</si>
  <si>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</si>
  <si>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</si>
  <si>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</si>
  <si>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</si>
  <si>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</si>
  <si>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</si>
  <si>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</si>
  <si>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</si>
  <si>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</si>
  <si>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</si>
  <si>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</si>
  <si>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</si>
  <si>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</si>
  <si>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</si>
  <si>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</si>
  <si>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</si>
  <si>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</si>
  <si>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</si>
  <si>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</si>
  <si>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</si>
  <si>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</si>
  <si>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</si>
  <si>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</si>
  <si>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</si>
  <si>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</si>
  <si>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</si>
  <si>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</si>
  <si>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</si>
  <si>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</si>
  <si>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</si>
  <si>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</si>
  <si>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</si>
  <si>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</si>
  <si>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</si>
  <si>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</si>
  <si>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</si>
  <si>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</si>
  <si>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</si>
  <si>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</si>
  <si>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</si>
  <si>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</si>
  <si>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</si>
  <si>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</si>
  <si>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</si>
  <si>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</si>
  <si>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</si>
  <si>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</si>
  <si>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</si>
  <si>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</si>
  <si>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</si>
  <si>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</si>
  <si>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</si>
  <si>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</si>
  <si>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</si>
  <si>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</si>
  <si>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</si>
  <si>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</si>
  <si>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</si>
  <si>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</si>
  <si>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</si>
  <si>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</si>
  <si>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</si>
  <si>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</si>
  <si>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</si>
  <si>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</si>
  <si>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</si>
  <si>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</si>
  <si>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</si>
  <si>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</si>
  <si>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</si>
  <si>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</si>
  <si>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</si>
  <si>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</si>
  <si>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</si>
  <si>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</si>
  <si>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</si>
  <si>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</si>
  <si>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</si>
  <si>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</si>
  <si>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</si>
  <si>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</si>
  <si>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</si>
  <si>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</si>
  <si>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</si>
  <si>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</si>
  <si>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</si>
  <si>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</si>
  <si>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</si>
  <si>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</si>
  <si>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</si>
  <si>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</si>
  <si>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</si>
  <si>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</si>
  <si>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</si>
  <si>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</si>
  <si>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</si>
  <si>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</si>
  <si>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</si>
  <si>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</si>
  <si>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</si>
  <si>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</si>
  <si>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</si>
  <si>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</si>
  <si>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</si>
  <si>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</si>
  <si>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</si>
  <si>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</si>
  <si>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</si>
  <si>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</si>
  <si>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</si>
  <si>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</si>
  <si>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</si>
  <si>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</si>
  <si>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</si>
  <si>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</si>
  <si>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</si>
  <si>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</si>
  <si>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</si>
  <si>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</si>
  <si>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</si>
  <si>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</si>
  <si>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</si>
  <si>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</si>
  <si>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</si>
  <si>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</si>
  <si>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</si>
  <si>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</si>
  <si>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</si>
  <si>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</si>
  <si>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</si>
  <si>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</si>
  <si>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</si>
  <si>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</si>
  <si>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</si>
  <si>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</si>
  <si>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</si>
  <si>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</si>
  <si>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Elysia D­4 </t>
  </si>
  <si>
    <t>14/08/2025 at 12:47PM</t>
  </si>
  <si>
    <t>Miss. Rupali</t>
  </si>
  <si>
    <t>Vihang Infrastructure Pvt Ltd</t>
  </si>
  <si>
    <t>Vihang Group in Thane West, Thane, Mumbai It stands located at 12th Floor, Dev Corpora, Cadbury Junction, Ghodbunder Road, Thane West-400601</t>
  </si>
  <si>
    <t>Godrej Housing Finance Limited RO-Thane</t>
  </si>
  <si>
    <t xml:space="preserve">Proposed Layout on Plot Bearing, S No. 69/1, 69/3A, 69/4, 69/5, 69/6, 72/4A, 72/4B, 74/1/3, 74/1/1, 74/1/2, 74/2A, 74/2B, 74/3, 74/4, 74/5, 75/1, 75/2, 77/1, 77/2, 77/3, 78/1, 78/3A, 78/3B, 78/4 &amp; 76 at Village Owale, Dist. Thane (W) </t>
  </si>
  <si>
    <t>Thane Municipal Corporation (TMC)</t>
  </si>
  <si>
    <t>P51700080101</t>
  </si>
  <si>
    <t> The Cosmos Co Operative Bank Limited
IFSC Code - COSB0000040</t>
  </si>
  <si>
    <t>Gymnasium, Yoga Room &amp; Aerobics, Two Squash Courts, Badminton Court, Basketball Court, Jogging Area, Swimming Pool, Recreation &amp; Leisure, Indoor Games Room, Mini Theater, Banquet Hall, Coffee Shop, Library, Play Area
Community &amp; Care:, Temple, Creche, Landscape Garden etc</t>
  </si>
  <si>
    <t>https://indianpremises.com/thane-west/ghodbunder/project/vihang-elysia-codename-thane-infinity#amenities-section</t>
  </si>
  <si>
    <t>Concrete</t>
  </si>
  <si>
    <t>30m</t>
  </si>
  <si>
    <t>1.3 KM from Anand Nagar Bus Stop</t>
  </si>
  <si>
    <t>About 2.3Km from Solaris Super Speciality Hospital</t>
  </si>
  <si>
    <t>About 1.5KM from Ryan International School</t>
  </si>
  <si>
    <t>1. Approx. 1.0KM from Eden Super market.
2. Approx. 1.9KM from Dmart Anand nagar.</t>
  </si>
  <si>
    <t>Other Plot</t>
  </si>
  <si>
    <t>Type D3 / 30M Wide Road</t>
  </si>
  <si>
    <t>Fitness Center</t>
  </si>
  <si>
    <t>Bldg - 3</t>
  </si>
  <si>
    <t>Open Plot</t>
  </si>
  <si>
    <t>U/C building/ Road</t>
  </si>
  <si>
    <t>Sonal Laxmi Apartment</t>
  </si>
  <si>
    <t>Type D4</t>
  </si>
  <si>
    <t>2B + Gr/St + 2P + 1st to 41st Floor</t>
  </si>
  <si>
    <t>S06/0315/18/(2008/37)TMCB/TDD/0012/[P/C]2025/AutoDCR</t>
  </si>
  <si>
    <t>Building No. 7 (Type D4) = 2B + Gr/St (Pt) + 2P + 1st to 40th + 41st Floor (Recreational Floor)</t>
  </si>
  <si>
    <t>Building No.7</t>
  </si>
  <si>
    <t>1st &amp; 2nd Basement for Parking</t>
  </si>
  <si>
    <t>Ground Floor For Entrance Lobby, Driver Room, Meter Room, Society Office &amp; Parking</t>
  </si>
  <si>
    <t>1st Podium Floor For Parking</t>
  </si>
  <si>
    <t>2nd Podium Floor For Residential &amp; Parking</t>
  </si>
  <si>
    <t>Parking</t>
  </si>
  <si>
    <t>1BHK</t>
  </si>
  <si>
    <t>1st to 5th, 7th to 10th, 12th to 15th, 17th to 20th, 22nd to 25th, 27th to 30th, 32nd to 35th, 37th to 40th Floor</t>
  </si>
  <si>
    <t>6th, 11th, 16th, 26th, 31st &amp; 36th Floor (Part Refuge Area)</t>
  </si>
  <si>
    <t>Refuge Area</t>
  </si>
  <si>
    <t>21st Floor (Part Refuge Area)</t>
  </si>
  <si>
    <t>Flats</t>
  </si>
  <si>
    <t>Flats = 317</t>
  </si>
  <si>
    <t>RERA Carpet area</t>
  </si>
  <si>
    <t>Construction work is in process at the time of Visit.</t>
  </si>
  <si>
    <t>Approved Layout &amp; Floor Plans, CC, RERA certificate</t>
  </si>
  <si>
    <t>Mr. Ajay Sonagare</t>
  </si>
  <si>
    <t>https://maps.app.goo.gl/s7RrfgXCW8z9LJUv7</t>
  </si>
  <si>
    <t>10.5 KM from Thane Railway Station
11.9KM from Kalva Railway Station</t>
  </si>
  <si>
    <t>Elysia D­4, Gut No 59 A2B, Gut No 59 A16 B111, and Gut No 59 A16 B2111 in Chitalsar Manpada, Thane West.</t>
  </si>
  <si>
    <t>Elysia D­4, S No. 69/1, 69/3A, 69/4, 69/5, 69/6, 72/4A, 72/4B, 74/1/3, 74/1/1, 74/1/2, 74/2A, 74/2B, 74/3, 74/4, 74/5, 75/1, 75/2, 77/1, 77/2, 77/3, 78/1, 78/3A, 78/3B, 78/4 &amp; 76, Near Sonal Laxmi Apartment, Haware City Road, Owale, Thane West, Thane - 400615</t>
  </si>
  <si>
    <t>Building No. 7 Type D4</t>
  </si>
  <si>
    <t>Dry Balcony Area</t>
  </si>
  <si>
    <t>Please Check for Fire Noc.</t>
  </si>
  <si>
    <t xml:space="preserve">We considered Gross carpet area = Net carpet + D.B Area.
</t>
  </si>
  <si>
    <t>SEIAA-EC-0000002242
Plot Area = 57655 Sqmt
Net Plot Area = 29494.91 Sqmt
Total BUA = 130517.52 Sqmt</t>
  </si>
  <si>
    <t>https://indianpremises.com/thane-west/kasarvadavali/project/vihang-elysia-thane-infinity</t>
  </si>
  <si>
    <t>S06/0315/18/(2008/37)TMCB/TD-DP/0012/(P/C) /2025 /AutoDCR</t>
  </si>
  <si>
    <t>1.5BHK</t>
  </si>
  <si>
    <t>19.266630,72.961632</t>
  </si>
  <si>
    <t>12500 to 13500</t>
  </si>
  <si>
    <t>As per RERA Site 
Flats =  317 &amp; Shop = 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</si>
</sst>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
      <sz val="16"/>
      <color rgb="FFFFFF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2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4" borderId="1"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5" fillId="0" borderId="0" xfId="2" applyAlignment="1">
      <alignment vertical="top"/>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164" fontId="3" fillId="0" borderId="0" xfId="0" applyNumberFormat="1" applyFont="1" applyAlignment="1">
      <alignment vertical="top"/>
    </xf>
    <xf numFmtId="1" fontId="3" fillId="0" borderId="0" xfId="0" applyNumberFormat="1" applyFont="1" applyAlignment="1">
      <alignment horizontal="center" vertical="top"/>
    </xf>
    <xf numFmtId="1" fontId="8" fillId="0" borderId="1" xfId="1" applyNumberFormat="1" applyFont="1" applyBorder="1" applyAlignment="1">
      <alignment horizontal="center" vertical="top" wrapText="1"/>
    </xf>
    <xf numFmtId="1" fontId="3" fillId="4" borderId="1" xfId="1" applyNumberFormat="1" applyFont="1" applyFill="1" applyBorder="1" applyAlignment="1" applyProtection="1">
      <alignment horizontal="center" vertical="center" wrapText="1"/>
      <protection hidden="1"/>
    </xf>
    <xf numFmtId="0" fontId="27" fillId="0" borderId="0" xfId="0" applyFont="1" applyAlignment="1">
      <alignment vertical="top"/>
    </xf>
    <xf numFmtId="1" fontId="6" fillId="4" borderId="2" xfId="1"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1" fontId="3" fillId="0" borderId="0" xfId="0" applyNumberFormat="1" applyFont="1" applyAlignment="1">
      <alignmen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9" fillId="4" borderId="2" xfId="0" applyFont="1" applyFill="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5" fillId="4" borderId="22"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0"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6" fillId="4" borderId="2" xfId="2" applyFont="1" applyFill="1" applyBorder="1" applyAlignment="1">
      <alignment horizontal="left" vertical="top" wrapText="1"/>
    </xf>
    <xf numFmtId="0" fontId="26" fillId="4" borderId="3" xfId="2" applyFont="1" applyFill="1" applyBorder="1" applyAlignment="1">
      <alignment horizontal="left" vertical="top" wrapText="1"/>
    </xf>
    <xf numFmtId="0" fontId="26" fillId="4" borderId="5" xfId="2"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3" fillId="4" borderId="2" xfId="0" applyFont="1" applyFill="1" applyBorder="1" applyAlignment="1">
      <alignment horizontal="left" vertical="top"/>
    </xf>
    <xf numFmtId="0" fontId="3" fillId="4" borderId="5" xfId="0" applyFont="1" applyFill="1" applyBorder="1" applyAlignment="1">
      <alignment horizontal="left"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8</xdr:col>
      <xdr:colOff>246529</xdr:colOff>
      <xdr:row>9</xdr:row>
      <xdr:rowOff>89647</xdr:rowOff>
    </xdr:from>
    <xdr:to>
      <xdr:col>14</xdr:col>
      <xdr:colOff>84223</xdr:colOff>
      <xdr:row>9</xdr:row>
      <xdr:rowOff>718385</xdr:rowOff>
    </xdr:to>
    <xdr:pic>
      <xdr:nvPicPr>
        <xdr:cNvPr id="2" name="Picture 1">
          <a:extLst>
            <a:ext uri="{FF2B5EF4-FFF2-40B4-BE49-F238E27FC236}">
              <a16:creationId xmlns:a16="http://schemas.microsoft.com/office/drawing/2014/main" xmlns="" id="{0DD67140-DE94-4326-9109-CACB041ADEEB}"/>
            </a:ext>
          </a:extLst>
        </xdr:cNvPr>
        <xdr:cNvPicPr>
          <a:picLocks noChangeAspect="1"/>
        </xdr:cNvPicPr>
      </xdr:nvPicPr>
      <xdr:blipFill>
        <a:blip xmlns:r="http://schemas.openxmlformats.org/officeDocument/2006/relationships" r:embed="rId1"/>
        <a:stretch>
          <a:fillRect/>
        </a:stretch>
      </xdr:blipFill>
      <xdr:spPr>
        <a:xfrm>
          <a:off x="9659470" y="4572000"/>
          <a:ext cx="5306165" cy="628738"/>
        </a:xfrm>
        <a:prstGeom prst="rect">
          <a:avLst/>
        </a:prstGeom>
      </xdr:spPr>
    </xdr:pic>
    <xdr:clientData/>
  </xdr:twoCellAnchor>
  <xdr:twoCellAnchor editAs="oneCell">
    <xdr:from>
      <xdr:col>8</xdr:col>
      <xdr:colOff>201705</xdr:colOff>
      <xdr:row>38</xdr:row>
      <xdr:rowOff>22411</xdr:rowOff>
    </xdr:from>
    <xdr:to>
      <xdr:col>27</xdr:col>
      <xdr:colOff>20620</xdr:colOff>
      <xdr:row>44</xdr:row>
      <xdr:rowOff>231287</xdr:rowOff>
    </xdr:to>
    <xdr:pic>
      <xdr:nvPicPr>
        <xdr:cNvPr id="3" name="Picture 2">
          <a:extLst>
            <a:ext uri="{FF2B5EF4-FFF2-40B4-BE49-F238E27FC236}">
              <a16:creationId xmlns:a16="http://schemas.microsoft.com/office/drawing/2014/main" xmlns="" id="{58B1D985-058F-4B3A-A486-D9137C5FC1CF}"/>
            </a:ext>
          </a:extLst>
        </xdr:cNvPr>
        <xdr:cNvPicPr>
          <a:picLocks noChangeAspect="1"/>
        </xdr:cNvPicPr>
      </xdr:nvPicPr>
      <xdr:blipFill>
        <a:blip xmlns:r="http://schemas.openxmlformats.org/officeDocument/2006/relationships" r:embed="rId2"/>
        <a:stretch>
          <a:fillRect/>
        </a:stretch>
      </xdr:blipFill>
      <xdr:spPr>
        <a:xfrm>
          <a:off x="9614646" y="19509440"/>
          <a:ext cx="11260121" cy="2038635"/>
        </a:xfrm>
        <a:prstGeom prst="rect">
          <a:avLst/>
        </a:prstGeom>
      </xdr:spPr>
    </xdr:pic>
    <xdr:clientData/>
  </xdr:twoCellAnchor>
  <xdr:twoCellAnchor editAs="oneCell">
    <xdr:from>
      <xdr:col>8</xdr:col>
      <xdr:colOff>201705</xdr:colOff>
      <xdr:row>42</xdr:row>
      <xdr:rowOff>593910</xdr:rowOff>
    </xdr:from>
    <xdr:to>
      <xdr:col>11</xdr:col>
      <xdr:colOff>71635</xdr:colOff>
      <xdr:row>52</xdr:row>
      <xdr:rowOff>82320</xdr:rowOff>
    </xdr:to>
    <xdr:pic>
      <xdr:nvPicPr>
        <xdr:cNvPr id="4" name="Picture 3">
          <a:extLst>
            <a:ext uri="{FF2B5EF4-FFF2-40B4-BE49-F238E27FC236}">
              <a16:creationId xmlns:a16="http://schemas.microsoft.com/office/drawing/2014/main" xmlns="" id="{420FA938-F463-4694-9A72-F3A298FDF0A9}"/>
            </a:ext>
          </a:extLst>
        </xdr:cNvPr>
        <xdr:cNvPicPr>
          <a:picLocks noChangeAspect="1"/>
        </xdr:cNvPicPr>
      </xdr:nvPicPr>
      <xdr:blipFill>
        <a:blip xmlns:r="http://schemas.openxmlformats.org/officeDocument/2006/relationships" r:embed="rId3"/>
        <a:stretch>
          <a:fillRect/>
        </a:stretch>
      </xdr:blipFill>
      <xdr:spPr>
        <a:xfrm>
          <a:off x="9614646" y="21111881"/>
          <a:ext cx="3523048" cy="2520000"/>
        </a:xfrm>
        <a:prstGeom prst="rect">
          <a:avLst/>
        </a:prstGeom>
      </xdr:spPr>
    </xdr:pic>
    <xdr:clientData/>
  </xdr:twoCellAnchor>
  <xdr:twoCellAnchor editAs="oneCell">
    <xdr:from>
      <xdr:col>8</xdr:col>
      <xdr:colOff>253733</xdr:colOff>
      <xdr:row>109</xdr:row>
      <xdr:rowOff>366594</xdr:rowOff>
    </xdr:from>
    <xdr:to>
      <xdr:col>14</xdr:col>
      <xdr:colOff>185262</xdr:colOff>
      <xdr:row>123</xdr:row>
      <xdr:rowOff>149131</xdr:rowOff>
    </xdr:to>
    <xdr:pic>
      <xdr:nvPicPr>
        <xdr:cNvPr id="5" name="Picture 4">
          <a:extLst>
            <a:ext uri="{FF2B5EF4-FFF2-40B4-BE49-F238E27FC236}">
              <a16:creationId xmlns:a16="http://schemas.microsoft.com/office/drawing/2014/main" xmlns="" id="{6D547F33-2E36-4751-8E16-7144D88461A1}"/>
            </a:ext>
          </a:extLst>
        </xdr:cNvPr>
        <xdr:cNvPicPr>
          <a:picLocks noChangeAspect="1"/>
        </xdr:cNvPicPr>
      </xdr:nvPicPr>
      <xdr:blipFill>
        <a:blip xmlns:r="http://schemas.openxmlformats.org/officeDocument/2006/relationships" r:embed="rId4"/>
        <a:stretch>
          <a:fillRect/>
        </a:stretch>
      </xdr:blipFill>
      <xdr:spPr>
        <a:xfrm>
          <a:off x="9615447" y="31867130"/>
          <a:ext cx="5442422" cy="2762501"/>
        </a:xfrm>
        <a:prstGeom prst="rect">
          <a:avLst/>
        </a:prstGeom>
      </xdr:spPr>
    </xdr:pic>
    <xdr:clientData/>
  </xdr:twoCellAnchor>
  <xdr:twoCellAnchor editAs="oneCell">
    <xdr:from>
      <xdr:col>8</xdr:col>
      <xdr:colOff>643536</xdr:colOff>
      <xdr:row>123</xdr:row>
      <xdr:rowOff>202506</xdr:rowOff>
    </xdr:from>
    <xdr:to>
      <xdr:col>18</xdr:col>
      <xdr:colOff>49440</xdr:colOff>
      <xdr:row>137</xdr:row>
      <xdr:rowOff>32429</xdr:rowOff>
    </xdr:to>
    <xdr:pic>
      <xdr:nvPicPr>
        <xdr:cNvPr id="6" name="Picture 5">
          <a:extLst>
            <a:ext uri="{FF2B5EF4-FFF2-40B4-BE49-F238E27FC236}">
              <a16:creationId xmlns:a16="http://schemas.microsoft.com/office/drawing/2014/main" xmlns="" id="{13D41C39-A163-45D5-BE22-7B38E5B529A4}"/>
            </a:ext>
          </a:extLst>
        </xdr:cNvPr>
        <xdr:cNvPicPr>
          <a:picLocks noChangeAspect="1"/>
        </xdr:cNvPicPr>
      </xdr:nvPicPr>
      <xdr:blipFill>
        <a:blip xmlns:r="http://schemas.openxmlformats.org/officeDocument/2006/relationships" r:embed="rId5"/>
        <a:stretch>
          <a:fillRect/>
        </a:stretch>
      </xdr:blipFill>
      <xdr:spPr>
        <a:xfrm>
          <a:off x="10005250" y="34873506"/>
          <a:ext cx="7366083" cy="3544673"/>
        </a:xfrm>
        <a:prstGeom prst="rect">
          <a:avLst/>
        </a:prstGeom>
      </xdr:spPr>
    </xdr:pic>
    <xdr:clientData/>
  </xdr:twoCellAnchor>
  <xdr:twoCellAnchor editAs="oneCell">
    <xdr:from>
      <xdr:col>23</xdr:col>
      <xdr:colOff>547688</xdr:colOff>
      <xdr:row>138</xdr:row>
      <xdr:rowOff>71438</xdr:rowOff>
    </xdr:from>
    <xdr:to>
      <xdr:col>39</xdr:col>
      <xdr:colOff>329952</xdr:colOff>
      <xdr:row>160</xdr:row>
      <xdr:rowOff>86569</xdr:rowOff>
    </xdr:to>
    <xdr:pic>
      <xdr:nvPicPr>
        <xdr:cNvPr id="7" name="Picture 6">
          <a:extLst>
            <a:ext uri="{FF2B5EF4-FFF2-40B4-BE49-F238E27FC236}">
              <a16:creationId xmlns:a16="http://schemas.microsoft.com/office/drawing/2014/main" xmlns="" id="{BF84B6B4-EB28-4093-A38D-0E4BCB605533}"/>
            </a:ext>
          </a:extLst>
        </xdr:cNvPr>
        <xdr:cNvPicPr>
          <a:picLocks noChangeAspect="1"/>
        </xdr:cNvPicPr>
      </xdr:nvPicPr>
      <xdr:blipFill>
        <a:blip xmlns:r="http://schemas.openxmlformats.org/officeDocument/2006/relationships" r:embed="rId6"/>
        <a:stretch>
          <a:fillRect/>
        </a:stretch>
      </xdr:blipFill>
      <xdr:spPr>
        <a:xfrm>
          <a:off x="19145251" y="39290626"/>
          <a:ext cx="9593014" cy="6039693"/>
        </a:xfrm>
        <a:prstGeom prst="rect">
          <a:avLst/>
        </a:prstGeom>
      </xdr:spPr>
    </xdr:pic>
    <xdr:clientData/>
  </xdr:twoCellAnchor>
  <xdr:twoCellAnchor editAs="oneCell">
    <xdr:from>
      <xdr:col>8</xdr:col>
      <xdr:colOff>480252</xdr:colOff>
      <xdr:row>143</xdr:row>
      <xdr:rowOff>194502</xdr:rowOff>
    </xdr:from>
    <xdr:to>
      <xdr:col>15</xdr:col>
      <xdr:colOff>394881</xdr:colOff>
      <xdr:row>150</xdr:row>
      <xdr:rowOff>140117</xdr:rowOff>
    </xdr:to>
    <xdr:pic>
      <xdr:nvPicPr>
        <xdr:cNvPr id="8" name="Picture 7">
          <a:extLst>
            <a:ext uri="{FF2B5EF4-FFF2-40B4-BE49-F238E27FC236}">
              <a16:creationId xmlns:a16="http://schemas.microsoft.com/office/drawing/2014/main" xmlns="" id="{9100DDF5-5378-4931-9C47-F802A8DF68B3}"/>
            </a:ext>
          </a:extLst>
        </xdr:cNvPr>
        <xdr:cNvPicPr>
          <a:picLocks noChangeAspect="1"/>
        </xdr:cNvPicPr>
      </xdr:nvPicPr>
      <xdr:blipFill>
        <a:blip xmlns:r="http://schemas.openxmlformats.org/officeDocument/2006/relationships" r:embed="rId7"/>
        <a:stretch>
          <a:fillRect/>
        </a:stretch>
      </xdr:blipFill>
      <xdr:spPr>
        <a:xfrm>
          <a:off x="9841966" y="40131466"/>
          <a:ext cx="6037844" cy="2027508"/>
        </a:xfrm>
        <a:prstGeom prst="rect">
          <a:avLst/>
        </a:prstGeom>
      </xdr:spPr>
    </xdr:pic>
    <xdr:clientData/>
  </xdr:twoCellAnchor>
  <xdr:twoCellAnchor editAs="oneCell">
    <xdr:from>
      <xdr:col>9</xdr:col>
      <xdr:colOff>515471</xdr:colOff>
      <xdr:row>153</xdr:row>
      <xdr:rowOff>13607</xdr:rowOff>
    </xdr:from>
    <xdr:to>
      <xdr:col>22</xdr:col>
      <xdr:colOff>193490</xdr:colOff>
      <xdr:row>160</xdr:row>
      <xdr:rowOff>172685</xdr:rowOff>
    </xdr:to>
    <xdr:pic>
      <xdr:nvPicPr>
        <xdr:cNvPr id="9" name="Picture 8">
          <a:extLst>
            <a:ext uri="{FF2B5EF4-FFF2-40B4-BE49-F238E27FC236}">
              <a16:creationId xmlns:a16="http://schemas.microsoft.com/office/drawing/2014/main" xmlns="" id="{141FD4DC-6FC0-4A61-A62C-5A5262993033}"/>
            </a:ext>
          </a:extLst>
        </xdr:cNvPr>
        <xdr:cNvPicPr>
          <a:picLocks noChangeAspect="1"/>
        </xdr:cNvPicPr>
      </xdr:nvPicPr>
      <xdr:blipFill>
        <a:blip xmlns:r="http://schemas.openxmlformats.org/officeDocument/2006/relationships" r:embed="rId8"/>
        <a:stretch>
          <a:fillRect/>
        </a:stretch>
      </xdr:blipFill>
      <xdr:spPr>
        <a:xfrm>
          <a:off x="12135971" y="42617571"/>
          <a:ext cx="5991733" cy="1968828"/>
        </a:xfrm>
        <a:prstGeom prst="rect">
          <a:avLst/>
        </a:prstGeom>
      </xdr:spPr>
    </xdr:pic>
    <xdr:clientData/>
  </xdr:twoCellAnchor>
  <xdr:twoCellAnchor editAs="oneCell">
    <xdr:from>
      <xdr:col>8</xdr:col>
      <xdr:colOff>638735</xdr:colOff>
      <xdr:row>19</xdr:row>
      <xdr:rowOff>403412</xdr:rowOff>
    </xdr:from>
    <xdr:to>
      <xdr:col>10</xdr:col>
      <xdr:colOff>477213</xdr:colOff>
      <xdr:row>20</xdr:row>
      <xdr:rowOff>238737</xdr:rowOff>
    </xdr:to>
    <xdr:pic>
      <xdr:nvPicPr>
        <xdr:cNvPr id="10" name="Picture 9">
          <a:extLst>
            <a:ext uri="{FF2B5EF4-FFF2-40B4-BE49-F238E27FC236}">
              <a16:creationId xmlns:a16="http://schemas.microsoft.com/office/drawing/2014/main" xmlns="" id="{8E057BAD-57EB-4C2A-9732-54C9AF2A3B62}"/>
            </a:ext>
          </a:extLst>
        </xdr:cNvPr>
        <xdr:cNvPicPr>
          <a:picLocks noChangeAspect="1"/>
        </xdr:cNvPicPr>
      </xdr:nvPicPr>
      <xdr:blipFill>
        <a:blip xmlns:r="http://schemas.openxmlformats.org/officeDocument/2006/relationships" r:embed="rId9"/>
        <a:stretch>
          <a:fillRect/>
        </a:stretch>
      </xdr:blipFill>
      <xdr:spPr>
        <a:xfrm>
          <a:off x="10051676" y="10477500"/>
          <a:ext cx="2886478" cy="362001"/>
        </a:xfrm>
        <a:prstGeom prst="rect">
          <a:avLst/>
        </a:prstGeom>
      </xdr:spPr>
    </xdr:pic>
    <xdr:clientData/>
  </xdr:twoCellAnchor>
  <xdr:twoCellAnchor>
    <xdr:from>
      <xdr:col>0</xdr:col>
      <xdr:colOff>347382</xdr:colOff>
      <xdr:row>210</xdr:row>
      <xdr:rowOff>123263</xdr:rowOff>
    </xdr:from>
    <xdr:to>
      <xdr:col>7</xdr:col>
      <xdr:colOff>885263</xdr:colOff>
      <xdr:row>238</xdr:row>
      <xdr:rowOff>235323</xdr:rowOff>
    </xdr:to>
    <xdr:grpSp>
      <xdr:nvGrpSpPr>
        <xdr:cNvPr id="11" name="Group 10">
          <a:extLst>
            <a:ext uri="{FF2B5EF4-FFF2-40B4-BE49-F238E27FC236}">
              <a16:creationId xmlns:a16="http://schemas.microsoft.com/office/drawing/2014/main" xmlns="" id="{58CDE507-9E09-48F3-85AD-84BB970B02F3}"/>
            </a:ext>
          </a:extLst>
        </xdr:cNvPr>
        <xdr:cNvGrpSpPr/>
      </xdr:nvGrpSpPr>
      <xdr:grpSpPr>
        <a:xfrm>
          <a:off x="347382" y="50510513"/>
          <a:ext cx="8729381" cy="7351060"/>
          <a:chOff x="-551064" y="759861"/>
          <a:chExt cx="7834437" cy="5481334"/>
        </a:xfrm>
      </xdr:grpSpPr>
      <xdr:grpSp>
        <xdr:nvGrpSpPr>
          <xdr:cNvPr id="12" name="Group 11">
            <a:extLst>
              <a:ext uri="{FF2B5EF4-FFF2-40B4-BE49-F238E27FC236}">
                <a16:creationId xmlns:a16="http://schemas.microsoft.com/office/drawing/2014/main" xmlns="" id="{B1A92208-093C-4FC3-BC7B-8D5266BD9070}"/>
              </a:ext>
            </a:extLst>
          </xdr:cNvPr>
          <xdr:cNvGrpSpPr/>
        </xdr:nvGrpSpPr>
        <xdr:grpSpPr>
          <a:xfrm>
            <a:off x="-551064" y="759861"/>
            <a:ext cx="7834437" cy="5481334"/>
            <a:chOff x="-551064" y="759861"/>
            <a:chExt cx="7834437" cy="5481334"/>
          </a:xfrm>
        </xdr:grpSpPr>
        <xdr:grpSp>
          <xdr:nvGrpSpPr>
            <xdr:cNvPr id="15" name="Group 14">
              <a:extLst>
                <a:ext uri="{FF2B5EF4-FFF2-40B4-BE49-F238E27FC236}">
                  <a16:creationId xmlns:a16="http://schemas.microsoft.com/office/drawing/2014/main" xmlns="" id="{1907477D-B785-4496-B6A3-4CEBD336FC21}"/>
                </a:ext>
              </a:extLst>
            </xdr:cNvPr>
            <xdr:cNvGrpSpPr/>
          </xdr:nvGrpSpPr>
          <xdr:grpSpPr>
            <a:xfrm>
              <a:off x="-551064" y="759861"/>
              <a:ext cx="7834437" cy="5481334"/>
              <a:chOff x="-551064" y="759861"/>
              <a:chExt cx="7834437" cy="5481334"/>
            </a:xfrm>
          </xdr:grpSpPr>
          <xdr:pic>
            <xdr:nvPicPr>
              <xdr:cNvPr id="19" name="Picture 18">
                <a:extLst>
                  <a:ext uri="{FF2B5EF4-FFF2-40B4-BE49-F238E27FC236}">
                    <a16:creationId xmlns:a16="http://schemas.microsoft.com/office/drawing/2014/main" xmlns="" id="{6AC063B1-D5BB-40F5-85E9-0A1D3E5D8C7E}"/>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51064" y="759861"/>
                <a:ext cx="3836444" cy="2880000"/>
              </a:xfrm>
              <a:prstGeom prst="rect">
                <a:avLst/>
              </a:prstGeom>
              <a:ln>
                <a:solidFill>
                  <a:schemeClr val="tx1"/>
                </a:solidFill>
              </a:ln>
            </xdr:spPr>
          </xdr:pic>
          <xdr:pic>
            <xdr:nvPicPr>
              <xdr:cNvPr id="20" name="Picture 19">
                <a:extLst>
                  <a:ext uri="{FF2B5EF4-FFF2-40B4-BE49-F238E27FC236}">
                    <a16:creationId xmlns:a16="http://schemas.microsoft.com/office/drawing/2014/main" xmlns="" id="{7AEB4B3A-A938-4679-B3C5-7FFD47C0ABE6}"/>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446929" y="759861"/>
                <a:ext cx="3836444" cy="2880000"/>
              </a:xfrm>
              <a:prstGeom prst="rect">
                <a:avLst/>
              </a:prstGeom>
              <a:ln>
                <a:solidFill>
                  <a:schemeClr val="tx1"/>
                </a:solidFill>
              </a:ln>
            </xdr:spPr>
          </xdr:pic>
          <xdr:pic>
            <xdr:nvPicPr>
              <xdr:cNvPr id="21" name="Picture 20">
                <a:extLst>
                  <a:ext uri="{FF2B5EF4-FFF2-40B4-BE49-F238E27FC236}">
                    <a16:creationId xmlns:a16="http://schemas.microsoft.com/office/drawing/2014/main" xmlns="" id="{C90D2391-167A-4B50-980E-4E1EBEA9B72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98945" y="3901195"/>
                <a:ext cx="3117111" cy="2340000"/>
              </a:xfrm>
              <a:prstGeom prst="rect">
                <a:avLst/>
              </a:prstGeom>
              <a:ln>
                <a:solidFill>
                  <a:schemeClr val="tx1"/>
                </a:solidFill>
              </a:ln>
            </xdr:spPr>
          </xdr:pic>
          <xdr:pic>
            <xdr:nvPicPr>
              <xdr:cNvPr id="22" name="Picture 21">
                <a:extLst>
                  <a:ext uri="{FF2B5EF4-FFF2-40B4-BE49-F238E27FC236}">
                    <a16:creationId xmlns:a16="http://schemas.microsoft.com/office/drawing/2014/main" xmlns="" id="{D9AC4816-24DC-4CD9-894F-BCDF8BE29308}"/>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913128" y="3901195"/>
                <a:ext cx="1753172" cy="2340000"/>
              </a:xfrm>
              <a:prstGeom prst="rect">
                <a:avLst/>
              </a:prstGeom>
              <a:ln>
                <a:solidFill>
                  <a:schemeClr val="tx1"/>
                </a:solidFill>
              </a:ln>
            </xdr:spPr>
          </xdr:pic>
        </xdr:grpSp>
        <xdr:sp macro="" textlink="">
          <xdr:nvSpPr>
            <xdr:cNvPr id="16" name="TextBox 11">
              <a:extLst>
                <a:ext uri="{FF2B5EF4-FFF2-40B4-BE49-F238E27FC236}">
                  <a16:creationId xmlns:a16="http://schemas.microsoft.com/office/drawing/2014/main" xmlns="" id="{E3250373-D1CC-4048-942E-520D25259212}"/>
                </a:ext>
              </a:extLst>
            </xdr:cNvPr>
            <xdr:cNvSpPr txBox="1"/>
          </xdr:nvSpPr>
          <xdr:spPr>
            <a:xfrm>
              <a:off x="0" y="1247359"/>
              <a:ext cx="954877"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Type D4</a:t>
              </a:r>
              <a:endParaRPr lang="en-IN" b="1"/>
            </a:p>
          </xdr:txBody>
        </xdr:sp>
        <xdr:cxnSp macro="">
          <xdr:nvCxnSpPr>
            <xdr:cNvPr id="17" name="Straight Arrow Connector 16">
              <a:extLst>
                <a:ext uri="{FF2B5EF4-FFF2-40B4-BE49-F238E27FC236}">
                  <a16:creationId xmlns:a16="http://schemas.microsoft.com/office/drawing/2014/main" xmlns="" id="{785124BB-C2BB-4952-9442-13CEF1782B43}"/>
                </a:ext>
              </a:extLst>
            </xdr:cNvPr>
            <xdr:cNvCxnSpPr/>
          </xdr:nvCxnSpPr>
          <xdr:spPr>
            <a:xfrm>
              <a:off x="735106" y="1595718"/>
              <a:ext cx="197223" cy="448235"/>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TextBox 14">
              <a:extLst>
                <a:ext uri="{FF2B5EF4-FFF2-40B4-BE49-F238E27FC236}">
                  <a16:creationId xmlns:a16="http://schemas.microsoft.com/office/drawing/2014/main" xmlns="" id="{65E1FD02-2C50-4D91-B95D-3530719C265D}"/>
                </a:ext>
              </a:extLst>
            </xdr:cNvPr>
            <xdr:cNvSpPr txBox="1"/>
          </xdr:nvSpPr>
          <xdr:spPr>
            <a:xfrm>
              <a:off x="4825572" y="3216530"/>
              <a:ext cx="954877"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Type D3</a:t>
              </a:r>
              <a:endParaRPr lang="en-IN" b="1"/>
            </a:p>
          </xdr:txBody>
        </xdr:sp>
      </xdr:grpSp>
      <xdr:sp macro="" textlink="">
        <xdr:nvSpPr>
          <xdr:cNvPr id="13" name="TextBox 16">
            <a:extLst>
              <a:ext uri="{FF2B5EF4-FFF2-40B4-BE49-F238E27FC236}">
                <a16:creationId xmlns:a16="http://schemas.microsoft.com/office/drawing/2014/main" xmlns="" id="{F794D051-7B14-47B2-B064-B7B4F61EF25A}"/>
              </a:ext>
            </a:extLst>
          </xdr:cNvPr>
          <xdr:cNvSpPr txBox="1"/>
        </xdr:nvSpPr>
        <xdr:spPr>
          <a:xfrm>
            <a:off x="4348133" y="1587571"/>
            <a:ext cx="954877"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Type D4</a:t>
            </a:r>
            <a:endParaRPr lang="en-IN" b="1"/>
          </a:p>
        </xdr:txBody>
      </xdr:sp>
      <xdr:cxnSp macro="">
        <xdr:nvCxnSpPr>
          <xdr:cNvPr id="14" name="Straight Arrow Connector 13">
            <a:extLst>
              <a:ext uri="{FF2B5EF4-FFF2-40B4-BE49-F238E27FC236}">
                <a16:creationId xmlns:a16="http://schemas.microsoft.com/office/drawing/2014/main" xmlns="" id="{44F0E9FD-7590-4BB7-B84B-6E5D4087A5EC}"/>
              </a:ext>
            </a:extLst>
          </xdr:cNvPr>
          <xdr:cNvCxnSpPr>
            <a:cxnSpLocks/>
          </xdr:cNvCxnSpPr>
        </xdr:nvCxnSpPr>
        <xdr:spPr>
          <a:xfrm>
            <a:off x="5083239" y="1935930"/>
            <a:ext cx="75501" cy="282307"/>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941294</xdr:colOff>
      <xdr:row>256</xdr:row>
      <xdr:rowOff>-1</xdr:rowOff>
    </xdr:from>
    <xdr:to>
      <xdr:col>7</xdr:col>
      <xdr:colOff>56029</xdr:colOff>
      <xdr:row>298</xdr:row>
      <xdr:rowOff>224118</xdr:rowOff>
    </xdr:to>
    <xdr:grpSp>
      <xdr:nvGrpSpPr>
        <xdr:cNvPr id="23" name="Group 22">
          <a:extLst>
            <a:ext uri="{FF2B5EF4-FFF2-40B4-BE49-F238E27FC236}">
              <a16:creationId xmlns:a16="http://schemas.microsoft.com/office/drawing/2014/main" xmlns="" id="{D44A2B1F-645E-4B94-AA3C-B21A5B6B9449}"/>
            </a:ext>
          </a:extLst>
        </xdr:cNvPr>
        <xdr:cNvGrpSpPr/>
      </xdr:nvGrpSpPr>
      <xdr:grpSpPr>
        <a:xfrm>
          <a:off x="941294" y="62279892"/>
          <a:ext cx="7306235" cy="11082619"/>
          <a:chOff x="1114123" y="433075"/>
          <a:chExt cx="4441670" cy="6866833"/>
        </a:xfrm>
      </xdr:grpSpPr>
      <xdr:grpSp>
        <xdr:nvGrpSpPr>
          <xdr:cNvPr id="24" name="Group 23">
            <a:extLst>
              <a:ext uri="{FF2B5EF4-FFF2-40B4-BE49-F238E27FC236}">
                <a16:creationId xmlns:a16="http://schemas.microsoft.com/office/drawing/2014/main" xmlns="" id="{973F2224-A7B9-4A99-91F7-90FFDEAE3C67}"/>
              </a:ext>
            </a:extLst>
          </xdr:cNvPr>
          <xdr:cNvGrpSpPr/>
        </xdr:nvGrpSpPr>
        <xdr:grpSpPr>
          <a:xfrm>
            <a:off x="1114123" y="433075"/>
            <a:ext cx="4324954" cy="4551432"/>
            <a:chOff x="1114123" y="433075"/>
            <a:chExt cx="4324954" cy="4551432"/>
          </a:xfrm>
        </xdr:grpSpPr>
        <xdr:pic>
          <xdr:nvPicPr>
            <xdr:cNvPr id="35" name="Picture 34">
              <a:extLst>
                <a:ext uri="{FF2B5EF4-FFF2-40B4-BE49-F238E27FC236}">
                  <a16:creationId xmlns:a16="http://schemas.microsoft.com/office/drawing/2014/main" xmlns="" id="{014BFE56-346B-44FC-B6E4-687BFA42527B}"/>
                </a:ext>
              </a:extLst>
            </xdr:cNvPr>
            <xdr:cNvPicPr>
              <a:picLocks noChangeAspect="1"/>
            </xdr:cNvPicPr>
          </xdr:nvPicPr>
          <xdr:blipFill>
            <a:blip xmlns:r="http://schemas.openxmlformats.org/officeDocument/2006/relationships" r:embed="rId14"/>
            <a:stretch>
              <a:fillRect/>
            </a:stretch>
          </xdr:blipFill>
          <xdr:spPr>
            <a:xfrm>
              <a:off x="1114123" y="433075"/>
              <a:ext cx="4324954" cy="4467849"/>
            </a:xfrm>
            <a:prstGeom prst="rect">
              <a:avLst/>
            </a:prstGeom>
            <a:ln>
              <a:solidFill>
                <a:schemeClr val="tx1"/>
              </a:solidFill>
            </a:ln>
          </xdr:spPr>
        </xdr:pic>
        <xdr:sp macro="" textlink="">
          <xdr:nvSpPr>
            <xdr:cNvPr id="36" name="Rectangle 35">
              <a:extLst>
                <a:ext uri="{FF2B5EF4-FFF2-40B4-BE49-F238E27FC236}">
                  <a16:creationId xmlns:a16="http://schemas.microsoft.com/office/drawing/2014/main" xmlns="" id="{A5C66170-0603-419B-B63A-1E0398DC5FD6}"/>
                </a:ext>
              </a:extLst>
            </xdr:cNvPr>
            <xdr:cNvSpPr/>
          </xdr:nvSpPr>
          <xdr:spPr>
            <a:xfrm rot="19818351">
              <a:off x="3939300" y="3341658"/>
              <a:ext cx="556819" cy="41983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7" name="Arrow: Right 36">
              <a:extLst>
                <a:ext uri="{FF2B5EF4-FFF2-40B4-BE49-F238E27FC236}">
                  <a16:creationId xmlns:a16="http://schemas.microsoft.com/office/drawing/2014/main" xmlns="" id="{0A28A5AA-3A33-4332-8B02-F82F6C17C028}"/>
                </a:ext>
              </a:extLst>
            </xdr:cNvPr>
            <xdr:cNvSpPr/>
          </xdr:nvSpPr>
          <xdr:spPr>
            <a:xfrm rot="18772734">
              <a:off x="2587076" y="4551675"/>
              <a:ext cx="203200" cy="16510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23">
              <a:extLst>
                <a:ext uri="{FF2B5EF4-FFF2-40B4-BE49-F238E27FC236}">
                  <a16:creationId xmlns:a16="http://schemas.microsoft.com/office/drawing/2014/main" xmlns="" id="{8E88EE3D-A5BD-4308-A262-3320E45EB362}"/>
                </a:ext>
              </a:extLst>
            </xdr:cNvPr>
            <xdr:cNvSpPr txBox="1"/>
          </xdr:nvSpPr>
          <xdr:spPr>
            <a:xfrm>
              <a:off x="2392177" y="4615175"/>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sp macro="" textlink="">
          <xdr:nvSpPr>
            <xdr:cNvPr id="39" name="TextBox 24">
              <a:extLst>
                <a:ext uri="{FF2B5EF4-FFF2-40B4-BE49-F238E27FC236}">
                  <a16:creationId xmlns:a16="http://schemas.microsoft.com/office/drawing/2014/main" xmlns="" id="{75DF3EBC-2F9A-4449-B6C2-0252C2DB6CC2}"/>
                </a:ext>
              </a:extLst>
            </xdr:cNvPr>
            <xdr:cNvSpPr txBox="1"/>
          </xdr:nvSpPr>
          <xdr:spPr>
            <a:xfrm rot="19651350">
              <a:off x="4105540" y="3752664"/>
              <a:ext cx="645554" cy="241330"/>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Type D4</a:t>
              </a:r>
              <a:endParaRPr lang="en-IN" b="1"/>
            </a:p>
          </xdr:txBody>
        </xdr:sp>
      </xdr:grpSp>
      <xdr:sp macro="" textlink="">
        <xdr:nvSpPr>
          <xdr:cNvPr id="25" name="TextBox 26">
            <a:extLst>
              <a:ext uri="{FF2B5EF4-FFF2-40B4-BE49-F238E27FC236}">
                <a16:creationId xmlns:a16="http://schemas.microsoft.com/office/drawing/2014/main" xmlns="" id="{F7060E6C-C65F-4F37-8D04-E6F04DC5C666}"/>
              </a:ext>
            </a:extLst>
          </xdr:cNvPr>
          <xdr:cNvSpPr txBox="1"/>
        </xdr:nvSpPr>
        <xdr:spPr>
          <a:xfrm>
            <a:off x="1873570" y="3624658"/>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5</a:t>
            </a:r>
            <a:endParaRPr lang="en-IN" sz="1400"/>
          </a:p>
        </xdr:txBody>
      </xdr:sp>
      <xdr:sp macro="" textlink="">
        <xdr:nvSpPr>
          <xdr:cNvPr id="26" name="TextBox 28">
            <a:extLst>
              <a:ext uri="{FF2B5EF4-FFF2-40B4-BE49-F238E27FC236}">
                <a16:creationId xmlns:a16="http://schemas.microsoft.com/office/drawing/2014/main" xmlns="" id="{3E4251AF-0930-416B-A6A9-43F45E089B83}"/>
              </a:ext>
            </a:extLst>
          </xdr:cNvPr>
          <xdr:cNvSpPr txBox="1"/>
        </xdr:nvSpPr>
        <xdr:spPr>
          <a:xfrm>
            <a:off x="2688676" y="3624657"/>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6</a:t>
            </a:r>
            <a:endParaRPr lang="en-IN" sz="1400"/>
          </a:p>
        </xdr:txBody>
      </xdr:sp>
      <xdr:sp macro="" textlink="">
        <xdr:nvSpPr>
          <xdr:cNvPr id="27" name="TextBox 29">
            <a:extLst>
              <a:ext uri="{FF2B5EF4-FFF2-40B4-BE49-F238E27FC236}">
                <a16:creationId xmlns:a16="http://schemas.microsoft.com/office/drawing/2014/main" xmlns="" id="{755912CB-71CF-4FD3-A2B2-F457DC18DF6A}"/>
              </a:ext>
            </a:extLst>
          </xdr:cNvPr>
          <xdr:cNvSpPr txBox="1"/>
        </xdr:nvSpPr>
        <xdr:spPr>
          <a:xfrm rot="19616604">
            <a:off x="4782953" y="2810057"/>
            <a:ext cx="77284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Type D3</a:t>
            </a:r>
            <a:endParaRPr lang="en-IN" sz="1400"/>
          </a:p>
        </xdr:txBody>
      </xdr:sp>
      <xdr:sp macro="" textlink="">
        <xdr:nvSpPr>
          <xdr:cNvPr id="28" name="TextBox 30">
            <a:extLst>
              <a:ext uri="{FF2B5EF4-FFF2-40B4-BE49-F238E27FC236}">
                <a16:creationId xmlns:a16="http://schemas.microsoft.com/office/drawing/2014/main" xmlns="" id="{7D4B68BD-1522-47CC-912F-140EF69AC01A}"/>
              </a:ext>
            </a:extLst>
          </xdr:cNvPr>
          <xdr:cNvSpPr txBox="1"/>
        </xdr:nvSpPr>
        <xdr:spPr>
          <a:xfrm rot="3671994">
            <a:off x="3724496" y="2457646"/>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3</a:t>
            </a:r>
            <a:endParaRPr lang="en-IN" sz="1400"/>
          </a:p>
        </xdr:txBody>
      </xdr:sp>
      <xdr:sp macro="" textlink="">
        <xdr:nvSpPr>
          <xdr:cNvPr id="29" name="TextBox 31">
            <a:extLst>
              <a:ext uri="{FF2B5EF4-FFF2-40B4-BE49-F238E27FC236}">
                <a16:creationId xmlns:a16="http://schemas.microsoft.com/office/drawing/2014/main" xmlns="" id="{8796B4B7-3BFB-47B7-AF21-D78268E0BDC2}"/>
              </a:ext>
            </a:extLst>
          </xdr:cNvPr>
          <xdr:cNvSpPr txBox="1"/>
        </xdr:nvSpPr>
        <xdr:spPr>
          <a:xfrm rot="3671994">
            <a:off x="2825483" y="2930396"/>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4</a:t>
            </a:r>
            <a:endParaRPr lang="en-IN" sz="1400"/>
          </a:p>
        </xdr:txBody>
      </xdr:sp>
      <xdr:sp macro="" textlink="">
        <xdr:nvSpPr>
          <xdr:cNvPr id="30" name="TextBox 32">
            <a:extLst>
              <a:ext uri="{FF2B5EF4-FFF2-40B4-BE49-F238E27FC236}">
                <a16:creationId xmlns:a16="http://schemas.microsoft.com/office/drawing/2014/main" xmlns="" id="{6F6CAB29-DE6B-41B0-8628-BF64D2276726}"/>
              </a:ext>
            </a:extLst>
          </xdr:cNvPr>
          <xdr:cNvSpPr txBox="1"/>
        </xdr:nvSpPr>
        <xdr:spPr>
          <a:xfrm rot="19616604">
            <a:off x="4713898" y="2253723"/>
            <a:ext cx="77284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Type D2</a:t>
            </a:r>
            <a:endParaRPr lang="en-IN" sz="1400"/>
          </a:p>
        </xdr:txBody>
      </xdr:sp>
      <xdr:sp macro="" textlink="">
        <xdr:nvSpPr>
          <xdr:cNvPr id="31" name="TextBox 33">
            <a:extLst>
              <a:ext uri="{FF2B5EF4-FFF2-40B4-BE49-F238E27FC236}">
                <a16:creationId xmlns:a16="http://schemas.microsoft.com/office/drawing/2014/main" xmlns="" id="{F9B7C02A-9465-491C-8556-916314747122}"/>
              </a:ext>
            </a:extLst>
          </xdr:cNvPr>
          <xdr:cNvSpPr txBox="1"/>
        </xdr:nvSpPr>
        <xdr:spPr>
          <a:xfrm rot="19616604">
            <a:off x="4688961" y="1755290"/>
            <a:ext cx="77284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Type D1</a:t>
            </a:r>
            <a:endParaRPr lang="en-IN" sz="1400"/>
          </a:p>
        </xdr:txBody>
      </xdr:sp>
      <xdr:sp macro="" textlink="">
        <xdr:nvSpPr>
          <xdr:cNvPr id="32" name="TextBox 34">
            <a:extLst>
              <a:ext uri="{FF2B5EF4-FFF2-40B4-BE49-F238E27FC236}">
                <a16:creationId xmlns:a16="http://schemas.microsoft.com/office/drawing/2014/main" xmlns="" id="{89B9D842-5415-4841-A4A7-88E1069275D6}"/>
              </a:ext>
            </a:extLst>
          </xdr:cNvPr>
          <xdr:cNvSpPr txBox="1"/>
        </xdr:nvSpPr>
        <xdr:spPr>
          <a:xfrm rot="3671994">
            <a:off x="3246881" y="1609493"/>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2</a:t>
            </a:r>
            <a:endParaRPr lang="en-IN" sz="1400"/>
          </a:p>
        </xdr:txBody>
      </xdr:sp>
      <xdr:sp macro="" textlink="">
        <xdr:nvSpPr>
          <xdr:cNvPr id="33" name="TextBox 35">
            <a:extLst>
              <a:ext uri="{FF2B5EF4-FFF2-40B4-BE49-F238E27FC236}">
                <a16:creationId xmlns:a16="http://schemas.microsoft.com/office/drawing/2014/main" xmlns="" id="{F8BD3592-7782-4D78-A2E1-29260251EA9B}"/>
              </a:ext>
            </a:extLst>
          </xdr:cNvPr>
          <xdr:cNvSpPr txBox="1"/>
        </xdr:nvSpPr>
        <xdr:spPr>
          <a:xfrm rot="19415801">
            <a:off x="4101941" y="2888791"/>
            <a:ext cx="63511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Bldg 7</a:t>
            </a:r>
            <a:endParaRPr lang="en-IN" sz="1400"/>
          </a:p>
        </xdr:txBody>
      </xdr:sp>
      <xdr:pic>
        <xdr:nvPicPr>
          <xdr:cNvPr id="34" name="Picture 33">
            <a:extLst>
              <a:ext uri="{FF2B5EF4-FFF2-40B4-BE49-F238E27FC236}">
                <a16:creationId xmlns:a16="http://schemas.microsoft.com/office/drawing/2014/main" xmlns="" id="{2C5BDBA1-7A2E-4EA5-8757-98241DC56D16}"/>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034044" y="5139908"/>
            <a:ext cx="2658461" cy="2160000"/>
          </a:xfrm>
          <a:prstGeom prst="rect">
            <a:avLst/>
          </a:prstGeom>
          <a:ln>
            <a:solidFill>
              <a:schemeClr val="tx1"/>
            </a:solidFill>
          </a:ln>
        </xdr:spPr>
      </xdr:pic>
    </xdr:grpSp>
    <xdr:clientData/>
  </xdr:twoCellAnchor>
  <xdr:twoCellAnchor>
    <xdr:from>
      <xdr:col>1</xdr:col>
      <xdr:colOff>1045349</xdr:colOff>
      <xdr:row>304</xdr:row>
      <xdr:rowOff>116062</xdr:rowOff>
    </xdr:from>
    <xdr:to>
      <xdr:col>6</xdr:col>
      <xdr:colOff>379487</xdr:colOff>
      <xdr:row>318</xdr:row>
      <xdr:rowOff>34451</xdr:rowOff>
    </xdr:to>
    <xdr:grpSp>
      <xdr:nvGrpSpPr>
        <xdr:cNvPr id="40" name="Group 39">
          <a:extLst>
            <a:ext uri="{FF2B5EF4-FFF2-40B4-BE49-F238E27FC236}">
              <a16:creationId xmlns:a16="http://schemas.microsoft.com/office/drawing/2014/main" xmlns="" id="{213A198A-4ACC-4ECE-B6C0-C91505B0DAB7}"/>
            </a:ext>
          </a:extLst>
        </xdr:cNvPr>
        <xdr:cNvGrpSpPr/>
      </xdr:nvGrpSpPr>
      <xdr:grpSpPr>
        <a:xfrm>
          <a:off x="2215563" y="74805669"/>
          <a:ext cx="5185210" cy="3537889"/>
          <a:chOff x="707222" y="160821"/>
          <a:chExt cx="4991079" cy="3184853"/>
        </a:xfrm>
      </xdr:grpSpPr>
      <xdr:pic>
        <xdr:nvPicPr>
          <xdr:cNvPr id="42" name="Picture 41">
            <a:extLst>
              <a:ext uri="{FF2B5EF4-FFF2-40B4-BE49-F238E27FC236}">
                <a16:creationId xmlns:a16="http://schemas.microsoft.com/office/drawing/2014/main" xmlns="" id="{0A57BA97-92FD-461A-A0CC-9B08FE60C3A3}"/>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707222" y="160821"/>
            <a:ext cx="4860000" cy="3184853"/>
          </a:xfrm>
          <a:prstGeom prst="rect">
            <a:avLst/>
          </a:prstGeom>
          <a:ln>
            <a:solidFill>
              <a:schemeClr val="tx1"/>
            </a:solidFill>
          </a:ln>
        </xdr:spPr>
      </xdr:pic>
      <xdr:sp macro="" textlink="">
        <xdr:nvSpPr>
          <xdr:cNvPr id="43" name="Rectangle 42">
            <a:extLst>
              <a:ext uri="{FF2B5EF4-FFF2-40B4-BE49-F238E27FC236}">
                <a16:creationId xmlns:a16="http://schemas.microsoft.com/office/drawing/2014/main" xmlns="" id="{FFC25938-478F-4C53-B2C5-40690308E1BC}"/>
              </a:ext>
            </a:extLst>
          </xdr:cNvPr>
          <xdr:cNvSpPr/>
        </xdr:nvSpPr>
        <xdr:spPr>
          <a:xfrm>
            <a:off x="3599279" y="1728534"/>
            <a:ext cx="336523" cy="43692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4" name="TextBox 41">
            <a:extLst>
              <a:ext uri="{FF2B5EF4-FFF2-40B4-BE49-F238E27FC236}">
                <a16:creationId xmlns:a16="http://schemas.microsoft.com/office/drawing/2014/main" xmlns="" id="{238FF5BA-D82D-44CB-8EF0-42753FAC0EF5}"/>
              </a:ext>
            </a:extLst>
          </xdr:cNvPr>
          <xdr:cNvSpPr txBox="1"/>
        </xdr:nvSpPr>
        <xdr:spPr>
          <a:xfrm>
            <a:off x="3568423" y="1098593"/>
            <a:ext cx="2129878"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Elysia D4 </a:t>
            </a:r>
          </a:p>
          <a:p>
            <a:r>
              <a:rPr lang="en-US" b="1">
                <a:solidFill>
                  <a:srgbClr val="FFFF00"/>
                </a:solidFill>
              </a:rPr>
              <a:t>(Bldg No. 7 Type D4)</a:t>
            </a:r>
            <a:endParaRPr lang="en-IN" b="1">
              <a:solidFill>
                <a:srgbClr val="FFFF00"/>
              </a:solidFill>
            </a:endParaRPr>
          </a:p>
        </xdr:txBody>
      </xdr:sp>
    </xdr:grpSp>
    <xdr:clientData/>
  </xdr:twoCellAnchor>
  <xdr:twoCellAnchor editAs="oneCell">
    <xdr:from>
      <xdr:col>2</xdr:col>
      <xdr:colOff>250742</xdr:colOff>
      <xdr:row>318</xdr:row>
      <xdr:rowOff>165848</xdr:rowOff>
    </xdr:from>
    <xdr:to>
      <xdr:col>5</xdr:col>
      <xdr:colOff>935152</xdr:colOff>
      <xdr:row>331</xdr:row>
      <xdr:rowOff>83247</xdr:rowOff>
    </xdr:to>
    <xdr:pic>
      <xdr:nvPicPr>
        <xdr:cNvPr id="41" name="Picture 40">
          <a:extLst>
            <a:ext uri="{FF2B5EF4-FFF2-40B4-BE49-F238E27FC236}">
              <a16:creationId xmlns:a16="http://schemas.microsoft.com/office/drawing/2014/main" xmlns="" id="{5ACAAA9C-5A80-47DB-A3CF-07F8FBEEE659}"/>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2591171" y="78474955"/>
          <a:ext cx="4195052" cy="3278363"/>
        </a:xfrm>
        <a:prstGeom prst="rect">
          <a:avLst/>
        </a:prstGeom>
        <a:ln>
          <a:solidFill>
            <a:schemeClr val="tx1"/>
          </a:solidFill>
        </a:ln>
      </xdr:spPr>
    </xdr:pic>
    <xdr:clientData/>
  </xdr:twoCellAnchor>
  <xdr:twoCellAnchor editAs="oneCell">
    <xdr:from>
      <xdr:col>8</xdr:col>
      <xdr:colOff>179294</xdr:colOff>
      <xdr:row>52</xdr:row>
      <xdr:rowOff>89647</xdr:rowOff>
    </xdr:from>
    <xdr:to>
      <xdr:col>14</xdr:col>
      <xdr:colOff>110823</xdr:colOff>
      <xdr:row>55</xdr:row>
      <xdr:rowOff>700543</xdr:rowOff>
    </xdr:to>
    <xdr:pic>
      <xdr:nvPicPr>
        <xdr:cNvPr id="45" name="Picture 44">
          <a:extLst>
            <a:ext uri="{FF2B5EF4-FFF2-40B4-BE49-F238E27FC236}">
              <a16:creationId xmlns:a16="http://schemas.microsoft.com/office/drawing/2014/main" xmlns="" id="{5D706A49-C43E-4AA0-88FA-74EB35039F54}"/>
            </a:ext>
          </a:extLst>
        </xdr:cNvPr>
        <xdr:cNvPicPr>
          <a:picLocks noChangeAspect="1"/>
        </xdr:cNvPicPr>
      </xdr:nvPicPr>
      <xdr:blipFill>
        <a:blip xmlns:r="http://schemas.openxmlformats.org/officeDocument/2006/relationships" r:embed="rId18"/>
        <a:stretch>
          <a:fillRect/>
        </a:stretch>
      </xdr:blipFill>
      <xdr:spPr>
        <a:xfrm>
          <a:off x="9592235" y="23991794"/>
          <a:ext cx="5400000" cy="2270968"/>
        </a:xfrm>
        <a:prstGeom prst="rect">
          <a:avLst/>
        </a:prstGeom>
      </xdr:spPr>
    </xdr:pic>
    <xdr:clientData/>
  </xdr:twoCellAnchor>
  <xdr:twoCellAnchor editAs="oneCell">
    <xdr:from>
      <xdr:col>8</xdr:col>
      <xdr:colOff>89647</xdr:colOff>
      <xdr:row>55</xdr:row>
      <xdr:rowOff>739588</xdr:rowOff>
    </xdr:from>
    <xdr:to>
      <xdr:col>10</xdr:col>
      <xdr:colOff>594968</xdr:colOff>
      <xdr:row>59</xdr:row>
      <xdr:rowOff>136072</xdr:rowOff>
    </xdr:to>
    <xdr:pic>
      <xdr:nvPicPr>
        <xdr:cNvPr id="46" name="Picture 45">
          <a:extLst>
            <a:ext uri="{FF2B5EF4-FFF2-40B4-BE49-F238E27FC236}">
              <a16:creationId xmlns:a16="http://schemas.microsoft.com/office/drawing/2014/main" xmlns="" id="{87EB22F2-3ACD-4C2F-9493-DC3501D258C7}"/>
            </a:ext>
          </a:extLst>
        </xdr:cNvPr>
        <xdr:cNvPicPr>
          <a:picLocks noChangeAspect="1"/>
        </xdr:cNvPicPr>
      </xdr:nvPicPr>
      <xdr:blipFill>
        <a:blip xmlns:r="http://schemas.openxmlformats.org/officeDocument/2006/relationships" r:embed="rId19"/>
        <a:stretch>
          <a:fillRect/>
        </a:stretch>
      </xdr:blipFill>
      <xdr:spPr>
        <a:xfrm>
          <a:off x="9502588" y="26356235"/>
          <a:ext cx="3553321" cy="695422"/>
        </a:xfrm>
        <a:prstGeom prst="rect">
          <a:avLst/>
        </a:prstGeom>
      </xdr:spPr>
    </xdr:pic>
    <xdr:clientData/>
  </xdr:twoCellAnchor>
  <xdr:twoCellAnchor editAs="oneCell">
    <xdr:from>
      <xdr:col>8</xdr:col>
      <xdr:colOff>179295</xdr:colOff>
      <xdr:row>59</xdr:row>
      <xdr:rowOff>134470</xdr:rowOff>
    </xdr:from>
    <xdr:to>
      <xdr:col>16</xdr:col>
      <xdr:colOff>235704</xdr:colOff>
      <xdr:row>69</xdr:row>
      <xdr:rowOff>216091</xdr:rowOff>
    </xdr:to>
    <xdr:pic>
      <xdr:nvPicPr>
        <xdr:cNvPr id="47" name="Picture 46">
          <a:extLst>
            <a:ext uri="{FF2B5EF4-FFF2-40B4-BE49-F238E27FC236}">
              <a16:creationId xmlns:a16="http://schemas.microsoft.com/office/drawing/2014/main" xmlns="" id="{3B5322BD-C37B-444A-94A0-0FDAA841F361}"/>
            </a:ext>
          </a:extLst>
        </xdr:cNvPr>
        <xdr:cNvPicPr>
          <a:picLocks noChangeAspect="1"/>
        </xdr:cNvPicPr>
      </xdr:nvPicPr>
      <xdr:blipFill>
        <a:blip xmlns:r="http://schemas.openxmlformats.org/officeDocument/2006/relationships" r:embed="rId20"/>
        <a:stretch>
          <a:fillRect/>
        </a:stretch>
      </xdr:blipFill>
      <xdr:spPr>
        <a:xfrm>
          <a:off x="9592236" y="27185470"/>
          <a:ext cx="6735115" cy="2715004"/>
        </a:xfrm>
        <a:prstGeom prst="rect">
          <a:avLst/>
        </a:prstGeom>
      </xdr:spPr>
    </xdr:pic>
    <xdr:clientData/>
  </xdr:twoCellAnchor>
  <xdr:twoCellAnchor editAs="oneCell">
    <xdr:from>
      <xdr:col>11</xdr:col>
      <xdr:colOff>11206</xdr:colOff>
      <xdr:row>55</xdr:row>
      <xdr:rowOff>593911</xdr:rowOff>
    </xdr:from>
    <xdr:to>
      <xdr:col>24</xdr:col>
      <xdr:colOff>590355</xdr:colOff>
      <xdr:row>63</xdr:row>
      <xdr:rowOff>24579</xdr:rowOff>
    </xdr:to>
    <xdr:pic>
      <xdr:nvPicPr>
        <xdr:cNvPr id="48" name="Picture 47">
          <a:extLst>
            <a:ext uri="{FF2B5EF4-FFF2-40B4-BE49-F238E27FC236}">
              <a16:creationId xmlns:a16="http://schemas.microsoft.com/office/drawing/2014/main" xmlns="" id="{FBE46B1C-CE7E-4E4A-8F49-923D1F1C0E06}"/>
            </a:ext>
          </a:extLst>
        </xdr:cNvPr>
        <xdr:cNvPicPr>
          <a:picLocks noChangeAspect="1"/>
        </xdr:cNvPicPr>
      </xdr:nvPicPr>
      <xdr:blipFill>
        <a:blip xmlns:r="http://schemas.openxmlformats.org/officeDocument/2006/relationships" r:embed="rId21"/>
        <a:stretch>
          <a:fillRect/>
        </a:stretch>
      </xdr:blipFill>
      <xdr:spPr>
        <a:xfrm>
          <a:off x="13077265" y="26210558"/>
          <a:ext cx="6630325" cy="1771897"/>
        </a:xfrm>
        <a:prstGeom prst="rect">
          <a:avLst/>
        </a:prstGeom>
      </xdr:spPr>
    </xdr:pic>
    <xdr:clientData/>
  </xdr:twoCellAnchor>
  <xdr:twoCellAnchor editAs="oneCell">
    <xdr:from>
      <xdr:col>8</xdr:col>
      <xdr:colOff>313764</xdr:colOff>
      <xdr:row>70</xdr:row>
      <xdr:rowOff>44823</xdr:rowOff>
    </xdr:from>
    <xdr:to>
      <xdr:col>26</xdr:col>
      <xdr:colOff>347218</xdr:colOff>
      <xdr:row>109</xdr:row>
      <xdr:rowOff>31102</xdr:rowOff>
    </xdr:to>
    <xdr:pic>
      <xdr:nvPicPr>
        <xdr:cNvPr id="49" name="Picture 48">
          <a:extLst>
            <a:ext uri="{FF2B5EF4-FFF2-40B4-BE49-F238E27FC236}">
              <a16:creationId xmlns:a16="http://schemas.microsoft.com/office/drawing/2014/main" xmlns="" id="{9495C4E8-61A1-470F-944B-011B53F1056A}"/>
            </a:ext>
          </a:extLst>
        </xdr:cNvPr>
        <xdr:cNvPicPr>
          <a:picLocks noChangeAspect="1"/>
        </xdr:cNvPicPr>
      </xdr:nvPicPr>
      <xdr:blipFill>
        <a:blip xmlns:r="http://schemas.openxmlformats.org/officeDocument/2006/relationships" r:embed="rId22"/>
        <a:stretch>
          <a:fillRect/>
        </a:stretch>
      </xdr:blipFill>
      <xdr:spPr>
        <a:xfrm>
          <a:off x="9726705" y="29998147"/>
          <a:ext cx="10869542" cy="2048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654238</xdr:colOff>
      <xdr:row>30</xdr:row>
      <xdr:rowOff>320215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indianpremises.com/thane-west/kasarvadavali/project/vihang-elysia-thane-infinity" TargetMode="External"/><Relationship Id="rId7" Type="http://schemas.openxmlformats.org/officeDocument/2006/relationships/vmlDrawing" Target="../drawings/vmlDrawing2.vml"/><Relationship Id="rId2" Type="http://schemas.openxmlformats.org/officeDocument/2006/relationships/hyperlink" Target="https://indianpremises.com/thane-west/ghodbunder/project/vihang-elysia-codename-thane-infinity" TargetMode="External"/><Relationship Id="rId1" Type="http://schemas.openxmlformats.org/officeDocument/2006/relationships/hyperlink" Target="https://maps.app.goo.gl/s7RrfgXCW8z9LJUv7"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45"/>
  <sheetViews>
    <sheetView tabSelected="1" view="pageBreakPreview" topLeftCell="A302" zoomScale="70" zoomScaleNormal="85" zoomScaleSheetLayoutView="70" zoomScalePageLayoutView="70" workbookViewId="0">
      <selection activeCell="K310" sqref="K310"/>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45" t="s">
        <v>38</v>
      </c>
      <c r="B1" s="146"/>
      <c r="C1" s="146"/>
      <c r="D1" s="146"/>
      <c r="E1" s="146"/>
      <c r="F1" s="146"/>
      <c r="G1" s="146"/>
      <c r="H1" s="147"/>
    </row>
    <row r="2" spans="1:11" ht="42" customHeight="1" x14ac:dyDescent="0.25">
      <c r="A2" s="125" t="s">
        <v>10</v>
      </c>
      <c r="B2" s="125"/>
      <c r="C2" s="123" t="s">
        <v>87</v>
      </c>
      <c r="D2" s="123"/>
      <c r="E2" s="125" t="s">
        <v>12</v>
      </c>
      <c r="F2" s="125"/>
      <c r="G2" s="135">
        <v>45882</v>
      </c>
      <c r="H2" s="123"/>
      <c r="J2" s="136"/>
      <c r="K2" s="137"/>
    </row>
    <row r="3" spans="1:11" ht="42.75" customHeight="1" x14ac:dyDescent="0.25">
      <c r="A3" s="125" t="s">
        <v>39</v>
      </c>
      <c r="B3" s="125"/>
      <c r="C3" s="138" t="s">
        <v>306</v>
      </c>
      <c r="D3" s="123"/>
      <c r="E3" s="125" t="s">
        <v>159</v>
      </c>
      <c r="F3" s="125"/>
      <c r="G3" s="123" t="s">
        <v>307</v>
      </c>
      <c r="H3" s="123"/>
    </row>
    <row r="4" spans="1:11" ht="43.5" customHeight="1" x14ac:dyDescent="0.25">
      <c r="A4" s="125" t="s">
        <v>36</v>
      </c>
      <c r="B4" s="125"/>
      <c r="C4" s="123" t="s">
        <v>148</v>
      </c>
      <c r="D4" s="123"/>
      <c r="E4" s="125" t="s">
        <v>33</v>
      </c>
      <c r="F4" s="125"/>
      <c r="G4" s="123" t="str">
        <f ca="1">TEXT(TODAY(),"DD/MM/YYYY")</f>
        <v>18/08/2025</v>
      </c>
      <c r="H4" s="123"/>
    </row>
    <row r="5" spans="1:11" ht="20.25" x14ac:dyDescent="0.25">
      <c r="A5" s="139" t="s">
        <v>40</v>
      </c>
      <c r="B5" s="139"/>
      <c r="C5" s="139"/>
      <c r="D5" s="139"/>
      <c r="E5" s="139"/>
      <c r="F5" s="139"/>
      <c r="G5" s="139"/>
      <c r="H5" s="139"/>
    </row>
    <row r="6" spans="1:11" ht="43.5" customHeight="1" x14ac:dyDescent="0.25">
      <c r="A6" s="125" t="s">
        <v>29</v>
      </c>
      <c r="B6" s="125"/>
      <c r="C6" s="123" t="s">
        <v>311</v>
      </c>
      <c r="D6" s="123"/>
      <c r="E6" s="125" t="s">
        <v>35</v>
      </c>
      <c r="F6" s="125"/>
      <c r="G6" s="126" t="s">
        <v>308</v>
      </c>
      <c r="H6" s="126"/>
    </row>
    <row r="7" spans="1:11" ht="47.25" customHeight="1" x14ac:dyDescent="0.25">
      <c r="A7" s="125" t="s">
        <v>42</v>
      </c>
      <c r="B7" s="125"/>
      <c r="C7" s="123" t="s">
        <v>309</v>
      </c>
      <c r="D7" s="123"/>
      <c r="E7" s="125" t="s">
        <v>43</v>
      </c>
      <c r="F7" s="125"/>
      <c r="G7" s="123" t="s">
        <v>309</v>
      </c>
      <c r="H7" s="123"/>
    </row>
    <row r="8" spans="1:11" ht="48.75" customHeight="1" x14ac:dyDescent="0.25">
      <c r="A8" s="125" t="s">
        <v>44</v>
      </c>
      <c r="B8" s="125"/>
      <c r="C8" s="123" t="s">
        <v>310</v>
      </c>
      <c r="D8" s="123"/>
      <c r="E8" s="123"/>
      <c r="F8" s="123"/>
      <c r="G8" s="123"/>
      <c r="H8" s="123"/>
    </row>
    <row r="9" spans="1:11" ht="45" customHeight="1" x14ac:dyDescent="0.25">
      <c r="A9" s="134" t="s">
        <v>150</v>
      </c>
      <c r="B9" s="46" t="s">
        <v>41</v>
      </c>
      <c r="C9" s="123" t="s">
        <v>354</v>
      </c>
      <c r="D9" s="123"/>
      <c r="E9" s="123"/>
      <c r="F9" s="123"/>
      <c r="G9" s="123"/>
      <c r="H9" s="123"/>
    </row>
    <row r="10" spans="1:11" ht="66" customHeight="1" x14ac:dyDescent="0.25">
      <c r="A10" s="134"/>
      <c r="B10" s="46" t="s">
        <v>11</v>
      </c>
      <c r="C10" s="123" t="s">
        <v>312</v>
      </c>
      <c r="D10" s="123"/>
      <c r="E10" s="123"/>
      <c r="F10" s="123"/>
      <c r="G10" s="123"/>
      <c r="H10" s="123"/>
    </row>
    <row r="11" spans="1:11" ht="82.5" customHeight="1" x14ac:dyDescent="0.25">
      <c r="A11" s="134"/>
      <c r="B11" s="46" t="s">
        <v>5</v>
      </c>
      <c r="C11" s="123" t="s">
        <v>355</v>
      </c>
      <c r="D11" s="123"/>
      <c r="E11" s="123"/>
      <c r="F11" s="123"/>
      <c r="G11" s="123"/>
      <c r="H11" s="123"/>
    </row>
    <row r="12" spans="1:11" ht="40.5" customHeight="1" x14ac:dyDescent="0.25">
      <c r="A12" s="125" t="s">
        <v>34</v>
      </c>
      <c r="B12" s="125"/>
      <c r="C12" s="126" t="s">
        <v>350</v>
      </c>
      <c r="D12" s="126"/>
      <c r="E12" s="126"/>
      <c r="F12" s="126"/>
      <c r="G12" s="126"/>
      <c r="H12" s="126"/>
    </row>
    <row r="13" spans="1:11" ht="20.100000000000001" customHeight="1" x14ac:dyDescent="0.25">
      <c r="A13" s="139" t="s">
        <v>45</v>
      </c>
      <c r="B13" s="139"/>
      <c r="C13" s="139"/>
      <c r="D13" s="139"/>
      <c r="E13" s="139"/>
      <c r="F13" s="139"/>
      <c r="G13" s="139"/>
      <c r="H13" s="139"/>
    </row>
    <row r="14" spans="1:11" ht="41.25" customHeight="1" x14ac:dyDescent="0.25">
      <c r="A14" s="125" t="s">
        <v>27</v>
      </c>
      <c r="B14" s="125" t="s">
        <v>4</v>
      </c>
      <c r="C14" s="123" t="s">
        <v>88</v>
      </c>
      <c r="D14" s="123"/>
      <c r="E14" s="125" t="s">
        <v>46</v>
      </c>
      <c r="F14" s="125" t="s">
        <v>4</v>
      </c>
      <c r="G14" s="123" t="s">
        <v>313</v>
      </c>
      <c r="H14" s="123"/>
    </row>
    <row r="15" spans="1:11" ht="41.25" customHeight="1" x14ac:dyDescent="0.25">
      <c r="A15" s="125" t="s">
        <v>47</v>
      </c>
      <c r="B15" s="125" t="s">
        <v>4</v>
      </c>
      <c r="C15" s="123" t="s">
        <v>314</v>
      </c>
      <c r="D15" s="123"/>
      <c r="E15" s="125" t="s">
        <v>48</v>
      </c>
      <c r="F15" s="125" t="s">
        <v>4</v>
      </c>
      <c r="G15" s="135">
        <v>48213</v>
      </c>
      <c r="H15" s="123"/>
    </row>
    <row r="16" spans="1:11" ht="41.25" customHeight="1" x14ac:dyDescent="0.25">
      <c r="A16" s="125" t="s">
        <v>49</v>
      </c>
      <c r="B16" s="125" t="s">
        <v>4</v>
      </c>
      <c r="C16" s="135">
        <v>45776</v>
      </c>
      <c r="D16" s="123"/>
      <c r="E16" s="125" t="s">
        <v>50</v>
      </c>
      <c r="F16" s="125" t="s">
        <v>4</v>
      </c>
      <c r="G16" s="159">
        <v>45748</v>
      </c>
      <c r="H16" s="123"/>
    </row>
    <row r="17" spans="1:9" ht="63.75" customHeight="1" x14ac:dyDescent="0.25">
      <c r="A17" s="125" t="s">
        <v>51</v>
      </c>
      <c r="B17" s="125" t="s">
        <v>4</v>
      </c>
      <c r="C17" s="135">
        <f>G15</f>
        <v>48213</v>
      </c>
      <c r="D17" s="123"/>
      <c r="E17" s="125" t="s">
        <v>52</v>
      </c>
      <c r="F17" s="125" t="s">
        <v>4</v>
      </c>
      <c r="G17" s="123" t="s">
        <v>315</v>
      </c>
      <c r="H17" s="123"/>
    </row>
    <row r="18" spans="1:9" ht="41.25" customHeight="1" x14ac:dyDescent="0.25">
      <c r="A18" s="125" t="s">
        <v>53</v>
      </c>
      <c r="B18" s="125" t="s">
        <v>4</v>
      </c>
      <c r="C18" s="123"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3"/>
      <c r="E18" s="125" t="s">
        <v>95</v>
      </c>
      <c r="F18" s="125" t="s">
        <v>4</v>
      </c>
      <c r="G18" s="123">
        <v>61725</v>
      </c>
      <c r="H18" s="123"/>
    </row>
    <row r="19" spans="1:9" ht="41.25" customHeight="1" x14ac:dyDescent="0.25">
      <c r="A19" s="125" t="s">
        <v>54</v>
      </c>
      <c r="B19" s="125" t="s">
        <v>4</v>
      </c>
      <c r="C19" s="123">
        <v>1.1000000000000001</v>
      </c>
      <c r="D19" s="123"/>
      <c r="E19" s="125" t="s">
        <v>242</v>
      </c>
      <c r="F19" s="125" t="s">
        <v>4</v>
      </c>
      <c r="G19" s="123">
        <v>33848.5</v>
      </c>
      <c r="H19" s="123"/>
    </row>
    <row r="20" spans="1:9" ht="41.25" customHeight="1" x14ac:dyDescent="0.25">
      <c r="A20" s="125" t="s">
        <v>93</v>
      </c>
      <c r="B20" s="125" t="s">
        <v>4</v>
      </c>
      <c r="C20" s="123">
        <v>36683.35</v>
      </c>
      <c r="D20" s="123"/>
      <c r="E20" s="125" t="s">
        <v>94</v>
      </c>
      <c r="F20" s="125" t="s">
        <v>4</v>
      </c>
      <c r="G20" s="123">
        <v>126353.65</v>
      </c>
      <c r="H20" s="123"/>
    </row>
    <row r="21" spans="1:9" ht="41.25" customHeight="1" x14ac:dyDescent="0.25">
      <c r="A21" s="125" t="s">
        <v>56</v>
      </c>
      <c r="B21" s="125" t="s">
        <v>4</v>
      </c>
      <c r="C21" s="123" t="s">
        <v>347</v>
      </c>
      <c r="D21" s="123"/>
      <c r="E21" s="125" t="s">
        <v>55</v>
      </c>
      <c r="F21" s="125" t="s">
        <v>4</v>
      </c>
      <c r="G21" s="123" t="s">
        <v>366</v>
      </c>
      <c r="H21" s="123"/>
    </row>
    <row r="22" spans="1:9" ht="20.25" x14ac:dyDescent="0.25">
      <c r="A22" s="125" t="s">
        <v>163</v>
      </c>
      <c r="B22" s="125" t="s">
        <v>4</v>
      </c>
      <c r="C22" s="123" t="s">
        <v>364</v>
      </c>
      <c r="D22" s="123"/>
      <c r="E22" s="125" t="s">
        <v>164</v>
      </c>
      <c r="F22" s="125" t="s">
        <v>4</v>
      </c>
      <c r="G22" s="123" t="s">
        <v>330</v>
      </c>
      <c r="H22" s="123"/>
    </row>
    <row r="23" spans="1:9" ht="20.25" x14ac:dyDescent="0.25">
      <c r="A23" s="125" t="s">
        <v>161</v>
      </c>
      <c r="B23" s="125" t="s">
        <v>4</v>
      </c>
      <c r="C23" s="192" t="s">
        <v>352</v>
      </c>
      <c r="D23" s="193"/>
      <c r="E23" s="193"/>
      <c r="F23" s="193"/>
      <c r="G23" s="193"/>
      <c r="H23" s="194"/>
    </row>
    <row r="24" spans="1:9" ht="83.25" customHeight="1" x14ac:dyDescent="0.25">
      <c r="A24" s="125" t="s">
        <v>25</v>
      </c>
      <c r="B24" s="125" t="s">
        <v>4</v>
      </c>
      <c r="C24" s="126" t="s">
        <v>316</v>
      </c>
      <c r="D24" s="126"/>
      <c r="E24" s="126"/>
      <c r="F24" s="126"/>
      <c r="G24" s="126"/>
      <c r="H24" s="126"/>
      <c r="I24" s="93" t="s">
        <v>317</v>
      </c>
    </row>
    <row r="25" spans="1:9" ht="24" customHeight="1" x14ac:dyDescent="0.25">
      <c r="A25" s="139" t="s">
        <v>20</v>
      </c>
      <c r="B25" s="139"/>
      <c r="C25" s="139"/>
      <c r="D25" s="139"/>
      <c r="E25" s="139"/>
      <c r="F25" s="139"/>
      <c r="G25" s="139"/>
      <c r="H25" s="139"/>
    </row>
    <row r="26" spans="1:9" ht="43.5" customHeight="1" x14ac:dyDescent="0.25">
      <c r="A26" s="125" t="s">
        <v>26</v>
      </c>
      <c r="B26" s="125" t="s">
        <v>4</v>
      </c>
      <c r="C26" s="123" t="str">
        <f>IF(AND(G26="Upper"),"Developed","Developing")</f>
        <v>Developing</v>
      </c>
      <c r="D26" s="123"/>
      <c r="E26" s="125" t="s">
        <v>13</v>
      </c>
      <c r="F26" s="125" t="s">
        <v>4</v>
      </c>
      <c r="G26" s="126" t="s">
        <v>165</v>
      </c>
      <c r="H26" s="126"/>
    </row>
    <row r="27" spans="1:9" ht="43.5" customHeight="1" x14ac:dyDescent="0.25">
      <c r="A27" s="125" t="s">
        <v>14</v>
      </c>
      <c r="B27" s="125" t="s">
        <v>4</v>
      </c>
      <c r="C27" s="126" t="s">
        <v>318</v>
      </c>
      <c r="D27" s="126"/>
      <c r="E27" s="125" t="s">
        <v>151</v>
      </c>
      <c r="F27" s="125" t="s">
        <v>4</v>
      </c>
      <c r="G27" s="126" t="s">
        <v>319</v>
      </c>
      <c r="H27" s="126"/>
    </row>
    <row r="28" spans="1:9" ht="43.5" customHeight="1" x14ac:dyDescent="0.25">
      <c r="A28" s="125" t="s">
        <v>23</v>
      </c>
      <c r="B28" s="125" t="s">
        <v>4</v>
      </c>
      <c r="C28" s="123" t="s">
        <v>97</v>
      </c>
      <c r="D28" s="123"/>
      <c r="E28" s="125" t="s">
        <v>16</v>
      </c>
      <c r="F28" s="125" t="s">
        <v>4</v>
      </c>
      <c r="G28" s="126" t="s">
        <v>320</v>
      </c>
      <c r="H28" s="126"/>
    </row>
    <row r="29" spans="1:9" ht="43.5" customHeight="1" x14ac:dyDescent="0.25">
      <c r="A29" s="125" t="s">
        <v>106</v>
      </c>
      <c r="B29" s="125" t="s">
        <v>4</v>
      </c>
      <c r="C29" s="126" t="s">
        <v>322</v>
      </c>
      <c r="D29" s="126"/>
      <c r="E29" s="125" t="s">
        <v>107</v>
      </c>
      <c r="F29" s="125" t="s">
        <v>4</v>
      </c>
      <c r="G29" s="126" t="s">
        <v>321</v>
      </c>
      <c r="H29" s="126"/>
    </row>
    <row r="30" spans="1:9" ht="84" customHeight="1" x14ac:dyDescent="0.25">
      <c r="A30" s="125" t="s">
        <v>17</v>
      </c>
      <c r="B30" s="125" t="s">
        <v>4</v>
      </c>
      <c r="C30" s="126" t="s">
        <v>323</v>
      </c>
      <c r="D30" s="126"/>
      <c r="E30" s="125" t="s">
        <v>15</v>
      </c>
      <c r="F30" s="125" t="s">
        <v>4</v>
      </c>
      <c r="G30" s="126" t="s">
        <v>353</v>
      </c>
      <c r="H30" s="126"/>
    </row>
    <row r="31" spans="1:9" ht="20.25" x14ac:dyDescent="0.25">
      <c r="A31" s="125" t="s">
        <v>112</v>
      </c>
      <c r="B31" s="125" t="s">
        <v>4</v>
      </c>
      <c r="C31" s="123" t="s">
        <v>113</v>
      </c>
      <c r="D31" s="123"/>
      <c r="E31" s="125" t="s">
        <v>114</v>
      </c>
      <c r="F31" s="125" t="s">
        <v>4</v>
      </c>
      <c r="G31" s="123" t="s">
        <v>113</v>
      </c>
      <c r="H31" s="123"/>
    </row>
    <row r="32" spans="1:9" ht="21.75" customHeight="1" x14ac:dyDescent="0.25">
      <c r="A32" s="125" t="s">
        <v>115</v>
      </c>
      <c r="B32" s="125" t="s">
        <v>4</v>
      </c>
      <c r="C32" s="123" t="s">
        <v>113</v>
      </c>
      <c r="D32" s="123"/>
      <c r="E32" s="123"/>
      <c r="F32" s="123"/>
      <c r="G32" s="123"/>
      <c r="H32" s="123"/>
    </row>
    <row r="33" spans="1:15" ht="20.25" x14ac:dyDescent="0.25">
      <c r="A33" s="162" t="s">
        <v>37</v>
      </c>
      <c r="B33" s="162"/>
      <c r="C33" s="162"/>
      <c r="D33" s="162"/>
      <c r="E33" s="162"/>
      <c r="F33" s="162"/>
      <c r="G33" s="162"/>
      <c r="H33" s="162"/>
    </row>
    <row r="34" spans="1:15" ht="43.5" customHeight="1" x14ac:dyDescent="0.25">
      <c r="A34" s="125" t="s">
        <v>18</v>
      </c>
      <c r="B34" s="125"/>
      <c r="C34" s="123" t="s">
        <v>98</v>
      </c>
      <c r="D34" s="123"/>
      <c r="E34" s="125" t="s">
        <v>19</v>
      </c>
      <c r="F34" s="125" t="s">
        <v>4</v>
      </c>
      <c r="G34" s="123" t="s">
        <v>99</v>
      </c>
      <c r="H34" s="123"/>
    </row>
    <row r="35" spans="1:15" ht="43.5" customHeight="1" x14ac:dyDescent="0.25">
      <c r="A35" s="125" t="s">
        <v>22</v>
      </c>
      <c r="B35" s="125"/>
      <c r="C35" s="123" t="s">
        <v>99</v>
      </c>
      <c r="D35" s="123"/>
      <c r="E35" s="125" t="s">
        <v>32</v>
      </c>
      <c r="F35" s="125" t="s">
        <v>4</v>
      </c>
      <c r="G35" s="126" t="s">
        <v>99</v>
      </c>
      <c r="H35" s="126"/>
    </row>
    <row r="36" spans="1:15" ht="20.25" x14ac:dyDescent="0.25">
      <c r="A36" s="125" t="s">
        <v>31</v>
      </c>
      <c r="B36" s="125"/>
      <c r="C36" s="123" t="s">
        <v>100</v>
      </c>
      <c r="D36" s="123"/>
      <c r="E36" s="125" t="s">
        <v>21</v>
      </c>
      <c r="F36" s="125" t="s">
        <v>4</v>
      </c>
      <c r="G36" s="123" t="s">
        <v>101</v>
      </c>
      <c r="H36" s="123"/>
    </row>
    <row r="37" spans="1:15" ht="20.25" x14ac:dyDescent="0.25">
      <c r="A37" s="139" t="s">
        <v>0</v>
      </c>
      <c r="B37" s="139"/>
      <c r="C37" s="139"/>
      <c r="D37" s="139"/>
      <c r="E37" s="139"/>
      <c r="F37" s="139"/>
      <c r="G37" s="139"/>
      <c r="H37" s="139"/>
    </row>
    <row r="38" spans="1:15" ht="20.25" x14ac:dyDescent="0.25">
      <c r="A38" s="132" t="s">
        <v>0</v>
      </c>
      <c r="B38" s="132"/>
      <c r="C38" s="132" t="s">
        <v>229</v>
      </c>
      <c r="D38" s="132"/>
      <c r="E38" s="132"/>
      <c r="F38" s="132" t="s">
        <v>7</v>
      </c>
      <c r="G38" s="132"/>
      <c r="H38" s="132"/>
      <c r="J38" s="130" t="s">
        <v>1</v>
      </c>
      <c r="K38" s="131"/>
      <c r="L38" s="48" t="s">
        <v>6</v>
      </c>
      <c r="M38" s="130" t="s">
        <v>2</v>
      </c>
      <c r="N38" s="131"/>
      <c r="O38" s="48" t="s">
        <v>3</v>
      </c>
    </row>
    <row r="39" spans="1:15" ht="20.25" customHeight="1" x14ac:dyDescent="0.25">
      <c r="A39" s="134" t="s">
        <v>2</v>
      </c>
      <c r="B39" s="134"/>
      <c r="C39" s="133" t="s">
        <v>324</v>
      </c>
      <c r="D39" s="133"/>
      <c r="E39" s="133"/>
      <c r="F39" s="133" t="s">
        <v>330</v>
      </c>
      <c r="G39" s="133"/>
      <c r="H39" s="133"/>
    </row>
    <row r="40" spans="1:15" ht="20.25" x14ac:dyDescent="0.25">
      <c r="A40" s="134" t="s">
        <v>3</v>
      </c>
      <c r="B40" s="134"/>
      <c r="C40" s="133" t="s">
        <v>327</v>
      </c>
      <c r="D40" s="133"/>
      <c r="E40" s="133"/>
      <c r="F40" s="133" t="s">
        <v>328</v>
      </c>
      <c r="G40" s="133"/>
      <c r="H40" s="133"/>
    </row>
    <row r="41" spans="1:15" ht="20.25" x14ac:dyDescent="0.25">
      <c r="A41" s="134" t="s">
        <v>1</v>
      </c>
      <c r="B41" s="134"/>
      <c r="C41" s="133" t="s">
        <v>325</v>
      </c>
      <c r="D41" s="133"/>
      <c r="E41" s="133"/>
      <c r="F41" s="133" t="s">
        <v>329</v>
      </c>
      <c r="G41" s="133"/>
      <c r="H41" s="133"/>
    </row>
    <row r="42" spans="1:15" ht="20.25" x14ac:dyDescent="0.25">
      <c r="A42" s="134" t="s">
        <v>6</v>
      </c>
      <c r="B42" s="134"/>
      <c r="C42" s="133" t="s">
        <v>326</v>
      </c>
      <c r="D42" s="133"/>
      <c r="E42" s="133"/>
      <c r="F42" s="133" t="s">
        <v>328</v>
      </c>
      <c r="G42" s="133"/>
      <c r="H42" s="133"/>
    </row>
    <row r="43" spans="1:15" ht="42.75" customHeight="1" x14ac:dyDescent="0.25">
      <c r="A43" s="125" t="s">
        <v>230</v>
      </c>
      <c r="B43" s="125"/>
      <c r="C43" s="123" t="s">
        <v>97</v>
      </c>
      <c r="D43" s="123"/>
      <c r="E43" s="123"/>
      <c r="F43" s="123"/>
      <c r="G43" s="123"/>
      <c r="H43" s="123"/>
    </row>
    <row r="44" spans="1:15" ht="20.25" x14ac:dyDescent="0.25">
      <c r="A44" s="139" t="s">
        <v>57</v>
      </c>
      <c r="B44" s="139"/>
      <c r="C44" s="139"/>
      <c r="D44" s="139"/>
      <c r="E44" s="139"/>
      <c r="F44" s="139"/>
      <c r="G44" s="139"/>
      <c r="H44" s="139"/>
    </row>
    <row r="45" spans="1:15" ht="21" customHeight="1" x14ac:dyDescent="0.25">
      <c r="A45" s="132" t="s">
        <v>58</v>
      </c>
      <c r="B45" s="132"/>
      <c r="C45" s="48" t="s">
        <v>59</v>
      </c>
      <c r="D45" s="132" t="s">
        <v>149</v>
      </c>
      <c r="E45" s="132"/>
      <c r="F45" s="132"/>
      <c r="G45" s="132" t="s">
        <v>60</v>
      </c>
      <c r="H45" s="132"/>
    </row>
    <row r="46" spans="1:15" ht="44.25" customHeight="1" x14ac:dyDescent="0.25">
      <c r="A46" s="124" t="s">
        <v>356</v>
      </c>
      <c r="B46" s="124"/>
      <c r="C46" s="45" t="s">
        <v>89</v>
      </c>
      <c r="D46" s="123" t="s">
        <v>332</v>
      </c>
      <c r="E46" s="123"/>
      <c r="F46" s="123"/>
      <c r="G46" s="123" t="s">
        <v>332</v>
      </c>
      <c r="H46" s="123"/>
    </row>
    <row r="47" spans="1:15" ht="20.25" hidden="1" x14ac:dyDescent="0.25">
      <c r="A47" s="124" t="s">
        <v>303</v>
      </c>
      <c r="B47" s="124"/>
      <c r="C47" s="45" t="s">
        <v>89</v>
      </c>
      <c r="D47" s="123"/>
      <c r="E47" s="123"/>
      <c r="F47" s="123"/>
      <c r="G47" s="123"/>
      <c r="H47" s="123"/>
    </row>
    <row r="48" spans="1:15" ht="20.25" hidden="1" x14ac:dyDescent="0.25">
      <c r="A48" s="124" t="s">
        <v>304</v>
      </c>
      <c r="B48" s="124"/>
      <c r="C48" s="45" t="s">
        <v>89</v>
      </c>
      <c r="D48" s="123"/>
      <c r="E48" s="123"/>
      <c r="F48" s="123"/>
      <c r="G48" s="123"/>
      <c r="H48" s="123"/>
    </row>
    <row r="49" spans="1:10" ht="20.25" hidden="1" x14ac:dyDescent="0.25">
      <c r="A49" s="124" t="s">
        <v>305</v>
      </c>
      <c r="B49" s="124"/>
      <c r="C49" s="45" t="s">
        <v>89</v>
      </c>
      <c r="D49" s="123"/>
      <c r="E49" s="123"/>
      <c r="F49" s="123"/>
      <c r="G49" s="123"/>
      <c r="H49" s="123"/>
    </row>
    <row r="50" spans="1:10" ht="20.25" x14ac:dyDescent="0.25">
      <c r="A50" s="139" t="s">
        <v>61</v>
      </c>
      <c r="B50" s="139"/>
      <c r="C50" s="139"/>
      <c r="D50" s="139"/>
      <c r="E50" s="139"/>
      <c r="F50" s="139"/>
      <c r="G50" s="139"/>
      <c r="H50" s="139"/>
    </row>
    <row r="51" spans="1:10" ht="42.75" customHeight="1" x14ac:dyDescent="0.25">
      <c r="A51" s="125" t="s">
        <v>62</v>
      </c>
      <c r="B51" s="125" t="s">
        <v>4</v>
      </c>
      <c r="C51" s="126" t="s">
        <v>97</v>
      </c>
      <c r="D51" s="126"/>
      <c r="E51" s="126"/>
      <c r="F51" s="126"/>
      <c r="G51" s="126"/>
      <c r="H51" s="126"/>
    </row>
    <row r="52" spans="1:10" ht="44.25" customHeight="1" x14ac:dyDescent="0.25">
      <c r="A52" s="125" t="s">
        <v>63</v>
      </c>
      <c r="B52" s="125" t="s">
        <v>4</v>
      </c>
      <c r="C52" s="123" t="s">
        <v>362</v>
      </c>
      <c r="D52" s="123"/>
      <c r="E52" s="123"/>
      <c r="F52" s="123"/>
      <c r="G52" s="63" t="s">
        <v>231</v>
      </c>
      <c r="H52" s="94">
        <v>45770</v>
      </c>
    </row>
    <row r="53" spans="1:10" ht="44.25" customHeight="1" x14ac:dyDescent="0.25">
      <c r="A53" s="125" t="s">
        <v>64</v>
      </c>
      <c r="B53" s="125" t="s">
        <v>4</v>
      </c>
      <c r="C53" s="123" t="str">
        <f>C52</f>
        <v>S06/0315/18/(2008/37)TMCB/TD-DP/0012/(P/C) /2025 /AutoDCR</v>
      </c>
      <c r="D53" s="123"/>
      <c r="E53" s="123"/>
      <c r="F53" s="123"/>
      <c r="G53" s="63" t="s">
        <v>231</v>
      </c>
      <c r="H53" s="94">
        <f>H52</f>
        <v>45770</v>
      </c>
    </row>
    <row r="54" spans="1:10" ht="44.25" customHeight="1" x14ac:dyDescent="0.25">
      <c r="A54" s="125" t="s">
        <v>243</v>
      </c>
      <c r="B54" s="125"/>
      <c r="C54" s="123" t="s">
        <v>333</v>
      </c>
      <c r="D54" s="123"/>
      <c r="E54" s="123"/>
      <c r="F54" s="123"/>
      <c r="G54" s="63" t="s">
        <v>231</v>
      </c>
      <c r="H54" s="94">
        <f>H53</f>
        <v>45770</v>
      </c>
    </row>
    <row r="55" spans="1:10" ht="42" customHeight="1" x14ac:dyDescent="0.25">
      <c r="A55" s="125"/>
      <c r="B55" s="125"/>
      <c r="C55" s="127" t="s">
        <v>334</v>
      </c>
      <c r="D55" s="128"/>
      <c r="E55" s="128"/>
      <c r="F55" s="128"/>
      <c r="G55" s="128"/>
      <c r="H55" s="129"/>
    </row>
    <row r="56" spans="1:10" ht="102.75" customHeight="1" x14ac:dyDescent="0.25">
      <c r="A56" s="125" t="s">
        <v>65</v>
      </c>
      <c r="B56" s="125" t="s">
        <v>4</v>
      </c>
      <c r="C56" s="123" t="s">
        <v>360</v>
      </c>
      <c r="D56" s="123"/>
      <c r="E56" s="123"/>
      <c r="F56" s="123"/>
      <c r="G56" s="63" t="s">
        <v>232</v>
      </c>
      <c r="H56" s="94">
        <v>43915</v>
      </c>
    </row>
    <row r="57" spans="1:10" ht="45" hidden="1" customHeight="1" x14ac:dyDescent="0.25">
      <c r="A57" s="125" t="s">
        <v>67</v>
      </c>
      <c r="B57" s="125" t="s">
        <v>4</v>
      </c>
      <c r="C57" s="123"/>
      <c r="D57" s="123"/>
      <c r="E57" s="123"/>
      <c r="F57" s="123"/>
      <c r="G57" s="63" t="s">
        <v>232</v>
      </c>
      <c r="H57" s="90"/>
    </row>
    <row r="58" spans="1:10" ht="46.5" hidden="1" customHeight="1" x14ac:dyDescent="0.25">
      <c r="A58" s="125" t="s">
        <v>66</v>
      </c>
      <c r="B58" s="125" t="s">
        <v>4</v>
      </c>
      <c r="C58" s="123"/>
      <c r="D58" s="123"/>
      <c r="E58" s="123"/>
      <c r="F58" s="123"/>
      <c r="G58" s="63" t="s">
        <v>232</v>
      </c>
      <c r="H58" s="90"/>
    </row>
    <row r="59" spans="1:10" ht="45" hidden="1" customHeight="1" x14ac:dyDescent="0.25">
      <c r="A59" s="125" t="s">
        <v>68</v>
      </c>
      <c r="B59" s="125" t="s">
        <v>4</v>
      </c>
      <c r="C59" s="123"/>
      <c r="D59" s="123"/>
      <c r="E59" s="123"/>
      <c r="F59" s="123"/>
      <c r="G59" s="63" t="s">
        <v>232</v>
      </c>
      <c r="H59" s="47"/>
    </row>
    <row r="60" spans="1:10" ht="21" thickBot="1" x14ac:dyDescent="0.3">
      <c r="A60" s="139" t="s">
        <v>69</v>
      </c>
      <c r="B60" s="139"/>
      <c r="C60" s="139"/>
      <c r="D60" s="139"/>
      <c r="E60" s="139"/>
      <c r="F60" s="139"/>
      <c r="G60" s="139"/>
      <c r="H60" s="139"/>
    </row>
    <row r="61" spans="1:10" ht="20.25" customHeight="1" x14ac:dyDescent="0.3">
      <c r="A61" s="188" t="str">
        <f>CONCATENATE((IF(OR(A46="",A46="NA"),"",A46)),"= ",(IF(OR(D46="",D46="NA"),"",D46)),".")</f>
        <v>Building No. 7 Type D4= 2B + Gr/St + 2P + 1st to 41st Floor.</v>
      </c>
      <c r="B61" s="188"/>
      <c r="C61" s="188"/>
      <c r="D61" s="30" t="s">
        <v>116</v>
      </c>
      <c r="E61" s="189" t="s">
        <v>103</v>
      </c>
      <c r="F61" s="189"/>
      <c r="G61" s="30" t="s">
        <v>117</v>
      </c>
      <c r="H61" s="30" t="s">
        <v>118</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in process</v>
      </c>
      <c r="J61" s="18"/>
    </row>
    <row r="62" spans="1:10" ht="20.25" x14ac:dyDescent="0.3">
      <c r="A62" s="188"/>
      <c r="B62" s="188"/>
      <c r="C62" s="188"/>
      <c r="D62" s="95">
        <f>IF(AND(ISNUMBER(SEARCH("1B",A61))),1,IF(AND(ISNUMBER(SEARCH("2B",A61))),2,IF(AND(ISNUMBER(SEARCH("3B",A61))),3,IF(AND(ISNUMBER(SEARCH("4B",A61))),4,IF(ISNUMBER(SEARCH("5B",A61)),5,0)))))</f>
        <v>2</v>
      </c>
      <c r="E62" s="189">
        <v>1</v>
      </c>
      <c r="F62" s="189"/>
      <c r="G62" s="95">
        <v>2</v>
      </c>
      <c r="H62" s="30">
        <f ca="1">--TRIM(RIGHT(SUBSTITUTE(LEFT(A61,_xlfn.AGGREGATE(16,6,FIND({0,1,2,3,4,5,6,7,8,9},A61,ROW(INDIRECT("1:"&amp;LEN(A61)))),1))," ",REPT(" ",LEN(A61))),LEN(A61)))</f>
        <v>41</v>
      </c>
      <c r="I62" s="17" t="s">
        <v>122</v>
      </c>
      <c r="J62" s="18"/>
    </row>
    <row r="63" spans="1:10" ht="20.25" customHeight="1" x14ac:dyDescent="0.3">
      <c r="A63" s="113" t="s">
        <v>120</v>
      </c>
      <c r="B63" s="113"/>
      <c r="C63" s="44" t="s">
        <v>133</v>
      </c>
      <c r="D63" s="28" t="s">
        <v>134</v>
      </c>
      <c r="E63" s="113" t="s">
        <v>121</v>
      </c>
      <c r="F63" s="113"/>
      <c r="G63" s="29" t="s">
        <v>119</v>
      </c>
      <c r="H63" s="29"/>
      <c r="I63" s="20" t="s">
        <v>135</v>
      </c>
      <c r="J63" s="19">
        <f ca="1">H62*25%</f>
        <v>10.25</v>
      </c>
    </row>
    <row r="64" spans="1:10" ht="20.25" customHeight="1" x14ac:dyDescent="0.3">
      <c r="A64" s="114" t="s">
        <v>136</v>
      </c>
      <c r="B64" s="114"/>
      <c r="C64" s="95">
        <f ca="1">J64</f>
        <v>20.5</v>
      </c>
      <c r="D64" s="5">
        <f ca="1">((100/H62)*C64)/100</f>
        <v>0.5</v>
      </c>
      <c r="E64" s="115">
        <f ca="1">(((C64/H62*10)+(C65/H62*15)+(25/(E62+G62+H62)*C66)+(5/(H62)*C67)+(2.5/(H62)*C68)+(2.5/(H62)*C69)+(5/H62*C70)+(10/H62*C71)+(2.5/H62*C72)+(2.5/H62*C73)+(10/H62*C74)+(10/H62*C75))/100)</f>
        <v>0.05</v>
      </c>
      <c r="F64" s="116"/>
      <c r="G64" s="114" t="str">
        <f ca="1">I61</f>
        <v>Excavation work in process</v>
      </c>
      <c r="H64" s="114"/>
      <c r="I64" s="20" t="s">
        <v>123</v>
      </c>
      <c r="J64" s="24">
        <f ca="1">H62*50%</f>
        <v>20.5</v>
      </c>
    </row>
    <row r="65" spans="1:10" ht="20.25" x14ac:dyDescent="0.3">
      <c r="A65" s="114" t="s">
        <v>104</v>
      </c>
      <c r="B65" s="114"/>
      <c r="C65" s="99">
        <v>0</v>
      </c>
      <c r="D65" s="5">
        <f ca="1">((100/H62)*C65)/100</f>
        <v>0</v>
      </c>
      <c r="E65" s="117"/>
      <c r="F65" s="118"/>
      <c r="G65" s="114"/>
      <c r="H65" s="114"/>
      <c r="I65" s="20" t="s">
        <v>124</v>
      </c>
      <c r="J65" s="24">
        <f ca="1">H62</f>
        <v>41</v>
      </c>
    </row>
    <row r="66" spans="1:10" ht="21" customHeight="1" x14ac:dyDescent="0.35">
      <c r="A66" s="114" t="s">
        <v>137</v>
      </c>
      <c r="B66" s="114"/>
      <c r="C66" s="38">
        <v>0</v>
      </c>
      <c r="D66" s="5">
        <f ca="1">((100/(E62+G62+H62))*C66)/100</f>
        <v>0</v>
      </c>
      <c r="E66" s="117"/>
      <c r="F66" s="118"/>
      <c r="G66" s="114"/>
      <c r="H66" s="114"/>
      <c r="I66" s="20" t="s">
        <v>125</v>
      </c>
      <c r="J66" s="25">
        <f ca="1">(IF(D62&gt;1,(H62/(D62+2)),H62*0.2))</f>
        <v>10.25</v>
      </c>
    </row>
    <row r="67" spans="1:10" ht="21" customHeight="1" x14ac:dyDescent="0.35">
      <c r="A67" s="114" t="s">
        <v>138</v>
      </c>
      <c r="B67" s="114"/>
      <c r="C67" s="38">
        <v>0</v>
      </c>
      <c r="D67" s="5">
        <f ca="1">((100/H62)*C67)/100</f>
        <v>0</v>
      </c>
      <c r="E67" s="117"/>
      <c r="F67" s="118"/>
      <c r="G67" s="114"/>
      <c r="H67" s="114"/>
      <c r="I67" s="20" t="s">
        <v>126</v>
      </c>
      <c r="J67" s="25">
        <f ca="1">(IF(D62&gt;1,(H62/(D62+2)+J66),H62*0.2+J66))</f>
        <v>20.5</v>
      </c>
    </row>
    <row r="68" spans="1:10" ht="21" customHeight="1" x14ac:dyDescent="0.35">
      <c r="A68" s="121" t="s">
        <v>139</v>
      </c>
      <c r="B68" s="122"/>
      <c r="C68" s="38">
        <v>0</v>
      </c>
      <c r="D68" s="5">
        <f ca="1">((100/H62)*C68)/100</f>
        <v>0</v>
      </c>
      <c r="E68" s="117"/>
      <c r="F68" s="118"/>
      <c r="G68" s="114"/>
      <c r="H68" s="114"/>
      <c r="I68" s="20" t="s">
        <v>140</v>
      </c>
      <c r="J68" s="25">
        <f ca="1">(IF(D62&gt;1,(H62/(D62+2)+J67),0))</f>
        <v>30.75</v>
      </c>
    </row>
    <row r="69" spans="1:10" ht="21" customHeight="1" x14ac:dyDescent="0.35">
      <c r="A69" s="121" t="s">
        <v>170</v>
      </c>
      <c r="B69" s="122"/>
      <c r="C69" s="38">
        <v>0</v>
      </c>
      <c r="D69" s="5">
        <f ca="1">((100/H62)*C69)/100</f>
        <v>0</v>
      </c>
      <c r="E69" s="117"/>
      <c r="F69" s="118"/>
      <c r="G69" s="114"/>
      <c r="H69" s="114"/>
      <c r="I69" s="20" t="s">
        <v>141</v>
      </c>
      <c r="J69" s="25">
        <f>(IF(D62&gt;2,(H62/(D62+2)+J68),0))</f>
        <v>0</v>
      </c>
    </row>
    <row r="70" spans="1:10" ht="21" x14ac:dyDescent="0.35">
      <c r="A70" s="121" t="s">
        <v>167</v>
      </c>
      <c r="B70" s="122"/>
      <c r="C70" s="38">
        <v>0</v>
      </c>
      <c r="D70" s="5">
        <f ca="1">((100/(H62))*C70)/100</f>
        <v>0</v>
      </c>
      <c r="E70" s="117"/>
      <c r="F70" s="118"/>
      <c r="G70" s="114"/>
      <c r="H70" s="114"/>
      <c r="I70" s="20" t="s">
        <v>143</v>
      </c>
      <c r="J70" s="26">
        <f>(IF(D62&gt;3,(H62/(D62+2)+J69),0))</f>
        <v>0</v>
      </c>
    </row>
    <row r="71" spans="1:10" ht="21" x14ac:dyDescent="0.35">
      <c r="A71" s="114" t="s">
        <v>142</v>
      </c>
      <c r="B71" s="114"/>
      <c r="C71" s="38">
        <v>0</v>
      </c>
      <c r="D71" s="5">
        <f ca="1">((100/(H62))*C71)/100</f>
        <v>0</v>
      </c>
      <c r="E71" s="117"/>
      <c r="F71" s="118"/>
      <c r="G71" s="114"/>
      <c r="H71" s="114"/>
      <c r="I71" s="20" t="s">
        <v>144</v>
      </c>
      <c r="J71" s="25">
        <f>(IF(D62&gt;4,(H62/(D62+2)+J70),0))</f>
        <v>0</v>
      </c>
    </row>
    <row r="72" spans="1:10" ht="21" customHeight="1" x14ac:dyDescent="0.35">
      <c r="A72" s="114" t="s">
        <v>169</v>
      </c>
      <c r="B72" s="114"/>
      <c r="C72" s="38">
        <v>0</v>
      </c>
      <c r="D72" s="5">
        <f ca="1">((100/H62)*C72)/100</f>
        <v>0</v>
      </c>
      <c r="E72" s="117"/>
      <c r="F72" s="118"/>
      <c r="G72" s="114"/>
      <c r="H72" s="114"/>
      <c r="I72" s="20" t="s">
        <v>127</v>
      </c>
      <c r="J72" s="25">
        <f>(IF(D62=1,(H62/(D62+3)+J67),IF(D62=0,(H62*0.3+J67),IF(D62&gt;1,0))))</f>
        <v>0</v>
      </c>
    </row>
    <row r="73" spans="1:10" ht="21.75" thickBot="1" x14ac:dyDescent="0.4">
      <c r="A73" s="114" t="s">
        <v>168</v>
      </c>
      <c r="B73" s="114"/>
      <c r="C73" s="38">
        <v>0</v>
      </c>
      <c r="D73" s="5">
        <f ca="1">((100/H62)*C73)/100</f>
        <v>0</v>
      </c>
      <c r="E73" s="117"/>
      <c r="F73" s="118"/>
      <c r="G73" s="114"/>
      <c r="H73" s="114"/>
      <c r="I73" s="22" t="s">
        <v>128</v>
      </c>
      <c r="J73" s="27">
        <f ca="1">(IF(D62&gt;1.5,(H62/(D62+2)+J67+MAX(0,J68-J67)+MAX(0,J69-J68)+MAX(0,J70-J69)+MAX(0,J71-J70)+MAX(0,J72-J71)),IF(D62=1,(H62/(D62+3)+J72),IF(D62=0,H62*0.3+J72))))</f>
        <v>41</v>
      </c>
    </row>
    <row r="74" spans="1:10" ht="20.25" x14ac:dyDescent="0.25">
      <c r="A74" s="114" t="s">
        <v>145</v>
      </c>
      <c r="B74" s="114"/>
      <c r="C74" s="38">
        <v>0</v>
      </c>
      <c r="D74" s="5">
        <f ca="1">((100/(H62))*C74)/100</f>
        <v>0</v>
      </c>
      <c r="E74" s="117"/>
      <c r="F74" s="118"/>
      <c r="G74" s="114"/>
      <c r="H74" s="114"/>
    </row>
    <row r="75" spans="1:10" ht="20.25" x14ac:dyDescent="0.25">
      <c r="A75" s="114" t="s">
        <v>146</v>
      </c>
      <c r="B75" s="114"/>
      <c r="C75" s="38">
        <v>0</v>
      </c>
      <c r="D75" s="5">
        <f ca="1">((100/(H62))*C75)/100</f>
        <v>0</v>
      </c>
      <c r="E75" s="119"/>
      <c r="F75" s="120"/>
      <c r="G75" s="114"/>
      <c r="H75" s="114"/>
    </row>
    <row r="76" spans="1:10" ht="21" hidden="1" thickBot="1" x14ac:dyDescent="0.3">
      <c r="A76" s="139" t="s">
        <v>69</v>
      </c>
      <c r="B76" s="139"/>
      <c r="C76" s="139"/>
      <c r="D76" s="139"/>
      <c r="E76" s="139"/>
      <c r="F76" s="139"/>
      <c r="G76" s="139"/>
      <c r="H76" s="139"/>
    </row>
    <row r="77" spans="1:10" ht="20.25" hidden="1" customHeight="1" x14ac:dyDescent="0.3">
      <c r="A77" s="188" t="str">
        <f>CONCATENATE((IF(OR(A47="",A47="NA"),"",A47)),"= ",(IF(OR(D47="",D47="NA"),"",D47)),".")</f>
        <v>Tower 2 = .</v>
      </c>
      <c r="B77" s="188"/>
      <c r="C77" s="188"/>
      <c r="D77" s="32" t="s">
        <v>116</v>
      </c>
      <c r="E77" s="189" t="s">
        <v>103</v>
      </c>
      <c r="F77" s="189"/>
      <c r="G77" s="32" t="s">
        <v>117</v>
      </c>
      <c r="H77" s="32" t="s">
        <v>118</v>
      </c>
      <c r="I77"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v>
      </c>
      <c r="J77" s="18"/>
    </row>
    <row r="78" spans="1:10" ht="20.25" hidden="1" x14ac:dyDescent="0.3">
      <c r="A78" s="188"/>
      <c r="B78" s="188"/>
      <c r="C78" s="188"/>
      <c r="D78" s="64">
        <f>IF(AND(ISNUMBER(SEARCH("1B",A77))),1,IF(AND(ISNUMBER(SEARCH("2B",A77))),2,IF(AND(ISNUMBER(SEARCH("3B",A77))),3,IF(AND(ISNUMBER(SEARCH("4B",A77))),4,IF(ISNUMBER(SEARCH("5B",A77)),5,0)))))</f>
        <v>0</v>
      </c>
      <c r="E78" s="189">
        <v>1</v>
      </c>
      <c r="F78" s="189"/>
      <c r="G78" s="64">
        <v>0</v>
      </c>
      <c r="H78" s="32">
        <f ca="1">--TRIM(RIGHT(SUBSTITUTE(LEFT(A77,_xlfn.AGGREGATE(16,6,FIND({0,1,2,3,4,5,6,7,8,9},A77,ROW(INDIRECT("1:"&amp;LEN(A77)))),1))," ",REPT(" ",LEN(A77))),LEN(A77)))</f>
        <v>2</v>
      </c>
      <c r="I78" s="17" t="s">
        <v>122</v>
      </c>
      <c r="J78" s="18"/>
    </row>
    <row r="79" spans="1:10" ht="20.25" hidden="1" customHeight="1" x14ac:dyDescent="0.3">
      <c r="A79" s="113" t="s">
        <v>120</v>
      </c>
      <c r="B79" s="113"/>
      <c r="C79" s="44" t="s">
        <v>133</v>
      </c>
      <c r="D79" s="33" t="s">
        <v>134</v>
      </c>
      <c r="E79" s="113" t="s">
        <v>121</v>
      </c>
      <c r="F79" s="113"/>
      <c r="G79" s="29" t="s">
        <v>119</v>
      </c>
      <c r="H79" s="29"/>
      <c r="I79" s="20" t="s">
        <v>135</v>
      </c>
      <c r="J79" s="19">
        <f ca="1">H78*25%</f>
        <v>0.5</v>
      </c>
    </row>
    <row r="80" spans="1:10" ht="20.25" hidden="1" customHeight="1" x14ac:dyDescent="0.3">
      <c r="A80" s="114" t="s">
        <v>136</v>
      </c>
      <c r="B80" s="114"/>
      <c r="C80" s="38">
        <f ca="1">J81</f>
        <v>2</v>
      </c>
      <c r="D80" s="34">
        <f ca="1">((100/H78)*C80)/100</f>
        <v>1</v>
      </c>
      <c r="E80" s="115">
        <f ca="1">(((C80/H78*10)+(C81/H78*15)+(25/(E78+G78+H78)*C82)+(5/(H78)*C83)+(2.5/(H78)*C84)+(2.5/(H78)*C85)+(5/H78*C86)+(10/H78*C87)+(2.5/H78*C88)+(2.5/H78*C89)+(10/H78*C90)+(10/H78*C91))/100)</f>
        <v>0.25</v>
      </c>
      <c r="F80" s="116"/>
      <c r="G80" s="114" t="str">
        <f ca="1">I77</f>
        <v>Excavation work Completed. Plinth work completed</v>
      </c>
      <c r="H80" s="114"/>
      <c r="I80" s="20" t="s">
        <v>123</v>
      </c>
      <c r="J80" s="24">
        <f ca="1">H78*50%</f>
        <v>1</v>
      </c>
    </row>
    <row r="81" spans="1:10" ht="20.25" hidden="1" x14ac:dyDescent="0.3">
      <c r="A81" s="114" t="s">
        <v>104</v>
      </c>
      <c r="B81" s="114"/>
      <c r="C81" s="40">
        <f ca="1">J89</f>
        <v>2</v>
      </c>
      <c r="D81" s="34">
        <f ca="1">((100/H78)*C81)/100</f>
        <v>1</v>
      </c>
      <c r="E81" s="117"/>
      <c r="F81" s="118"/>
      <c r="G81" s="114"/>
      <c r="H81" s="114"/>
      <c r="I81" s="20" t="s">
        <v>124</v>
      </c>
      <c r="J81" s="24">
        <f ca="1">H78</f>
        <v>2</v>
      </c>
    </row>
    <row r="82" spans="1:10" ht="21" hidden="1" customHeight="1" x14ac:dyDescent="0.35">
      <c r="A82" s="114" t="s">
        <v>137</v>
      </c>
      <c r="B82" s="114"/>
      <c r="C82" s="38">
        <v>0</v>
      </c>
      <c r="D82" s="34">
        <f ca="1">((100/(E78+G78+H78))*C82)/100</f>
        <v>0</v>
      </c>
      <c r="E82" s="117"/>
      <c r="F82" s="118"/>
      <c r="G82" s="114"/>
      <c r="H82" s="114"/>
      <c r="I82" s="20" t="s">
        <v>125</v>
      </c>
      <c r="J82" s="25">
        <f ca="1">(IF(D78&gt;1,(H78/(D78+2)),H78*0.2))</f>
        <v>0.4</v>
      </c>
    </row>
    <row r="83" spans="1:10" ht="21" hidden="1" customHeight="1" x14ac:dyDescent="0.35">
      <c r="A83" s="114" t="s">
        <v>138</v>
      </c>
      <c r="B83" s="114"/>
      <c r="C83" s="38">
        <v>0</v>
      </c>
      <c r="D83" s="34">
        <f ca="1">((100/H78)*C83)/100</f>
        <v>0</v>
      </c>
      <c r="E83" s="117"/>
      <c r="F83" s="118"/>
      <c r="G83" s="114"/>
      <c r="H83" s="114"/>
      <c r="I83" s="20" t="s">
        <v>126</v>
      </c>
      <c r="J83" s="25">
        <f ca="1">(IF(D78&gt;1,(H78/(D78+2)+J82),H78*0.2+J82))</f>
        <v>0.8</v>
      </c>
    </row>
    <row r="84" spans="1:10" ht="21" hidden="1" customHeight="1" x14ac:dyDescent="0.35">
      <c r="A84" s="121" t="s">
        <v>139</v>
      </c>
      <c r="B84" s="122"/>
      <c r="C84" s="38">
        <v>0</v>
      </c>
      <c r="D84" s="34">
        <f ca="1">((100/H78)*C84)/100</f>
        <v>0</v>
      </c>
      <c r="E84" s="117"/>
      <c r="F84" s="118"/>
      <c r="G84" s="114"/>
      <c r="H84" s="114"/>
      <c r="I84" s="20" t="s">
        <v>140</v>
      </c>
      <c r="J84" s="25">
        <f>(IF(D78&gt;1,(H78/(D78+2)+J83),0))</f>
        <v>0</v>
      </c>
    </row>
    <row r="85" spans="1:10" ht="21" hidden="1" customHeight="1" x14ac:dyDescent="0.35">
      <c r="A85" s="121" t="s">
        <v>170</v>
      </c>
      <c r="B85" s="122"/>
      <c r="C85" s="38">
        <v>0</v>
      </c>
      <c r="D85" s="34">
        <f ca="1">((100/H78)*C85)/100</f>
        <v>0</v>
      </c>
      <c r="E85" s="117"/>
      <c r="F85" s="118"/>
      <c r="G85" s="114"/>
      <c r="H85" s="114"/>
      <c r="I85" s="20" t="s">
        <v>141</v>
      </c>
      <c r="J85" s="25">
        <f>(IF(D78&gt;2,(H78/(D78+2)+J84),0))</f>
        <v>0</v>
      </c>
    </row>
    <row r="86" spans="1:10" ht="57.75" hidden="1" customHeight="1" x14ac:dyDescent="0.35">
      <c r="A86" s="121" t="s">
        <v>167</v>
      </c>
      <c r="B86" s="122"/>
      <c r="C86" s="38">
        <v>0</v>
      </c>
      <c r="D86" s="34">
        <f ca="1">((100/(H78))*C86)/100</f>
        <v>0</v>
      </c>
      <c r="E86" s="117"/>
      <c r="F86" s="118"/>
      <c r="G86" s="114"/>
      <c r="H86" s="114"/>
      <c r="I86" s="20" t="s">
        <v>143</v>
      </c>
      <c r="J86" s="26">
        <f>(IF(D78&gt;3,(H78/(D78+2)+J85),0))</f>
        <v>0</v>
      </c>
    </row>
    <row r="87" spans="1:10" ht="21" hidden="1" x14ac:dyDescent="0.35">
      <c r="A87" s="114" t="s">
        <v>142</v>
      </c>
      <c r="B87" s="114"/>
      <c r="C87" s="38">
        <v>0</v>
      </c>
      <c r="D87" s="34">
        <f ca="1">((100/(H78))*C87)/100</f>
        <v>0</v>
      </c>
      <c r="E87" s="117"/>
      <c r="F87" s="118"/>
      <c r="G87" s="114"/>
      <c r="H87" s="114"/>
      <c r="I87" s="20" t="s">
        <v>144</v>
      </c>
      <c r="J87" s="25">
        <f>(IF(D78&gt;4,(H78/(D78+2)+J86),0))</f>
        <v>0</v>
      </c>
    </row>
    <row r="88" spans="1:10" ht="21" hidden="1" customHeight="1" x14ac:dyDescent="0.35">
      <c r="A88" s="114" t="s">
        <v>169</v>
      </c>
      <c r="B88" s="114"/>
      <c r="C88" s="38">
        <v>0</v>
      </c>
      <c r="D88" s="34">
        <f ca="1">((100/H78)*C88)/100</f>
        <v>0</v>
      </c>
      <c r="E88" s="117"/>
      <c r="F88" s="118"/>
      <c r="G88" s="114"/>
      <c r="H88" s="114"/>
      <c r="I88" s="20" t="s">
        <v>127</v>
      </c>
      <c r="J88" s="25">
        <f ca="1">(IF(D78=1,(H78/(D78+3)+J83),IF(D78=0,(H78*0.3+J83),IF(D78&gt;1,0))))</f>
        <v>1.4</v>
      </c>
    </row>
    <row r="89" spans="1:10" ht="21.75" hidden="1" thickBot="1" x14ac:dyDescent="0.4">
      <c r="A89" s="114" t="s">
        <v>168</v>
      </c>
      <c r="B89" s="114"/>
      <c r="C89" s="38">
        <v>0</v>
      </c>
      <c r="D89" s="34">
        <f ca="1">((100/H78)*C89)/100</f>
        <v>0</v>
      </c>
      <c r="E89" s="117"/>
      <c r="F89" s="118"/>
      <c r="G89" s="114"/>
      <c r="H89" s="114"/>
      <c r="I89" s="22" t="s">
        <v>128</v>
      </c>
      <c r="J89" s="27">
        <f ca="1">(IF(D78&gt;1.5,(H78/(D78+2)+J83+MAX(0,J84-J83)+MAX(0,J85-J84)+MAX(0,J86-J85)+MAX(0,J87-J86)+MAX(0,J88-J87)),IF(D78=1,(H78/(D78+3)+J88),IF(D78=0,H78*0.3+J88))))</f>
        <v>2</v>
      </c>
    </row>
    <row r="90" spans="1:10" ht="20.25" hidden="1" x14ac:dyDescent="0.25">
      <c r="A90" s="114" t="s">
        <v>145</v>
      </c>
      <c r="B90" s="114"/>
      <c r="C90" s="38">
        <v>0</v>
      </c>
      <c r="D90" s="34">
        <f ca="1">((100/(H78))*C90)/100</f>
        <v>0</v>
      </c>
      <c r="E90" s="117"/>
      <c r="F90" s="118"/>
      <c r="G90" s="114"/>
      <c r="H90" s="114"/>
    </row>
    <row r="91" spans="1:10" ht="20.25" hidden="1" x14ac:dyDescent="0.25">
      <c r="A91" s="114" t="s">
        <v>146</v>
      </c>
      <c r="B91" s="114"/>
      <c r="C91" s="38">
        <v>0</v>
      </c>
      <c r="D91" s="34">
        <f ca="1">((100/(H78))*C91)/100</f>
        <v>0</v>
      </c>
      <c r="E91" s="119"/>
      <c r="F91" s="120"/>
      <c r="G91" s="114"/>
      <c r="H91" s="114"/>
    </row>
    <row r="92" spans="1:10" ht="21" hidden="1" thickBot="1" x14ac:dyDescent="0.3">
      <c r="A92" s="139" t="s">
        <v>69</v>
      </c>
      <c r="B92" s="139"/>
      <c r="C92" s="139"/>
      <c r="D92" s="139"/>
      <c r="E92" s="139"/>
      <c r="F92" s="139"/>
      <c r="G92" s="139"/>
      <c r="H92" s="139"/>
    </row>
    <row r="93" spans="1:10" ht="20.25" hidden="1" customHeight="1" x14ac:dyDescent="0.3">
      <c r="A93" s="188" t="str">
        <f>CONCATENATE((IF(OR(A48="",A48="NA"),"",A48)),"= ",(IF(OR(D48="",D48="NA"),"",D48)),".")</f>
        <v>Tower 3 = .</v>
      </c>
      <c r="B93" s="188"/>
      <c r="C93" s="188"/>
      <c r="D93" s="38" t="s">
        <v>116</v>
      </c>
      <c r="E93" s="189" t="s">
        <v>103</v>
      </c>
      <c r="F93" s="189"/>
      <c r="G93" s="38" t="s">
        <v>117</v>
      </c>
      <c r="H93" s="38" t="s">
        <v>118</v>
      </c>
      <c r="I93" s="16"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0.25" hidden="1" x14ac:dyDescent="0.3">
      <c r="A94" s="188"/>
      <c r="B94" s="188"/>
      <c r="C94" s="188"/>
      <c r="D94" s="64">
        <f>IF(AND(ISNUMBER(SEARCH("1B",A93))),1,IF(AND(ISNUMBER(SEARCH("2B",A93))),2,IF(AND(ISNUMBER(SEARCH("3B",A93))),3,IF(AND(ISNUMBER(SEARCH("4B",A93))),4,IF(ISNUMBER(SEARCH("5B",A93)),5,0)))))</f>
        <v>0</v>
      </c>
      <c r="E94" s="189">
        <v>1</v>
      </c>
      <c r="F94" s="189"/>
      <c r="G94" s="64">
        <v>0</v>
      </c>
      <c r="H94" s="38">
        <f ca="1">--TRIM(RIGHT(SUBSTITUTE(LEFT(A93,_xlfn.AGGREGATE(16,6,FIND({0,1,2,3,4,5,6,7,8,9},A93,ROW(INDIRECT("1:"&amp;LEN(A93)))),1))," ",REPT(" ",LEN(A93))),LEN(A93)))</f>
        <v>3</v>
      </c>
      <c r="I94" s="17" t="s">
        <v>122</v>
      </c>
      <c r="J94" s="18"/>
    </row>
    <row r="95" spans="1:10" ht="20.25" hidden="1" customHeight="1" x14ac:dyDescent="0.3">
      <c r="A95" s="113" t="s">
        <v>120</v>
      </c>
      <c r="B95" s="113"/>
      <c r="C95" s="44" t="s">
        <v>133</v>
      </c>
      <c r="D95" s="44" t="s">
        <v>134</v>
      </c>
      <c r="E95" s="113" t="s">
        <v>121</v>
      </c>
      <c r="F95" s="113"/>
      <c r="G95" s="29" t="s">
        <v>119</v>
      </c>
      <c r="H95" s="29"/>
      <c r="I95" s="20" t="s">
        <v>135</v>
      </c>
      <c r="J95" s="19">
        <f ca="1">H94*25%</f>
        <v>0.75</v>
      </c>
    </row>
    <row r="96" spans="1:10" ht="20.25" hidden="1" customHeight="1" x14ac:dyDescent="0.3">
      <c r="A96" s="114" t="s">
        <v>136</v>
      </c>
      <c r="B96" s="114"/>
      <c r="C96" s="38">
        <f ca="1">J97</f>
        <v>3</v>
      </c>
      <c r="D96" s="39">
        <f ca="1">((100/H94)*C96)/100</f>
        <v>1</v>
      </c>
      <c r="E96" s="115">
        <f ca="1">(((C96/H94*10)+(C97/H94*15)+(25/(E94+G94+H94)*C98)+(5/(H94)*C99)+(2.5/(H94)*C100)+(2.5/(H94)*C101)+(5/H94*C102)+(10/H94*C103)+(2.5/H94*C104)+(2.5/H94*C105)+(10/H94*C106)+(10/H94*C107))/100)</f>
        <v>0.25</v>
      </c>
      <c r="F96" s="116"/>
      <c r="G96" s="114" t="str">
        <f ca="1">I93</f>
        <v>Excavation work Completed. Plinth work completed</v>
      </c>
      <c r="H96" s="114"/>
      <c r="I96" s="20" t="s">
        <v>123</v>
      </c>
      <c r="J96" s="24">
        <f ca="1">H94*50%</f>
        <v>1.5</v>
      </c>
    </row>
    <row r="97" spans="1:16" ht="20.25" hidden="1" x14ac:dyDescent="0.3">
      <c r="A97" s="114" t="s">
        <v>104</v>
      </c>
      <c r="B97" s="114"/>
      <c r="C97" s="40">
        <f ca="1">J105</f>
        <v>3</v>
      </c>
      <c r="D97" s="39">
        <f ca="1">((100/H94)*C97)/100</f>
        <v>1</v>
      </c>
      <c r="E97" s="117"/>
      <c r="F97" s="118"/>
      <c r="G97" s="114"/>
      <c r="H97" s="114"/>
      <c r="I97" s="20" t="s">
        <v>124</v>
      </c>
      <c r="J97" s="24">
        <f ca="1">H94</f>
        <v>3</v>
      </c>
    </row>
    <row r="98" spans="1:16" ht="21" hidden="1" customHeight="1" x14ac:dyDescent="0.35">
      <c r="A98" s="114" t="s">
        <v>137</v>
      </c>
      <c r="B98" s="114"/>
      <c r="C98" s="38">
        <v>0</v>
      </c>
      <c r="D98" s="39">
        <f ca="1">((100/(E94+G94+H94))*C98)/100</f>
        <v>0</v>
      </c>
      <c r="E98" s="117"/>
      <c r="F98" s="118"/>
      <c r="G98" s="114"/>
      <c r="H98" s="114"/>
      <c r="I98" s="20" t="s">
        <v>125</v>
      </c>
      <c r="J98" s="25">
        <f ca="1">(IF(D94&gt;1,(H94/(D94+2)),H94*0.2))</f>
        <v>0.60000000000000009</v>
      </c>
    </row>
    <row r="99" spans="1:16" ht="21" hidden="1" customHeight="1" x14ac:dyDescent="0.35">
      <c r="A99" s="114" t="s">
        <v>138</v>
      </c>
      <c r="B99" s="114"/>
      <c r="C99" s="38">
        <v>0</v>
      </c>
      <c r="D99" s="39">
        <f ca="1">((100/H94)*C99)/100</f>
        <v>0</v>
      </c>
      <c r="E99" s="117"/>
      <c r="F99" s="118"/>
      <c r="G99" s="114"/>
      <c r="H99" s="114"/>
      <c r="I99" s="20" t="s">
        <v>126</v>
      </c>
      <c r="J99" s="25">
        <f ca="1">(IF(D94&gt;1,(H94/(D94+2)+J98),H94*0.2+J98))</f>
        <v>1.2000000000000002</v>
      </c>
    </row>
    <row r="100" spans="1:16" ht="21" hidden="1" customHeight="1" x14ac:dyDescent="0.35">
      <c r="A100" s="121" t="s">
        <v>139</v>
      </c>
      <c r="B100" s="122"/>
      <c r="C100" s="38">
        <v>0</v>
      </c>
      <c r="D100" s="39">
        <f ca="1">((100/H94)*C100)/100</f>
        <v>0</v>
      </c>
      <c r="E100" s="117"/>
      <c r="F100" s="118"/>
      <c r="G100" s="114"/>
      <c r="H100" s="114"/>
      <c r="I100" s="20" t="s">
        <v>140</v>
      </c>
      <c r="J100" s="25">
        <f>(IF(D94&gt;1,(H94/(D94+2)+J99),0))</f>
        <v>0</v>
      </c>
    </row>
    <row r="101" spans="1:16" ht="21" hidden="1" customHeight="1" x14ac:dyDescent="0.35">
      <c r="A101" s="121" t="s">
        <v>170</v>
      </c>
      <c r="B101" s="122"/>
      <c r="C101" s="38">
        <v>0</v>
      </c>
      <c r="D101" s="39">
        <f ca="1">((100/H94)*C101)/100</f>
        <v>0</v>
      </c>
      <c r="E101" s="117"/>
      <c r="F101" s="118"/>
      <c r="G101" s="114"/>
      <c r="H101" s="114"/>
      <c r="I101" s="20" t="s">
        <v>141</v>
      </c>
      <c r="J101" s="25">
        <f>(IF(D94&gt;2,(H94/(D94+2)+J100),0))</f>
        <v>0</v>
      </c>
    </row>
    <row r="102" spans="1:16" ht="57.75" hidden="1" customHeight="1" x14ac:dyDescent="0.35">
      <c r="A102" s="121" t="s">
        <v>167</v>
      </c>
      <c r="B102" s="122"/>
      <c r="C102" s="38">
        <v>0</v>
      </c>
      <c r="D102" s="39">
        <f ca="1">((100/(H94))*C102)/100</f>
        <v>0</v>
      </c>
      <c r="E102" s="117"/>
      <c r="F102" s="118"/>
      <c r="G102" s="114"/>
      <c r="H102" s="114"/>
      <c r="I102" s="20" t="s">
        <v>143</v>
      </c>
      <c r="J102" s="26">
        <f>(IF(D94&gt;3,(H94/(D94+2)+J101),0))</f>
        <v>0</v>
      </c>
    </row>
    <row r="103" spans="1:16" ht="21" hidden="1" x14ac:dyDescent="0.35">
      <c r="A103" s="114" t="s">
        <v>142</v>
      </c>
      <c r="B103" s="114"/>
      <c r="C103" s="38">
        <v>0</v>
      </c>
      <c r="D103" s="39">
        <f ca="1">((100/(H94))*C103)/100</f>
        <v>0</v>
      </c>
      <c r="E103" s="117"/>
      <c r="F103" s="118"/>
      <c r="G103" s="114"/>
      <c r="H103" s="114"/>
      <c r="I103" s="20" t="s">
        <v>144</v>
      </c>
      <c r="J103" s="25">
        <f>(IF(D94&gt;4,(H94/(D94+2)+J102),0))</f>
        <v>0</v>
      </c>
    </row>
    <row r="104" spans="1:16" ht="21" hidden="1" customHeight="1" x14ac:dyDescent="0.35">
      <c r="A104" s="114" t="s">
        <v>169</v>
      </c>
      <c r="B104" s="114"/>
      <c r="C104" s="38">
        <v>0</v>
      </c>
      <c r="D104" s="39">
        <f ca="1">((100/H94)*C104)/100</f>
        <v>0</v>
      </c>
      <c r="E104" s="117"/>
      <c r="F104" s="118"/>
      <c r="G104" s="114"/>
      <c r="H104" s="114"/>
      <c r="I104" s="20" t="s">
        <v>127</v>
      </c>
      <c r="J104" s="25">
        <f ca="1">(IF(D94=1,(H94/(D94+3)+J99),IF(D94=0,(H94*0.3+J99),IF(D94&gt;1,0))))</f>
        <v>2.1</v>
      </c>
    </row>
    <row r="105" spans="1:16" ht="21.75" hidden="1" thickBot="1" x14ac:dyDescent="0.4">
      <c r="A105" s="114" t="s">
        <v>168</v>
      </c>
      <c r="B105" s="114"/>
      <c r="C105" s="38">
        <v>0</v>
      </c>
      <c r="D105" s="39">
        <f ca="1">((100/H94)*C105)/100</f>
        <v>0</v>
      </c>
      <c r="E105" s="117"/>
      <c r="F105" s="118"/>
      <c r="G105" s="114"/>
      <c r="H105" s="114"/>
      <c r="I105" s="22" t="s">
        <v>128</v>
      </c>
      <c r="J105" s="27">
        <f ca="1">(IF(D94&gt;1.5,(H94/(D94+2)+J99+MAX(0,J100-J99)+MAX(0,J101-J100)+MAX(0,J102-J101)+MAX(0,J103-J102)+MAX(0,J104-J103)),IF(D94=1,(H94/(D94+3)+J104),IF(D94=0,H94*0.3+J104))))</f>
        <v>3</v>
      </c>
    </row>
    <row r="106" spans="1:16" ht="20.25" hidden="1" x14ac:dyDescent="0.25">
      <c r="A106" s="114" t="s">
        <v>145</v>
      </c>
      <c r="B106" s="114"/>
      <c r="C106" s="38">
        <v>0</v>
      </c>
      <c r="D106" s="39">
        <f ca="1">((100/(H94))*C106)/100</f>
        <v>0</v>
      </c>
      <c r="E106" s="117"/>
      <c r="F106" s="118"/>
      <c r="G106" s="114"/>
      <c r="H106" s="114"/>
    </row>
    <row r="107" spans="1:16" ht="20.25" hidden="1" x14ac:dyDescent="0.25">
      <c r="A107" s="114" t="s">
        <v>146</v>
      </c>
      <c r="B107" s="114"/>
      <c r="C107" s="38">
        <v>0</v>
      </c>
      <c r="D107" s="39">
        <f ca="1">((100/(H94))*C107)/100</f>
        <v>0</v>
      </c>
      <c r="E107" s="119"/>
      <c r="F107" s="120"/>
      <c r="G107" s="114"/>
      <c r="H107" s="114"/>
    </row>
    <row r="108" spans="1:16" ht="36.75" customHeight="1" x14ac:dyDescent="0.3">
      <c r="A108" s="195" t="s">
        <v>129</v>
      </c>
      <c r="B108" s="196"/>
      <c r="C108" s="196"/>
      <c r="D108" s="196"/>
      <c r="E108" s="196"/>
      <c r="F108" s="196"/>
      <c r="G108" s="190">
        <f ca="1">AVERAGE(E64)</f>
        <v>0.05</v>
      </c>
      <c r="H108" s="191"/>
      <c r="I108" s="20"/>
      <c r="J108" s="21"/>
      <c r="K108" s="21"/>
    </row>
    <row r="109" spans="1:16" ht="20.25" x14ac:dyDescent="0.25">
      <c r="A109" s="145" t="s">
        <v>73</v>
      </c>
      <c r="B109" s="146"/>
      <c r="C109" s="146"/>
      <c r="D109" s="146"/>
      <c r="E109" s="146"/>
      <c r="F109" s="146"/>
      <c r="G109" s="146"/>
      <c r="H109" s="147"/>
    </row>
    <row r="110" spans="1:16" ht="42.75" customHeight="1" x14ac:dyDescent="0.25">
      <c r="A110" s="105" t="s">
        <v>74</v>
      </c>
      <c r="B110" s="106"/>
      <c r="C110" s="107" t="s">
        <v>108</v>
      </c>
      <c r="D110" s="108"/>
      <c r="E110" s="105" t="s">
        <v>147</v>
      </c>
      <c r="F110" s="106" t="s">
        <v>4</v>
      </c>
      <c r="G110" s="148" t="s">
        <v>160</v>
      </c>
      <c r="H110" s="148"/>
      <c r="I110" s="93" t="s">
        <v>361</v>
      </c>
    </row>
    <row r="111" spans="1:16" ht="43.5" customHeight="1" x14ac:dyDescent="0.25">
      <c r="A111" s="105" t="s">
        <v>157</v>
      </c>
      <c r="B111" s="106"/>
      <c r="C111" s="225" t="s">
        <v>365</v>
      </c>
      <c r="D111" s="226"/>
      <c r="E111" s="105" t="s">
        <v>158</v>
      </c>
      <c r="F111" s="106" t="s">
        <v>4</v>
      </c>
      <c r="G111" s="123" t="s">
        <v>148</v>
      </c>
      <c r="H111" s="123"/>
      <c r="I111" s="104">
        <f>59000000/430</f>
        <v>137209.3023255814</v>
      </c>
      <c r="J111" s="1">
        <f>89000000/625</f>
        <v>142400</v>
      </c>
      <c r="L111" s="1">
        <v>14000</v>
      </c>
      <c r="M111" s="1">
        <f>L111*1.5</f>
        <v>21000</v>
      </c>
    </row>
    <row r="112" spans="1:16" ht="25.5" customHeight="1" x14ac:dyDescent="0.25">
      <c r="A112" s="105" t="s">
        <v>75</v>
      </c>
      <c r="B112" s="106"/>
      <c r="C112" s="149">
        <v>600000</v>
      </c>
      <c r="D112" s="151"/>
      <c r="E112" s="105" t="s">
        <v>102</v>
      </c>
      <c r="F112" s="106" t="s">
        <v>4</v>
      </c>
      <c r="G112" s="107" t="s">
        <v>109</v>
      </c>
      <c r="H112" s="108"/>
      <c r="L112" s="1">
        <v>13500</v>
      </c>
      <c r="M112" s="1">
        <f>L112*1.5</f>
        <v>20250</v>
      </c>
      <c r="P112" s="1">
        <f>12500/1.5</f>
        <v>8333.3333333333339</v>
      </c>
    </row>
    <row r="113" spans="1:150 16226:16383" ht="20.25" x14ac:dyDescent="0.25">
      <c r="A113" s="145" t="s">
        <v>72</v>
      </c>
      <c r="B113" s="146"/>
      <c r="C113" s="146"/>
      <c r="D113" s="146"/>
      <c r="E113" s="146"/>
      <c r="F113" s="146"/>
      <c r="G113" s="146"/>
      <c r="H113" s="147"/>
    </row>
    <row r="114" spans="1:150 16226:16383" ht="20.25" customHeight="1" x14ac:dyDescent="0.25">
      <c r="A114" s="105" t="s">
        <v>8</v>
      </c>
      <c r="B114" s="110"/>
      <c r="C114" s="110"/>
      <c r="D114" s="110"/>
      <c r="E114" s="110"/>
      <c r="F114" s="106"/>
      <c r="G114" s="179">
        <f>16200/10.764</f>
        <v>1505.0167224080269</v>
      </c>
      <c r="H114" s="180"/>
    </row>
    <row r="115" spans="1:150 16226:16383" ht="20.25" customHeight="1" x14ac:dyDescent="0.25">
      <c r="A115" s="105" t="s">
        <v>28</v>
      </c>
      <c r="B115" s="110"/>
      <c r="C115" s="110"/>
      <c r="D115" s="110"/>
      <c r="E115" s="110"/>
      <c r="F115" s="106" t="s">
        <v>4</v>
      </c>
      <c r="G115" s="175">
        <f>82000/10.764</f>
        <v>7617.9858788554448</v>
      </c>
      <c r="H115" s="175"/>
    </row>
    <row r="116" spans="1:150 16226:16383" ht="20.25" customHeight="1" x14ac:dyDescent="0.25">
      <c r="A116" s="105" t="s">
        <v>110</v>
      </c>
      <c r="B116" s="110"/>
      <c r="C116" s="110"/>
      <c r="D116" s="110"/>
      <c r="E116" s="110"/>
      <c r="F116" s="106" t="s">
        <v>4</v>
      </c>
      <c r="G116" s="175">
        <f>G114*0.8</f>
        <v>1204.0133779264215</v>
      </c>
      <c r="H116" s="175"/>
    </row>
    <row r="117" spans="1:150 16226:16383" ht="20.25" hidden="1" x14ac:dyDescent="0.25">
      <c r="A117" s="176" t="s">
        <v>244</v>
      </c>
      <c r="B117" s="177"/>
      <c r="C117" s="177"/>
      <c r="D117" s="177"/>
      <c r="E117" s="177"/>
      <c r="F117" s="177"/>
      <c r="G117" s="177"/>
      <c r="H117" s="178"/>
    </row>
    <row r="118" spans="1:150 16226:16383" s="3" customFormat="1" ht="20.25" hidden="1" x14ac:dyDescent="0.25">
      <c r="A118" s="160" t="s">
        <v>154</v>
      </c>
      <c r="B118" s="161"/>
      <c r="C118" s="160" t="s">
        <v>155</v>
      </c>
      <c r="D118" s="161"/>
      <c r="E118" s="160" t="s">
        <v>153</v>
      </c>
      <c r="F118" s="161"/>
      <c r="G118" s="160" t="s">
        <v>166</v>
      </c>
      <c r="H118" s="16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x14ac:dyDescent="0.25">
      <c r="A119" s="111"/>
      <c r="B119" s="112"/>
      <c r="C119" s="111"/>
      <c r="D119" s="112"/>
      <c r="E119" s="111"/>
      <c r="F119" s="112"/>
      <c r="G119" s="111"/>
      <c r="H119" s="112"/>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111"/>
      <c r="B120" s="112"/>
      <c r="C120" s="111"/>
      <c r="D120" s="112"/>
      <c r="E120" s="111"/>
      <c r="F120" s="112"/>
      <c r="G120" s="111"/>
      <c r="H120" s="11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60" t="s">
        <v>156</v>
      </c>
      <c r="B121" s="161"/>
      <c r="C121" s="160" t="s">
        <v>96</v>
      </c>
      <c r="D121" s="161"/>
      <c r="E121" s="160">
        <f>SUM(F119:F120)</f>
        <v>0</v>
      </c>
      <c r="F121" s="161"/>
      <c r="G121" s="160">
        <f>SUM(H119:H120)</f>
        <v>0</v>
      </c>
      <c r="H121" s="161">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76" t="s">
        <v>233</v>
      </c>
      <c r="B122" s="177"/>
      <c r="C122" s="177"/>
      <c r="D122" s="177"/>
      <c r="E122" s="177"/>
      <c r="F122" s="177"/>
      <c r="G122" s="177"/>
      <c r="H122" s="178"/>
    </row>
    <row r="123" spans="1:150 16226:16383" s="3" customFormat="1" ht="20.25" x14ac:dyDescent="0.25">
      <c r="A123" s="160" t="s">
        <v>154</v>
      </c>
      <c r="B123" s="161"/>
      <c r="C123" s="160" t="s">
        <v>155</v>
      </c>
      <c r="D123" s="161"/>
      <c r="E123" s="160" t="s">
        <v>153</v>
      </c>
      <c r="F123" s="161"/>
      <c r="G123" s="160" t="s">
        <v>166</v>
      </c>
      <c r="H123" s="16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1" thickBot="1" x14ac:dyDescent="0.3">
      <c r="A124" s="111" t="s">
        <v>346</v>
      </c>
      <c r="B124" s="112"/>
      <c r="C124" s="111" t="s">
        <v>96</v>
      </c>
      <c r="D124" s="112"/>
      <c r="E124" s="111">
        <f>COUNT(E138:E141)+COUNT(E145:E152)*33+COUNT(E154,E156:E161)*6+COUNT(E163,E165:E170)</f>
        <v>317</v>
      </c>
      <c r="F124" s="112"/>
      <c r="G124" s="111">
        <f>SUM(H138:H141)+SUM(H145:H152)*33+SUM(H154,H156:H161)*6+SUM(H163,H165:H170)</f>
        <v>168616.12247999999</v>
      </c>
      <c r="H124" s="112"/>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hidden="1" x14ac:dyDescent="0.25">
      <c r="A125" s="111"/>
      <c r="B125" s="112"/>
      <c r="C125" s="111"/>
      <c r="D125" s="112"/>
      <c r="E125" s="111"/>
      <c r="F125" s="112"/>
      <c r="G125" s="111"/>
      <c r="H125" s="11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hidden="1" thickBot="1" x14ac:dyDescent="0.3">
      <c r="A126" s="143" t="s">
        <v>156</v>
      </c>
      <c r="B126" s="144"/>
      <c r="C126" s="143" t="s">
        <v>96</v>
      </c>
      <c r="D126" s="144"/>
      <c r="E126" s="143">
        <f>E124</f>
        <v>317</v>
      </c>
      <c r="F126" s="144"/>
      <c r="G126" s="143">
        <f>G124</f>
        <v>168616.12247999999</v>
      </c>
      <c r="H126" s="14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thickBot="1" x14ac:dyDescent="0.3">
      <c r="A127" s="184" t="s">
        <v>245</v>
      </c>
      <c r="B127" s="142"/>
      <c r="C127" s="141" t="s">
        <v>96</v>
      </c>
      <c r="D127" s="142"/>
      <c r="E127" s="141">
        <f>SUM(F121,E126)</f>
        <v>317</v>
      </c>
      <c r="F127" s="142"/>
      <c r="G127" s="141">
        <f>SUM(H121,G126)</f>
        <v>168616.12247999999</v>
      </c>
      <c r="H127" s="18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97" t="s">
        <v>152</v>
      </c>
      <c r="B128" s="198"/>
      <c r="C128" s="198"/>
      <c r="D128" s="198"/>
      <c r="E128" s="198"/>
      <c r="F128" s="198"/>
      <c r="G128" s="198"/>
      <c r="H128" s="199"/>
    </row>
    <row r="129" spans="1:150 16226:16383" ht="66" customHeight="1" x14ac:dyDescent="0.25">
      <c r="A129" s="65" t="s">
        <v>234</v>
      </c>
      <c r="B129" s="43" t="s">
        <v>235</v>
      </c>
      <c r="C129" s="98" t="s">
        <v>236</v>
      </c>
      <c r="D129" s="31" t="s">
        <v>90</v>
      </c>
      <c r="E129" s="43" t="s">
        <v>348</v>
      </c>
      <c r="F129" s="98" t="s">
        <v>357</v>
      </c>
      <c r="G129" s="31" t="s">
        <v>92</v>
      </c>
      <c r="H129" s="31" t="s">
        <v>91</v>
      </c>
      <c r="I129" s="91">
        <v>10.763999999999999</v>
      </c>
    </row>
    <row r="130" spans="1:150 16226:16383" s="3" customFormat="1" ht="20.25" customHeight="1" x14ac:dyDescent="0.25">
      <c r="A130" s="200" t="s">
        <v>335</v>
      </c>
      <c r="B130" s="201"/>
      <c r="C130" s="201"/>
      <c r="D130" s="201"/>
      <c r="E130" s="201"/>
      <c r="F130" s="201"/>
      <c r="G130" s="201"/>
      <c r="H130" s="202"/>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200" t="s">
        <v>331</v>
      </c>
      <c r="B131" s="201"/>
      <c r="C131" s="201"/>
      <c r="D131" s="201"/>
      <c r="E131" s="201"/>
      <c r="F131" s="201"/>
      <c r="G131" s="201"/>
      <c r="H131" s="202"/>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81" t="s">
        <v>336</v>
      </c>
      <c r="B132" s="182"/>
      <c r="C132" s="182"/>
      <c r="D132" s="182"/>
      <c r="E132" s="182"/>
      <c r="F132" s="182"/>
      <c r="G132" s="182"/>
      <c r="H132" s="183"/>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81" t="s">
        <v>337</v>
      </c>
      <c r="B133" s="182"/>
      <c r="C133" s="182"/>
      <c r="D133" s="182"/>
      <c r="E133" s="182"/>
      <c r="F133" s="182"/>
      <c r="G133" s="182"/>
      <c r="H133" s="183"/>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81" t="s">
        <v>338</v>
      </c>
      <c r="B134" s="182"/>
      <c r="C134" s="182"/>
      <c r="D134" s="182"/>
      <c r="E134" s="182"/>
      <c r="F134" s="182"/>
      <c r="G134" s="182"/>
      <c r="H134" s="183"/>
      <c r="I134" s="4">
        <v>1</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81" t="s">
        <v>339</v>
      </c>
      <c r="B135" s="182"/>
      <c r="C135" s="182"/>
      <c r="D135" s="182"/>
      <c r="E135" s="182"/>
      <c r="F135" s="182"/>
      <c r="G135" s="182"/>
      <c r="H135" s="183"/>
      <c r="I135" s="4">
        <v>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40">
        <v>1</v>
      </c>
      <c r="B136" s="140"/>
      <c r="C136" s="203" t="s">
        <v>340</v>
      </c>
      <c r="D136" s="204"/>
      <c r="E136" s="204"/>
      <c r="F136" s="204"/>
      <c r="G136" s="204"/>
      <c r="H136" s="20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86">
        <f>A136+1</f>
        <v>2</v>
      </c>
      <c r="B137" s="187"/>
      <c r="C137" s="206"/>
      <c r="D137" s="207"/>
      <c r="E137" s="207"/>
      <c r="F137" s="207"/>
      <c r="G137" s="207"/>
      <c r="H137" s="208"/>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86">
        <f t="shared" ref="A138:A143" si="0">A137+1</f>
        <v>3</v>
      </c>
      <c r="B138" s="187"/>
      <c r="C138" s="66" t="s">
        <v>96</v>
      </c>
      <c r="D138" s="66" t="s">
        <v>341</v>
      </c>
      <c r="E138" s="91">
        <f>(38.49)*10.764</f>
        <v>414.30635999999998</v>
      </c>
      <c r="F138" s="102">
        <f>(1.46)*10.764</f>
        <v>15.715439999999999</v>
      </c>
      <c r="G138" s="92">
        <v>0</v>
      </c>
      <c r="H138" s="92">
        <f t="shared" ref="H138:H141" si="1">E138+F138+(IF(G138&lt;101,G138,IF(G138&lt;201,G138/2,IF(G138&lt;=301,G138/3,G138/4))))</f>
        <v>430.02179999999998</v>
      </c>
      <c r="I138" s="97">
        <f>2.9*4.45+2.02*2.7+2.98*3.05+1.2*2.15+2.1*1.25+1.43+0.82+1.47*0.6</f>
        <v>35.784999999999997</v>
      </c>
      <c r="J138" s="1">
        <f>2.4</f>
        <v>2.4</v>
      </c>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86">
        <f t="shared" si="0"/>
        <v>4</v>
      </c>
      <c r="B139" s="187"/>
      <c r="C139" s="66" t="s">
        <v>96</v>
      </c>
      <c r="D139" s="66" t="s">
        <v>363</v>
      </c>
      <c r="E139" s="91">
        <f>(56.97)*10.764</f>
        <v>613.22507999999993</v>
      </c>
      <c r="F139" s="102">
        <f>(1.72)*10.764</f>
        <v>18.51408</v>
      </c>
      <c r="G139" s="92">
        <v>0</v>
      </c>
      <c r="H139" s="92">
        <f t="shared" si="1"/>
        <v>631.73915999999997</v>
      </c>
      <c r="I139" s="1">
        <f>(2.45*2.55+0.92*0.6)*10.764</f>
        <v>73.189818000000002</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186">
        <f t="shared" si="0"/>
        <v>5</v>
      </c>
      <c r="B140" s="187"/>
      <c r="C140" s="66" t="s">
        <v>96</v>
      </c>
      <c r="D140" s="66" t="s">
        <v>341</v>
      </c>
      <c r="E140" s="91">
        <f>(38.51)*10.764</f>
        <v>414.52163999999993</v>
      </c>
      <c r="F140" s="102">
        <f>(1.67)*10.764</f>
        <v>17.975879999999997</v>
      </c>
      <c r="G140" s="92">
        <v>0</v>
      </c>
      <c r="H140" s="92">
        <f t="shared" si="1"/>
        <v>432.49751999999995</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86">
        <f t="shared" si="0"/>
        <v>6</v>
      </c>
      <c r="B141" s="187"/>
      <c r="C141" s="66" t="s">
        <v>96</v>
      </c>
      <c r="D141" s="66" t="s">
        <v>363</v>
      </c>
      <c r="E141" s="91">
        <f>(56.37)*10.764</f>
        <v>606.76667999999995</v>
      </c>
      <c r="F141" s="102">
        <f>(1.64)*10.764</f>
        <v>17.652959999999997</v>
      </c>
      <c r="G141" s="92">
        <v>0</v>
      </c>
      <c r="H141" s="92">
        <f t="shared" si="1"/>
        <v>624.41963999999996</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86">
        <f t="shared" si="0"/>
        <v>7</v>
      </c>
      <c r="B142" s="187"/>
      <c r="C142" s="203" t="s">
        <v>340</v>
      </c>
      <c r="D142" s="204"/>
      <c r="E142" s="204"/>
      <c r="F142" s="204"/>
      <c r="G142" s="204"/>
      <c r="H142" s="205"/>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86">
        <f t="shared" si="0"/>
        <v>8</v>
      </c>
      <c r="B143" s="187"/>
      <c r="C143" s="206"/>
      <c r="D143" s="207"/>
      <c r="E143" s="207"/>
      <c r="F143" s="207"/>
      <c r="G143" s="207"/>
      <c r="H143" s="208"/>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42" customHeight="1" x14ac:dyDescent="0.25">
      <c r="A144" s="181" t="s">
        <v>342</v>
      </c>
      <c r="B144" s="182"/>
      <c r="C144" s="182"/>
      <c r="D144" s="182"/>
      <c r="E144" s="182"/>
      <c r="F144" s="182"/>
      <c r="G144" s="182"/>
      <c r="H144" s="183"/>
      <c r="I144" s="4">
        <f>5+4+4+4+4+4+4+4</f>
        <v>33</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40">
        <v>1</v>
      </c>
      <c r="B145" s="140"/>
      <c r="C145" s="66" t="s">
        <v>96</v>
      </c>
      <c r="D145" s="66" t="s">
        <v>363</v>
      </c>
      <c r="E145" s="91">
        <f>(57)*10.764</f>
        <v>613.548</v>
      </c>
      <c r="F145" s="102">
        <f>(1.71)*10.764</f>
        <v>18.40644</v>
      </c>
      <c r="G145" s="92">
        <v>0</v>
      </c>
      <c r="H145" s="92">
        <f>E145+F145+(IF(G145&lt;101,G145,IF(G145&lt;201,G145/2,IF(G145&lt;=301,G145/3,G145/4))))</f>
        <v>631.95443999999998</v>
      </c>
      <c r="I145" s="1">
        <f>3.05*5.47+2.13*2.6+2.45*2.55+3.13*3.63+1.13*2.3+3.85+2.18*0.6+1.22*(2.15+2.15)+0.92*0.6</f>
        <v>53.385899999999999</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86">
        <f>A145+1</f>
        <v>2</v>
      </c>
      <c r="B146" s="187"/>
      <c r="C146" s="66" t="s">
        <v>96</v>
      </c>
      <c r="D146" s="66" t="s">
        <v>341</v>
      </c>
      <c r="E146" s="91">
        <f>(38.57)*10.764</f>
        <v>415.16747999999995</v>
      </c>
      <c r="F146" s="102">
        <f>(1.66)*10.764</f>
        <v>17.868239999999997</v>
      </c>
      <c r="G146" s="92">
        <v>0</v>
      </c>
      <c r="H146" s="92">
        <f t="shared" ref="H146:H152" si="2">E146+F146+(IF(G146&lt;101,G146,IF(G146&lt;201,G146/2,IF(G146&lt;=301,G146/3,G146/4))))</f>
        <v>433.03571999999997</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86">
        <f t="shared" ref="A147:A152" si="3">A146+1</f>
        <v>3</v>
      </c>
      <c r="B147" s="187"/>
      <c r="C147" s="66" t="s">
        <v>96</v>
      </c>
      <c r="D147" s="66" t="s">
        <v>341</v>
      </c>
      <c r="E147" s="91">
        <f>(38.49)*10.764</f>
        <v>414.30635999999998</v>
      </c>
      <c r="F147" s="102">
        <f>(1.46)*10.764</f>
        <v>15.715439999999999</v>
      </c>
      <c r="G147" s="92">
        <v>0</v>
      </c>
      <c r="H147" s="92">
        <f t="shared" si="2"/>
        <v>430.02179999999998</v>
      </c>
      <c r="I147" s="1">
        <f>2.9*4.45+2.02*2.7+2.98*3.05+1.2*2.15+2.1*1.25+1.43+0.82+1.47*0.6</f>
        <v>35.784999999999997</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86">
        <f t="shared" si="3"/>
        <v>4</v>
      </c>
      <c r="B148" s="187"/>
      <c r="C148" s="66" t="s">
        <v>96</v>
      </c>
      <c r="D148" s="66" t="s">
        <v>363</v>
      </c>
      <c r="E148" s="91">
        <f>(56.97)*10.764</f>
        <v>613.22507999999993</v>
      </c>
      <c r="F148" s="102">
        <f>(1.72)*10.764</f>
        <v>18.51408</v>
      </c>
      <c r="G148" s="92">
        <v>0</v>
      </c>
      <c r="H148" s="92">
        <f t="shared" si="2"/>
        <v>631.73915999999997</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186">
        <f t="shared" si="3"/>
        <v>5</v>
      </c>
      <c r="B149" s="187"/>
      <c r="C149" s="66" t="s">
        <v>96</v>
      </c>
      <c r="D149" s="66" t="s">
        <v>341</v>
      </c>
      <c r="E149" s="91">
        <f>(38.51)*10.764</f>
        <v>414.52163999999993</v>
      </c>
      <c r="F149" s="102">
        <f>(1.67)*10.764</f>
        <v>17.975879999999997</v>
      </c>
      <c r="G149" s="92">
        <v>0</v>
      </c>
      <c r="H149" s="92">
        <f t="shared" si="2"/>
        <v>432.49751999999995</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86">
        <f t="shared" si="3"/>
        <v>6</v>
      </c>
      <c r="B150" s="187"/>
      <c r="C150" s="66" t="s">
        <v>96</v>
      </c>
      <c r="D150" s="66" t="s">
        <v>363</v>
      </c>
      <c r="E150" s="91">
        <f>(56.37)*10.764</f>
        <v>606.76667999999995</v>
      </c>
      <c r="F150" s="102">
        <f>(1.64)*10.764</f>
        <v>17.652959999999997</v>
      </c>
      <c r="G150" s="92">
        <v>0</v>
      </c>
      <c r="H150" s="92">
        <f t="shared" si="2"/>
        <v>624.41963999999996</v>
      </c>
      <c r="I150" s="96">
        <f>2.9*6.1+2.9*2.17+2.37*2.7+3.05*3.85+1.2*2.15+1.25*2.1+1.5+3.25+0.92*0.6</f>
        <v>52.631499999999996</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86">
        <f t="shared" si="3"/>
        <v>7</v>
      </c>
      <c r="B151" s="187"/>
      <c r="C151" s="66" t="s">
        <v>96</v>
      </c>
      <c r="D151" s="66" t="s">
        <v>363</v>
      </c>
      <c r="E151" s="91">
        <f>(56.28)*10.764</f>
        <v>605.79791999999998</v>
      </c>
      <c r="F151" s="102">
        <f>(1.57)*10.764</f>
        <v>16.899480000000001</v>
      </c>
      <c r="G151" s="92">
        <v>0</v>
      </c>
      <c r="H151" s="92">
        <f t="shared" si="2"/>
        <v>622.69740000000002</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86">
        <f t="shared" si="3"/>
        <v>8</v>
      </c>
      <c r="B152" s="187"/>
      <c r="C152" s="66" t="s">
        <v>96</v>
      </c>
      <c r="D152" s="66" t="s">
        <v>341</v>
      </c>
      <c r="E152" s="91">
        <f>(38.45)*10.764</f>
        <v>413.87580000000003</v>
      </c>
      <c r="F152" s="102">
        <f>(1.67)*10.764</f>
        <v>17.975879999999997</v>
      </c>
      <c r="G152" s="92">
        <v>0</v>
      </c>
      <c r="H152" s="92">
        <f t="shared" si="2"/>
        <v>431.85168000000004</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181" t="s">
        <v>343</v>
      </c>
      <c r="B153" s="182"/>
      <c r="C153" s="182"/>
      <c r="D153" s="182"/>
      <c r="E153" s="182"/>
      <c r="F153" s="182"/>
      <c r="G153" s="182"/>
      <c r="H153" s="183"/>
      <c r="I153" s="4">
        <v>6</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40">
        <v>1</v>
      </c>
      <c r="B154" s="140"/>
      <c r="C154" s="66" t="s">
        <v>96</v>
      </c>
      <c r="D154" s="66" t="s">
        <v>363</v>
      </c>
      <c r="E154" s="91">
        <f>(57)*10.764</f>
        <v>613.548</v>
      </c>
      <c r="F154" s="103">
        <f>(1.71)*10.764</f>
        <v>18.40644</v>
      </c>
      <c r="G154" s="92">
        <v>0</v>
      </c>
      <c r="H154" s="92">
        <f>E154+F154+(IF(G154&lt;101,G154,IF(G154&lt;201,G154/2,IF(G154&lt;=301,G154/3,G154/4))))</f>
        <v>631.95443999999998</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86">
        <f>A154+1</f>
        <v>2</v>
      </c>
      <c r="B155" s="187"/>
      <c r="C155" s="186" t="s">
        <v>344</v>
      </c>
      <c r="D155" s="209"/>
      <c r="E155" s="209"/>
      <c r="F155" s="209"/>
      <c r="G155" s="209"/>
      <c r="H155" s="18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86">
        <f t="shared" ref="A156:A161" si="4">A155+1</f>
        <v>3</v>
      </c>
      <c r="B156" s="187"/>
      <c r="C156" s="66" t="s">
        <v>96</v>
      </c>
      <c r="D156" s="66" t="s">
        <v>341</v>
      </c>
      <c r="E156" s="91">
        <f>(38.49)*10.764</f>
        <v>414.30635999999998</v>
      </c>
      <c r="F156" s="103">
        <f>(1.46)*10.764</f>
        <v>15.715439999999999</v>
      </c>
      <c r="G156" s="92">
        <v>0</v>
      </c>
      <c r="H156" s="92">
        <f t="shared" ref="H156:H161" si="5">E156+F156+(IF(G156&lt;101,G156,IF(G156&lt;201,G156/2,IF(G156&lt;=301,G156/3,G156/4))))</f>
        <v>430.02179999999998</v>
      </c>
      <c r="I156" s="1">
        <f>5500000/H156</f>
        <v>12790.049248665999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86">
        <f t="shared" si="4"/>
        <v>4</v>
      </c>
      <c r="B157" s="187"/>
      <c r="C157" s="66" t="s">
        <v>96</v>
      </c>
      <c r="D157" s="66" t="s">
        <v>363</v>
      </c>
      <c r="E157" s="91">
        <f>(56.97)*10.764</f>
        <v>613.22507999999993</v>
      </c>
      <c r="F157" s="103">
        <f>(1.72)*10.764</f>
        <v>18.51408</v>
      </c>
      <c r="G157" s="92">
        <v>0</v>
      </c>
      <c r="H157" s="92">
        <f t="shared" si="5"/>
        <v>631.73915999999997</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86">
        <f t="shared" si="4"/>
        <v>5</v>
      </c>
      <c r="B158" s="187"/>
      <c r="C158" s="66" t="s">
        <v>96</v>
      </c>
      <c r="D158" s="66" t="s">
        <v>341</v>
      </c>
      <c r="E158" s="91">
        <f>(38.51)*10.764</f>
        <v>414.52163999999993</v>
      </c>
      <c r="F158" s="103">
        <f>(1.67)*10.764</f>
        <v>17.975879999999997</v>
      </c>
      <c r="G158" s="92">
        <v>0</v>
      </c>
      <c r="H158" s="92">
        <f t="shared" si="5"/>
        <v>432.49751999999995</v>
      </c>
      <c r="I158" s="1">
        <f>5526000/H158</f>
        <v>12776.951877088222</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86">
        <f t="shared" si="4"/>
        <v>6</v>
      </c>
      <c r="B159" s="187"/>
      <c r="C159" s="66" t="s">
        <v>96</v>
      </c>
      <c r="D159" s="66" t="s">
        <v>363</v>
      </c>
      <c r="E159" s="91">
        <f>(56.37)*10.764</f>
        <v>606.76667999999995</v>
      </c>
      <c r="F159" s="103">
        <f>(1.64)*10.764</f>
        <v>17.652959999999997</v>
      </c>
      <c r="G159" s="92">
        <v>0</v>
      </c>
      <c r="H159" s="92">
        <f t="shared" si="5"/>
        <v>624.41963999999996</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86">
        <f t="shared" si="4"/>
        <v>7</v>
      </c>
      <c r="B160" s="187"/>
      <c r="C160" s="66" t="s">
        <v>96</v>
      </c>
      <c r="D160" s="66" t="s">
        <v>363</v>
      </c>
      <c r="E160" s="91">
        <f>(56.28)*10.764</f>
        <v>605.79791999999998</v>
      </c>
      <c r="F160" s="103">
        <f>(1.57)*10.764</f>
        <v>16.899480000000001</v>
      </c>
      <c r="G160" s="92">
        <v>0</v>
      </c>
      <c r="H160" s="92">
        <f t="shared" si="5"/>
        <v>622.69740000000002</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86">
        <f t="shared" si="4"/>
        <v>8</v>
      </c>
      <c r="B161" s="187"/>
      <c r="C161" s="66" t="s">
        <v>96</v>
      </c>
      <c r="D161" s="66" t="s">
        <v>341</v>
      </c>
      <c r="E161" s="91">
        <f>(38.45)*10.764</f>
        <v>413.87580000000003</v>
      </c>
      <c r="F161" s="103">
        <f>(1.67)*10.764</f>
        <v>17.975879999999997</v>
      </c>
      <c r="G161" s="92">
        <v>0</v>
      </c>
      <c r="H161" s="92">
        <f t="shared" si="5"/>
        <v>431.85168000000004</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x14ac:dyDescent="0.25">
      <c r="A162" s="181" t="s">
        <v>345</v>
      </c>
      <c r="B162" s="182"/>
      <c r="C162" s="182"/>
      <c r="D162" s="182"/>
      <c r="E162" s="182"/>
      <c r="F162" s="182"/>
      <c r="G162" s="182"/>
      <c r="H162" s="183"/>
      <c r="I162" s="4">
        <v>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x14ac:dyDescent="0.25">
      <c r="A163" s="140">
        <v>1</v>
      </c>
      <c r="B163" s="140"/>
      <c r="C163" s="66" t="s">
        <v>96</v>
      </c>
      <c r="D163" s="66" t="s">
        <v>363</v>
      </c>
      <c r="E163" s="42">
        <f>(57)*10.764</f>
        <v>613.548</v>
      </c>
      <c r="F163" s="103">
        <f>(1.71)*10.764</f>
        <v>18.40644</v>
      </c>
      <c r="G163" s="41">
        <v>0</v>
      </c>
      <c r="H163" s="6">
        <f>E163+F163+(IF(G163&lt;101,G163,IF(G163&lt;201,G163/2,IF(G163&lt;=301,G163/3,G163/4))))</f>
        <v>631.95443999999998</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186">
        <f>A163+1</f>
        <v>2</v>
      </c>
      <c r="B164" s="187"/>
      <c r="C164" s="186" t="s">
        <v>344</v>
      </c>
      <c r="D164" s="209"/>
      <c r="E164" s="209"/>
      <c r="F164" s="209"/>
      <c r="G164" s="209"/>
      <c r="H164" s="187"/>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86">
        <f t="shared" ref="A165:A170" si="6">A164+1</f>
        <v>3</v>
      </c>
      <c r="B165" s="187"/>
      <c r="C165" s="66" t="s">
        <v>96</v>
      </c>
      <c r="D165" s="66" t="s">
        <v>341</v>
      </c>
      <c r="E165" s="42">
        <f>(38.49)*10.764</f>
        <v>414.30635999999998</v>
      </c>
      <c r="F165" s="103">
        <f>(1.46)*10.764</f>
        <v>15.715439999999999</v>
      </c>
      <c r="G165" s="41">
        <v>0</v>
      </c>
      <c r="H165" s="41">
        <f t="shared" ref="H165:H170" si="7">E165+F165+(IF(G165&lt;101,G165,IF(G165&lt;201,G165/2,IF(G165&lt;=301,G165/3,G165/4))))</f>
        <v>430.02179999999998</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186">
        <f t="shared" si="6"/>
        <v>4</v>
      </c>
      <c r="B166" s="187"/>
      <c r="C166" s="66" t="s">
        <v>96</v>
      </c>
      <c r="D166" s="66" t="s">
        <v>363</v>
      </c>
      <c r="E166" s="42">
        <f>(56.97)*10.764</f>
        <v>613.22507999999993</v>
      </c>
      <c r="F166" s="103">
        <f>(1.72)*10.764</f>
        <v>18.51408</v>
      </c>
      <c r="G166" s="41">
        <v>0</v>
      </c>
      <c r="H166" s="41">
        <f t="shared" si="7"/>
        <v>631.73915999999997</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186">
        <f t="shared" si="6"/>
        <v>5</v>
      </c>
      <c r="B167" s="187"/>
      <c r="C167" s="66" t="s">
        <v>96</v>
      </c>
      <c r="D167" s="66" t="s">
        <v>341</v>
      </c>
      <c r="E167" s="42">
        <f>(38.51)*10.764</f>
        <v>414.52163999999993</v>
      </c>
      <c r="F167" s="103">
        <f>(1.67)*10.764</f>
        <v>17.975879999999997</v>
      </c>
      <c r="G167" s="41">
        <v>0</v>
      </c>
      <c r="H167" s="41">
        <f t="shared" si="7"/>
        <v>432.49751999999995</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186">
        <f t="shared" si="6"/>
        <v>6</v>
      </c>
      <c r="B168" s="187"/>
      <c r="C168" s="66" t="s">
        <v>96</v>
      </c>
      <c r="D168" s="66" t="s">
        <v>363</v>
      </c>
      <c r="E168" s="42">
        <f>(56.37)*10.764</f>
        <v>606.76667999999995</v>
      </c>
      <c r="F168" s="103">
        <f>(1.64)*10.764</f>
        <v>17.652959999999997</v>
      </c>
      <c r="G168" s="41">
        <v>0</v>
      </c>
      <c r="H168" s="41">
        <f t="shared" si="7"/>
        <v>624.41963999999996</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186">
        <f t="shared" si="6"/>
        <v>7</v>
      </c>
      <c r="B169" s="187"/>
      <c r="C169" s="66" t="s">
        <v>96</v>
      </c>
      <c r="D169" s="66" t="s">
        <v>363</v>
      </c>
      <c r="E169" s="42">
        <f>(56.28)*10.764</f>
        <v>605.79791999999998</v>
      </c>
      <c r="F169" s="103">
        <f>(1.57)*10.764</f>
        <v>16.899480000000001</v>
      </c>
      <c r="G169" s="41">
        <v>0</v>
      </c>
      <c r="H169" s="41">
        <f t="shared" si="7"/>
        <v>622.69740000000002</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186">
        <f t="shared" si="6"/>
        <v>8</v>
      </c>
      <c r="B170" s="187"/>
      <c r="C170" s="66" t="s">
        <v>96</v>
      </c>
      <c r="D170" s="66" t="s">
        <v>341</v>
      </c>
      <c r="E170" s="42">
        <f>(38.45)*10.764</f>
        <v>413.87580000000003</v>
      </c>
      <c r="F170" s="103">
        <f>(1.67)*10.764</f>
        <v>17.975879999999997</v>
      </c>
      <c r="G170" s="41">
        <v>0</v>
      </c>
      <c r="H170" s="41">
        <f t="shared" si="7"/>
        <v>431.85168000000004</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x14ac:dyDescent="0.25">
      <c r="A171" s="152" t="s">
        <v>130</v>
      </c>
      <c r="B171" s="153"/>
      <c r="C171" s="153"/>
      <c r="D171" s="153"/>
      <c r="E171" s="153"/>
      <c r="F171" s="153"/>
      <c r="G171" s="153"/>
      <c r="H171" s="15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25">
      <c r="A172" s="140" t="str">
        <f ca="1">T172</f>
        <v>201,..,901</v>
      </c>
      <c r="B172" s="140"/>
      <c r="C172" s="66"/>
      <c r="D172" s="66"/>
      <c r="E172" s="42">
        <v>0</v>
      </c>
      <c r="F172" s="41">
        <v>0</v>
      </c>
      <c r="G172" s="41">
        <v>0</v>
      </c>
      <c r="H172" s="41">
        <f>E172+F172+(IF(G172&lt;101,G172,IF(G172&lt;201,G172/2,IF(G172&lt;=301,G172/3,G172/4))))</f>
        <v>0</v>
      </c>
      <c r="I172" s="1"/>
      <c r="J172" s="1"/>
      <c r="K172" s="1"/>
      <c r="L172" s="1"/>
      <c r="M172" s="1"/>
      <c r="N172" s="1"/>
      <c r="O172" s="1"/>
      <c r="P172" s="1"/>
      <c r="Q172" s="1"/>
      <c r="R172" s="1"/>
      <c r="S172" s="1"/>
      <c r="T172" s="23" t="str">
        <f t="shared" ref="T172:T179" ca="1" si="8">U172&amp;""&amp;",..,"&amp;""&amp;V172</f>
        <v>201,..,901</v>
      </c>
      <c r="U172" s="23">
        <f ca="1">(SUMPRODUCT(MID(0&amp;(LEFT(A171,SUM(LEN(A171)-LEN(SUBSTITUTE(A171,{"0","1","2","3"},""))))), LARGE(INDEX(ISNUMBER(--MID((LEFT(A171,SUM(LEN(A171)-LEN(SUBSTITUTE(A171,{"0","1","2","3"},""))))), ROW(INDIRECT("1:"&amp;LEN((LEFT(A171,SUM(LEN(A171)-LEN(SUBSTITUTE(A171,{"0","1","2","3"},"")))))))), 1)) * ROW(INDIRECT("1:"&amp;LEN((LEFT(A171,SUM(LEN(A171)-LEN(SUBSTITUTE(A171,{"0","1","2","3"},"")))))))), 0), ROW(INDIRECT("1:"&amp;LEN((LEFT(A171,SUM(LEN(A171)-LEN(SUBSTITUTE(A171,{"0","1","2","3"},"")))))))))+1, 1) * 10^ROW(INDIRECT("1:"&amp;LEN((LEFT(A171,SUM(LEN(A171)-LEN(SUBSTITUTE(A171,{"0","1","2","3"},""))))))))/10))*100+1</f>
        <v>201</v>
      </c>
      <c r="V172" s="23">
        <f ca="1">(SUMPRODUCT(MID(0&amp;(--TRIM(RIGHT(SUBSTITUTE(LEFT(A171,_xlfn.AGGREGATE(16,6,FIND({0,1,2,3,4,5,6,7,8,9},A171,ROW(INDIRECT("1:"&amp;LEN(A171)))),1)),"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",LEN(A171))),LEN(A171)))))))/10))*100+1</f>
        <v>901</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25">
      <c r="A173" s="140" t="str">
        <f t="shared" ref="A173:A179" ca="1" si="9">T173</f>
        <v>202,..,902</v>
      </c>
      <c r="B173" s="140"/>
      <c r="C173" s="66"/>
      <c r="D173" s="66"/>
      <c r="E173" s="42"/>
      <c r="F173" s="41"/>
      <c r="G173" s="41"/>
      <c r="H173" s="41">
        <f t="shared" ref="H173:H179" si="10">E173+F173+(IF(G173&lt;101,G173,IF(G173&lt;201,G173/2,IF(G173&lt;=301,G173/3,G173/4))))</f>
        <v>0</v>
      </c>
      <c r="I173" s="1"/>
      <c r="J173" s="1"/>
      <c r="K173" s="1"/>
      <c r="L173" s="1"/>
      <c r="M173" s="1"/>
      <c r="N173" s="1"/>
      <c r="O173" s="1"/>
      <c r="P173" s="1"/>
      <c r="Q173" s="1"/>
      <c r="R173" s="1"/>
      <c r="S173" s="1"/>
      <c r="T173" s="23" t="str">
        <f t="shared" ca="1" si="8"/>
        <v>202,..,902</v>
      </c>
      <c r="U173" s="23">
        <f ca="1">U172+1</f>
        <v>202</v>
      </c>
      <c r="V173" s="23">
        <f ca="1">V172+1</f>
        <v>902</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customHeight="1" x14ac:dyDescent="0.25">
      <c r="A174" s="140" t="str">
        <f t="shared" ca="1" si="9"/>
        <v>203,..,903</v>
      </c>
      <c r="B174" s="140"/>
      <c r="C174" s="66"/>
      <c r="D174" s="66"/>
      <c r="E174" s="42"/>
      <c r="F174" s="41"/>
      <c r="G174" s="41"/>
      <c r="H174" s="41">
        <f t="shared" si="10"/>
        <v>0</v>
      </c>
      <c r="I174" s="1"/>
      <c r="J174" s="1"/>
      <c r="K174" s="1"/>
      <c r="L174" s="1"/>
      <c r="M174" s="1"/>
      <c r="N174" s="1"/>
      <c r="O174" s="1"/>
      <c r="P174" s="1"/>
      <c r="Q174" s="1"/>
      <c r="R174" s="1"/>
      <c r="S174" s="1"/>
      <c r="T174" s="23" t="str">
        <f t="shared" ca="1" si="8"/>
        <v>203,..,903</v>
      </c>
      <c r="U174" s="23">
        <f t="shared" ref="U174:U179" ca="1" si="11">U173+1</f>
        <v>203</v>
      </c>
      <c r="V174" s="23">
        <f t="shared" ref="V174:V179" ca="1" si="12">V173+1</f>
        <v>903</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25">
      <c r="A175" s="140" t="str">
        <f t="shared" ca="1" si="9"/>
        <v>204,..,904</v>
      </c>
      <c r="B175" s="140"/>
      <c r="C175" s="66"/>
      <c r="D175" s="66"/>
      <c r="E175" s="42"/>
      <c r="F175" s="41"/>
      <c r="G175" s="41"/>
      <c r="H175" s="41">
        <f t="shared" si="10"/>
        <v>0</v>
      </c>
      <c r="I175" s="1"/>
      <c r="J175" s="1"/>
      <c r="K175" s="1"/>
      <c r="L175" s="1"/>
      <c r="M175" s="1"/>
      <c r="N175" s="1"/>
      <c r="O175" s="1"/>
      <c r="P175" s="1"/>
      <c r="Q175" s="1"/>
      <c r="R175" s="1"/>
      <c r="S175" s="1"/>
      <c r="T175" s="23" t="str">
        <f t="shared" ca="1" si="8"/>
        <v>204,..,904</v>
      </c>
      <c r="U175" s="23">
        <f t="shared" ca="1" si="11"/>
        <v>204</v>
      </c>
      <c r="V175" s="23">
        <f t="shared" ca="1" si="12"/>
        <v>904</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25">
      <c r="A176" s="140" t="str">
        <f t="shared" ca="1" si="9"/>
        <v>205,..,905</v>
      </c>
      <c r="B176" s="140"/>
      <c r="C176" s="66"/>
      <c r="D176" s="66"/>
      <c r="E176" s="42"/>
      <c r="F176" s="41"/>
      <c r="G176" s="41"/>
      <c r="H176" s="41">
        <f t="shared" si="10"/>
        <v>0</v>
      </c>
      <c r="I176" s="1"/>
      <c r="J176" s="1"/>
      <c r="K176" s="1"/>
      <c r="L176" s="1"/>
      <c r="M176" s="1"/>
      <c r="N176" s="1"/>
      <c r="O176" s="1"/>
      <c r="P176" s="1"/>
      <c r="Q176" s="1"/>
      <c r="R176" s="1"/>
      <c r="S176" s="1"/>
      <c r="T176" s="23" t="str">
        <f t="shared" ca="1" si="8"/>
        <v>205,..,905</v>
      </c>
      <c r="U176" s="23">
        <f t="shared" ca="1" si="11"/>
        <v>205</v>
      </c>
      <c r="V176" s="23">
        <f t="shared" ca="1" si="12"/>
        <v>905</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25">
      <c r="A177" s="140" t="str">
        <f t="shared" ca="1" si="9"/>
        <v>206,..,906</v>
      </c>
      <c r="B177" s="140"/>
      <c r="C177" s="66"/>
      <c r="D177" s="66"/>
      <c r="E177" s="42"/>
      <c r="F177" s="41"/>
      <c r="G177" s="41"/>
      <c r="H177" s="41">
        <f t="shared" si="10"/>
        <v>0</v>
      </c>
      <c r="I177" s="1"/>
      <c r="J177" s="1"/>
      <c r="K177" s="1"/>
      <c r="L177" s="1"/>
      <c r="M177" s="1"/>
      <c r="N177" s="1"/>
      <c r="O177" s="1"/>
      <c r="P177" s="1"/>
      <c r="Q177" s="1"/>
      <c r="R177" s="1"/>
      <c r="S177" s="1"/>
      <c r="T177" s="23" t="str">
        <f t="shared" ca="1" si="8"/>
        <v>206,..,906</v>
      </c>
      <c r="U177" s="23">
        <f t="shared" ca="1" si="11"/>
        <v>206</v>
      </c>
      <c r="V177" s="23">
        <f t="shared" ca="1" si="12"/>
        <v>906</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140" t="str">
        <f t="shared" ca="1" si="9"/>
        <v>207,..,907</v>
      </c>
      <c r="B178" s="140"/>
      <c r="C178" s="66"/>
      <c r="D178" s="66"/>
      <c r="E178" s="42"/>
      <c r="F178" s="41"/>
      <c r="G178" s="41"/>
      <c r="H178" s="41">
        <f t="shared" si="10"/>
        <v>0</v>
      </c>
      <c r="I178" s="1"/>
      <c r="J178" s="1"/>
      <c r="K178" s="1"/>
      <c r="L178" s="1"/>
      <c r="M178" s="1"/>
      <c r="N178" s="1"/>
      <c r="O178" s="1"/>
      <c r="P178" s="1"/>
      <c r="Q178" s="1"/>
      <c r="R178" s="1"/>
      <c r="S178" s="1"/>
      <c r="T178" s="23" t="str">
        <f t="shared" ca="1" si="8"/>
        <v>207,..,907</v>
      </c>
      <c r="U178" s="23">
        <f t="shared" ca="1" si="11"/>
        <v>207</v>
      </c>
      <c r="V178" s="23">
        <f t="shared" ca="1" si="12"/>
        <v>907</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140" t="str">
        <f t="shared" ca="1" si="9"/>
        <v>208,..,908</v>
      </c>
      <c r="B179" s="140"/>
      <c r="C179" s="66"/>
      <c r="D179" s="66"/>
      <c r="E179" s="42"/>
      <c r="F179" s="41"/>
      <c r="G179" s="41"/>
      <c r="H179" s="41">
        <f t="shared" si="10"/>
        <v>0</v>
      </c>
      <c r="I179" s="1"/>
      <c r="J179" s="1"/>
      <c r="K179" s="1"/>
      <c r="L179" s="1"/>
      <c r="M179" s="1"/>
      <c r="N179" s="1"/>
      <c r="O179" s="1"/>
      <c r="P179" s="1"/>
      <c r="Q179" s="1"/>
      <c r="R179" s="1"/>
      <c r="S179" s="1"/>
      <c r="T179" s="23" t="str">
        <f t="shared" ca="1" si="8"/>
        <v>208,..,908</v>
      </c>
      <c r="U179" s="23">
        <f t="shared" ca="1" si="11"/>
        <v>208</v>
      </c>
      <c r="V179" s="23">
        <f t="shared" ca="1" si="12"/>
        <v>908</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x14ac:dyDescent="0.25">
      <c r="A180" s="152" t="s">
        <v>131</v>
      </c>
      <c r="B180" s="153"/>
      <c r="C180" s="153"/>
      <c r="D180" s="153"/>
      <c r="E180" s="153"/>
      <c r="F180" s="153"/>
      <c r="G180" s="153"/>
      <c r="H180" s="15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25">
      <c r="A181" s="140" t="str">
        <f ca="1">T181</f>
        <v>201 to 501</v>
      </c>
      <c r="B181" s="140"/>
      <c r="C181" s="66"/>
      <c r="D181" s="66"/>
      <c r="E181" s="42">
        <v>0</v>
      </c>
      <c r="F181" s="41">
        <v>0</v>
      </c>
      <c r="G181" s="41">
        <v>0</v>
      </c>
      <c r="H181" s="41">
        <f>E181+F181+(IF(G181&lt;101,G181,IF(G181&lt;201,G181/2,IF(G181&lt;=301,G181/3,G181/4))))</f>
        <v>0</v>
      </c>
      <c r="I181" s="1"/>
      <c r="J181" s="1"/>
      <c r="K181" s="1"/>
      <c r="L181" s="1"/>
      <c r="M181" s="1"/>
      <c r="N181" s="1"/>
      <c r="O181" s="1"/>
      <c r="P181" s="1"/>
      <c r="Q181" s="1"/>
      <c r="R181" s="1"/>
      <c r="S181" s="1"/>
      <c r="T181" s="23" t="str">
        <f ca="1">U181&amp;""&amp;" to "&amp;""&amp;V181</f>
        <v>201 to 501</v>
      </c>
      <c r="U181" s="23">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201</v>
      </c>
      <c r="V181" s="23">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501</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25">
      <c r="A182" s="140" t="str">
        <f t="shared" ref="A182:A188" ca="1" si="13">T182</f>
        <v>202 to 502</v>
      </c>
      <c r="B182" s="140"/>
      <c r="C182" s="66"/>
      <c r="D182" s="66"/>
      <c r="E182" s="42"/>
      <c r="F182" s="41"/>
      <c r="G182" s="41"/>
      <c r="H182" s="41">
        <f t="shared" ref="H182:H188" si="14">E182+F182+(IF(G182&lt;101,G182,IF(G182&lt;201,G182/2,IF(G182&lt;=301,G182/3,G182/4))))</f>
        <v>0</v>
      </c>
      <c r="I182" s="1"/>
      <c r="J182" s="1"/>
      <c r="K182" s="1"/>
      <c r="L182" s="1"/>
      <c r="M182" s="1"/>
      <c r="N182" s="1"/>
      <c r="O182" s="1"/>
      <c r="P182" s="1"/>
      <c r="Q182" s="1"/>
      <c r="R182" s="1"/>
      <c r="S182" s="1"/>
      <c r="T182" s="23" t="str">
        <f t="shared" ref="T182:T188" ca="1" si="15">U182&amp;""&amp;" to "&amp;""&amp;V182</f>
        <v>202 to 502</v>
      </c>
      <c r="U182" s="23">
        <f ca="1">U181+1</f>
        <v>202</v>
      </c>
      <c r="V182" s="23">
        <f ca="1">V181+1</f>
        <v>502</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25">
      <c r="A183" s="140" t="str">
        <f t="shared" ca="1" si="13"/>
        <v>203 to 503</v>
      </c>
      <c r="B183" s="140"/>
      <c r="C183" s="66"/>
      <c r="D183" s="66"/>
      <c r="E183" s="42"/>
      <c r="F183" s="41"/>
      <c r="G183" s="41"/>
      <c r="H183" s="41">
        <f t="shared" si="14"/>
        <v>0</v>
      </c>
      <c r="I183" s="1"/>
      <c r="J183" s="1"/>
      <c r="K183" s="1"/>
      <c r="L183" s="1"/>
      <c r="M183" s="1"/>
      <c r="N183" s="1"/>
      <c r="O183" s="1"/>
      <c r="P183" s="1"/>
      <c r="Q183" s="1"/>
      <c r="R183" s="1"/>
      <c r="S183" s="1"/>
      <c r="T183" s="23" t="str">
        <f t="shared" ca="1" si="15"/>
        <v>203 to 503</v>
      </c>
      <c r="U183" s="23">
        <f t="shared" ref="U183:U188" ca="1" si="16">U182+1</f>
        <v>203</v>
      </c>
      <c r="V183" s="23">
        <f t="shared" ref="V183:V188" ca="1" si="17">V182+1</f>
        <v>503</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25">
      <c r="A184" s="140" t="str">
        <f t="shared" ca="1" si="13"/>
        <v>204 to 504</v>
      </c>
      <c r="B184" s="140"/>
      <c r="C184" s="66"/>
      <c r="D184" s="66"/>
      <c r="E184" s="42"/>
      <c r="F184" s="41"/>
      <c r="G184" s="41"/>
      <c r="H184" s="41">
        <f t="shared" si="14"/>
        <v>0</v>
      </c>
      <c r="I184" s="1"/>
      <c r="J184" s="1"/>
      <c r="K184" s="1"/>
      <c r="L184" s="1"/>
      <c r="M184" s="1"/>
      <c r="N184" s="1"/>
      <c r="O184" s="1"/>
      <c r="P184" s="1"/>
      <c r="Q184" s="1"/>
      <c r="R184" s="1"/>
      <c r="S184" s="1"/>
      <c r="T184" s="23" t="str">
        <f t="shared" ca="1" si="15"/>
        <v>204 to 504</v>
      </c>
      <c r="U184" s="23">
        <f t="shared" ca="1" si="16"/>
        <v>204</v>
      </c>
      <c r="V184" s="23">
        <f t="shared" ca="1" si="17"/>
        <v>504</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25">
      <c r="A185" s="140" t="str">
        <f t="shared" ca="1" si="13"/>
        <v>205 to 505</v>
      </c>
      <c r="B185" s="140"/>
      <c r="C185" s="66"/>
      <c r="D185" s="66"/>
      <c r="E185" s="42"/>
      <c r="F185" s="41"/>
      <c r="G185" s="41"/>
      <c r="H185" s="41">
        <f t="shared" si="14"/>
        <v>0</v>
      </c>
      <c r="I185" s="1"/>
      <c r="J185" s="1"/>
      <c r="K185" s="1"/>
      <c r="L185" s="1"/>
      <c r="M185" s="1"/>
      <c r="N185" s="1"/>
      <c r="O185" s="1"/>
      <c r="P185" s="1"/>
      <c r="Q185" s="1"/>
      <c r="R185" s="1"/>
      <c r="S185" s="1"/>
      <c r="T185" s="23" t="str">
        <f t="shared" ca="1" si="15"/>
        <v>205 to 505</v>
      </c>
      <c r="U185" s="23">
        <f t="shared" ca="1" si="16"/>
        <v>205</v>
      </c>
      <c r="V185" s="23">
        <f t="shared" ca="1" si="17"/>
        <v>505</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25">
      <c r="A186" s="140" t="str">
        <f t="shared" ca="1" si="13"/>
        <v>206 to 506</v>
      </c>
      <c r="B186" s="140"/>
      <c r="C186" s="66"/>
      <c r="D186" s="66"/>
      <c r="E186" s="42"/>
      <c r="F186" s="41"/>
      <c r="G186" s="41"/>
      <c r="H186" s="41">
        <f t="shared" si="14"/>
        <v>0</v>
      </c>
      <c r="I186" s="1"/>
      <c r="J186" s="1"/>
      <c r="K186" s="1"/>
      <c r="L186" s="1"/>
      <c r="M186" s="1"/>
      <c r="N186" s="1"/>
      <c r="O186" s="1"/>
      <c r="P186" s="1"/>
      <c r="Q186" s="1"/>
      <c r="R186" s="1"/>
      <c r="S186" s="1"/>
      <c r="T186" s="23" t="str">
        <f t="shared" ca="1" si="15"/>
        <v>206 to 506</v>
      </c>
      <c r="U186" s="23">
        <f t="shared" ca="1" si="16"/>
        <v>206</v>
      </c>
      <c r="V186" s="23">
        <f t="shared" ca="1" si="17"/>
        <v>506</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140" t="str">
        <f t="shared" ca="1" si="13"/>
        <v>207 to 507</v>
      </c>
      <c r="B187" s="140"/>
      <c r="C187" s="66"/>
      <c r="D187" s="66"/>
      <c r="E187" s="42"/>
      <c r="F187" s="41"/>
      <c r="G187" s="41"/>
      <c r="H187" s="41">
        <f t="shared" si="14"/>
        <v>0</v>
      </c>
      <c r="I187" s="1"/>
      <c r="J187" s="1"/>
      <c r="K187" s="1"/>
      <c r="L187" s="1"/>
      <c r="M187" s="1"/>
      <c r="N187" s="1"/>
      <c r="O187" s="1"/>
      <c r="P187" s="1"/>
      <c r="Q187" s="1"/>
      <c r="R187" s="1"/>
      <c r="S187" s="1"/>
      <c r="T187" s="23" t="str">
        <f t="shared" ca="1" si="15"/>
        <v>207 to 507</v>
      </c>
      <c r="U187" s="23">
        <f t="shared" ca="1" si="16"/>
        <v>207</v>
      </c>
      <c r="V187" s="23">
        <f t="shared" ca="1" si="17"/>
        <v>507</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140" t="str">
        <f t="shared" ca="1" si="13"/>
        <v>208 to 508</v>
      </c>
      <c r="B188" s="140"/>
      <c r="C188" s="66"/>
      <c r="D188" s="66"/>
      <c r="E188" s="42"/>
      <c r="F188" s="41"/>
      <c r="G188" s="41"/>
      <c r="H188" s="41">
        <f t="shared" si="14"/>
        <v>0</v>
      </c>
      <c r="I188" s="1"/>
      <c r="J188" s="1"/>
      <c r="K188" s="1"/>
      <c r="L188" s="1"/>
      <c r="M188" s="1"/>
      <c r="N188" s="1"/>
      <c r="O188" s="1"/>
      <c r="P188" s="1"/>
      <c r="Q188" s="1"/>
      <c r="R188" s="1"/>
      <c r="S188" s="1"/>
      <c r="T188" s="23" t="str">
        <f t="shared" ca="1" si="15"/>
        <v>208 to 508</v>
      </c>
      <c r="U188" s="23">
        <f t="shared" ca="1" si="16"/>
        <v>208</v>
      </c>
      <c r="V188" s="23">
        <f t="shared" ca="1" si="17"/>
        <v>508</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x14ac:dyDescent="0.25">
      <c r="A189" s="152" t="s">
        <v>132</v>
      </c>
      <c r="B189" s="153"/>
      <c r="C189" s="153"/>
      <c r="D189" s="153"/>
      <c r="E189" s="153"/>
      <c r="F189" s="153"/>
      <c r="G189" s="153"/>
      <c r="H189" s="15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140" t="str">
        <f ca="1">T190</f>
        <v>201 &amp; 501</v>
      </c>
      <c r="B190" s="140"/>
      <c r="C190" s="66"/>
      <c r="D190" s="66"/>
      <c r="E190" s="42">
        <v>0</v>
      </c>
      <c r="F190" s="41">
        <v>0</v>
      </c>
      <c r="G190" s="41">
        <v>0</v>
      </c>
      <c r="H190" s="41">
        <f>E190+F190+(IF(G190&lt;101,G190,IF(G190&lt;201,G190/2,IF(G190&lt;=301,G190/3,G190/4))))</f>
        <v>0</v>
      </c>
      <c r="I190" s="1"/>
      <c r="J190" s="1"/>
      <c r="K190" s="1"/>
      <c r="L190" s="1"/>
      <c r="M190" s="1"/>
      <c r="N190" s="1"/>
      <c r="O190" s="1"/>
      <c r="P190" s="1"/>
      <c r="Q190" s="1"/>
      <c r="R190" s="1"/>
      <c r="S190" s="1"/>
      <c r="T190" s="23" t="str">
        <f ca="1">U190&amp;""&amp;" &amp; "&amp;""&amp;V190</f>
        <v>201 &amp; 501</v>
      </c>
      <c r="U190" s="23">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201</v>
      </c>
      <c r="V190" s="23">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501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25">
      <c r="A191" s="140" t="str">
        <f t="shared" ref="A191:A197" ca="1" si="18">T191</f>
        <v>202 &amp; 502</v>
      </c>
      <c r="B191" s="140"/>
      <c r="C191" s="66"/>
      <c r="D191" s="66"/>
      <c r="E191" s="42"/>
      <c r="F191" s="41"/>
      <c r="G191" s="41"/>
      <c r="H191" s="41">
        <f t="shared" ref="H191:H197" si="19">E191+F191+(IF(G191&lt;101,G191,IF(G191&lt;201,G191/2,IF(G191&lt;=301,G191/3,G191/4))))</f>
        <v>0</v>
      </c>
      <c r="I191" s="1"/>
      <c r="J191" s="1"/>
      <c r="K191" s="1"/>
      <c r="L191" s="1"/>
      <c r="M191" s="1"/>
      <c r="N191" s="1"/>
      <c r="O191" s="1"/>
      <c r="P191" s="1"/>
      <c r="Q191" s="1"/>
      <c r="R191" s="1"/>
      <c r="S191" s="1"/>
      <c r="T191" s="23" t="str">
        <f t="shared" ref="T191:T197" ca="1" si="20">U191&amp;""&amp;" &amp; "&amp;""&amp;V191</f>
        <v>202 &amp; 502</v>
      </c>
      <c r="U191" s="23">
        <f ca="1">U190+1</f>
        <v>202</v>
      </c>
      <c r="V191" s="23">
        <f ca="1">V190+1</f>
        <v>502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140" t="str">
        <f t="shared" ca="1" si="18"/>
        <v>203 &amp; 503</v>
      </c>
      <c r="B192" s="140"/>
      <c r="C192" s="66"/>
      <c r="D192" s="66"/>
      <c r="E192" s="42"/>
      <c r="F192" s="41"/>
      <c r="G192" s="41"/>
      <c r="H192" s="41">
        <f t="shared" si="19"/>
        <v>0</v>
      </c>
      <c r="I192" s="1"/>
      <c r="J192" s="1"/>
      <c r="K192" s="1"/>
      <c r="L192" s="1"/>
      <c r="M192" s="1"/>
      <c r="N192" s="1"/>
      <c r="O192" s="1"/>
      <c r="P192" s="1"/>
      <c r="Q192" s="1"/>
      <c r="R192" s="1"/>
      <c r="S192" s="1"/>
      <c r="T192" s="23" t="str">
        <f t="shared" ca="1" si="20"/>
        <v>203 &amp; 503</v>
      </c>
      <c r="U192" s="23">
        <f t="shared" ref="U192:U197" ca="1" si="21">U191+1</f>
        <v>203</v>
      </c>
      <c r="V192" s="23">
        <f t="shared" ref="V192:V197" ca="1" si="22">V191+1</f>
        <v>503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25">
      <c r="A193" s="140" t="str">
        <f t="shared" ca="1" si="18"/>
        <v>204 &amp; 504</v>
      </c>
      <c r="B193" s="140"/>
      <c r="C193" s="66"/>
      <c r="D193" s="66"/>
      <c r="E193" s="42"/>
      <c r="F193" s="41"/>
      <c r="G193" s="41"/>
      <c r="H193" s="41">
        <f t="shared" si="19"/>
        <v>0</v>
      </c>
      <c r="I193" s="1"/>
      <c r="J193" s="1"/>
      <c r="K193" s="1"/>
      <c r="L193" s="1"/>
      <c r="M193" s="1"/>
      <c r="N193" s="1"/>
      <c r="O193" s="1"/>
      <c r="P193" s="1"/>
      <c r="Q193" s="1"/>
      <c r="R193" s="1"/>
      <c r="S193" s="1"/>
      <c r="T193" s="23" t="str">
        <f t="shared" ca="1" si="20"/>
        <v>204 &amp; 504</v>
      </c>
      <c r="U193" s="23">
        <f t="shared" ca="1" si="21"/>
        <v>204</v>
      </c>
      <c r="V193" s="23">
        <f t="shared" ca="1" si="22"/>
        <v>504</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140" t="str">
        <f t="shared" ca="1" si="18"/>
        <v>205 &amp; 505</v>
      </c>
      <c r="B194" s="140"/>
      <c r="C194" s="66"/>
      <c r="D194" s="66"/>
      <c r="E194" s="42"/>
      <c r="F194" s="41"/>
      <c r="G194" s="41"/>
      <c r="H194" s="41">
        <f t="shared" si="19"/>
        <v>0</v>
      </c>
      <c r="I194" s="1"/>
      <c r="J194" s="1"/>
      <c r="K194" s="1"/>
      <c r="L194" s="1"/>
      <c r="M194" s="1"/>
      <c r="N194" s="1"/>
      <c r="O194" s="1"/>
      <c r="P194" s="1"/>
      <c r="Q194" s="1"/>
      <c r="R194" s="1"/>
      <c r="S194" s="1"/>
      <c r="T194" s="23" t="str">
        <f t="shared" ca="1" si="20"/>
        <v>205 &amp; 505</v>
      </c>
      <c r="U194" s="23">
        <f t="shared" ca="1" si="21"/>
        <v>205</v>
      </c>
      <c r="V194" s="23">
        <f t="shared" ca="1" si="22"/>
        <v>505</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25">
      <c r="A195" s="140" t="str">
        <f t="shared" ca="1" si="18"/>
        <v>206 &amp; 506</v>
      </c>
      <c r="B195" s="140"/>
      <c r="C195" s="66"/>
      <c r="D195" s="66"/>
      <c r="E195" s="42"/>
      <c r="F195" s="41"/>
      <c r="G195" s="41"/>
      <c r="H195" s="41">
        <f t="shared" si="19"/>
        <v>0</v>
      </c>
      <c r="I195" s="1"/>
      <c r="J195" s="1"/>
      <c r="K195" s="1"/>
      <c r="L195" s="1"/>
      <c r="M195" s="1"/>
      <c r="N195" s="1"/>
      <c r="O195" s="1"/>
      <c r="P195" s="1"/>
      <c r="Q195" s="1"/>
      <c r="R195" s="1"/>
      <c r="S195" s="1"/>
      <c r="T195" s="23" t="str">
        <f t="shared" ca="1" si="20"/>
        <v>206 &amp; 506</v>
      </c>
      <c r="U195" s="23">
        <f t="shared" ca="1" si="21"/>
        <v>206</v>
      </c>
      <c r="V195" s="23">
        <f t="shared" ca="1" si="22"/>
        <v>506</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140" t="str">
        <f t="shared" ca="1" si="18"/>
        <v>207 &amp; 507</v>
      </c>
      <c r="B196" s="140"/>
      <c r="C196" s="66"/>
      <c r="D196" s="66"/>
      <c r="E196" s="42"/>
      <c r="F196" s="41"/>
      <c r="G196" s="41"/>
      <c r="H196" s="41">
        <f t="shared" si="19"/>
        <v>0</v>
      </c>
      <c r="I196" s="1"/>
      <c r="J196" s="1"/>
      <c r="K196" s="1"/>
      <c r="L196" s="1"/>
      <c r="M196" s="1"/>
      <c r="N196" s="1"/>
      <c r="O196" s="1"/>
      <c r="P196" s="1"/>
      <c r="Q196" s="1"/>
      <c r="R196" s="1"/>
      <c r="S196" s="1"/>
      <c r="T196" s="23" t="str">
        <f t="shared" ca="1" si="20"/>
        <v>207 &amp; 507</v>
      </c>
      <c r="U196" s="23">
        <f t="shared" ca="1" si="21"/>
        <v>207</v>
      </c>
      <c r="V196" s="23">
        <f t="shared" ca="1" si="22"/>
        <v>507</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25">
      <c r="A197" s="140" t="str">
        <f t="shared" ca="1" si="18"/>
        <v>208 &amp; 508</v>
      </c>
      <c r="B197" s="140"/>
      <c r="C197" s="66"/>
      <c r="D197" s="66"/>
      <c r="E197" s="42"/>
      <c r="F197" s="41"/>
      <c r="G197" s="41"/>
      <c r="H197" s="41">
        <f t="shared" si="19"/>
        <v>0</v>
      </c>
      <c r="I197" s="1"/>
      <c r="J197" s="1"/>
      <c r="K197" s="1"/>
      <c r="L197" s="1"/>
      <c r="M197" s="1"/>
      <c r="N197" s="1"/>
      <c r="O197" s="1"/>
      <c r="P197" s="1"/>
      <c r="Q197" s="1"/>
      <c r="R197" s="1"/>
      <c r="S197" s="1"/>
      <c r="T197" s="23" t="str">
        <f t="shared" ca="1" si="20"/>
        <v>208 &amp; 508</v>
      </c>
      <c r="U197" s="23">
        <f t="shared" ca="1" si="21"/>
        <v>208</v>
      </c>
      <c r="V197" s="23">
        <f t="shared" ca="1" si="22"/>
        <v>508</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ht="20.25" x14ac:dyDescent="0.25">
      <c r="A198" s="139" t="s">
        <v>70</v>
      </c>
      <c r="B198" s="139"/>
      <c r="C198" s="139"/>
      <c r="D198" s="139"/>
      <c r="E198" s="139"/>
      <c r="F198" s="139"/>
      <c r="G198" s="139"/>
      <c r="H198" s="139"/>
    </row>
    <row r="199" spans="1:150 16226:16383" ht="20.25" x14ac:dyDescent="0.25">
      <c r="A199" s="101" t="s">
        <v>237</v>
      </c>
      <c r="B199" s="149" t="s">
        <v>349</v>
      </c>
      <c r="C199" s="150"/>
      <c r="D199" s="150"/>
      <c r="E199" s="150"/>
      <c r="F199" s="150"/>
      <c r="G199" s="150"/>
      <c r="H199" s="151"/>
    </row>
    <row r="200" spans="1:150 16226:16383" ht="20.25" x14ac:dyDescent="0.25">
      <c r="A200" s="101" t="s">
        <v>237</v>
      </c>
      <c r="B200" s="127" t="s">
        <v>238</v>
      </c>
      <c r="C200" s="128"/>
      <c r="D200" s="128"/>
      <c r="E200" s="128"/>
      <c r="F200" s="128"/>
      <c r="G200" s="128"/>
      <c r="H200" s="129"/>
    </row>
    <row r="201" spans="1:150 16226:16383" ht="20.25" x14ac:dyDescent="0.25">
      <c r="A201" s="101" t="s">
        <v>237</v>
      </c>
      <c r="B201" s="127" t="s">
        <v>359</v>
      </c>
      <c r="C201" s="128"/>
      <c r="D201" s="128"/>
      <c r="E201" s="128"/>
      <c r="F201" s="128"/>
      <c r="G201" s="128"/>
      <c r="H201" s="129"/>
    </row>
    <row r="202" spans="1:150 16226:16383" ht="20.25" x14ac:dyDescent="0.25">
      <c r="A202" s="101" t="s">
        <v>237</v>
      </c>
      <c r="B202" s="127" t="s">
        <v>239</v>
      </c>
      <c r="C202" s="128"/>
      <c r="D202" s="128"/>
      <c r="E202" s="128"/>
      <c r="F202" s="128"/>
      <c r="G202" s="128"/>
      <c r="H202" s="129"/>
    </row>
    <row r="203" spans="1:150 16226:16383" ht="20.25" x14ac:dyDescent="0.25">
      <c r="A203" s="101" t="s">
        <v>237</v>
      </c>
      <c r="B203" s="127" t="s">
        <v>240</v>
      </c>
      <c r="C203" s="128"/>
      <c r="D203" s="128"/>
      <c r="E203" s="128"/>
      <c r="F203" s="128"/>
      <c r="G203" s="128"/>
      <c r="H203" s="129"/>
    </row>
    <row r="204" spans="1:150 16226:16383" ht="22.5" customHeight="1" x14ac:dyDescent="0.25">
      <c r="A204" s="101" t="s">
        <v>237</v>
      </c>
      <c r="B204" s="149" t="s">
        <v>358</v>
      </c>
      <c r="C204" s="150"/>
      <c r="D204" s="150"/>
      <c r="E204" s="150"/>
      <c r="F204" s="150"/>
      <c r="G204" s="150"/>
      <c r="H204" s="151"/>
      <c r="I204" s="100"/>
    </row>
    <row r="205" spans="1:150 16226:16383" ht="20.25" hidden="1" customHeight="1" x14ac:dyDescent="0.25">
      <c r="A205" s="2" t="s">
        <v>237</v>
      </c>
      <c r="B205" s="109" t="s">
        <v>241</v>
      </c>
      <c r="C205" s="128"/>
      <c r="D205" s="128"/>
      <c r="E205" s="128"/>
      <c r="F205" s="128"/>
      <c r="G205" s="128"/>
      <c r="H205" s="129"/>
    </row>
    <row r="206" spans="1:150 16226:16383" ht="20.25" x14ac:dyDescent="0.25">
      <c r="A206" s="164" t="s">
        <v>76</v>
      </c>
      <c r="B206" s="164"/>
      <c r="C206" s="164"/>
      <c r="D206" s="164"/>
      <c r="E206" s="164"/>
      <c r="F206" s="164"/>
      <c r="G206" s="164"/>
      <c r="H206" s="164"/>
    </row>
    <row r="207" spans="1:150 16226:16383" ht="20.25" x14ac:dyDescent="0.25">
      <c r="A207" s="125" t="s">
        <v>71</v>
      </c>
      <c r="B207" s="125"/>
      <c r="C207" s="125"/>
      <c r="D207" s="127" t="str">
        <f>C3</f>
        <v>Elysia D­4 </v>
      </c>
      <c r="E207" s="128"/>
      <c r="F207" s="128"/>
      <c r="G207" s="128"/>
      <c r="H207" s="129"/>
    </row>
    <row r="208" spans="1:150 16226:16383" ht="40.5" customHeight="1" x14ac:dyDescent="0.25">
      <c r="A208" s="125" t="s">
        <v>105</v>
      </c>
      <c r="B208" s="125"/>
      <c r="C208" s="125"/>
      <c r="D208" s="127" t="str">
        <f>C9</f>
        <v>Elysia D­4, Gut No 59 A2B, Gut No 59 A16 B111, and Gut No 59 A16 B2111 in Chitalsar Manpada, Thane West.</v>
      </c>
      <c r="E208" s="128"/>
      <c r="F208" s="128"/>
      <c r="G208" s="128"/>
      <c r="H208" s="129"/>
    </row>
    <row r="209" spans="1:8" ht="20.25" customHeight="1" x14ac:dyDescent="0.25">
      <c r="A209" s="174" t="s">
        <v>111</v>
      </c>
      <c r="B209" s="174"/>
      <c r="C209" s="174"/>
      <c r="D209" s="127" t="str">
        <f>G3</f>
        <v>14/08/2025 at 12:47PM</v>
      </c>
      <c r="E209" s="128"/>
      <c r="F209" s="128"/>
      <c r="G209" s="128"/>
      <c r="H209" s="129"/>
    </row>
    <row r="210" spans="1:8" ht="20.25" x14ac:dyDescent="0.25">
      <c r="A210" s="10"/>
      <c r="B210" s="11"/>
      <c r="C210" s="11"/>
      <c r="D210" s="11"/>
      <c r="E210" s="11"/>
      <c r="F210" s="11"/>
      <c r="G210" s="11"/>
      <c r="H210" s="7"/>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2"/>
      <c r="B239" s="13"/>
      <c r="C239" s="13"/>
      <c r="D239" s="13"/>
      <c r="E239" s="13"/>
      <c r="F239" s="13"/>
      <c r="G239" s="13"/>
      <c r="H239" s="8"/>
    </row>
    <row r="240" spans="1:8" ht="20.25" x14ac:dyDescent="0.25">
      <c r="A240" s="12"/>
      <c r="B240" s="13"/>
      <c r="C240" s="13"/>
      <c r="D240" s="13"/>
      <c r="E240" s="13"/>
      <c r="F240" s="13"/>
      <c r="G240" s="13"/>
      <c r="H240" s="8"/>
    </row>
    <row r="241" spans="1:8" ht="20.25" x14ac:dyDescent="0.25">
      <c r="A241" s="12"/>
      <c r="B241" s="13"/>
      <c r="C241" s="13"/>
      <c r="D241" s="13"/>
      <c r="E241" s="13"/>
      <c r="F241" s="13"/>
      <c r="G241" s="13"/>
      <c r="H241" s="8"/>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4"/>
      <c r="B253" s="15"/>
      <c r="C253" s="15"/>
      <c r="D253" s="15"/>
      <c r="E253" s="15"/>
      <c r="F253" s="15"/>
      <c r="G253" s="15"/>
      <c r="H253" s="9"/>
    </row>
    <row r="254" spans="1:8" ht="20.25" x14ac:dyDescent="0.25">
      <c r="A254" s="139" t="s">
        <v>162</v>
      </c>
      <c r="B254" s="139"/>
      <c r="C254" s="139"/>
      <c r="D254" s="139"/>
      <c r="E254" s="139"/>
      <c r="F254" s="139"/>
      <c r="G254" s="139"/>
      <c r="H254" s="139"/>
    </row>
    <row r="255" spans="1:8" ht="20.25" x14ac:dyDescent="0.25">
      <c r="A255" s="10"/>
      <c r="B255" s="11"/>
      <c r="C255" s="11"/>
      <c r="D255" s="11"/>
      <c r="E255" s="11"/>
      <c r="F255" s="11"/>
      <c r="G255" s="11"/>
      <c r="H255" s="7"/>
    </row>
    <row r="256" spans="1:8" ht="20.25" x14ac:dyDescent="0.25">
      <c r="A256" s="12"/>
      <c r="B256" s="67"/>
      <c r="C256" s="67"/>
      <c r="D256" s="67"/>
      <c r="E256" s="67"/>
      <c r="F256" s="67"/>
      <c r="G256" s="67"/>
      <c r="H256" s="8"/>
    </row>
    <row r="257" spans="1:8" ht="20.25" x14ac:dyDescent="0.25">
      <c r="A257" s="12"/>
      <c r="B257" s="67"/>
      <c r="C257" s="67"/>
      <c r="D257" s="67"/>
      <c r="E257" s="67"/>
      <c r="F257" s="67"/>
      <c r="G257" s="67"/>
      <c r="H257" s="8"/>
    </row>
    <row r="258" spans="1:8" ht="20.25" x14ac:dyDescent="0.25">
      <c r="A258" s="12"/>
      <c r="B258" s="67"/>
      <c r="C258" s="67"/>
      <c r="D258" s="67"/>
      <c r="E258" s="67"/>
      <c r="F258" s="67"/>
      <c r="G258" s="67"/>
      <c r="H258" s="8"/>
    </row>
    <row r="259" spans="1:8" ht="20.25" x14ac:dyDescent="0.25">
      <c r="A259" s="12"/>
      <c r="B259" s="67"/>
      <c r="C259" s="67"/>
      <c r="D259" s="67"/>
      <c r="E259" s="67"/>
      <c r="F259" s="67"/>
      <c r="G259" s="67"/>
      <c r="H259" s="8"/>
    </row>
    <row r="260" spans="1:8" ht="20.25" x14ac:dyDescent="0.25">
      <c r="A260" s="12"/>
      <c r="B260" s="67"/>
      <c r="C260" s="67"/>
      <c r="D260" s="67"/>
      <c r="E260" s="67"/>
      <c r="F260" s="67"/>
      <c r="G260" s="67"/>
      <c r="H260" s="8"/>
    </row>
    <row r="261" spans="1:8" ht="20.25" x14ac:dyDescent="0.25">
      <c r="A261" s="12"/>
      <c r="B261" s="67"/>
      <c r="C261" s="67"/>
      <c r="D261" s="67"/>
      <c r="E261" s="67"/>
      <c r="F261" s="67"/>
      <c r="G261" s="67"/>
      <c r="H261" s="8"/>
    </row>
    <row r="262" spans="1:8" ht="20.25" x14ac:dyDescent="0.25">
      <c r="A262" s="12"/>
      <c r="B262" s="67"/>
      <c r="C262" s="67"/>
      <c r="D262" s="67"/>
      <c r="E262" s="67"/>
      <c r="F262" s="67"/>
      <c r="G262" s="67"/>
      <c r="H262" s="8"/>
    </row>
    <row r="263" spans="1:8" ht="20.25" x14ac:dyDescent="0.25">
      <c r="A263" s="12"/>
      <c r="B263" s="67"/>
      <c r="C263" s="67"/>
      <c r="D263" s="67"/>
      <c r="E263" s="67"/>
      <c r="F263" s="67"/>
      <c r="G263" s="67"/>
      <c r="H263" s="8"/>
    </row>
    <row r="264" spans="1:8" ht="20.25" x14ac:dyDescent="0.25">
      <c r="A264" s="12"/>
      <c r="B264" s="67"/>
      <c r="C264" s="67"/>
      <c r="D264" s="67"/>
      <c r="E264" s="67"/>
      <c r="F264" s="67"/>
      <c r="G264" s="67"/>
      <c r="H264" s="8"/>
    </row>
    <row r="265" spans="1:8" ht="20.25" x14ac:dyDescent="0.25">
      <c r="A265" s="12"/>
      <c r="B265" s="67"/>
      <c r="C265" s="67"/>
      <c r="D265" s="67"/>
      <c r="E265" s="67"/>
      <c r="F265" s="67"/>
      <c r="G265" s="67"/>
      <c r="H265" s="8"/>
    </row>
    <row r="266" spans="1:8" ht="20.25" x14ac:dyDescent="0.25">
      <c r="A266" s="12"/>
      <c r="B266" s="67"/>
      <c r="C266" s="67"/>
      <c r="D266" s="67"/>
      <c r="E266" s="67"/>
      <c r="F266" s="67"/>
      <c r="G266" s="67"/>
      <c r="H266" s="8"/>
    </row>
    <row r="267" spans="1:8" ht="20.25" x14ac:dyDescent="0.25">
      <c r="A267" s="12"/>
      <c r="B267" s="67"/>
      <c r="C267" s="67"/>
      <c r="D267" s="67"/>
      <c r="E267" s="67"/>
      <c r="F267" s="67"/>
      <c r="G267" s="67"/>
      <c r="H267" s="8"/>
    </row>
    <row r="268" spans="1:8" ht="20.25" x14ac:dyDescent="0.25">
      <c r="A268" s="12"/>
      <c r="B268" s="67"/>
      <c r="C268" s="67"/>
      <c r="D268" s="67"/>
      <c r="E268" s="67"/>
      <c r="F268" s="67"/>
      <c r="G268" s="67"/>
      <c r="H268" s="8"/>
    </row>
    <row r="269" spans="1:8" ht="20.25" x14ac:dyDescent="0.25">
      <c r="A269" s="12"/>
      <c r="B269" s="67"/>
      <c r="C269" s="67"/>
      <c r="D269" s="67"/>
      <c r="E269" s="67"/>
      <c r="F269" s="67"/>
      <c r="G269" s="67"/>
      <c r="H269" s="8"/>
    </row>
    <row r="270" spans="1:8" ht="20.25" x14ac:dyDescent="0.25">
      <c r="A270" s="12"/>
      <c r="B270" s="67"/>
      <c r="C270" s="67"/>
      <c r="D270" s="67"/>
      <c r="E270" s="67"/>
      <c r="F270" s="67"/>
      <c r="G270" s="67"/>
      <c r="H270" s="8"/>
    </row>
    <row r="271" spans="1:8" ht="20.25" x14ac:dyDescent="0.25">
      <c r="A271" s="12"/>
      <c r="B271" s="67"/>
      <c r="C271" s="67"/>
      <c r="D271" s="67"/>
      <c r="E271" s="67"/>
      <c r="F271" s="67"/>
      <c r="G271" s="67"/>
      <c r="H271" s="8"/>
    </row>
    <row r="272" spans="1:8" ht="20.25" x14ac:dyDescent="0.25">
      <c r="A272" s="12"/>
      <c r="B272" s="67"/>
      <c r="C272" s="67"/>
      <c r="D272" s="67"/>
      <c r="E272" s="67"/>
      <c r="F272" s="67"/>
      <c r="G272" s="67"/>
      <c r="H272" s="8"/>
    </row>
    <row r="273" spans="1:8" ht="20.25" x14ac:dyDescent="0.25">
      <c r="A273" s="12"/>
      <c r="B273" s="67"/>
      <c r="C273" s="67"/>
      <c r="D273" s="67"/>
      <c r="E273" s="67"/>
      <c r="F273" s="67"/>
      <c r="G273" s="67"/>
      <c r="H273" s="8"/>
    </row>
    <row r="274" spans="1:8" ht="20.25" x14ac:dyDescent="0.25">
      <c r="A274" s="12"/>
      <c r="B274" s="67"/>
      <c r="C274" s="67"/>
      <c r="D274" s="67"/>
      <c r="E274" s="67"/>
      <c r="F274" s="67"/>
      <c r="G274" s="67"/>
      <c r="H274" s="8"/>
    </row>
    <row r="275" spans="1:8" ht="20.25" x14ac:dyDescent="0.25">
      <c r="A275" s="12"/>
      <c r="B275" s="67"/>
      <c r="C275" s="67"/>
      <c r="D275" s="67"/>
      <c r="E275" s="67"/>
      <c r="F275" s="67"/>
      <c r="G275" s="67"/>
      <c r="H275" s="8"/>
    </row>
    <row r="276" spans="1:8" ht="20.25" x14ac:dyDescent="0.25">
      <c r="A276" s="12"/>
      <c r="B276" s="67"/>
      <c r="C276" s="67"/>
      <c r="D276" s="67"/>
      <c r="E276" s="67"/>
      <c r="F276" s="67"/>
      <c r="G276" s="67"/>
      <c r="H276" s="8"/>
    </row>
    <row r="277" spans="1:8" ht="20.25" x14ac:dyDescent="0.25">
      <c r="A277" s="12"/>
      <c r="B277" s="67"/>
      <c r="C277" s="67"/>
      <c r="D277" s="67"/>
      <c r="E277" s="67"/>
      <c r="F277" s="67"/>
      <c r="G277" s="67"/>
      <c r="H277" s="8"/>
    </row>
    <row r="278" spans="1:8" ht="20.25" x14ac:dyDescent="0.25">
      <c r="A278" s="12"/>
      <c r="B278" s="67"/>
      <c r="C278" s="67"/>
      <c r="D278" s="67"/>
      <c r="E278" s="67"/>
      <c r="F278" s="67"/>
      <c r="G278" s="67"/>
      <c r="H278" s="8"/>
    </row>
    <row r="279" spans="1:8" ht="20.25" x14ac:dyDescent="0.25">
      <c r="A279" s="12"/>
      <c r="B279" s="67"/>
      <c r="C279" s="67"/>
      <c r="D279" s="67"/>
      <c r="E279" s="67"/>
      <c r="F279" s="67"/>
      <c r="G279" s="67"/>
      <c r="H279" s="8"/>
    </row>
    <row r="280" spans="1:8" ht="20.25" x14ac:dyDescent="0.25">
      <c r="A280" s="12"/>
      <c r="B280" s="67"/>
      <c r="C280" s="67"/>
      <c r="D280" s="67"/>
      <c r="E280" s="67"/>
      <c r="F280" s="67"/>
      <c r="G280" s="67"/>
      <c r="H280" s="8"/>
    </row>
    <row r="281" spans="1:8" ht="20.25" x14ac:dyDescent="0.25">
      <c r="A281" s="12"/>
      <c r="B281" s="67"/>
      <c r="C281" s="67"/>
      <c r="D281" s="67"/>
      <c r="E281" s="67"/>
      <c r="F281" s="67"/>
      <c r="G281" s="67"/>
      <c r="H281" s="8"/>
    </row>
    <row r="282" spans="1:8" ht="20.25" x14ac:dyDescent="0.25">
      <c r="A282" s="12"/>
      <c r="B282" s="67"/>
      <c r="C282" s="67"/>
      <c r="D282" s="67"/>
      <c r="E282" s="67"/>
      <c r="F282" s="67"/>
      <c r="G282" s="67"/>
      <c r="H282" s="8"/>
    </row>
    <row r="283" spans="1:8" ht="20.25" x14ac:dyDescent="0.25">
      <c r="A283" s="12"/>
      <c r="B283" s="67"/>
      <c r="C283" s="67"/>
      <c r="D283" s="67"/>
      <c r="E283" s="67"/>
      <c r="F283" s="67"/>
      <c r="G283" s="67"/>
      <c r="H283" s="8"/>
    </row>
    <row r="284" spans="1:8" ht="20.25" x14ac:dyDescent="0.25">
      <c r="A284" s="12"/>
      <c r="B284" s="67"/>
      <c r="C284" s="67"/>
      <c r="D284" s="67"/>
      <c r="E284" s="67"/>
      <c r="F284" s="67"/>
      <c r="G284" s="67"/>
      <c r="H284" s="8"/>
    </row>
    <row r="285" spans="1:8" ht="20.25" x14ac:dyDescent="0.25">
      <c r="A285" s="12"/>
      <c r="B285" s="67"/>
      <c r="C285" s="67"/>
      <c r="D285" s="67"/>
      <c r="E285" s="67"/>
      <c r="F285" s="67"/>
      <c r="G285" s="67"/>
      <c r="H285" s="8"/>
    </row>
    <row r="286" spans="1:8" ht="20.25" x14ac:dyDescent="0.25">
      <c r="A286" s="12"/>
      <c r="B286" s="67"/>
      <c r="C286" s="67"/>
      <c r="D286" s="67"/>
      <c r="E286" s="67"/>
      <c r="F286" s="67"/>
      <c r="G286" s="67"/>
      <c r="H286" s="8"/>
    </row>
    <row r="287" spans="1:8" ht="20.25" x14ac:dyDescent="0.25">
      <c r="A287" s="12"/>
      <c r="B287" s="67"/>
      <c r="C287" s="67"/>
      <c r="D287" s="67"/>
      <c r="E287" s="67"/>
      <c r="F287" s="67"/>
      <c r="G287" s="67"/>
      <c r="H287" s="8"/>
    </row>
    <row r="288" spans="1:8" ht="20.25" x14ac:dyDescent="0.25">
      <c r="A288" s="12"/>
      <c r="B288" s="67"/>
      <c r="C288" s="67"/>
      <c r="D288" s="67"/>
      <c r="E288" s="67"/>
      <c r="F288" s="67"/>
      <c r="G288" s="67"/>
      <c r="H288" s="8"/>
    </row>
    <row r="289" spans="1:8" ht="20.25" x14ac:dyDescent="0.25">
      <c r="A289" s="12"/>
      <c r="B289" s="67"/>
      <c r="C289" s="67"/>
      <c r="D289" s="67"/>
      <c r="E289" s="67"/>
      <c r="F289" s="67"/>
      <c r="G289" s="67"/>
      <c r="H289" s="8"/>
    </row>
    <row r="290" spans="1:8" ht="20.25" x14ac:dyDescent="0.25">
      <c r="A290" s="12"/>
      <c r="B290" s="67"/>
      <c r="C290" s="67"/>
      <c r="D290" s="67"/>
      <c r="E290" s="67"/>
      <c r="F290" s="67"/>
      <c r="G290" s="67"/>
      <c r="H290" s="8"/>
    </row>
    <row r="291" spans="1:8" ht="20.25" x14ac:dyDescent="0.25">
      <c r="A291" s="12"/>
      <c r="B291" s="67"/>
      <c r="C291" s="67"/>
      <c r="D291" s="67"/>
      <c r="E291" s="67"/>
      <c r="F291" s="67"/>
      <c r="G291" s="67"/>
      <c r="H291" s="8"/>
    </row>
    <row r="292" spans="1:8" ht="20.25" x14ac:dyDescent="0.25">
      <c r="A292" s="12"/>
      <c r="B292" s="67"/>
      <c r="C292" s="67"/>
      <c r="D292" s="67"/>
      <c r="E292" s="67"/>
      <c r="F292" s="67"/>
      <c r="G292" s="67"/>
      <c r="H292" s="8"/>
    </row>
    <row r="293" spans="1:8" ht="20.25" x14ac:dyDescent="0.25">
      <c r="A293" s="12"/>
      <c r="B293" s="67"/>
      <c r="C293" s="67"/>
      <c r="D293" s="67"/>
      <c r="E293" s="67"/>
      <c r="F293" s="67"/>
      <c r="G293" s="67"/>
      <c r="H293" s="8"/>
    </row>
    <row r="294" spans="1:8" ht="20.25" x14ac:dyDescent="0.25">
      <c r="A294" s="12"/>
      <c r="B294" s="67"/>
      <c r="C294" s="67"/>
      <c r="D294" s="67"/>
      <c r="E294" s="67"/>
      <c r="F294" s="67"/>
      <c r="G294" s="67"/>
      <c r="H294" s="8"/>
    </row>
    <row r="295" spans="1:8" ht="20.25" x14ac:dyDescent="0.25">
      <c r="A295" s="12"/>
      <c r="B295" s="67"/>
      <c r="C295" s="67"/>
      <c r="D295" s="67"/>
      <c r="E295" s="67"/>
      <c r="F295" s="67"/>
      <c r="G295" s="67"/>
      <c r="H295" s="8"/>
    </row>
    <row r="296" spans="1:8" ht="20.25" x14ac:dyDescent="0.25">
      <c r="A296" s="12"/>
      <c r="B296" s="67"/>
      <c r="C296" s="67"/>
      <c r="D296" s="67"/>
      <c r="E296" s="67"/>
      <c r="F296" s="67"/>
      <c r="G296" s="67"/>
      <c r="H296" s="8"/>
    </row>
    <row r="297" spans="1:8" ht="20.25" x14ac:dyDescent="0.25">
      <c r="A297" s="12"/>
      <c r="B297" s="67"/>
      <c r="C297" s="67"/>
      <c r="D297" s="67"/>
      <c r="E297" s="67"/>
      <c r="F297" s="67"/>
      <c r="G297" s="67"/>
      <c r="H297" s="8"/>
    </row>
    <row r="298" spans="1:8" ht="20.25" x14ac:dyDescent="0.25">
      <c r="A298" s="12"/>
      <c r="B298" s="67"/>
      <c r="C298" s="67"/>
      <c r="D298" s="67"/>
      <c r="E298" s="67"/>
      <c r="F298" s="67"/>
      <c r="G298" s="67"/>
      <c r="H298" s="8"/>
    </row>
    <row r="299" spans="1:8" ht="20.25" x14ac:dyDescent="0.25">
      <c r="A299" s="12"/>
      <c r="B299" s="67"/>
      <c r="C299" s="67"/>
      <c r="D299" s="67"/>
      <c r="E299" s="67"/>
      <c r="F299" s="67"/>
      <c r="G299" s="67"/>
      <c r="H299" s="8"/>
    </row>
    <row r="300" spans="1:8" ht="20.25" x14ac:dyDescent="0.25">
      <c r="A300" s="12"/>
      <c r="B300" s="67"/>
      <c r="C300" s="67"/>
      <c r="D300" s="67"/>
      <c r="E300" s="67"/>
      <c r="F300" s="67"/>
      <c r="G300" s="67"/>
      <c r="H300" s="8"/>
    </row>
    <row r="301" spans="1:8" ht="20.25" x14ac:dyDescent="0.25">
      <c r="A301" s="12"/>
      <c r="B301" s="67"/>
      <c r="C301" s="67"/>
      <c r="D301" s="67"/>
      <c r="E301" s="67"/>
      <c r="F301" s="67"/>
      <c r="G301" s="67"/>
      <c r="H301" s="8"/>
    </row>
    <row r="302" spans="1:8" ht="20.25" x14ac:dyDescent="0.25">
      <c r="A302" s="12"/>
      <c r="B302" s="67"/>
      <c r="C302" s="67"/>
      <c r="D302" s="67"/>
      <c r="E302" s="67"/>
      <c r="F302" s="67"/>
      <c r="G302" s="67"/>
      <c r="H302" s="8"/>
    </row>
    <row r="303" spans="1:8" ht="20.25" x14ac:dyDescent="0.25">
      <c r="A303" s="14"/>
      <c r="B303" s="15"/>
      <c r="C303" s="15"/>
      <c r="D303" s="15"/>
      <c r="E303" s="15"/>
      <c r="F303" s="15"/>
      <c r="G303" s="15"/>
      <c r="H303" s="9"/>
    </row>
    <row r="304" spans="1:8" ht="20.25" x14ac:dyDescent="0.25">
      <c r="A304" s="145" t="s">
        <v>77</v>
      </c>
      <c r="B304" s="146"/>
      <c r="C304" s="146"/>
      <c r="D304" s="146"/>
      <c r="E304" s="146"/>
      <c r="F304" s="146"/>
      <c r="G304" s="146"/>
      <c r="H304" s="147"/>
    </row>
    <row r="305" spans="1:8" ht="20.25" x14ac:dyDescent="0.25">
      <c r="A305" s="10"/>
      <c r="B305" s="11"/>
      <c r="C305" s="11"/>
      <c r="D305" s="11"/>
      <c r="E305" s="11"/>
      <c r="F305" s="11"/>
      <c r="G305" s="11"/>
      <c r="H305" s="7"/>
    </row>
    <row r="306" spans="1:8" ht="20.25" x14ac:dyDescent="0.25">
      <c r="A306" s="12"/>
      <c r="B306" s="13"/>
      <c r="C306" s="13"/>
      <c r="D306" s="13"/>
      <c r="E306" s="13"/>
      <c r="F306" s="13"/>
      <c r="G306" s="13"/>
      <c r="H306" s="8"/>
    </row>
    <row r="307" spans="1:8" ht="20.25" x14ac:dyDescent="0.25">
      <c r="A307" s="12"/>
      <c r="B307" s="13"/>
      <c r="C307" s="13"/>
      <c r="D307" s="13"/>
      <c r="E307" s="13"/>
      <c r="F307" s="13"/>
      <c r="G307" s="13"/>
      <c r="H307" s="8"/>
    </row>
    <row r="308" spans="1:8" ht="20.25" x14ac:dyDescent="0.25">
      <c r="A308" s="12"/>
      <c r="B308" s="13"/>
      <c r="C308" s="13"/>
      <c r="D308" s="13"/>
      <c r="E308" s="13"/>
      <c r="F308" s="13"/>
      <c r="G308" s="13"/>
      <c r="H308" s="8"/>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39" t="s">
        <v>24</v>
      </c>
      <c r="B335" s="139"/>
      <c r="C335" s="139"/>
      <c r="D335" s="139"/>
      <c r="E335" s="139"/>
      <c r="F335" s="139"/>
      <c r="G335" s="139"/>
      <c r="H335" s="139"/>
    </row>
    <row r="336" spans="1:8" ht="20.25" x14ac:dyDescent="0.25">
      <c r="A336" s="165" t="s">
        <v>78</v>
      </c>
      <c r="B336" s="166"/>
      <c r="C336" s="166"/>
      <c r="D336" s="166"/>
      <c r="E336" s="166"/>
      <c r="F336" s="166"/>
      <c r="G336" s="166"/>
      <c r="H336" s="167"/>
    </row>
    <row r="337" spans="1:8" ht="20.25" x14ac:dyDescent="0.25">
      <c r="A337" s="168" t="s">
        <v>79</v>
      </c>
      <c r="B337" s="169"/>
      <c r="C337" s="169"/>
      <c r="D337" s="169"/>
      <c r="E337" s="169"/>
      <c r="F337" s="169"/>
      <c r="G337" s="169"/>
      <c r="H337" s="170"/>
    </row>
    <row r="338" spans="1:8" ht="45" customHeight="1" x14ac:dyDescent="0.25">
      <c r="A338" s="168" t="s">
        <v>80</v>
      </c>
      <c r="B338" s="169"/>
      <c r="C338" s="169"/>
      <c r="D338" s="169"/>
      <c r="E338" s="169"/>
      <c r="F338" s="169"/>
      <c r="G338" s="169"/>
      <c r="H338" s="170"/>
    </row>
    <row r="339" spans="1:8" ht="42.75" customHeight="1" x14ac:dyDescent="0.25">
      <c r="A339" s="168" t="s">
        <v>81</v>
      </c>
      <c r="B339" s="169"/>
      <c r="C339" s="169"/>
      <c r="D339" s="169"/>
      <c r="E339" s="169"/>
      <c r="F339" s="169"/>
      <c r="G339" s="169"/>
      <c r="H339" s="170"/>
    </row>
    <row r="340" spans="1:8" ht="20.25" x14ac:dyDescent="0.25">
      <c r="A340" s="168" t="s">
        <v>82</v>
      </c>
      <c r="B340" s="169"/>
      <c r="C340" s="169"/>
      <c r="D340" s="169"/>
      <c r="E340" s="169"/>
      <c r="F340" s="169"/>
      <c r="G340" s="169"/>
      <c r="H340" s="170"/>
    </row>
    <row r="341" spans="1:8" ht="20.25" x14ac:dyDescent="0.25">
      <c r="A341" s="168" t="s">
        <v>83</v>
      </c>
      <c r="B341" s="169"/>
      <c r="C341" s="169"/>
      <c r="D341" s="169"/>
      <c r="E341" s="169"/>
      <c r="F341" s="169"/>
      <c r="G341" s="169"/>
      <c r="H341" s="170"/>
    </row>
    <row r="342" spans="1:8" ht="45" customHeight="1" x14ac:dyDescent="0.25">
      <c r="A342" s="168" t="s">
        <v>84</v>
      </c>
      <c r="B342" s="169"/>
      <c r="C342" s="169"/>
      <c r="D342" s="169"/>
      <c r="E342" s="169"/>
      <c r="F342" s="169"/>
      <c r="G342" s="169"/>
      <c r="H342" s="170"/>
    </row>
    <row r="343" spans="1:8" ht="45" customHeight="1" x14ac:dyDescent="0.25">
      <c r="A343" s="168" t="s">
        <v>85</v>
      </c>
      <c r="B343" s="169"/>
      <c r="C343" s="169"/>
      <c r="D343" s="169"/>
      <c r="E343" s="169"/>
      <c r="F343" s="169"/>
      <c r="G343" s="169"/>
      <c r="H343" s="170"/>
    </row>
    <row r="344" spans="1:8" ht="20.25" x14ac:dyDescent="0.25">
      <c r="A344" s="171" t="s">
        <v>86</v>
      </c>
      <c r="B344" s="172"/>
      <c r="C344" s="172"/>
      <c r="D344" s="172"/>
      <c r="E344" s="172"/>
      <c r="F344" s="172"/>
      <c r="G344" s="172"/>
      <c r="H344" s="173"/>
    </row>
    <row r="345" spans="1:8" ht="57" customHeight="1" x14ac:dyDescent="0.25">
      <c r="A345" s="155" t="s">
        <v>30</v>
      </c>
      <c r="B345" s="156"/>
      <c r="C345" s="157" t="s">
        <v>351</v>
      </c>
      <c r="D345" s="158"/>
      <c r="E345" s="155" t="s">
        <v>9</v>
      </c>
      <c r="F345" s="156"/>
      <c r="G345" s="163"/>
      <c r="H345" s="163"/>
    </row>
  </sheetData>
  <mergeCells count="390">
    <mergeCell ref="A155:B155"/>
    <mergeCell ref="A156:B156"/>
    <mergeCell ref="A157:B157"/>
    <mergeCell ref="A158:B158"/>
    <mergeCell ref="A159:B159"/>
    <mergeCell ref="A160:B160"/>
    <mergeCell ref="A161:B161"/>
    <mergeCell ref="C155:H155"/>
    <mergeCell ref="C164:H164"/>
    <mergeCell ref="A146:B146"/>
    <mergeCell ref="A147:B147"/>
    <mergeCell ref="A148:B148"/>
    <mergeCell ref="A149:B149"/>
    <mergeCell ref="A150:B150"/>
    <mergeCell ref="A151:B151"/>
    <mergeCell ref="A152:B152"/>
    <mergeCell ref="A153:H153"/>
    <mergeCell ref="A154:B154"/>
    <mergeCell ref="A139:B139"/>
    <mergeCell ref="A140:B140"/>
    <mergeCell ref="A141:B141"/>
    <mergeCell ref="A142:B142"/>
    <mergeCell ref="A143:B143"/>
    <mergeCell ref="C136:H137"/>
    <mergeCell ref="C142:H143"/>
    <mergeCell ref="A144:H144"/>
    <mergeCell ref="A145:B145"/>
    <mergeCell ref="A130:H130"/>
    <mergeCell ref="A131:H131"/>
    <mergeCell ref="A132:H132"/>
    <mergeCell ref="A133:H133"/>
    <mergeCell ref="A134:H134"/>
    <mergeCell ref="A135:H135"/>
    <mergeCell ref="A136:B136"/>
    <mergeCell ref="A137:B137"/>
    <mergeCell ref="A138:B138"/>
    <mergeCell ref="A108:F108"/>
    <mergeCell ref="A128:H128"/>
    <mergeCell ref="E118:F118"/>
    <mergeCell ref="E119:F119"/>
    <mergeCell ref="E120:F120"/>
    <mergeCell ref="E121:F121"/>
    <mergeCell ref="A118:B118"/>
    <mergeCell ref="A119:B119"/>
    <mergeCell ref="A120:B120"/>
    <mergeCell ref="C118:D118"/>
    <mergeCell ref="A121:B121"/>
    <mergeCell ref="C119:D119"/>
    <mergeCell ref="G118:H118"/>
    <mergeCell ref="G119:H119"/>
    <mergeCell ref="G120:H120"/>
    <mergeCell ref="G121:H121"/>
    <mergeCell ref="C121:D121"/>
    <mergeCell ref="G123:H123"/>
    <mergeCell ref="A124:B124"/>
    <mergeCell ref="G124:H124"/>
    <mergeCell ref="A125:B125"/>
    <mergeCell ref="G125:H125"/>
    <mergeCell ref="A126:B126"/>
    <mergeCell ref="G126:H126"/>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59:B59"/>
    <mergeCell ref="C56:F56"/>
    <mergeCell ref="C57:F57"/>
    <mergeCell ref="C58:F58"/>
    <mergeCell ref="C59:F59"/>
    <mergeCell ref="A164:B164"/>
    <mergeCell ref="A165:B165"/>
    <mergeCell ref="A166:B166"/>
    <mergeCell ref="A167:B167"/>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182:B182"/>
    <mergeCell ref="A183:B183"/>
    <mergeCell ref="G114:H114"/>
    <mergeCell ref="A162:H162"/>
    <mergeCell ref="A127:B127"/>
    <mergeCell ref="G127:H127"/>
    <mergeCell ref="A188:B188"/>
    <mergeCell ref="A122:H122"/>
    <mergeCell ref="A123:B123"/>
    <mergeCell ref="E123:F123"/>
    <mergeCell ref="A168:B168"/>
    <mergeCell ref="A169:B169"/>
    <mergeCell ref="A170:B170"/>
    <mergeCell ref="A163:B163"/>
    <mergeCell ref="C124:D124"/>
    <mergeCell ref="C127:D127"/>
    <mergeCell ref="A176:B176"/>
    <mergeCell ref="A178:B178"/>
    <mergeCell ref="A179:B179"/>
    <mergeCell ref="A174:B174"/>
    <mergeCell ref="A180:H180"/>
    <mergeCell ref="A181:B181"/>
    <mergeCell ref="A173:B173"/>
    <mergeCell ref="A171:H171"/>
    <mergeCell ref="G112:H112"/>
    <mergeCell ref="G116:H116"/>
    <mergeCell ref="A113:H113"/>
    <mergeCell ref="E110:F110"/>
    <mergeCell ref="A112:B112"/>
    <mergeCell ref="E111:F111"/>
    <mergeCell ref="G111:H111"/>
    <mergeCell ref="A1:H1"/>
    <mergeCell ref="A207:C207"/>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345:H345"/>
    <mergeCell ref="A206:H206"/>
    <mergeCell ref="D208:H208"/>
    <mergeCell ref="A336:H336"/>
    <mergeCell ref="A342:H342"/>
    <mergeCell ref="A343:H343"/>
    <mergeCell ref="A344:H344"/>
    <mergeCell ref="A337:H337"/>
    <mergeCell ref="A338:H338"/>
    <mergeCell ref="A339:H339"/>
    <mergeCell ref="A340:H340"/>
    <mergeCell ref="A208:C208"/>
    <mergeCell ref="A335:H335"/>
    <mergeCell ref="A341:H341"/>
    <mergeCell ref="A304:H304"/>
    <mergeCell ref="D207:H207"/>
    <mergeCell ref="A209:C209"/>
    <mergeCell ref="D209:H209"/>
    <mergeCell ref="A254:H254"/>
    <mergeCell ref="E345:F345"/>
    <mergeCell ref="A345:B345"/>
    <mergeCell ref="C345:D345"/>
    <mergeCell ref="G14:H14"/>
    <mergeCell ref="G16:H16"/>
    <mergeCell ref="G17:H17"/>
    <mergeCell ref="G15:H15"/>
    <mergeCell ref="G18:H18"/>
    <mergeCell ref="G19:H19"/>
    <mergeCell ref="G46:H46"/>
    <mergeCell ref="G31:H31"/>
    <mergeCell ref="G22:H22"/>
    <mergeCell ref="G36:H36"/>
    <mergeCell ref="G35:H35"/>
    <mergeCell ref="E64:F75"/>
    <mergeCell ref="A184:B184"/>
    <mergeCell ref="A177:B177"/>
    <mergeCell ref="A175:B175"/>
    <mergeCell ref="E126:F126"/>
    <mergeCell ref="E124:F124"/>
    <mergeCell ref="C123:D123"/>
    <mergeCell ref="E125:F125"/>
    <mergeCell ref="A172:B172"/>
    <mergeCell ref="C125:D125"/>
    <mergeCell ref="E127:F127"/>
    <mergeCell ref="C126:D126"/>
    <mergeCell ref="A109:H109"/>
    <mergeCell ref="G110:H110"/>
    <mergeCell ref="B205:H205"/>
    <mergeCell ref="B200:H200"/>
    <mergeCell ref="B199:H199"/>
    <mergeCell ref="B203:H203"/>
    <mergeCell ref="B202:H202"/>
    <mergeCell ref="B201:H201"/>
    <mergeCell ref="A185:B185"/>
    <mergeCell ref="A186:B186"/>
    <mergeCell ref="A187:B187"/>
    <mergeCell ref="A196:B196"/>
    <mergeCell ref="A197:B197"/>
    <mergeCell ref="A193:B193"/>
    <mergeCell ref="A194:B194"/>
    <mergeCell ref="A195:B195"/>
    <mergeCell ref="A189:H189"/>
    <mergeCell ref="A190:B190"/>
    <mergeCell ref="A191:B191"/>
    <mergeCell ref="A192:B192"/>
    <mergeCell ref="B204:H204"/>
    <mergeCell ref="A198:H198"/>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A110:B110"/>
    <mergeCell ref="C110:D110"/>
    <mergeCell ref="C111:D111"/>
    <mergeCell ref="C112:D112"/>
    <mergeCell ref="E112:F112"/>
    <mergeCell ref="A114:F114"/>
    <mergeCell ref="A115:F115"/>
    <mergeCell ref="A116:F116"/>
    <mergeCell ref="C120:D120"/>
    <mergeCell ref="A111:B111"/>
  </mergeCells>
  <dataValidations count="7">
    <dataValidation type="list" allowBlank="1" showInputMessage="1" showErrorMessage="1" sqref="G6:H6">
      <formula1>"Miss. Rupali, 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112">
      <formula1>"300000,350000,400000,500000,600000,700000,800000,900000,1000000,1200000,1400000,1500000,1600000"</formula1>
    </dataValidation>
    <dataValidation type="list" allowBlank="1" showInputMessage="1" showErrorMessage="1" sqref="F129">
      <formula1>"Fungible area,Dry 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           PAP,Sale / Mhada,Sale / Landowner"</formula1>
    </dataValidation>
  </dataValidations>
  <hyperlinks>
    <hyperlink ref="C23" r:id="rId1"/>
    <hyperlink ref="I24" r:id="rId2" location="amenities-section"/>
    <hyperlink ref="I110" r:id="rId3"/>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4" manualBreakCount="4">
    <brk id="59" max="16383" man="1"/>
    <brk id="205" max="8" man="1"/>
    <brk id="253" max="16383" man="1"/>
    <brk id="303"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M10" sqref="M10"/>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9" t="s">
        <v>69</v>
      </c>
      <c r="B3" s="139"/>
      <c r="C3" s="139"/>
      <c r="D3" s="139"/>
      <c r="E3" s="139"/>
      <c r="F3" s="139"/>
      <c r="G3" s="139"/>
      <c r="H3" s="139"/>
      <c r="I3" s="139"/>
    </row>
    <row r="4" spans="1:11" s="1" customFormat="1" ht="20.25" customHeight="1" x14ac:dyDescent="0.3">
      <c r="A4" s="210">
        <v>1</v>
      </c>
      <c r="B4" s="210"/>
      <c r="C4" s="210"/>
      <c r="D4" s="211" t="s">
        <v>4</v>
      </c>
      <c r="E4" s="36" t="s">
        <v>116</v>
      </c>
      <c r="F4" s="189" t="s">
        <v>103</v>
      </c>
      <c r="G4" s="189"/>
      <c r="H4" s="36" t="s">
        <v>117</v>
      </c>
      <c r="I4" s="36"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10"/>
      <c r="B5" s="210"/>
      <c r="C5" s="210"/>
      <c r="D5" s="211"/>
      <c r="E5" s="36">
        <v>3</v>
      </c>
      <c r="F5" s="189">
        <v>1</v>
      </c>
      <c r="G5" s="189"/>
      <c r="H5" s="36">
        <v>0</v>
      </c>
      <c r="I5" s="36">
        <f ca="1">--TRIM(RIGHT(SUBSTITUTE(LEFT(A4,_xlfn.AGGREGATE(16,6,FIND({0,1,2,3,4,5,6,7,8,9},A4,ROW(INDIRECT("1:"&amp;LEN(A4)))),1))," ",REPT(" ",LEN(A4))),LEN(A4)))</f>
        <v>1</v>
      </c>
      <c r="J5" s="17" t="s">
        <v>122</v>
      </c>
      <c r="K5" s="18"/>
    </row>
    <row r="6" spans="1:11" s="1" customFormat="1" ht="20.25" customHeight="1" x14ac:dyDescent="0.3">
      <c r="A6" s="113" t="s">
        <v>120</v>
      </c>
      <c r="B6" s="113"/>
      <c r="C6" s="113" t="s">
        <v>133</v>
      </c>
      <c r="D6" s="113"/>
      <c r="E6" s="37" t="s">
        <v>134</v>
      </c>
      <c r="F6" s="113" t="s">
        <v>121</v>
      </c>
      <c r="G6" s="113"/>
      <c r="H6" s="29" t="s">
        <v>119</v>
      </c>
      <c r="I6" s="29"/>
      <c r="J6" s="20" t="s">
        <v>135</v>
      </c>
      <c r="K6" s="19">
        <f ca="1">I5*25%</f>
        <v>0.25</v>
      </c>
    </row>
    <row r="7" spans="1:11" s="1" customFormat="1" ht="20.25" customHeight="1" x14ac:dyDescent="0.3">
      <c r="A7" s="114" t="s">
        <v>136</v>
      </c>
      <c r="B7" s="114"/>
      <c r="C7" s="189">
        <f ca="1">K8</f>
        <v>1</v>
      </c>
      <c r="D7" s="189"/>
      <c r="E7" s="35">
        <f ca="1">((100/I5)*C7)/100</f>
        <v>1</v>
      </c>
      <c r="F7" s="114">
        <f ca="1">(((C7/I5*5)+(C8/I5*20)+(25/(F5+H5+I5)*C9)+(5/(I5)*C10)+(2.5/(I5)*C11)+(2.5/(I5)*C12)+(5/I5*C13)+(10/I5*C14)+(2.5/I5*C15)+(2.5/I5*C16)+(10/I5*C17)+(10/I5*C18))/100)</f>
        <v>0.25</v>
      </c>
      <c r="G7" s="114"/>
      <c r="H7" s="114" t="str">
        <f ca="1">J4</f>
        <v>Excavation work Completed. Plinth work completed</v>
      </c>
      <c r="I7" s="114"/>
      <c r="J7" s="20" t="s">
        <v>123</v>
      </c>
      <c r="K7" s="24">
        <f ca="1">I5*50%</f>
        <v>0.5</v>
      </c>
    </row>
    <row r="8" spans="1:11" s="1" customFormat="1" ht="20.25" x14ac:dyDescent="0.3">
      <c r="A8" s="114" t="s">
        <v>104</v>
      </c>
      <c r="B8" s="114"/>
      <c r="C8" s="212">
        <f ca="1">K16</f>
        <v>1</v>
      </c>
      <c r="D8" s="189"/>
      <c r="E8" s="35">
        <f ca="1">((100/I5)*C8)/100</f>
        <v>1</v>
      </c>
      <c r="F8" s="114"/>
      <c r="G8" s="114"/>
      <c r="H8" s="114"/>
      <c r="I8" s="114"/>
      <c r="J8" s="20" t="s">
        <v>124</v>
      </c>
      <c r="K8" s="24">
        <f ca="1">I5</f>
        <v>1</v>
      </c>
    </row>
    <row r="9" spans="1:11" s="1" customFormat="1" ht="21" customHeight="1" x14ac:dyDescent="0.35">
      <c r="A9" s="114" t="s">
        <v>137</v>
      </c>
      <c r="B9" s="114"/>
      <c r="C9" s="189">
        <v>0</v>
      </c>
      <c r="D9" s="189"/>
      <c r="E9" s="35">
        <f ca="1">((100/(F5+H5+I5))*C9)/100</f>
        <v>0</v>
      </c>
      <c r="F9" s="114"/>
      <c r="G9" s="114"/>
      <c r="H9" s="114"/>
      <c r="I9" s="114"/>
      <c r="J9" s="20" t="s">
        <v>125</v>
      </c>
      <c r="K9" s="25">
        <f ca="1">(IF(E5&gt;1,(I5/(E5+2)),I5*0.2))</f>
        <v>0.2</v>
      </c>
    </row>
    <row r="10" spans="1:11" s="1" customFormat="1" ht="21" customHeight="1" x14ac:dyDescent="0.35">
      <c r="A10" s="114" t="s">
        <v>138</v>
      </c>
      <c r="B10" s="114"/>
      <c r="C10" s="189">
        <v>0</v>
      </c>
      <c r="D10" s="189"/>
      <c r="E10" s="35">
        <f ca="1">((100/I5)*C10)/100</f>
        <v>0</v>
      </c>
      <c r="F10" s="114"/>
      <c r="G10" s="114"/>
      <c r="H10" s="114"/>
      <c r="I10" s="114"/>
      <c r="J10" s="20" t="s">
        <v>126</v>
      </c>
      <c r="K10" s="25">
        <f ca="1">(IF(E5&gt;1,(I5/(E5+2)+K9),I5*0.2+K9))</f>
        <v>0.4</v>
      </c>
    </row>
    <row r="11" spans="1:11" s="1" customFormat="1" ht="21" customHeight="1" x14ac:dyDescent="0.35">
      <c r="A11" s="121" t="s">
        <v>139</v>
      </c>
      <c r="B11" s="122"/>
      <c r="C11" s="189">
        <v>0</v>
      </c>
      <c r="D11" s="189"/>
      <c r="E11" s="35">
        <f ca="1">((100/I5)*C11)/100</f>
        <v>0</v>
      </c>
      <c r="F11" s="114"/>
      <c r="G11" s="114"/>
      <c r="H11" s="114"/>
      <c r="I11" s="114"/>
      <c r="J11" s="20" t="s">
        <v>140</v>
      </c>
      <c r="K11" s="25">
        <f ca="1">(IF(E5&gt;1,(I5/(E5+2)+K10),0))</f>
        <v>0.60000000000000009</v>
      </c>
    </row>
    <row r="12" spans="1:11" s="1" customFormat="1" ht="21" customHeight="1" x14ac:dyDescent="0.35">
      <c r="A12" s="121" t="s">
        <v>170</v>
      </c>
      <c r="B12" s="122"/>
      <c r="C12" s="189">
        <v>0</v>
      </c>
      <c r="D12" s="189"/>
      <c r="E12" s="35">
        <f ca="1">((100/I5)*C12)/100</f>
        <v>0</v>
      </c>
      <c r="F12" s="114"/>
      <c r="G12" s="114"/>
      <c r="H12" s="114"/>
      <c r="I12" s="114"/>
      <c r="J12" s="20" t="s">
        <v>141</v>
      </c>
      <c r="K12" s="25">
        <f ca="1">(IF(E5&gt;2,(I5/(E5+2)+K11),0))</f>
        <v>0.8</v>
      </c>
    </row>
    <row r="13" spans="1:11" s="1" customFormat="1" ht="57.75" customHeight="1" x14ac:dyDescent="0.35">
      <c r="A13" s="121" t="s">
        <v>167</v>
      </c>
      <c r="B13" s="122"/>
      <c r="C13" s="189">
        <v>0</v>
      </c>
      <c r="D13" s="189"/>
      <c r="E13" s="35">
        <f ca="1">((100/(I5))*C13)/100</f>
        <v>0</v>
      </c>
      <c r="F13" s="114"/>
      <c r="G13" s="114"/>
      <c r="H13" s="114"/>
      <c r="I13" s="114"/>
      <c r="J13" s="20" t="s">
        <v>143</v>
      </c>
      <c r="K13" s="26">
        <f>(IF(E5&gt;3,(I5/(E5+2)+K12),0))</f>
        <v>0</v>
      </c>
    </row>
    <row r="14" spans="1:11" s="1" customFormat="1" ht="21" x14ac:dyDescent="0.35">
      <c r="A14" s="114" t="s">
        <v>142</v>
      </c>
      <c r="B14" s="114"/>
      <c r="C14" s="189">
        <v>0</v>
      </c>
      <c r="D14" s="189"/>
      <c r="E14" s="35">
        <f ca="1">((100/(I5))*C14)/100</f>
        <v>0</v>
      </c>
      <c r="F14" s="114"/>
      <c r="G14" s="114"/>
      <c r="H14" s="114"/>
      <c r="I14" s="114"/>
      <c r="J14" s="20" t="s">
        <v>144</v>
      </c>
      <c r="K14" s="25">
        <f>(IF(E5&gt;4,(I5/(E5+2)+K13),0))</f>
        <v>0</v>
      </c>
    </row>
    <row r="15" spans="1:11" s="1" customFormat="1" ht="21" customHeight="1" x14ac:dyDescent="0.35">
      <c r="A15" s="114" t="s">
        <v>169</v>
      </c>
      <c r="B15" s="114"/>
      <c r="C15" s="189">
        <v>0</v>
      </c>
      <c r="D15" s="189"/>
      <c r="E15" s="35">
        <f ca="1">((100/I5)*C15)/100</f>
        <v>0</v>
      </c>
      <c r="F15" s="114"/>
      <c r="G15" s="114"/>
      <c r="H15" s="114"/>
      <c r="I15" s="114"/>
      <c r="J15" s="20" t="s">
        <v>127</v>
      </c>
      <c r="K15" s="25">
        <f>(IF(E5=1,(I5/(E5+3)+K10),IF(E5=0,(I5*0.3+K10),IF(E5&gt;1,0))))</f>
        <v>0</v>
      </c>
    </row>
    <row r="16" spans="1:11" s="1" customFormat="1" ht="21.75" thickBot="1" x14ac:dyDescent="0.4">
      <c r="A16" s="114" t="s">
        <v>168</v>
      </c>
      <c r="B16" s="114"/>
      <c r="C16" s="189">
        <v>0</v>
      </c>
      <c r="D16" s="189"/>
      <c r="E16" s="35">
        <f ca="1">((100/I5)*C16)/100</f>
        <v>0</v>
      </c>
      <c r="F16" s="114"/>
      <c r="G16" s="114"/>
      <c r="H16" s="114"/>
      <c r="I16" s="114"/>
      <c r="J16" s="22" t="s">
        <v>128</v>
      </c>
      <c r="K16" s="27">
        <f ca="1">(IF(E5&gt;1.5,(I5/(E5+2)+K10+MAX(0,K11-K10)+MAX(0,K12-K11)+MAX(0,K13-K12)+MAX(0,K14-K13)+MAX(0,K15-K14)),IF(E5=1,(I5/(E5+3)+K15),IF(E5=0,I5*0.3+K15))))</f>
        <v>1</v>
      </c>
    </row>
    <row r="17" spans="1:9" s="1" customFormat="1" ht="20.25" x14ac:dyDescent="0.25">
      <c r="A17" s="114" t="s">
        <v>145</v>
      </c>
      <c r="B17" s="114"/>
      <c r="C17" s="189">
        <v>0</v>
      </c>
      <c r="D17" s="189"/>
      <c r="E17" s="35">
        <f ca="1">((100/(I5))*C17)/100</f>
        <v>0</v>
      </c>
      <c r="F17" s="114"/>
      <c r="G17" s="114"/>
      <c r="H17" s="114"/>
      <c r="I17" s="114"/>
    </row>
    <row r="18" spans="1:9" s="1" customFormat="1" ht="20.25" x14ac:dyDescent="0.25">
      <c r="A18" s="114" t="s">
        <v>146</v>
      </c>
      <c r="B18" s="114"/>
      <c r="C18" s="189">
        <v>0</v>
      </c>
      <c r="D18" s="189"/>
      <c r="E18" s="35">
        <f ca="1">((100/(I5))*C18)/100</f>
        <v>0</v>
      </c>
      <c r="F18" s="114"/>
      <c r="G18" s="114"/>
      <c r="H18" s="114"/>
      <c r="I18" s="114"/>
    </row>
    <row r="23" spans="1:9" x14ac:dyDescent="0.25">
      <c r="B23" s="213" t="s">
        <v>171</v>
      </c>
      <c r="C23" s="213"/>
      <c r="D23" s="213"/>
      <c r="E23" s="213"/>
      <c r="F23" s="213"/>
      <c r="G23" s="213"/>
    </row>
    <row r="24" spans="1:9" ht="14.45" customHeight="1" x14ac:dyDescent="0.25">
      <c r="B24" s="216" t="s">
        <v>172</v>
      </c>
      <c r="C24" s="216" t="s">
        <v>173</v>
      </c>
      <c r="D24" s="219" t="s">
        <v>174</v>
      </c>
      <c r="E24" s="220" t="s">
        <v>175</v>
      </c>
      <c r="F24" s="217" t="s">
        <v>176</v>
      </c>
      <c r="G24" s="216" t="s">
        <v>177</v>
      </c>
    </row>
    <row r="25" spans="1:9" x14ac:dyDescent="0.25">
      <c r="B25" s="216"/>
      <c r="C25" s="216"/>
      <c r="D25" s="219"/>
      <c r="E25" s="220"/>
      <c r="F25" s="217"/>
      <c r="G25" s="216"/>
    </row>
    <row r="26" spans="1:9" x14ac:dyDescent="0.25">
      <c r="B26" s="49" t="s">
        <v>178</v>
      </c>
      <c r="C26" s="50">
        <v>10</v>
      </c>
      <c r="D26" s="50">
        <v>1</v>
      </c>
      <c r="E26" s="51"/>
      <c r="F26" s="52">
        <f>((E26/D26)*0.05)*100</f>
        <v>0</v>
      </c>
      <c r="G26" s="52">
        <f t="shared" ref="G26:G37" si="0">((E26/D26)*(C26/100))*100</f>
        <v>0</v>
      </c>
    </row>
    <row r="27" spans="1:9" x14ac:dyDescent="0.25">
      <c r="B27" s="49" t="s">
        <v>179</v>
      </c>
      <c r="C27" s="51">
        <v>10</v>
      </c>
      <c r="D27" s="51">
        <v>1</v>
      </c>
      <c r="E27" s="51"/>
      <c r="F27" s="52">
        <f>((E27/D27)*0.05)*100</f>
        <v>0</v>
      </c>
      <c r="G27" s="52">
        <f t="shared" si="0"/>
        <v>0</v>
      </c>
    </row>
    <row r="28" spans="1:9" x14ac:dyDescent="0.25">
      <c r="B28" s="49" t="s">
        <v>180</v>
      </c>
      <c r="C28" s="51">
        <v>15</v>
      </c>
      <c r="D28" s="51">
        <v>1</v>
      </c>
      <c r="E28" s="51"/>
      <c r="F28" s="52">
        <f>((E28/D28)*0.15)*100</f>
        <v>0</v>
      </c>
      <c r="G28" s="52">
        <f t="shared" si="0"/>
        <v>0</v>
      </c>
    </row>
    <row r="29" spans="1:9" x14ac:dyDescent="0.25">
      <c r="B29" s="53" t="s">
        <v>181</v>
      </c>
      <c r="C29" s="51">
        <v>25</v>
      </c>
      <c r="D29" s="51">
        <v>40</v>
      </c>
      <c r="E29" s="51"/>
      <c r="F29" s="52">
        <f>((E29/D29)*0.25)*100</f>
        <v>0</v>
      </c>
      <c r="G29" s="52">
        <f t="shared" si="0"/>
        <v>0</v>
      </c>
    </row>
    <row r="30" spans="1:9" x14ac:dyDescent="0.25">
      <c r="B30" s="53" t="s">
        <v>182</v>
      </c>
      <c r="C30" s="51">
        <v>5</v>
      </c>
      <c r="D30" s="51">
        <v>39</v>
      </c>
      <c r="E30" s="51"/>
      <c r="F30" s="52">
        <f>((E30/D30)*0.05)*100</f>
        <v>0</v>
      </c>
      <c r="G30" s="52">
        <f t="shared" si="0"/>
        <v>0</v>
      </c>
    </row>
    <row r="31" spans="1:9" ht="30" x14ac:dyDescent="0.25">
      <c r="B31" s="53" t="s">
        <v>183</v>
      </c>
      <c r="C31" s="51">
        <v>2.5</v>
      </c>
      <c r="D31" s="51">
        <v>39</v>
      </c>
      <c r="E31" s="51"/>
      <c r="F31" s="52">
        <f>((E31/D31)*0.025)*100</f>
        <v>0</v>
      </c>
      <c r="G31" s="52">
        <f t="shared" si="0"/>
        <v>0</v>
      </c>
    </row>
    <row r="32" spans="1:9" ht="30" x14ac:dyDescent="0.25">
      <c r="B32" s="53" t="s">
        <v>184</v>
      </c>
      <c r="C32" s="51">
        <v>2.5</v>
      </c>
      <c r="D32" s="51">
        <v>39</v>
      </c>
      <c r="E32" s="51"/>
      <c r="F32" s="52">
        <f>((E32/D32)*0.025)*100</f>
        <v>0</v>
      </c>
      <c r="G32" s="52">
        <f t="shared" si="0"/>
        <v>0</v>
      </c>
    </row>
    <row r="33" spans="1:7" ht="45" x14ac:dyDescent="0.25">
      <c r="B33" s="54" t="s">
        <v>185</v>
      </c>
      <c r="C33" s="51">
        <v>5</v>
      </c>
      <c r="D33" s="51">
        <v>39</v>
      </c>
      <c r="E33" s="51"/>
      <c r="F33" s="52">
        <f>((E33/D33)*0.05)*100</f>
        <v>0</v>
      </c>
      <c r="G33" s="52">
        <f t="shared" si="0"/>
        <v>0</v>
      </c>
    </row>
    <row r="34" spans="1:7" ht="30" x14ac:dyDescent="0.25">
      <c r="B34" s="54" t="s">
        <v>186</v>
      </c>
      <c r="C34" s="51">
        <v>5</v>
      </c>
      <c r="D34" s="51">
        <v>39</v>
      </c>
      <c r="E34" s="51"/>
      <c r="F34" s="52">
        <f>((E34/D34)*0.1)*100</f>
        <v>0</v>
      </c>
      <c r="G34" s="52">
        <f t="shared" si="0"/>
        <v>0</v>
      </c>
    </row>
    <row r="35" spans="1:7" ht="30" x14ac:dyDescent="0.25">
      <c r="B35" s="54" t="s">
        <v>187</v>
      </c>
      <c r="C35" s="51">
        <v>5</v>
      </c>
      <c r="D35" s="51">
        <v>39</v>
      </c>
      <c r="E35" s="51"/>
      <c r="F35" s="52">
        <f>((E35/D35)*0.05)*100</f>
        <v>0</v>
      </c>
      <c r="G35" s="52">
        <f t="shared" si="0"/>
        <v>0</v>
      </c>
    </row>
    <row r="36" spans="1:7" ht="60" x14ac:dyDescent="0.25">
      <c r="B36" s="54" t="s">
        <v>188</v>
      </c>
      <c r="C36" s="51">
        <v>10</v>
      </c>
      <c r="D36" s="51">
        <v>39</v>
      </c>
      <c r="E36" s="51"/>
      <c r="F36" s="52">
        <f>((E36/D36)*0.1)*100</f>
        <v>0</v>
      </c>
      <c r="G36" s="52">
        <f t="shared" si="0"/>
        <v>0</v>
      </c>
    </row>
    <row r="37" spans="1:7" ht="45" x14ac:dyDescent="0.25">
      <c r="B37" s="54" t="s">
        <v>189</v>
      </c>
      <c r="C37" s="51">
        <v>5</v>
      </c>
      <c r="D37" s="51">
        <v>39</v>
      </c>
      <c r="E37" s="51"/>
      <c r="F37" s="52">
        <f>((E37/D37)*0.1)*100</f>
        <v>0</v>
      </c>
      <c r="G37" s="52">
        <f t="shared" si="0"/>
        <v>0</v>
      </c>
    </row>
    <row r="38" spans="1:7" ht="15.75" x14ac:dyDescent="0.25">
      <c r="B38" s="55" t="s">
        <v>190</v>
      </c>
      <c r="C38" s="56">
        <f>SUM(C26:C37)</f>
        <v>100</v>
      </c>
      <c r="D38" s="55"/>
      <c r="E38" s="55"/>
      <c r="F38" s="56">
        <f>SUM(F26:F37)</f>
        <v>0</v>
      </c>
      <c r="G38" s="56">
        <f>SUM(G26:G37)</f>
        <v>0</v>
      </c>
    </row>
    <row r="39" spans="1:7" x14ac:dyDescent="0.25">
      <c r="B39" s="217" t="s">
        <v>191</v>
      </c>
      <c r="C39" s="217"/>
      <c r="D39" s="217"/>
      <c r="E39" s="217"/>
      <c r="F39" s="217"/>
      <c r="G39" s="217"/>
    </row>
    <row r="40" spans="1:7" x14ac:dyDescent="0.25">
      <c r="B40" s="218" t="s">
        <v>192</v>
      </c>
      <c r="C40" s="218"/>
      <c r="D40" s="218"/>
      <c r="E40" s="218" t="s">
        <v>193</v>
      </c>
      <c r="F40" s="218"/>
      <c r="G40" s="218"/>
    </row>
    <row r="41" spans="1:7" x14ac:dyDescent="0.25">
      <c r="B41" s="214" t="s">
        <v>194</v>
      </c>
      <c r="C41" s="214"/>
      <c r="D41" s="214"/>
      <c r="E41" s="214" t="s">
        <v>195</v>
      </c>
      <c r="F41" s="214"/>
      <c r="G41" s="214"/>
    </row>
    <row r="42" spans="1:7" x14ac:dyDescent="0.25">
      <c r="B42" s="214" t="s">
        <v>196</v>
      </c>
      <c r="C42" s="214"/>
      <c r="D42" s="214"/>
      <c r="E42" s="214" t="s">
        <v>197</v>
      </c>
      <c r="F42" s="214"/>
      <c r="G42" s="214"/>
    </row>
    <row r="43" spans="1:7" x14ac:dyDescent="0.25">
      <c r="B43" s="215" t="s">
        <v>198</v>
      </c>
      <c r="C43" s="215"/>
      <c r="D43" s="215"/>
      <c r="E43" s="215" t="s">
        <v>199</v>
      </c>
      <c r="F43" s="215"/>
      <c r="G43" s="215"/>
    </row>
    <row r="45" spans="1:7" ht="15.75" thickBot="1" x14ac:dyDescent="0.3"/>
    <row r="46" spans="1:7" ht="17.25" thickTop="1" thickBot="1" x14ac:dyDescent="0.3">
      <c r="A46" s="57" t="s">
        <v>200</v>
      </c>
      <c r="B46" s="57" t="s">
        <v>172</v>
      </c>
      <c r="C46" s="58" t="s">
        <v>201</v>
      </c>
      <c r="D46" s="58" t="s">
        <v>202</v>
      </c>
      <c r="E46" s="58" t="s">
        <v>203</v>
      </c>
    </row>
    <row r="47" spans="1:7" ht="31.5" thickTop="1" thickBot="1" x14ac:dyDescent="0.3">
      <c r="A47" s="59">
        <v>1</v>
      </c>
      <c r="B47" s="60" t="s">
        <v>204</v>
      </c>
      <c r="C47" s="61">
        <v>0</v>
      </c>
      <c r="D47" s="62">
        <v>0.1</v>
      </c>
      <c r="E47" s="61">
        <v>0.1</v>
      </c>
    </row>
    <row r="48" spans="1:7" ht="31.5" thickTop="1" thickBot="1" x14ac:dyDescent="0.3">
      <c r="A48" s="59">
        <v>2</v>
      </c>
      <c r="B48" s="60" t="s">
        <v>205</v>
      </c>
      <c r="C48" s="61" t="s">
        <v>206</v>
      </c>
      <c r="D48" s="62" t="s">
        <v>207</v>
      </c>
      <c r="E48" s="61">
        <v>0.3</v>
      </c>
    </row>
    <row r="49" spans="1:5" ht="61.5" thickTop="1" thickBot="1" x14ac:dyDescent="0.3">
      <c r="A49" s="59">
        <v>3</v>
      </c>
      <c r="B49" s="60" t="s">
        <v>208</v>
      </c>
      <c r="C49" s="61" t="s">
        <v>209</v>
      </c>
      <c r="D49" s="62" t="s">
        <v>210</v>
      </c>
      <c r="E49" s="61">
        <v>0.45</v>
      </c>
    </row>
    <row r="50" spans="1:5" ht="76.5" thickTop="1" thickBot="1" x14ac:dyDescent="0.3">
      <c r="A50" s="59">
        <v>4</v>
      </c>
      <c r="B50" s="60" t="s">
        <v>211</v>
      </c>
      <c r="C50" s="61" t="s">
        <v>212</v>
      </c>
      <c r="D50" s="62" t="s">
        <v>213</v>
      </c>
      <c r="E50" s="61">
        <v>0.7</v>
      </c>
    </row>
    <row r="51" spans="1:5" ht="76.5" thickTop="1" thickBot="1" x14ac:dyDescent="0.3">
      <c r="A51" s="59">
        <v>5</v>
      </c>
      <c r="B51" s="60" t="s">
        <v>214</v>
      </c>
      <c r="C51" s="61" t="s">
        <v>215</v>
      </c>
      <c r="D51" s="62" t="s">
        <v>216</v>
      </c>
      <c r="E51" s="61">
        <v>0.75</v>
      </c>
    </row>
    <row r="52" spans="1:5" ht="76.5" thickTop="1" thickBot="1" x14ac:dyDescent="0.3">
      <c r="A52" s="59">
        <v>6</v>
      </c>
      <c r="B52" s="60" t="s">
        <v>217</v>
      </c>
      <c r="C52" s="61" t="s">
        <v>218</v>
      </c>
      <c r="D52" s="62" t="s">
        <v>219</v>
      </c>
      <c r="E52" s="61">
        <v>0.8</v>
      </c>
    </row>
    <row r="53" spans="1:5" ht="121.5" thickTop="1" thickBot="1" x14ac:dyDescent="0.3">
      <c r="A53" s="59">
        <v>7</v>
      </c>
      <c r="B53" s="60" t="s">
        <v>220</v>
      </c>
      <c r="C53" s="61" t="s">
        <v>221</v>
      </c>
      <c r="D53" s="62" t="s">
        <v>222</v>
      </c>
      <c r="E53" s="61">
        <v>0.85</v>
      </c>
    </row>
    <row r="54" spans="1:5" ht="211.5" thickTop="1" thickBot="1" x14ac:dyDescent="0.3">
      <c r="A54" s="59">
        <v>8</v>
      </c>
      <c r="B54" s="60" t="s">
        <v>223</v>
      </c>
      <c r="C54" s="61" t="s">
        <v>224</v>
      </c>
      <c r="D54" s="62" t="s">
        <v>225</v>
      </c>
      <c r="E54" s="61">
        <v>0.95</v>
      </c>
    </row>
    <row r="55" spans="1:5" ht="91.5" thickTop="1" thickBot="1" x14ac:dyDescent="0.3">
      <c r="A55" s="59">
        <v>9</v>
      </c>
      <c r="B55" s="60" t="s">
        <v>226</v>
      </c>
      <c r="C55" s="61" t="s">
        <v>227</v>
      </c>
      <c r="D55" s="62" t="s">
        <v>228</v>
      </c>
      <c r="E55" s="61">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51">
        <v>1</v>
      </c>
      <c r="C2" s="70" t="s">
        <v>246</v>
      </c>
    </row>
    <row r="3" spans="2:3" x14ac:dyDescent="0.25">
      <c r="B3" s="51">
        <v>2</v>
      </c>
      <c r="C3" s="71" t="s">
        <v>247</v>
      </c>
    </row>
    <row r="4" spans="2:3" x14ac:dyDescent="0.25">
      <c r="B4" s="51">
        <v>3</v>
      </c>
      <c r="C4" s="72" t="s">
        <v>248</v>
      </c>
    </row>
    <row r="5" spans="2:3" x14ac:dyDescent="0.25">
      <c r="B5" s="51">
        <v>4</v>
      </c>
      <c r="C5" s="71" t="s">
        <v>249</v>
      </c>
    </row>
    <row r="6" spans="2:3" x14ac:dyDescent="0.25">
      <c r="B6" s="51">
        <v>5</v>
      </c>
      <c r="C6" s="72" t="s">
        <v>250</v>
      </c>
    </row>
    <row r="7" spans="2:3" ht="30" x14ac:dyDescent="0.25">
      <c r="B7" s="51">
        <v>6</v>
      </c>
      <c r="C7" s="71" t="s">
        <v>251</v>
      </c>
    </row>
    <row r="8" spans="2:3" ht="75" x14ac:dyDescent="0.25">
      <c r="B8" s="51">
        <v>7</v>
      </c>
      <c r="C8" s="71" t="s">
        <v>252</v>
      </c>
    </row>
    <row r="9" spans="2:3" x14ac:dyDescent="0.25">
      <c r="B9" s="51">
        <v>8</v>
      </c>
      <c r="C9" s="72" t="s">
        <v>253</v>
      </c>
    </row>
    <row r="10" spans="2:3" x14ac:dyDescent="0.25">
      <c r="B10" s="51">
        <v>9</v>
      </c>
      <c r="C10" s="72" t="s">
        <v>254</v>
      </c>
    </row>
    <row r="11" spans="2:3" x14ac:dyDescent="0.25">
      <c r="B11" s="51">
        <v>10</v>
      </c>
      <c r="C11" s="72" t="s">
        <v>255</v>
      </c>
    </row>
    <row r="12" spans="2:3" x14ac:dyDescent="0.25">
      <c r="B12" s="51">
        <v>11</v>
      </c>
      <c r="C12" s="72" t="s">
        <v>256</v>
      </c>
    </row>
    <row r="13" spans="2:3" x14ac:dyDescent="0.25">
      <c r="B13" s="51">
        <v>12</v>
      </c>
      <c r="C13" s="72" t="s">
        <v>257</v>
      </c>
    </row>
    <row r="14" spans="2:3" x14ac:dyDescent="0.25">
      <c r="B14" s="51">
        <v>13</v>
      </c>
      <c r="C14" s="72" t="s">
        <v>258</v>
      </c>
    </row>
    <row r="15" spans="2:3" x14ac:dyDescent="0.25">
      <c r="B15" s="51">
        <v>14</v>
      </c>
      <c r="C15" s="72" t="s">
        <v>248</v>
      </c>
    </row>
    <row r="16" spans="2:3" x14ac:dyDescent="0.25">
      <c r="B16" s="51">
        <v>15</v>
      </c>
      <c r="C16" s="72" t="s">
        <v>241</v>
      </c>
    </row>
    <row r="17" spans="2:3" x14ac:dyDescent="0.25">
      <c r="B17" s="73">
        <v>16</v>
      </c>
      <c r="C17" s="74" t="s">
        <v>259</v>
      </c>
    </row>
    <row r="18" spans="2:3" x14ac:dyDescent="0.25">
      <c r="B18" s="75">
        <v>17</v>
      </c>
      <c r="C18" s="74" t="s">
        <v>260</v>
      </c>
    </row>
    <row r="19" spans="2:3" x14ac:dyDescent="0.25">
      <c r="B19" s="76">
        <v>18</v>
      </c>
      <c r="C19" s="51" t="s">
        <v>261</v>
      </c>
    </row>
    <row r="20" spans="2:3" x14ac:dyDescent="0.25">
      <c r="B20" s="75">
        <v>19</v>
      </c>
      <c r="C20" s="51" t="s">
        <v>262</v>
      </c>
    </row>
    <row r="21" spans="2:3" x14ac:dyDescent="0.25">
      <c r="B21" s="77">
        <v>20</v>
      </c>
      <c r="C21" s="51" t="s">
        <v>263</v>
      </c>
    </row>
    <row r="22" spans="2:3" x14ac:dyDescent="0.25">
      <c r="B22" s="75">
        <v>21</v>
      </c>
      <c r="C22" s="51" t="s">
        <v>261</v>
      </c>
    </row>
    <row r="23" spans="2:3" s="79" customFormat="1" ht="30" x14ac:dyDescent="0.25">
      <c r="B23" s="78">
        <v>22</v>
      </c>
      <c r="C23" s="70" t="s">
        <v>264</v>
      </c>
    </row>
    <row r="24" spans="2:3" s="79" customFormat="1" ht="30" x14ac:dyDescent="0.25">
      <c r="B24" s="80">
        <v>23</v>
      </c>
      <c r="C24" s="70" t="s">
        <v>265</v>
      </c>
    </row>
    <row r="25" spans="2:3" x14ac:dyDescent="0.25">
      <c r="B25" s="77">
        <v>24</v>
      </c>
      <c r="C25" s="51" t="s">
        <v>266</v>
      </c>
    </row>
    <row r="26" spans="2:3" x14ac:dyDescent="0.25">
      <c r="B26" s="75">
        <v>25</v>
      </c>
      <c r="C26" s="51" t="s">
        <v>267</v>
      </c>
    </row>
    <row r="27" spans="2:3" x14ac:dyDescent="0.25">
      <c r="B27" s="80">
        <v>26</v>
      </c>
      <c r="C27" s="77" t="s">
        <v>268</v>
      </c>
    </row>
    <row r="28" spans="2:3" x14ac:dyDescent="0.25">
      <c r="B28" s="81">
        <v>27</v>
      </c>
      <c r="C28" s="51" t="s">
        <v>269</v>
      </c>
    </row>
    <row r="29" spans="2:3" ht="60" x14ac:dyDescent="0.25">
      <c r="B29" s="82">
        <v>28</v>
      </c>
      <c r="C29" s="71" t="s">
        <v>270</v>
      </c>
    </row>
    <row r="30" spans="2:3" x14ac:dyDescent="0.25">
      <c r="B30" s="80">
        <v>29</v>
      </c>
      <c r="C30" s="51" t="s">
        <v>271</v>
      </c>
    </row>
    <row r="31" spans="2:3" ht="30" x14ac:dyDescent="0.25">
      <c r="B31" s="83">
        <v>30</v>
      </c>
      <c r="C31" s="71" t="s">
        <v>299</v>
      </c>
    </row>
    <row r="32" spans="2:3" x14ac:dyDescent="0.25">
      <c r="B32" s="80">
        <v>31</v>
      </c>
      <c r="C32" s="51" t="s">
        <v>300</v>
      </c>
    </row>
    <row r="33" spans="2:3" x14ac:dyDescent="0.25">
      <c r="B33" s="80">
        <v>32</v>
      </c>
      <c r="C33" s="51" t="s">
        <v>301</v>
      </c>
    </row>
    <row r="34" spans="2:3" ht="30" x14ac:dyDescent="0.25">
      <c r="B34" s="83">
        <v>33</v>
      </c>
      <c r="C34" s="74" t="s">
        <v>302</v>
      </c>
    </row>
    <row r="35" spans="2:3" x14ac:dyDescent="0.25">
      <c r="B35" s="80">
        <v>34</v>
      </c>
      <c r="C35" s="5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84"/>
    <col min="2" max="2" width="12.28515625" style="84" customWidth="1"/>
    <col min="3" max="16384" width="9.140625" style="84"/>
  </cols>
  <sheetData>
    <row r="2" spans="1:12" x14ac:dyDescent="0.25">
      <c r="B2" s="85" t="s">
        <v>272</v>
      </c>
      <c r="C2" s="221"/>
      <c r="D2" s="221"/>
    </row>
    <row r="3" spans="1:12" x14ac:dyDescent="0.25">
      <c r="D3" s="86"/>
      <c r="E3" s="86"/>
      <c r="F3" s="86"/>
      <c r="G3" s="86"/>
      <c r="H3" s="86"/>
      <c r="I3" s="86"/>
    </row>
    <row r="4" spans="1:12" x14ac:dyDescent="0.25">
      <c r="A4" s="85" t="s">
        <v>273</v>
      </c>
      <c r="B4" s="69" t="s">
        <v>274</v>
      </c>
      <c r="C4" s="222" t="s">
        <v>275</v>
      </c>
      <c r="D4" s="222"/>
      <c r="E4" s="222"/>
      <c r="F4" s="69"/>
      <c r="G4" s="223" t="s">
        <v>276</v>
      </c>
      <c r="H4" s="223"/>
      <c r="I4" s="223"/>
      <c r="J4" s="224" t="s">
        <v>277</v>
      </c>
      <c r="K4" s="224"/>
      <c r="L4" s="224"/>
    </row>
    <row r="5" spans="1:12" x14ac:dyDescent="0.25">
      <c r="A5" s="85"/>
      <c r="B5" s="69"/>
      <c r="C5" s="69" t="s">
        <v>278</v>
      </c>
      <c r="D5" s="69" t="s">
        <v>279</v>
      </c>
      <c r="E5" s="69" t="s">
        <v>280</v>
      </c>
      <c r="F5" s="69"/>
      <c r="G5" s="69" t="s">
        <v>278</v>
      </c>
      <c r="H5" s="69" t="s">
        <v>279</v>
      </c>
      <c r="I5" s="69" t="s">
        <v>280</v>
      </c>
      <c r="J5" s="69" t="s">
        <v>278</v>
      </c>
      <c r="K5" s="69" t="s">
        <v>279</v>
      </c>
      <c r="L5" s="69" t="s">
        <v>280</v>
      </c>
    </row>
    <row r="6" spans="1:12" x14ac:dyDescent="0.25">
      <c r="B6" s="68" t="s">
        <v>281</v>
      </c>
      <c r="C6" s="68"/>
      <c r="D6" s="68"/>
      <c r="E6" s="68">
        <f>C6*D6</f>
        <v>0</v>
      </c>
      <c r="F6" s="68" t="s">
        <v>282</v>
      </c>
      <c r="G6" s="68"/>
      <c r="H6" s="68"/>
      <c r="I6" s="68">
        <f>G6*H6</f>
        <v>0</v>
      </c>
      <c r="J6" s="68"/>
      <c r="K6" s="68"/>
      <c r="L6" s="68">
        <f>J6*K6</f>
        <v>0</v>
      </c>
    </row>
    <row r="7" spans="1:12" x14ac:dyDescent="0.25">
      <c r="B7" s="68"/>
      <c r="C7" s="68"/>
      <c r="D7" s="68"/>
      <c r="E7" s="68">
        <f t="shared" ref="E7:E41" si="0">C7*D7</f>
        <v>0</v>
      </c>
      <c r="F7" s="68" t="s">
        <v>282</v>
      </c>
      <c r="G7" s="68"/>
      <c r="H7" s="68"/>
      <c r="I7" s="68">
        <f t="shared" ref="I7:I35" si="1">G7*H7</f>
        <v>0</v>
      </c>
      <c r="J7" s="68"/>
      <c r="K7" s="68"/>
      <c r="L7" s="68">
        <f t="shared" ref="L7:L35" si="2">J7*K7</f>
        <v>0</v>
      </c>
    </row>
    <row r="8" spans="1:12" x14ac:dyDescent="0.25">
      <c r="B8" s="68"/>
      <c r="C8" s="68"/>
      <c r="D8" s="68"/>
      <c r="E8" s="68">
        <f t="shared" si="0"/>
        <v>0</v>
      </c>
      <c r="F8" s="68"/>
      <c r="G8" s="68"/>
      <c r="H8" s="68"/>
      <c r="I8" s="68">
        <f t="shared" si="1"/>
        <v>0</v>
      </c>
      <c r="J8" s="68"/>
      <c r="K8" s="68"/>
      <c r="L8" s="68">
        <f t="shared" si="2"/>
        <v>0</v>
      </c>
    </row>
    <row r="9" spans="1:12" x14ac:dyDescent="0.25">
      <c r="B9" s="68"/>
      <c r="C9" s="68"/>
      <c r="D9" s="68"/>
      <c r="E9" s="68">
        <f t="shared" si="0"/>
        <v>0</v>
      </c>
      <c r="F9" s="68" t="s">
        <v>283</v>
      </c>
      <c r="G9" s="68"/>
      <c r="H9" s="68"/>
      <c r="I9" s="68">
        <f t="shared" si="1"/>
        <v>0</v>
      </c>
      <c r="J9" s="68"/>
      <c r="K9" s="68"/>
      <c r="L9" s="68">
        <f t="shared" si="2"/>
        <v>0</v>
      </c>
    </row>
    <row r="10" spans="1:12" x14ac:dyDescent="0.25">
      <c r="B10" s="68" t="s">
        <v>284</v>
      </c>
      <c r="C10" s="68"/>
      <c r="D10" s="68"/>
      <c r="E10" s="68">
        <f t="shared" si="0"/>
        <v>0</v>
      </c>
      <c r="F10" s="68" t="s">
        <v>283</v>
      </c>
      <c r="G10" s="68"/>
      <c r="H10" s="68"/>
      <c r="I10" s="68">
        <f t="shared" si="1"/>
        <v>0</v>
      </c>
      <c r="J10" s="68"/>
      <c r="K10" s="68"/>
      <c r="L10" s="68">
        <f t="shared" si="2"/>
        <v>0</v>
      </c>
    </row>
    <row r="11" spans="1:12" x14ac:dyDescent="0.25">
      <c r="B11" s="68"/>
      <c r="C11" s="68"/>
      <c r="D11" s="68"/>
      <c r="E11" s="68">
        <f t="shared" si="0"/>
        <v>0</v>
      </c>
      <c r="F11" s="68" t="s">
        <v>285</v>
      </c>
      <c r="G11" s="68"/>
      <c r="H11" s="68"/>
      <c r="I11" s="68">
        <f t="shared" si="1"/>
        <v>0</v>
      </c>
      <c r="J11" s="68"/>
      <c r="K11" s="68"/>
      <c r="L11" s="68">
        <f t="shared" si="2"/>
        <v>0</v>
      </c>
    </row>
    <row r="12" spans="1:12" x14ac:dyDescent="0.25">
      <c r="B12" s="68"/>
      <c r="C12" s="68"/>
      <c r="D12" s="68"/>
      <c r="E12" s="68">
        <f t="shared" si="0"/>
        <v>0</v>
      </c>
      <c r="F12" s="68"/>
      <c r="G12" s="68"/>
      <c r="H12" s="68"/>
      <c r="I12" s="68">
        <f t="shared" si="1"/>
        <v>0</v>
      </c>
      <c r="J12" s="68"/>
      <c r="K12" s="68"/>
      <c r="L12" s="68">
        <f t="shared" si="2"/>
        <v>0</v>
      </c>
    </row>
    <row r="13" spans="1:12" x14ac:dyDescent="0.25">
      <c r="B13" s="68"/>
      <c r="C13" s="68"/>
      <c r="D13" s="68"/>
      <c r="E13" s="68">
        <f t="shared" si="0"/>
        <v>0</v>
      </c>
      <c r="F13" s="68"/>
      <c r="G13" s="68"/>
      <c r="H13" s="68"/>
      <c r="I13" s="68">
        <f t="shared" si="1"/>
        <v>0</v>
      </c>
      <c r="J13" s="68"/>
      <c r="K13" s="68"/>
      <c r="L13" s="68">
        <f t="shared" si="2"/>
        <v>0</v>
      </c>
    </row>
    <row r="14" spans="1:12" x14ac:dyDescent="0.25">
      <c r="B14" s="68" t="s">
        <v>286</v>
      </c>
      <c r="C14" s="68"/>
      <c r="D14" s="68"/>
      <c r="E14" s="68">
        <f t="shared" si="0"/>
        <v>0</v>
      </c>
      <c r="F14" s="68" t="s">
        <v>283</v>
      </c>
      <c r="G14" s="68"/>
      <c r="H14" s="68"/>
      <c r="I14" s="68">
        <f t="shared" si="1"/>
        <v>0</v>
      </c>
      <c r="J14" s="68"/>
      <c r="K14" s="68"/>
      <c r="L14" s="68">
        <f t="shared" si="2"/>
        <v>0</v>
      </c>
    </row>
    <row r="15" spans="1:12" x14ac:dyDescent="0.25">
      <c r="B15" s="68"/>
      <c r="C15" s="68"/>
      <c r="D15" s="68"/>
      <c r="E15" s="68">
        <f t="shared" si="0"/>
        <v>0</v>
      </c>
      <c r="F15" s="68" t="s">
        <v>285</v>
      </c>
      <c r="G15" s="68"/>
      <c r="H15" s="68"/>
      <c r="I15" s="68">
        <f t="shared" si="1"/>
        <v>0</v>
      </c>
      <c r="J15" s="68"/>
      <c r="K15" s="68"/>
      <c r="L15" s="68">
        <f t="shared" si="2"/>
        <v>0</v>
      </c>
    </row>
    <row r="16" spans="1:12" x14ac:dyDescent="0.25">
      <c r="B16" s="68"/>
      <c r="C16" s="68"/>
      <c r="D16" s="68"/>
      <c r="E16" s="68">
        <f t="shared" si="0"/>
        <v>0</v>
      </c>
      <c r="F16" s="68"/>
      <c r="G16" s="68"/>
      <c r="H16" s="68"/>
      <c r="I16" s="68">
        <f t="shared" si="1"/>
        <v>0</v>
      </c>
      <c r="J16" s="68"/>
      <c r="K16" s="68"/>
      <c r="L16" s="68">
        <f t="shared" si="2"/>
        <v>0</v>
      </c>
    </row>
    <row r="17" spans="2:12" x14ac:dyDescent="0.25">
      <c r="B17" s="68"/>
      <c r="C17" s="68"/>
      <c r="D17" s="68"/>
      <c r="E17" s="68">
        <f t="shared" si="0"/>
        <v>0</v>
      </c>
      <c r="F17" s="68"/>
      <c r="G17" s="68"/>
      <c r="H17" s="68"/>
      <c r="I17" s="68">
        <f t="shared" si="1"/>
        <v>0</v>
      </c>
      <c r="J17" s="68"/>
      <c r="K17" s="68"/>
      <c r="L17" s="68">
        <f t="shared" si="2"/>
        <v>0</v>
      </c>
    </row>
    <row r="18" spans="2:12" x14ac:dyDescent="0.25">
      <c r="B18" s="68" t="s">
        <v>287</v>
      </c>
      <c r="C18" s="68"/>
      <c r="D18" s="68"/>
      <c r="E18" s="68">
        <f t="shared" si="0"/>
        <v>0</v>
      </c>
      <c r="F18" s="68" t="s">
        <v>283</v>
      </c>
      <c r="G18" s="68"/>
      <c r="H18" s="68"/>
      <c r="I18" s="68">
        <f t="shared" si="1"/>
        <v>0</v>
      </c>
      <c r="J18" s="68"/>
      <c r="K18" s="68"/>
      <c r="L18" s="68">
        <f t="shared" si="2"/>
        <v>0</v>
      </c>
    </row>
    <row r="19" spans="2:12" x14ac:dyDescent="0.25">
      <c r="B19" s="68"/>
      <c r="C19" s="68"/>
      <c r="D19" s="68"/>
      <c r="E19" s="68">
        <f t="shared" si="0"/>
        <v>0</v>
      </c>
      <c r="F19" s="68" t="s">
        <v>285</v>
      </c>
      <c r="G19" s="68"/>
      <c r="H19" s="68"/>
      <c r="I19" s="68">
        <f t="shared" si="1"/>
        <v>0</v>
      </c>
      <c r="J19" s="68"/>
      <c r="K19" s="68"/>
      <c r="L19" s="68">
        <f t="shared" si="2"/>
        <v>0</v>
      </c>
    </row>
    <row r="20" spans="2:12" x14ac:dyDescent="0.25">
      <c r="B20" s="68"/>
      <c r="C20" s="68"/>
      <c r="D20" s="68"/>
      <c r="E20" s="68">
        <f t="shared" si="0"/>
        <v>0</v>
      </c>
      <c r="F20" s="68"/>
      <c r="G20" s="68"/>
      <c r="H20" s="68"/>
      <c r="I20" s="68">
        <f t="shared" si="1"/>
        <v>0</v>
      </c>
      <c r="J20" s="68"/>
      <c r="K20" s="68"/>
      <c r="L20" s="68">
        <f t="shared" si="2"/>
        <v>0</v>
      </c>
    </row>
    <row r="21" spans="2:12" x14ac:dyDescent="0.25">
      <c r="B21" s="68" t="s">
        <v>288</v>
      </c>
      <c r="C21" s="68"/>
      <c r="D21" s="68"/>
      <c r="E21" s="68">
        <f t="shared" si="0"/>
        <v>0</v>
      </c>
      <c r="F21" s="68" t="s">
        <v>283</v>
      </c>
      <c r="G21" s="68"/>
      <c r="H21" s="68"/>
      <c r="I21" s="68">
        <f t="shared" si="1"/>
        <v>0</v>
      </c>
      <c r="J21" s="68"/>
      <c r="K21" s="68"/>
      <c r="L21" s="68">
        <f t="shared" si="2"/>
        <v>0</v>
      </c>
    </row>
    <row r="22" spans="2:12" x14ac:dyDescent="0.25">
      <c r="B22" s="68"/>
      <c r="C22" s="68"/>
      <c r="D22" s="68"/>
      <c r="E22" s="68">
        <f t="shared" si="0"/>
        <v>0</v>
      </c>
      <c r="F22" s="68" t="s">
        <v>285</v>
      </c>
      <c r="G22" s="68"/>
      <c r="H22" s="68"/>
      <c r="I22" s="68">
        <f t="shared" si="1"/>
        <v>0</v>
      </c>
      <c r="J22" s="68"/>
      <c r="K22" s="68"/>
      <c r="L22" s="68">
        <f t="shared" si="2"/>
        <v>0</v>
      </c>
    </row>
    <row r="23" spans="2:12" x14ac:dyDescent="0.25">
      <c r="B23" s="68"/>
      <c r="C23" s="68"/>
      <c r="D23" s="68"/>
      <c r="E23" s="68">
        <f t="shared" si="0"/>
        <v>0</v>
      </c>
      <c r="F23" s="68"/>
      <c r="G23" s="68"/>
      <c r="H23" s="68"/>
      <c r="I23" s="68">
        <f t="shared" si="1"/>
        <v>0</v>
      </c>
      <c r="J23" s="68"/>
      <c r="K23" s="68"/>
      <c r="L23" s="68">
        <f t="shared" si="2"/>
        <v>0</v>
      </c>
    </row>
    <row r="24" spans="2:12" x14ac:dyDescent="0.25">
      <c r="B24" s="68" t="s">
        <v>289</v>
      </c>
      <c r="C24" s="68"/>
      <c r="D24" s="68"/>
      <c r="E24" s="68">
        <f t="shared" si="0"/>
        <v>0</v>
      </c>
      <c r="F24" s="68" t="s">
        <v>290</v>
      </c>
      <c r="G24" s="68"/>
      <c r="H24" s="68"/>
      <c r="I24" s="68">
        <f t="shared" si="1"/>
        <v>0</v>
      </c>
      <c r="J24" s="68"/>
      <c r="K24" s="68"/>
      <c r="L24" s="68">
        <f t="shared" si="2"/>
        <v>0</v>
      </c>
    </row>
    <row r="25" spans="2:12" x14ac:dyDescent="0.25">
      <c r="B25" s="68"/>
      <c r="C25" s="68"/>
      <c r="D25" s="68"/>
      <c r="E25" s="68">
        <f t="shared" si="0"/>
        <v>0</v>
      </c>
      <c r="F25" s="68" t="s">
        <v>290</v>
      </c>
      <c r="G25" s="68"/>
      <c r="H25" s="68"/>
      <c r="I25" s="68">
        <f t="shared" si="1"/>
        <v>0</v>
      </c>
      <c r="J25" s="68"/>
      <c r="K25" s="68"/>
      <c r="L25" s="68">
        <f t="shared" si="2"/>
        <v>0</v>
      </c>
    </row>
    <row r="26" spans="2:12" x14ac:dyDescent="0.25">
      <c r="B26" s="68"/>
      <c r="C26" s="68"/>
      <c r="D26" s="68"/>
      <c r="E26" s="68">
        <f t="shared" si="0"/>
        <v>0</v>
      </c>
      <c r="F26" s="68" t="s">
        <v>290</v>
      </c>
      <c r="G26" s="68"/>
      <c r="H26" s="68"/>
      <c r="I26" s="68">
        <f t="shared" si="1"/>
        <v>0</v>
      </c>
      <c r="J26" s="68"/>
      <c r="K26" s="68"/>
      <c r="L26" s="68">
        <f t="shared" si="2"/>
        <v>0</v>
      </c>
    </row>
    <row r="27" spans="2:12" x14ac:dyDescent="0.25">
      <c r="B27" s="68"/>
      <c r="C27" s="68"/>
      <c r="D27" s="68"/>
      <c r="E27" s="68">
        <f t="shared" si="0"/>
        <v>0</v>
      </c>
      <c r="F27" s="68" t="s">
        <v>290</v>
      </c>
      <c r="G27" s="68"/>
      <c r="H27" s="68"/>
      <c r="I27" s="68">
        <f t="shared" si="1"/>
        <v>0</v>
      </c>
      <c r="J27" s="68"/>
      <c r="K27" s="68"/>
      <c r="L27" s="68">
        <f t="shared" si="2"/>
        <v>0</v>
      </c>
    </row>
    <row r="28" spans="2:12" x14ac:dyDescent="0.25">
      <c r="B28" s="68" t="s">
        <v>291</v>
      </c>
      <c r="C28" s="68"/>
      <c r="D28" s="68"/>
      <c r="E28" s="68">
        <f t="shared" si="0"/>
        <v>0</v>
      </c>
      <c r="F28" s="68" t="s">
        <v>290</v>
      </c>
      <c r="G28" s="68"/>
      <c r="H28" s="68"/>
      <c r="I28" s="68">
        <f t="shared" si="1"/>
        <v>0</v>
      </c>
      <c r="J28" s="68"/>
      <c r="K28" s="68"/>
      <c r="L28" s="68">
        <f t="shared" si="2"/>
        <v>0</v>
      </c>
    </row>
    <row r="29" spans="2:12" x14ac:dyDescent="0.25">
      <c r="B29" s="68" t="s">
        <v>292</v>
      </c>
      <c r="C29" s="68"/>
      <c r="D29" s="68"/>
      <c r="E29" s="68">
        <f t="shared" si="0"/>
        <v>0</v>
      </c>
      <c r="F29" s="68" t="s">
        <v>290</v>
      </c>
      <c r="G29" s="68"/>
      <c r="H29" s="68"/>
      <c r="I29" s="68">
        <f t="shared" si="1"/>
        <v>0</v>
      </c>
      <c r="J29" s="68"/>
      <c r="K29" s="68"/>
      <c r="L29" s="68">
        <f t="shared" si="2"/>
        <v>0</v>
      </c>
    </row>
    <row r="30" spans="2:12" x14ac:dyDescent="0.25">
      <c r="B30" s="68" t="s">
        <v>293</v>
      </c>
      <c r="C30" s="68"/>
      <c r="D30" s="68"/>
      <c r="E30" s="68">
        <f t="shared" si="0"/>
        <v>0</v>
      </c>
      <c r="F30" s="68"/>
      <c r="G30" s="68"/>
      <c r="H30" s="68"/>
      <c r="I30" s="68">
        <f t="shared" si="1"/>
        <v>0</v>
      </c>
      <c r="J30" s="68"/>
      <c r="K30" s="68"/>
      <c r="L30" s="68">
        <f t="shared" si="2"/>
        <v>0</v>
      </c>
    </row>
    <row r="31" spans="2:12" x14ac:dyDescent="0.25">
      <c r="B31" s="68"/>
      <c r="C31" s="68"/>
      <c r="D31" s="68"/>
      <c r="E31" s="68">
        <f t="shared" si="0"/>
        <v>0</v>
      </c>
      <c r="F31" s="68"/>
      <c r="G31" s="68"/>
      <c r="H31" s="68"/>
      <c r="I31" s="68">
        <f t="shared" si="1"/>
        <v>0</v>
      </c>
      <c r="J31" s="68"/>
      <c r="K31" s="68"/>
      <c r="L31" s="68">
        <f t="shared" si="2"/>
        <v>0</v>
      </c>
    </row>
    <row r="32" spans="2:12" x14ac:dyDescent="0.25">
      <c r="B32" s="68"/>
      <c r="C32" s="68"/>
      <c r="D32" s="68"/>
      <c r="E32" s="68">
        <f t="shared" si="0"/>
        <v>0</v>
      </c>
      <c r="F32" s="68"/>
      <c r="G32" s="68"/>
      <c r="H32" s="68"/>
      <c r="I32" s="68">
        <f t="shared" si="1"/>
        <v>0</v>
      </c>
      <c r="J32" s="68"/>
      <c r="K32" s="68"/>
      <c r="L32" s="68">
        <f t="shared" si="2"/>
        <v>0</v>
      </c>
    </row>
    <row r="33" spans="2:12" x14ac:dyDescent="0.25">
      <c r="B33" s="68" t="s">
        <v>294</v>
      </c>
      <c r="C33" s="68"/>
      <c r="D33" s="68"/>
      <c r="E33" s="68">
        <f t="shared" si="0"/>
        <v>0</v>
      </c>
      <c r="F33" s="68"/>
      <c r="G33" s="68"/>
      <c r="H33" s="68"/>
      <c r="I33" s="68">
        <f t="shared" si="1"/>
        <v>0</v>
      </c>
      <c r="J33" s="68"/>
      <c r="K33" s="68"/>
      <c r="L33" s="68">
        <f t="shared" si="2"/>
        <v>0</v>
      </c>
    </row>
    <row r="34" spans="2:12" x14ac:dyDescent="0.25">
      <c r="B34" s="68" t="s">
        <v>295</v>
      </c>
      <c r="C34" s="68"/>
      <c r="D34" s="68"/>
      <c r="E34" s="68">
        <f t="shared" si="0"/>
        <v>0</v>
      </c>
      <c r="F34" s="68"/>
      <c r="G34" s="68"/>
      <c r="H34" s="68"/>
      <c r="I34" s="68">
        <f t="shared" si="1"/>
        <v>0</v>
      </c>
      <c r="J34" s="68"/>
      <c r="K34" s="68"/>
      <c r="L34" s="68">
        <f t="shared" si="2"/>
        <v>0</v>
      </c>
    </row>
    <row r="35" spans="2:12" x14ac:dyDescent="0.25">
      <c r="B35" s="68" t="s">
        <v>296</v>
      </c>
      <c r="C35" s="68"/>
      <c r="D35" s="68"/>
      <c r="E35" s="68">
        <f t="shared" si="0"/>
        <v>0</v>
      </c>
      <c r="F35" s="68"/>
      <c r="G35" s="68"/>
      <c r="H35" s="68"/>
      <c r="I35" s="68">
        <f t="shared" si="1"/>
        <v>0</v>
      </c>
      <c r="J35" s="68"/>
      <c r="K35" s="68"/>
      <c r="L35" s="68">
        <f t="shared" si="2"/>
        <v>0</v>
      </c>
    </row>
    <row r="36" spans="2:12" x14ac:dyDescent="0.25">
      <c r="B36" s="68" t="s">
        <v>297</v>
      </c>
      <c r="C36" s="68"/>
      <c r="D36" s="68"/>
      <c r="E36" s="68">
        <f t="shared" si="0"/>
        <v>0</v>
      </c>
      <c r="F36" s="68"/>
      <c r="G36" s="68"/>
      <c r="H36" s="68"/>
      <c r="I36" s="68">
        <f>G36*H36</f>
        <v>0</v>
      </c>
      <c r="J36" s="68"/>
      <c r="K36" s="68"/>
      <c r="L36" s="68">
        <f>J36*K36</f>
        <v>0</v>
      </c>
    </row>
    <row r="37" spans="2:12" x14ac:dyDescent="0.25">
      <c r="B37" s="68"/>
      <c r="C37" s="68"/>
      <c r="D37" s="68"/>
      <c r="E37" s="68">
        <f t="shared" si="0"/>
        <v>0</v>
      </c>
      <c r="F37" s="68"/>
      <c r="G37" s="68"/>
      <c r="H37" s="68"/>
      <c r="I37" s="68">
        <f t="shared" ref="I37:I38" si="3">G37*H37</f>
        <v>0</v>
      </c>
      <c r="J37" s="68"/>
      <c r="K37" s="68"/>
      <c r="L37" s="68">
        <f t="shared" ref="L37:L38" si="4">J37*K37</f>
        <v>0</v>
      </c>
    </row>
    <row r="38" spans="2:12" x14ac:dyDescent="0.25">
      <c r="B38" s="68" t="s">
        <v>298</v>
      </c>
      <c r="C38" s="68"/>
      <c r="D38" s="68"/>
      <c r="E38" s="68">
        <f t="shared" si="0"/>
        <v>0</v>
      </c>
      <c r="F38" s="68"/>
      <c r="G38" s="68"/>
      <c r="H38" s="68"/>
      <c r="I38" s="68">
        <f t="shared" si="3"/>
        <v>0</v>
      </c>
      <c r="J38" s="68"/>
      <c r="K38" s="68"/>
      <c r="L38" s="68">
        <f t="shared" si="4"/>
        <v>0</v>
      </c>
    </row>
    <row r="39" spans="2:12" x14ac:dyDescent="0.25">
      <c r="B39" s="68"/>
      <c r="C39" s="68"/>
      <c r="D39" s="68"/>
      <c r="E39" s="68">
        <f t="shared" si="0"/>
        <v>0</v>
      </c>
      <c r="F39" s="68"/>
      <c r="G39" s="68"/>
      <c r="H39" s="68"/>
      <c r="I39" s="68">
        <f>G39*H39</f>
        <v>0</v>
      </c>
      <c r="J39" s="68"/>
      <c r="K39" s="68"/>
      <c r="L39" s="68">
        <f>J39*K39</f>
        <v>0</v>
      </c>
    </row>
    <row r="40" spans="2:12" x14ac:dyDescent="0.25">
      <c r="B40" s="68"/>
      <c r="C40" s="68"/>
      <c r="D40" s="68"/>
      <c r="E40" s="68">
        <f t="shared" si="0"/>
        <v>0</v>
      </c>
      <c r="F40" s="68"/>
      <c r="G40" s="68"/>
      <c r="H40" s="68"/>
      <c r="I40" s="68">
        <f>G40*H40</f>
        <v>0</v>
      </c>
      <c r="J40" s="68"/>
      <c r="K40" s="68"/>
      <c r="L40" s="68">
        <f>J40*K40</f>
        <v>0</v>
      </c>
    </row>
    <row r="41" spans="2:12" x14ac:dyDescent="0.25">
      <c r="B41" s="68"/>
      <c r="C41" s="68"/>
      <c r="D41" s="68"/>
      <c r="E41" s="68">
        <f t="shared" si="0"/>
        <v>0</v>
      </c>
      <c r="F41" s="68"/>
      <c r="G41" s="68"/>
      <c r="H41" s="68"/>
      <c r="I41" s="68">
        <f>G41*H41</f>
        <v>0</v>
      </c>
      <c r="J41" s="68"/>
      <c r="K41" s="68"/>
      <c r="L41" s="68">
        <f>J41*K41</f>
        <v>0</v>
      </c>
    </row>
    <row r="42" spans="2:12" x14ac:dyDescent="0.25">
      <c r="B42" s="68" t="s">
        <v>156</v>
      </c>
      <c r="C42" s="68"/>
      <c r="D42" s="68">
        <f>E42*10.764</f>
        <v>0</v>
      </c>
      <c r="E42" s="87">
        <f>SUM(E6:E41)</f>
        <v>0</v>
      </c>
      <c r="F42" s="68"/>
      <c r="G42" s="68"/>
      <c r="H42" s="68">
        <f>I42*10.764</f>
        <v>0</v>
      </c>
      <c r="I42" s="88">
        <f>SUM(I6:I41)</f>
        <v>0</v>
      </c>
      <c r="J42" s="68"/>
      <c r="K42" s="68">
        <f>L42*10.764</f>
        <v>0</v>
      </c>
      <c r="L42" s="89">
        <f>SUM(L6:L41)</f>
        <v>0</v>
      </c>
    </row>
    <row r="44" spans="2:12" x14ac:dyDescent="0.25">
      <c r="D44" s="84">
        <f>D42+H42</f>
        <v>0</v>
      </c>
      <c r="E44" s="8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2025-08-18T10:29:16Z</cp:lastPrinted>
  <dcterms:created xsi:type="dcterms:W3CDTF">2010-11-23T11:42:48Z</dcterms:created>
  <dcterms:modified xsi:type="dcterms:W3CDTF">2025-08-18T10:31:42Z</dcterms:modified>
</cp:coreProperties>
</file>