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PF\25-26\August 2025\YES\NEW\Pranita\Elite Residency Building No.1\"/>
    </mc:Choice>
  </mc:AlternateContent>
  <bookViews>
    <workbookView xWindow="-105" yWindow="-105" windowWidth="23250" windowHeight="12450" tabRatio="745"/>
  </bookViews>
  <sheets>
    <sheet name="Report" sheetId="15" r:id="rId1"/>
    <sheet name="Valuation" sheetId="23" r:id="rId2"/>
  </sheets>
  <definedNames>
    <definedName name="_xlnm.Print_Area" localSheetId="0">Report!$A$1:$H$312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4" i="15" l="1"/>
  <c r="I133" i="15"/>
  <c r="I134" i="15"/>
  <c r="S133" i="15"/>
  <c r="Q133" i="15"/>
  <c r="Q132" i="15"/>
  <c r="Q131" i="15"/>
  <c r="M132" i="15"/>
  <c r="M131" i="15"/>
  <c r="K129" i="15"/>
  <c r="K130" i="15"/>
  <c r="K131" i="15"/>
  <c r="K132" i="15"/>
  <c r="K133" i="15"/>
  <c r="K134" i="15"/>
  <c r="K135" i="15"/>
  <c r="K128" i="15"/>
  <c r="A178" i="15"/>
  <c r="D112" i="15" l="1"/>
  <c r="C112" i="15"/>
  <c r="F112" i="15" s="1"/>
  <c r="H112" i="15" s="1"/>
  <c r="D111" i="15"/>
  <c r="C111" i="15"/>
  <c r="D110" i="15"/>
  <c r="C110" i="15"/>
  <c r="F110" i="15" s="1"/>
  <c r="H110" i="15" s="1"/>
  <c r="D109" i="15"/>
  <c r="C109" i="15"/>
  <c r="D108" i="15"/>
  <c r="D107" i="15"/>
  <c r="D106" i="15"/>
  <c r="C106" i="15"/>
  <c r="D105" i="15"/>
  <c r="C105" i="15"/>
  <c r="D104" i="15"/>
  <c r="C104" i="15"/>
  <c r="D103" i="15"/>
  <c r="C103" i="15"/>
  <c r="E137" i="15"/>
  <c r="E129" i="15"/>
  <c r="E128" i="15"/>
  <c r="E124" i="15"/>
  <c r="G126" i="15"/>
  <c r="G125" i="15"/>
  <c r="G120" i="15"/>
  <c r="G119" i="15"/>
  <c r="D126" i="15"/>
  <c r="C126" i="15"/>
  <c r="E125" i="15"/>
  <c r="C125" i="15"/>
  <c r="D124" i="15"/>
  <c r="C124" i="15"/>
  <c r="D123" i="15"/>
  <c r="C123" i="15"/>
  <c r="D122" i="15"/>
  <c r="C122" i="15"/>
  <c r="E121" i="15"/>
  <c r="D121" i="15"/>
  <c r="C121" i="15"/>
  <c r="D120" i="15"/>
  <c r="C120" i="15"/>
  <c r="D119" i="15"/>
  <c r="C119" i="15"/>
  <c r="E135" i="15"/>
  <c r="D135" i="15"/>
  <c r="C135" i="15"/>
  <c r="E134" i="15"/>
  <c r="C134" i="15"/>
  <c r="E133" i="15"/>
  <c r="D133" i="15"/>
  <c r="C133" i="15"/>
  <c r="D132" i="15"/>
  <c r="C132" i="15"/>
  <c r="D131" i="15"/>
  <c r="C131" i="15"/>
  <c r="E130" i="15"/>
  <c r="D130" i="15"/>
  <c r="C130" i="15"/>
  <c r="D129" i="15"/>
  <c r="C129" i="15"/>
  <c r="D128" i="15"/>
  <c r="C128" i="15"/>
  <c r="I118" i="15"/>
  <c r="J118" i="15"/>
  <c r="I103" i="15"/>
  <c r="A109" i="15"/>
  <c r="A110" i="15" s="1"/>
  <c r="A111" i="15" s="1"/>
  <c r="A112" i="15" s="1"/>
  <c r="F108" i="15"/>
  <c r="H108" i="15" s="1"/>
  <c r="F126" i="15" l="1"/>
  <c r="H126" i="15" s="1"/>
  <c r="F111" i="15"/>
  <c r="H111" i="15" s="1"/>
  <c r="F109" i="15"/>
  <c r="H109" i="15" s="1"/>
  <c r="E45" i="15"/>
  <c r="E43" i="15"/>
  <c r="E11" i="15"/>
  <c r="C51" i="15"/>
  <c r="F135" i="15" l="1"/>
  <c r="H135" i="15" s="1"/>
  <c r="F134" i="15"/>
  <c r="H134" i="15" s="1"/>
  <c r="F133" i="15"/>
  <c r="H133" i="15" s="1"/>
  <c r="F132" i="15"/>
  <c r="H132" i="15" s="1"/>
  <c r="F131" i="15"/>
  <c r="H131" i="15" s="1"/>
  <c r="F130" i="15"/>
  <c r="H130" i="15" s="1"/>
  <c r="F129" i="15"/>
  <c r="H129" i="15" s="1"/>
  <c r="F128" i="15"/>
  <c r="H128" i="15" s="1"/>
  <c r="F120" i="15"/>
  <c r="H120" i="15" s="1"/>
  <c r="F121" i="15"/>
  <c r="H121" i="15" s="1"/>
  <c r="F122" i="15"/>
  <c r="H122" i="15" s="1"/>
  <c r="F123" i="15"/>
  <c r="H123" i="15" s="1"/>
  <c r="F124" i="15"/>
  <c r="H124" i="15" s="1"/>
  <c r="F125" i="15"/>
  <c r="H125" i="15" s="1"/>
  <c r="F119" i="15"/>
  <c r="F103" i="15"/>
  <c r="F104" i="15"/>
  <c r="H104" i="15" s="1"/>
  <c r="F105" i="15"/>
  <c r="H105" i="15" s="1"/>
  <c r="F106" i="15"/>
  <c r="H106" i="15" s="1"/>
  <c r="F107" i="15"/>
  <c r="H107" i="15" s="1"/>
  <c r="E13" i="15"/>
  <c r="E33" i="15"/>
  <c r="E35" i="15"/>
  <c r="E47" i="15"/>
  <c r="H103" i="15" l="1"/>
  <c r="G90" i="15" s="1"/>
  <c r="G91" i="15" s="1"/>
  <c r="E90" i="15"/>
  <c r="E91" i="15" s="1"/>
  <c r="C90" i="15"/>
  <c r="C91" i="15" s="1"/>
  <c r="H119" i="15"/>
  <c r="G94" i="15" s="1"/>
  <c r="G95" i="15" s="1"/>
  <c r="C94" i="15"/>
  <c r="C95" i="15" s="1"/>
  <c r="E94" i="15"/>
  <c r="E95" i="15" s="1"/>
  <c r="H144" i="15"/>
  <c r="C96" i="15" l="1"/>
  <c r="E96" i="15"/>
  <c r="I41" i="15"/>
  <c r="A172" i="15" l="1"/>
  <c r="A173" i="15" s="1"/>
  <c r="A174" i="15" s="1"/>
  <c r="A175" i="15" s="1"/>
  <c r="A176" i="15" s="1"/>
  <c r="A177" i="15" s="1"/>
  <c r="A129" i="15" l="1"/>
  <c r="A130" i="15" s="1"/>
  <c r="A131" i="15" s="1"/>
  <c r="A132" i="15" s="1"/>
  <c r="A133" i="15" s="1"/>
  <c r="A134" i="15" s="1"/>
  <c r="A135" i="15" s="1"/>
  <c r="A120" i="15"/>
  <c r="A121" i="15" s="1"/>
  <c r="A122" i="15" s="1"/>
  <c r="A123" i="15" s="1"/>
  <c r="A104" i="15"/>
  <c r="A105" i="15" s="1"/>
  <c r="A106" i="15" s="1"/>
  <c r="A107" i="15" s="1"/>
  <c r="G96" i="15" l="1"/>
  <c r="A44" i="15" l="1"/>
  <c r="A45" i="15" s="1"/>
  <c r="A46" i="15" s="1"/>
  <c r="A47" i="15" s="1"/>
  <c r="D179" i="15" l="1"/>
  <c r="H52" i="15"/>
  <c r="O111" i="15"/>
  <c r="P111" i="15"/>
  <c r="D57" i="15" l="1"/>
  <c r="D64" i="15"/>
  <c r="D60" i="15"/>
  <c r="J56" i="15"/>
  <c r="C55" i="15" s="1"/>
  <c r="J54" i="15"/>
  <c r="D63" i="15"/>
  <c r="D59" i="15"/>
  <c r="J55" i="15"/>
  <c r="D62" i="15"/>
  <c r="D58" i="15"/>
  <c r="J57" i="15"/>
  <c r="J58" i="15" s="1"/>
  <c r="J63" i="15" s="1"/>
  <c r="C56" i="15" s="1"/>
  <c r="D61" i="15"/>
  <c r="N111" i="15"/>
  <c r="P112" i="15"/>
  <c r="P113" i="15" s="1"/>
  <c r="P114" i="15" s="1"/>
  <c r="P115" i="15" s="1"/>
  <c r="P116" i="15" s="1"/>
  <c r="P117" i="15" s="1"/>
  <c r="P118" i="15" s="1"/>
  <c r="P119" i="15" s="1"/>
  <c r="P120" i="15" s="1"/>
  <c r="O112" i="15"/>
  <c r="O122" i="15"/>
  <c r="P122" i="15"/>
  <c r="O100" i="15"/>
  <c r="P100" i="15"/>
  <c r="D55" i="15" l="1"/>
  <c r="J59" i="15"/>
  <c r="J60" i="15" s="1"/>
  <c r="J61" i="15" s="1"/>
  <c r="J62" i="15" s="1"/>
  <c r="N112" i="15"/>
  <c r="O113" i="15"/>
  <c r="N113" i="15" s="1"/>
  <c r="N122" i="15"/>
  <c r="O123" i="15"/>
  <c r="P123" i="15"/>
  <c r="P124" i="15" s="1"/>
  <c r="P126" i="15" s="1"/>
  <c r="P127" i="15" s="1"/>
  <c r="P128" i="15" s="1"/>
  <c r="P129" i="15" s="1"/>
  <c r="P101" i="15"/>
  <c r="P102" i="15" s="1"/>
  <c r="P103" i="15" s="1"/>
  <c r="P104" i="15" s="1"/>
  <c r="P105" i="15" s="1"/>
  <c r="P106" i="15" s="1"/>
  <c r="P107" i="15" s="1"/>
  <c r="P108" i="15" s="1"/>
  <c r="P109" i="15" s="1"/>
  <c r="O101" i="15"/>
  <c r="N100" i="15"/>
  <c r="A124" i="15"/>
  <c r="A125" i="15" s="1"/>
  <c r="A126" i="15" s="1"/>
  <c r="J64" i="15" l="1"/>
  <c r="O114" i="15"/>
  <c r="N114" i="15" s="1"/>
  <c r="N123" i="15"/>
  <c r="O124" i="15"/>
  <c r="N124" i="15" s="1"/>
  <c r="O102" i="15"/>
  <c r="N101" i="15"/>
  <c r="O115" i="15" l="1"/>
  <c r="N115" i="15" s="1"/>
  <c r="O103" i="15"/>
  <c r="N102" i="15"/>
  <c r="E55" i="15" l="1"/>
  <c r="I51" i="15" s="1"/>
  <c r="C53" i="15" s="1"/>
  <c r="G55" i="15"/>
  <c r="D56" i="15"/>
  <c r="O116" i="15"/>
  <c r="N116" i="15" s="1"/>
  <c r="O104" i="15"/>
  <c r="N103" i="15"/>
  <c r="O117" i="15" l="1"/>
  <c r="N117" i="15" s="1"/>
  <c r="O105" i="15"/>
  <c r="N104" i="15"/>
  <c r="O118" i="15" l="1"/>
  <c r="N118" i="15" s="1"/>
  <c r="O126" i="15"/>
  <c r="N126" i="15" s="1"/>
  <c r="O106" i="15"/>
  <c r="N105" i="15"/>
  <c r="O119" i="15" l="1"/>
  <c r="N119" i="15" s="1"/>
  <c r="O127" i="15"/>
  <c r="N127" i="15" s="1"/>
  <c r="O107" i="15"/>
  <c r="N106" i="15"/>
  <c r="O120" i="15" l="1"/>
  <c r="N120" i="15" s="1"/>
  <c r="O128" i="15"/>
  <c r="N128" i="15" s="1"/>
  <c r="O108" i="15"/>
  <c r="N107" i="15"/>
  <c r="O129" i="15" l="1"/>
  <c r="N129" i="15" s="1"/>
  <c r="O109" i="15"/>
  <c r="N108" i="15"/>
  <c r="N109" i="15" l="1"/>
  <c r="H162" i="15" l="1"/>
</calcChain>
</file>

<file path=xl/comments1.xml><?xml version="1.0" encoding="utf-8"?>
<comments xmlns="http://schemas.openxmlformats.org/spreadsheetml/2006/main">
  <authors>
    <author>SACHIN</author>
  </authors>
  <commentList>
    <comment ref="E22" authorId="0" shapeId="0">
      <text>
        <r>
          <rPr>
            <b/>
            <sz val="9"/>
            <color indexed="81"/>
            <rFont val="Tahoma"/>
            <family val="2"/>
          </rPr>
          <t xml:space="preserve">Visit Date 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 xml:space="preserve">Visitor Name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>Met person &amp; No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mention it if provided by builder or else NA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2 School
2 Shopping Centre or mall
2 Hospital</t>
        </r>
      </text>
    </comment>
    <comment ref="E137" authorId="0" shapeId="0">
      <text>
        <r>
          <rPr>
            <b/>
            <sz val="9"/>
            <color indexed="81"/>
            <rFont val="Tahoma"/>
            <family val="2"/>
          </rPr>
          <t>Proposed Structure</t>
        </r>
      </text>
    </comment>
  </commentList>
</comments>
</file>

<file path=xl/sharedStrings.xml><?xml version="1.0" encoding="utf-8"?>
<sst xmlns="http://schemas.openxmlformats.org/spreadsheetml/2006/main" count="302" uniqueCount="230">
  <si>
    <t>Undertaking :</t>
  </si>
  <si>
    <t>2) I/We have no direct or Indirect Interest in the property being valued</t>
  </si>
  <si>
    <t>Description</t>
  </si>
  <si>
    <t>1) We have personally visited the property &amp; identified the same based on the documents provided</t>
  </si>
  <si>
    <t>Type of Work</t>
  </si>
  <si>
    <t>Plinth</t>
  </si>
  <si>
    <t>3) The information furnished above is true and correct to my/our knowledge.</t>
  </si>
  <si>
    <t>5) Legal title of the property is not verified by us.</t>
  </si>
  <si>
    <t xml:space="preserve">Valuation Report </t>
  </si>
  <si>
    <t>Yes</t>
  </si>
  <si>
    <t>NA</t>
  </si>
  <si>
    <t xml:space="preserve">4)  The saleable area is as per Our Calculation.  </t>
  </si>
  <si>
    <t>Total</t>
  </si>
  <si>
    <t xml:space="preserve">Recommended rate of Parking </t>
  </si>
  <si>
    <t>Particulars</t>
  </si>
  <si>
    <t>Google Map :</t>
  </si>
  <si>
    <t>Sr.No.</t>
  </si>
  <si>
    <t>Details</t>
  </si>
  <si>
    <t>Name of the project</t>
  </si>
  <si>
    <t>Address as per the site visit</t>
  </si>
  <si>
    <t>Closest landmark</t>
  </si>
  <si>
    <t>Address as per the Sale brochure</t>
  </si>
  <si>
    <t>Address as per the plans &amp; permissions</t>
  </si>
  <si>
    <t>Address as per the legal documentation</t>
  </si>
  <si>
    <t>Date of APF initiation from YBL</t>
  </si>
  <si>
    <t>List of documents provided</t>
  </si>
  <si>
    <t>Queries communicated to YBL regarding discrepancies in documentation, details etc</t>
  </si>
  <si>
    <t>Date of query resolution from YBL</t>
  </si>
  <si>
    <t>Any further documentation that needs to be complied prior to start of disbursement in the project? Provide complete details.</t>
  </si>
  <si>
    <t>Date of contacting concerned developer personnel for site visit</t>
  </si>
  <si>
    <t>Date, day &amp; timing of Site visit</t>
  </si>
  <si>
    <t>Name of the person conducting the site visit &amp; contact details</t>
  </si>
  <si>
    <t>Details of Financial Institutions who's APF Approval Letters / Boards were displayed on site</t>
  </si>
  <si>
    <t>Details of sold v/s unsold units</t>
  </si>
  <si>
    <t>Has the developer availed any kind of construction / project finance? If yes, details are required.</t>
  </si>
  <si>
    <t>Developer name</t>
  </si>
  <si>
    <t>Developer group parent company</t>
  </si>
  <si>
    <t>Developer office address along with contact details</t>
  </si>
  <si>
    <t>Architect details ( Name, office address, mobile number, registration number )</t>
  </si>
  <si>
    <t>Authority jurisdiction for the project location</t>
  </si>
  <si>
    <t>Zoning Approval for the project location as per the MDP</t>
  </si>
  <si>
    <t>Does the proposed development match with the Zoning Approval? Detailed feedback</t>
  </si>
  <si>
    <t>Project type ( Residential / Mixed / Flats / Villas / Row Houses etc )</t>
  </si>
  <si>
    <t>Does the ongoing construction match with the Approved Site Layout? If no, details expected.</t>
  </si>
  <si>
    <t>Permissible TDR</t>
  </si>
  <si>
    <t>Project launch date</t>
  </si>
  <si>
    <t>Average weighted stage of construction for the project with construction stages of individual wings</t>
  </si>
  <si>
    <t>Phase, building &amp; wingwise naming &amp; numbering details</t>
  </si>
  <si>
    <t>Are there any deviations between the ongoing construction &amp; the available plans &amp; permissions. If yes, details are expected.</t>
  </si>
  <si>
    <t>Pricing comparisons ( Builder pricing v/s Resale v/s Nearby Projects with Rationale &amp; justification )</t>
  </si>
  <si>
    <t>Transaction documentation details ( Black / White percentages etc )</t>
  </si>
  <si>
    <t>Different types of payment schemes offered such as CLPP, TLPP, C &amp; TLPP, Interest Subvention Plans etc</t>
  </si>
  <si>
    <t>Schedule of Payment as per the developer</t>
  </si>
  <si>
    <t>Are there any discrepancies in the legal / technical documentation that may affect the business interests of YBL? If yes, please elaborate.</t>
  </si>
  <si>
    <t>Any evidences of social disturbances at the project site that may affect the business interests of YBL? If yes, please elaborate.</t>
  </si>
  <si>
    <t>Any notices or boards of litigation at project site / developer office that may affect the business interests of YBL? If yes, please elaborate.</t>
  </si>
  <si>
    <t>Any further documentation that needs to be tracked by the Financial Institution &amp; obtained from the customer / developer post project completion? Provide complete details.</t>
  </si>
  <si>
    <t>Declarations :-</t>
  </si>
  <si>
    <t>(a)</t>
  </si>
  <si>
    <t>Have you done APF technical for this project for any other Financial Institution?</t>
  </si>
  <si>
    <t>Have you done evaluation of this project for the Project / Construction Finance perspective for any Financial Insitution?</t>
  </si>
  <si>
    <t>(b)</t>
  </si>
  <si>
    <t>Physical &amp; social infrastructure availability details ( Bus stop, railway station, public park, main road, airport, hospital, public transport, school, market etc )</t>
  </si>
  <si>
    <t>Boundary details ( Are they matching as per the legal &amp; technical documentation )</t>
  </si>
  <si>
    <t>Phase, building &amp; wingwise structure details ( Approvals v/s proposed v/s constructed ( If 100 % complete ) ( Deviations to be pointed out )</t>
  </si>
  <si>
    <t>None</t>
  </si>
  <si>
    <t>As per Site Details :</t>
  </si>
  <si>
    <t>No</t>
  </si>
  <si>
    <t>Yes its comes under Residential zone</t>
  </si>
  <si>
    <t>Yes as per plan. But NA order not provided to verify.</t>
  </si>
  <si>
    <t>Permissions applicable v/s available (Detailed analysis)</t>
  </si>
  <si>
    <t>Building &amp; Wing</t>
  </si>
  <si>
    <t>No. of Units</t>
  </si>
  <si>
    <t>Total Carpet Area</t>
  </si>
  <si>
    <t>Total Saleable Area</t>
  </si>
  <si>
    <t xml:space="preserve">Approval Detail : Plan approval </t>
  </si>
  <si>
    <t>Dated</t>
  </si>
  <si>
    <t xml:space="preserve">O. Certificate No.: </t>
  </si>
  <si>
    <t>NA
Approved upto :</t>
  </si>
  <si>
    <t xml:space="preserve">Date of approval: </t>
  </si>
  <si>
    <t>Does the Plot Area match as per the legal documentation?</t>
  </si>
  <si>
    <t>Does the Plot Area match as per the Non Agriculture documentation?</t>
  </si>
  <si>
    <t>PHOTOGRAPHS OF PROPERTY :</t>
  </si>
  <si>
    <t>RERA Name &amp; No.</t>
  </si>
  <si>
    <t>Basement</t>
  </si>
  <si>
    <t>Podium</t>
  </si>
  <si>
    <t>Ground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</si>
  <si>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</si>
  <si>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</si>
  <si>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</si>
  <si>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</si>
  <si>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</si>
  <si>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</si>
  <si>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r>
      <rPr>
        <b/>
        <u/>
        <sz val="11"/>
        <rFont val="Times New Roman"/>
        <family val="1"/>
      </rPr>
      <t>Lifestyle Amenities :</t>
    </r>
    <r>
      <rPr>
        <sz val="11"/>
        <rFont val="Times New Roman"/>
        <family val="1"/>
      </rPr>
      <t xml:space="preserve">
Internal Paved roads.
Decorative compound Walls with security features
Power backup for lifts &amp; common areas
</t>
    </r>
    <r>
      <rPr>
        <b/>
        <u/>
        <sz val="11"/>
        <rFont val="Times New Roman"/>
        <family val="1"/>
      </rPr>
      <t>Modern Amenities ;</t>
    </r>
    <r>
      <rPr>
        <sz val="11"/>
        <rFont val="Times New Roman"/>
        <family val="1"/>
      </rPr>
      <t xml:space="preserve">
</t>
    </r>
    <r>
      <rPr>
        <b/>
        <sz val="11"/>
        <rFont val="Times New Roman"/>
        <family val="1"/>
      </rPr>
      <t>FLOORING</t>
    </r>
    <r>
      <rPr>
        <sz val="11"/>
        <rFont val="Times New Roman"/>
        <family val="1"/>
      </rPr>
      <t xml:space="preserve">
Vitrified flooring in all rooms
Anti-skid tiles in attached terrace area
</t>
    </r>
    <r>
      <rPr>
        <b/>
        <sz val="11"/>
        <rFont val="Times New Roman"/>
        <family val="1"/>
      </rPr>
      <t>KITCHEN</t>
    </r>
    <r>
      <rPr>
        <sz val="11"/>
        <rFont val="Times New Roman"/>
        <family val="1"/>
      </rPr>
      <t xml:space="preserve">
Granite kitchen platform
Stainless steel and sink mixture
</t>
    </r>
    <r>
      <rPr>
        <b/>
        <sz val="11"/>
        <rFont val="Times New Roman"/>
        <family val="1"/>
      </rPr>
      <t>TOILETS</t>
    </r>
    <r>
      <rPr>
        <sz val="11"/>
        <rFont val="Times New Roman"/>
        <family val="1"/>
      </rPr>
      <t xml:space="preserve">
Designer bathroom with branded sanitary ware
Concealed plumbing with premium C. P. fittings
Geyser connection to all bathrooms
</t>
    </r>
    <r>
      <rPr>
        <b/>
        <sz val="11"/>
        <rFont val="Times New Roman"/>
        <family val="1"/>
      </rPr>
      <t xml:space="preserve">WINDOWS
</t>
    </r>
    <r>
      <rPr>
        <sz val="11"/>
        <rFont val="Times New Roman"/>
        <family val="1"/>
      </rPr>
      <t xml:space="preserve">Powdered Aluminium Sliding windows
</t>
    </r>
    <r>
      <rPr>
        <b/>
        <sz val="11"/>
        <color indexed="8"/>
        <rFont val="Times New Roman"/>
        <family val="1"/>
      </rPr>
      <t/>
    </r>
  </si>
  <si>
    <r>
      <rPr>
        <b/>
        <sz val="11"/>
        <rFont val="Times New Roman"/>
        <family val="1"/>
      </rPr>
      <t>SECURITY</t>
    </r>
    <r>
      <rPr>
        <sz val="11"/>
        <rFont val="Times New Roman"/>
        <family val="1"/>
      </rPr>
      <t xml:space="preserve">
Modern security system with CCTV at security cabin
Intercom facility in each flat
</t>
    </r>
    <r>
      <rPr>
        <b/>
        <sz val="11"/>
        <rFont val="Times New Roman"/>
        <family val="1"/>
      </rPr>
      <t>ELECTRIFICATION</t>
    </r>
    <r>
      <rPr>
        <sz val="11"/>
        <rFont val="Times New Roman"/>
        <family val="1"/>
      </rPr>
      <t xml:space="preserve">
Branded concealed copper wiring with isolater / MCB TV, telephone &amp; internet points in all rooms
</t>
    </r>
    <r>
      <rPr>
        <b/>
        <sz val="11"/>
        <rFont val="Times New Roman"/>
        <family val="1"/>
      </rPr>
      <t>WALLS AND PAINTS</t>
    </r>
    <r>
      <rPr>
        <sz val="11"/>
        <rFont val="Times New Roman"/>
        <family val="1"/>
      </rPr>
      <t xml:space="preserve">
Gypsum finished internal walls with plastic paints</t>
    </r>
  </si>
  <si>
    <t>Shop</t>
  </si>
  <si>
    <t>At Booking</t>
  </si>
  <si>
    <t>Commecement</t>
  </si>
  <si>
    <t>1st Slab</t>
  </si>
  <si>
    <t>2nd Slab</t>
  </si>
  <si>
    <t>3rd Slab</t>
  </si>
  <si>
    <t>4th Slab</t>
  </si>
  <si>
    <t>5th Slab</t>
  </si>
  <si>
    <t>Completion of Brick work</t>
  </si>
  <si>
    <t>Completion of Plaster work</t>
  </si>
  <si>
    <t>Completion of Water Proofing</t>
  </si>
  <si>
    <t>Completion of Flooring, Doors &amp; Windows</t>
  </si>
  <si>
    <t>Painting, Electrical &amp; Sanitary Fittings</t>
  </si>
  <si>
    <t>On Possession</t>
  </si>
  <si>
    <t>Name of developer personnel for site visit coordination with contact details (Mobile, landline, email)</t>
  </si>
  <si>
    <t>Name of person met at site (Full Name, Designation, Mobile Number, Landline Number, email id)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</si>
  <si>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</si>
  <si>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</si>
  <si>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</si>
  <si>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</si>
  <si>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</si>
  <si>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</si>
  <si>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</si>
  <si>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</si>
  <si>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</si>
  <si>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</si>
  <si>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</si>
  <si>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</si>
  <si>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</si>
  <si>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</si>
  <si>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</si>
  <si>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</si>
  <si>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</si>
  <si>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</si>
  <si>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</si>
  <si>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</si>
  <si>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Possession</t>
  </si>
  <si>
    <t>Name of Engineer Visited the property</t>
  </si>
  <si>
    <t>Phase, building, wing, unit wise pricing details (Base pricing, floor rise, location / view specific, etc)</t>
  </si>
  <si>
    <t xml:space="preserve">Same </t>
  </si>
  <si>
    <t>Location Link</t>
  </si>
  <si>
    <t>Layout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</si>
  <si>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</si>
  <si>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 :</t>
  </si>
  <si>
    <t xml:space="preserve">Permissible FSI / FAR
</t>
  </si>
  <si>
    <t xml:space="preserve">Premium FSI / FAR
</t>
  </si>
  <si>
    <t>Ancillary FSI / FAR</t>
  </si>
  <si>
    <t>Total FSI</t>
  </si>
  <si>
    <t>As per Market Enquiry :</t>
  </si>
  <si>
    <t xml:space="preserve">All details payable </t>
  </si>
  <si>
    <t>Name / No of the Existing Building</t>
  </si>
  <si>
    <t xml:space="preserve">Remarks:  </t>
  </si>
  <si>
    <t xml:space="preserve">We considered  Saleable area as per our calculation.
</t>
  </si>
  <si>
    <t xml:space="preserve">We considered Carpet area as per Approved Plan.
</t>
  </si>
  <si>
    <t xml:space="preserve">We have considered rate by verifying it from market inquire.
</t>
  </si>
  <si>
    <t xml:space="preserve">Car parking is subjected to authentic documentation.
</t>
  </si>
  <si>
    <t>Recommended rate should be considered as all inclusive rate if other charges are not mentioned. (Excluding GST &amp; other government Taxes)</t>
  </si>
  <si>
    <t>Realizable Rate of the flat Per Sq. Ft. (on Saleable area)</t>
  </si>
  <si>
    <t>Grand Total</t>
  </si>
  <si>
    <t>1st Floor For Residential</t>
  </si>
  <si>
    <t>Otla
Area</t>
  </si>
  <si>
    <t>Balcony Area</t>
  </si>
  <si>
    <t>Building Details Floor Wise</t>
  </si>
  <si>
    <t>Project Construction Start date</t>
  </si>
  <si>
    <t>As projected by the Developer</t>
  </si>
  <si>
    <t>As projected by the RERA</t>
  </si>
  <si>
    <t>Construction Details:</t>
  </si>
  <si>
    <t>Loft Area</t>
  </si>
  <si>
    <t>Valid Upto 
Date</t>
  </si>
  <si>
    <t xml:space="preserve">Approved Floor </t>
  </si>
  <si>
    <t>Proposed Floor</t>
  </si>
  <si>
    <t xml:space="preserve">Commencement Certificate No. 
Valid Up to: 
</t>
  </si>
  <si>
    <t>Flat No. 
(Approved  Plan)</t>
  </si>
  <si>
    <t>Saleable Area
Loading :</t>
  </si>
  <si>
    <t>Gross Carpet Area</t>
  </si>
  <si>
    <t>Attached Terrace Area</t>
  </si>
  <si>
    <r>
      <rPr>
        <sz val="11"/>
        <rFont val="Times New Roman"/>
        <family val="1"/>
      </rPr>
      <t xml:space="preserve">Proposed Amenities    </t>
    </r>
    <r>
      <rPr>
        <sz val="11"/>
        <color rgb="FFFF0000"/>
        <rFont val="Times New Roman"/>
        <family val="1"/>
      </rPr>
      <t xml:space="preserve">   </t>
    </r>
  </si>
  <si>
    <t>Carpet Area</t>
  </si>
  <si>
    <t>Net Plot Area (Sq.M)</t>
  </si>
  <si>
    <t>Plot Area (Sq.M)</t>
  </si>
  <si>
    <t>Ground Floor For Commercial &amp; Parking</t>
  </si>
  <si>
    <t xml:space="preserve">Details of Residential in Building     </t>
  </si>
  <si>
    <t xml:space="preserve">Details of Commercial in Building     </t>
  </si>
  <si>
    <t xml:space="preserve">Expected Completion Date </t>
  </si>
  <si>
    <t>Authorized Signatory
Name &amp; Seal of the Agency</t>
  </si>
  <si>
    <t>Date of documents delivery / Receipt</t>
  </si>
  <si>
    <t>Builtup Area (Sq.M)</t>
  </si>
  <si>
    <t xml:space="preserve">Layout Plan No. </t>
  </si>
  <si>
    <t>Approved Floor Plan No</t>
  </si>
  <si>
    <t>Electric &amp; Plumbing</t>
  </si>
  <si>
    <t>External Plaster</t>
  </si>
  <si>
    <t xml:space="preserve">Fire Noc No
Valid Up to: 
</t>
  </si>
  <si>
    <t xml:space="preserve">Airport Noc No
Valid Up for: 
</t>
  </si>
  <si>
    <t xml:space="preserve">Environmental Clearance Certificate (EC) No
Valid Up for: 
</t>
  </si>
  <si>
    <t>Elite Residency Building No.1</t>
  </si>
  <si>
    <t>https://maps.app.goo.gl/J1UY1vToipPzMvKy8</t>
  </si>
  <si>
    <t>19.578263,72.799789</t>
  </si>
  <si>
    <t>Kalpana Bunglow</t>
  </si>
  <si>
    <t>Proposed Mixed Building On Gut No.84 (Pt), Village Kapase, Tal &amp; Dist. Palghar</t>
  </si>
  <si>
    <t>Mr. Harshad Pawade</t>
  </si>
  <si>
    <t>M/s. Elite Builders And Developers</t>
  </si>
  <si>
    <t>Architect Roshan Patil &amp; Associates</t>
  </si>
  <si>
    <t>Collector of Palghar</t>
  </si>
  <si>
    <t>Builtup Area of Building No.1 (Sq.M)</t>
  </si>
  <si>
    <t>Dec 2031</t>
  </si>
  <si>
    <t>SCHOOL :
Zenith International School - 0.8Km
Genius international school - 1.1Km
SHOPPING :
Krushna plaza -1.5Km
T-Mart - 4Km
HOSPITALS :
Swaasthyam Multispeciality Hospital -1.9Km
Primary Health Centre Saphale - 3.8Km
PETROL PUMP :
Bharat Petroleum - 3.4Km
Nayara Energy - 5.1Km</t>
  </si>
  <si>
    <t>RPPLG/B/2025/APL/00395</t>
  </si>
  <si>
    <t>Building No.1 =  Gr + 1st to 5th Floor</t>
  </si>
  <si>
    <t xml:space="preserve">Entrance Gate
Parking
Lift
Meter Room
Society Office
Compound Wall
Childern Play Area
</t>
  </si>
  <si>
    <t>Building No.1</t>
  </si>
  <si>
    <t>1BHK</t>
  </si>
  <si>
    <t>2BHK</t>
  </si>
  <si>
    <t>AP Area</t>
  </si>
  <si>
    <t>Carpet  + Encl Balcony  Area</t>
  </si>
  <si>
    <t>1RK</t>
  </si>
  <si>
    <t>2nd to 5th Floor</t>
  </si>
  <si>
    <t>Commercial Area Details : (Shop)</t>
  </si>
  <si>
    <t>Residential Area Details : (Flat)</t>
  </si>
  <si>
    <t>Flats = 40
Shop = 10</t>
  </si>
  <si>
    <t xml:space="preserve">We considered Gross carpet area = Net carpet + Encl Balcony + Balcony + AP Area.
</t>
  </si>
  <si>
    <t>Elite Residency 
Building No.1</t>
  </si>
  <si>
    <t xml:space="preserve"> P99000080675</t>
  </si>
  <si>
    <t>Sold = 0, Unsold = 40</t>
  </si>
  <si>
    <t>16/08/2025, Saturday @ 12.53 PM</t>
  </si>
  <si>
    <t>Construction work is in process at the time of Visit.</t>
  </si>
  <si>
    <t>as per cost sheet</t>
  </si>
  <si>
    <t>in the sheet of visit mentioned project name not mentioned but in the banner photo RERA Id (Verify) of project is metioned.</t>
  </si>
  <si>
    <t>banner</t>
  </si>
  <si>
    <t>Cost Sheet</t>
  </si>
  <si>
    <t>We have referred latest approved plans dtd.27/03/2025 from RERA site.</t>
  </si>
  <si>
    <t>March 2025</t>
  </si>
  <si>
    <t>702 Nihal Avenue, 90 Feet Road Behind chandresh Chhaya Near Fly over bridge Mira road E 401107</t>
  </si>
  <si>
    <t>Plans
C.C
Builder Profile
Cost Sheet</t>
  </si>
  <si>
    <t>Elite Residency Building No.1, At Village - Kapase,  Internal Road, Near Kalpana Bunglow, Saphale West, Tal &amp; Dist. Palghar 401102</t>
  </si>
  <si>
    <t>Shop No. 
(Approved  Plan)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</si>
</sst>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20">
    <xf numFmtId="0" fontId="0" fillId="0" borderId="0" xfId="0"/>
    <xf numFmtId="1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Protection="1">
      <protection hidden="1"/>
    </xf>
    <xf numFmtId="0" fontId="8" fillId="0" borderId="16" xfId="0" applyFont="1" applyBorder="1" applyProtection="1">
      <protection hidden="1"/>
    </xf>
    <xf numFmtId="0" fontId="9" fillId="0" borderId="10" xfId="2" applyFont="1" applyBorder="1" applyProtection="1">
      <protection hidden="1"/>
    </xf>
    <xf numFmtId="0" fontId="4" fillId="0" borderId="22" xfId="2" applyFont="1" applyBorder="1" applyAlignment="1" applyProtection="1">
      <alignment horizontal="center" vertical="top"/>
      <protection locked="0"/>
    </xf>
    <xf numFmtId="0" fontId="4" fillId="0" borderId="1" xfId="2" applyFont="1" applyBorder="1" applyAlignment="1" applyProtection="1">
      <alignment horizontal="center" vertical="top"/>
      <protection locked="0"/>
    </xf>
    <xf numFmtId="0" fontId="9" fillId="0" borderId="0" xfId="2" applyFont="1" applyProtection="1">
      <protection hidden="1"/>
    </xf>
    <xf numFmtId="0" fontId="9" fillId="0" borderId="0" xfId="0" applyFont="1"/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9" fillId="0" borderId="21" xfId="2" applyFont="1" applyBorder="1" applyProtection="1">
      <protection hidden="1"/>
    </xf>
    <xf numFmtId="0" fontId="9" fillId="0" borderId="23" xfId="2" applyFont="1" applyBorder="1" applyProtection="1">
      <protection hidden="1"/>
    </xf>
    <xf numFmtId="0" fontId="9" fillId="0" borderId="23" xfId="2" applyFont="1" applyBorder="1"/>
    <xf numFmtId="0" fontId="8" fillId="0" borderId="23" xfId="0" applyFont="1" applyBorder="1" applyProtection="1">
      <protection hidden="1"/>
    </xf>
    <xf numFmtId="1" fontId="6" fillId="0" borderId="23" xfId="0" applyNumberFormat="1" applyFont="1" applyBorder="1"/>
    <xf numFmtId="1" fontId="6" fillId="0" borderId="23" xfId="0" applyNumberFormat="1" applyFont="1" applyBorder="1" applyAlignment="1">
      <alignment horizontal="right"/>
    </xf>
    <xf numFmtId="1" fontId="6" fillId="0" borderId="19" xfId="0" applyNumberFormat="1" applyFont="1" applyBorder="1"/>
    <xf numFmtId="0" fontId="4" fillId="0" borderId="1" xfId="2" applyFont="1" applyBorder="1" applyAlignment="1">
      <alignment horizontal="left" vertical="top"/>
    </xf>
    <xf numFmtId="0" fontId="4" fillId="0" borderId="1" xfId="2" applyFont="1" applyBorder="1" applyAlignment="1">
      <alignment vertical="top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0" xfId="0" applyFont="1"/>
    <xf numFmtId="14" fontId="2" fillId="0" borderId="0" xfId="0" applyNumberFormat="1" applyFont="1" applyAlignment="1">
      <alignment vertical="top"/>
    </xf>
    <xf numFmtId="9" fontId="10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4" fillId="0" borderId="6" xfId="2" applyFont="1" applyBorder="1" applyAlignment="1" applyProtection="1">
      <alignment horizontal="center" vertical="top"/>
      <protection locked="0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25" xfId="2" applyFont="1" applyBorder="1" applyAlignment="1" applyProtection="1">
      <alignment horizontal="center" vertical="top"/>
      <protection locked="0"/>
    </xf>
    <xf numFmtId="14" fontId="4" fillId="0" borderId="5" xfId="0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top"/>
    </xf>
    <xf numFmtId="0" fontId="10" fillId="0" borderId="1" xfId="2" applyFont="1" applyBorder="1" applyAlignment="1">
      <alignment vertical="top"/>
    </xf>
    <xf numFmtId="0" fontId="10" fillId="0" borderId="1" xfId="2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165" fontId="9" fillId="0" borderId="0" xfId="0" applyNumberFormat="1" applyFont="1"/>
    <xf numFmtId="1" fontId="9" fillId="0" borderId="1" xfId="0" applyNumberFormat="1" applyFont="1" applyBorder="1" applyAlignment="1">
      <alignment horizontal="center"/>
    </xf>
    <xf numFmtId="1" fontId="7" fillId="0" borderId="2" xfId="2" applyNumberFormat="1" applyFont="1" applyBorder="1" applyAlignment="1">
      <alignment horizontal="center" vertical="top" wrapText="1"/>
    </xf>
    <xf numFmtId="9" fontId="7" fillId="0" borderId="5" xfId="6" applyFont="1" applyFill="1" applyBorder="1" applyAlignment="1" applyProtection="1">
      <alignment horizontal="center" vertical="top" wrapText="1"/>
      <protection locked="0"/>
    </xf>
    <xf numFmtId="0" fontId="4" fillId="0" borderId="1" xfId="2" applyFont="1" applyBorder="1" applyAlignment="1" applyProtection="1">
      <alignment horizontal="center" vertical="top" wrapText="1"/>
      <protection locked="0"/>
    </xf>
    <xf numFmtId="0" fontId="4" fillId="0" borderId="1" xfId="2" applyFont="1" applyBorder="1" applyAlignment="1" applyProtection="1">
      <alignment horizontal="center" wrapText="1"/>
      <protection locked="0"/>
    </xf>
    <xf numFmtId="9" fontId="4" fillId="0" borderId="3" xfId="2" applyNumberFormat="1" applyFont="1" applyBorder="1" applyAlignment="1" applyProtection="1">
      <alignment horizontal="center" vertical="center" wrapText="1"/>
      <protection hidden="1"/>
    </xf>
    <xf numFmtId="1" fontId="4" fillId="0" borderId="1" xfId="2" applyNumberFormat="1" applyFont="1" applyBorder="1" applyAlignment="1" applyProtection="1">
      <alignment horizontal="center" wrapText="1"/>
      <protection locked="0"/>
    </xf>
    <xf numFmtId="0" fontId="4" fillId="0" borderId="18" xfId="2" applyFont="1" applyBorder="1" applyAlignment="1" applyProtection="1">
      <alignment horizontal="center" wrapText="1"/>
      <protection locked="0"/>
    </xf>
    <xf numFmtId="9" fontId="4" fillId="0" borderId="17" xfId="2" applyNumberFormat="1" applyFont="1" applyBorder="1" applyAlignment="1" applyProtection="1">
      <alignment horizontal="center" vertical="center" wrapText="1"/>
      <protection hidden="1"/>
    </xf>
    <xf numFmtId="1" fontId="7" fillId="0" borderId="0" xfId="0" applyNumberFormat="1" applyFont="1"/>
    <xf numFmtId="1" fontId="9" fillId="0" borderId="0" xfId="0" applyNumberFormat="1" applyFont="1"/>
    <xf numFmtId="1" fontId="7" fillId="2" borderId="0" xfId="0" applyNumberFormat="1" applyFont="1" applyFill="1"/>
    <xf numFmtId="0" fontId="5" fillId="0" borderId="1" xfId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left" vertical="top" wrapTex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14" fontId="4" fillId="0" borderId="35" xfId="0" applyNumberFormat="1" applyFont="1" applyBorder="1" applyAlignment="1">
      <alignment horizontal="left" vertical="top" wrapText="1"/>
    </xf>
    <xf numFmtId="14" fontId="4" fillId="0" borderId="10" xfId="0" applyNumberFormat="1" applyFont="1" applyBorder="1" applyAlignment="1">
      <alignment horizontal="left" vertical="top" wrapText="1"/>
    </xf>
    <xf numFmtId="14" fontId="4" fillId="0" borderId="33" xfId="0" applyNumberFormat="1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5" fillId="0" borderId="1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1" fontId="7" fillId="0" borderId="1" xfId="2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top"/>
    </xf>
    <xf numFmtId="0" fontId="5" fillId="0" borderId="1" xfId="2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left" vertical="top" wrapText="1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>
      <alignment horizontal="center" vertical="top" wrapText="1"/>
    </xf>
    <xf numFmtId="0" fontId="3" fillId="0" borderId="7" xfId="2" applyFont="1" applyBorder="1" applyAlignment="1">
      <alignment horizontal="left" vertical="top" wrapText="1"/>
    </xf>
    <xf numFmtId="0" fontId="3" fillId="0" borderId="28" xfId="2" applyFont="1" applyBorder="1" applyAlignment="1">
      <alignment horizontal="left" vertical="top" wrapText="1"/>
    </xf>
    <xf numFmtId="0" fontId="3" fillId="0" borderId="29" xfId="2" applyFont="1" applyBorder="1" applyAlignment="1">
      <alignment horizontal="left" vertical="top" wrapText="1"/>
    </xf>
    <xf numFmtId="0" fontId="3" fillId="0" borderId="31" xfId="2" applyFont="1" applyBorder="1" applyAlignment="1">
      <alignment horizontal="left" vertical="top" wrapText="1"/>
    </xf>
    <xf numFmtId="1" fontId="5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top" wrapText="1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>
      <alignment horizontal="left" vertical="top" wrapText="1"/>
    </xf>
    <xf numFmtId="14" fontId="4" fillId="0" borderId="1" xfId="2" applyNumberFormat="1" applyFont="1" applyBorder="1" applyAlignment="1">
      <alignment horizontal="left" vertical="top" wrapText="1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7" xfId="2" applyFont="1" applyBorder="1" applyAlignment="1">
      <alignment horizontal="left" vertical="top" wrapText="1"/>
    </xf>
    <xf numFmtId="0" fontId="10" fillId="0" borderId="28" xfId="2" applyFont="1" applyBorder="1" applyAlignment="1">
      <alignment horizontal="left" vertical="top" wrapText="1"/>
    </xf>
    <xf numFmtId="0" fontId="10" fillId="0" borderId="29" xfId="2" applyFont="1" applyBorder="1" applyAlignment="1">
      <alignment horizontal="left" vertical="top" wrapText="1"/>
    </xf>
    <xf numFmtId="0" fontId="10" fillId="0" borderId="31" xfId="2" applyFont="1" applyBorder="1" applyAlignment="1">
      <alignment horizontal="left" vertical="top" wrapText="1"/>
    </xf>
    <xf numFmtId="1" fontId="7" fillId="0" borderId="2" xfId="2" applyNumberFormat="1" applyFont="1" applyBorder="1" applyAlignment="1">
      <alignment horizontal="center" vertical="top" wrapText="1"/>
    </xf>
    <xf numFmtId="1" fontId="7" fillId="0" borderId="5" xfId="2" applyNumberFormat="1" applyFont="1" applyBorder="1" applyAlignment="1">
      <alignment horizontal="center" vertical="top" wrapText="1"/>
    </xf>
    <xf numFmtId="1" fontId="7" fillId="0" borderId="1" xfId="2" applyNumberFormat="1" applyFont="1" applyBorder="1" applyAlignment="1" applyProtection="1">
      <alignment horizontal="center" vertical="center" wrapText="1"/>
      <protection locked="0"/>
    </xf>
    <xf numFmtId="1" fontId="7" fillId="0" borderId="5" xfId="2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top" wrapText="1"/>
    </xf>
    <xf numFmtId="1" fontId="2" fillId="0" borderId="1" xfId="2" applyNumberFormat="1" applyFont="1" applyBorder="1" applyAlignment="1">
      <alignment horizontal="center" vertical="top"/>
    </xf>
    <xf numFmtId="14" fontId="3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22" xfId="2" applyFont="1" applyBorder="1" applyAlignment="1" applyProtection="1">
      <alignment horizontal="center" vertical="top" wrapText="1"/>
      <protection locked="0"/>
    </xf>
    <xf numFmtId="0" fontId="9" fillId="0" borderId="1" xfId="2" applyFont="1" applyBorder="1" applyAlignment="1" applyProtection="1">
      <alignment horizontal="center" vertical="top" wrapText="1"/>
      <protection locked="0"/>
    </xf>
    <xf numFmtId="0" fontId="4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4" fontId="5" fillId="0" borderId="1" xfId="0" applyNumberFormat="1" applyFont="1" applyBorder="1" applyAlignment="1">
      <alignment horizontal="left" vertical="top" wrapText="1"/>
    </xf>
    <xf numFmtId="14" fontId="14" fillId="0" borderId="3" xfId="7" applyNumberFormat="1" applyBorder="1" applyAlignment="1">
      <alignment horizontal="left" vertical="top" wrapText="1"/>
    </xf>
    <xf numFmtId="14" fontId="4" fillId="0" borderId="4" xfId="0" applyNumberFormat="1" applyFont="1" applyBorder="1" applyAlignment="1">
      <alignment horizontal="left" vertical="top" wrapText="1"/>
    </xf>
    <xf numFmtId="14" fontId="4" fillId="0" borderId="6" xfId="0" applyNumberFormat="1" applyFont="1" applyBorder="1" applyAlignment="1">
      <alignment horizontal="left" vertical="top" wrapText="1"/>
    </xf>
    <xf numFmtId="14" fontId="4" fillId="0" borderId="3" xfId="0" applyNumberFormat="1" applyFont="1" applyBorder="1" applyAlignment="1">
      <alignment horizontal="center"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center" vertical="top" wrapText="1"/>
    </xf>
    <xf numFmtId="0" fontId="2" fillId="0" borderId="1" xfId="2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 wrapText="1"/>
    </xf>
    <xf numFmtId="0" fontId="2" fillId="0" borderId="20" xfId="2" applyFont="1" applyBorder="1" applyAlignment="1" applyProtection="1">
      <alignment horizontal="center" vertical="top"/>
      <protection locked="0"/>
    </xf>
    <xf numFmtId="0" fontId="2" fillId="0" borderId="13" xfId="2" applyFont="1" applyBorder="1" applyAlignment="1" applyProtection="1">
      <alignment horizontal="center" vertical="top"/>
      <protection locked="0"/>
    </xf>
    <xf numFmtId="14" fontId="2" fillId="0" borderId="1" xfId="0" applyNumberFormat="1" applyFont="1" applyBorder="1" applyAlignment="1">
      <alignment horizontal="center" vertical="top" wrapText="1"/>
    </xf>
    <xf numFmtId="14" fontId="4" fillId="0" borderId="3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165" fontId="9" fillId="0" borderId="1" xfId="0" applyNumberFormat="1" applyFont="1" applyBorder="1" applyAlignment="1">
      <alignment horizontal="left" vertical="top" wrapText="1"/>
    </xf>
    <xf numFmtId="1" fontId="2" fillId="0" borderId="1" xfId="2" applyNumberFormat="1" applyFont="1" applyBorder="1" applyAlignment="1" applyProtection="1">
      <alignment horizontal="center" vertical="center" wrapText="1"/>
      <protection locked="0"/>
    </xf>
    <xf numFmtId="1" fontId="2" fillId="0" borderId="5" xfId="2" applyNumberFormat="1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top" wrapText="1"/>
      <protection locked="0"/>
    </xf>
    <xf numFmtId="0" fontId="4" fillId="0" borderId="6" xfId="2" applyFont="1" applyBorder="1" applyAlignment="1" applyProtection="1">
      <alignment horizontal="center" vertical="top" wrapText="1"/>
      <protection locked="0"/>
    </xf>
    <xf numFmtId="14" fontId="5" fillId="0" borderId="7" xfId="0" applyNumberFormat="1" applyFont="1" applyBorder="1" applyAlignment="1">
      <alignment horizontal="center" vertical="top" wrapText="1"/>
    </xf>
    <xf numFmtId="14" fontId="5" fillId="0" borderId="8" xfId="0" applyNumberFormat="1" applyFont="1" applyBorder="1" applyAlignment="1">
      <alignment horizontal="center" vertical="top" wrapText="1"/>
    </xf>
    <xf numFmtId="14" fontId="5" fillId="0" borderId="28" xfId="0" applyNumberFormat="1" applyFont="1" applyBorder="1" applyAlignment="1">
      <alignment horizontal="center" vertical="top" wrapText="1"/>
    </xf>
    <xf numFmtId="14" fontId="4" fillId="0" borderId="7" xfId="0" applyNumberFormat="1" applyFont="1" applyBorder="1" applyAlignment="1">
      <alignment horizontal="left" vertical="top" wrapText="1"/>
    </xf>
    <xf numFmtId="14" fontId="4" fillId="0" borderId="8" xfId="0" applyNumberFormat="1" applyFont="1" applyBorder="1" applyAlignment="1">
      <alignment horizontal="left" vertical="top" wrapText="1"/>
    </xf>
    <xf numFmtId="14" fontId="4" fillId="0" borderId="28" xfId="0" applyNumberFormat="1" applyFont="1" applyBorder="1" applyAlignment="1">
      <alignment horizontal="left" vertical="top" wrapText="1"/>
    </xf>
    <xf numFmtId="0" fontId="5" fillId="0" borderId="3" xfId="2" applyFont="1" applyBorder="1" applyAlignment="1" applyProtection="1">
      <alignment horizontal="left" vertical="top" wrapText="1"/>
      <protection locked="0"/>
    </xf>
    <xf numFmtId="0" fontId="5" fillId="0" borderId="4" xfId="2" applyFont="1" applyBorder="1" applyAlignment="1" applyProtection="1">
      <alignment horizontal="left" vertical="top" wrapText="1"/>
      <protection locked="0"/>
    </xf>
    <xf numFmtId="0" fontId="5" fillId="0" borderId="15" xfId="2" applyFont="1" applyBorder="1" applyAlignment="1" applyProtection="1">
      <alignment horizontal="left" vertical="top" wrapText="1"/>
      <protection locked="0"/>
    </xf>
    <xf numFmtId="0" fontId="9" fillId="0" borderId="24" xfId="2" applyFont="1" applyBorder="1" applyAlignment="1" applyProtection="1">
      <alignment horizontal="center" vertical="top" wrapText="1"/>
      <protection locked="0"/>
    </xf>
    <xf numFmtId="0" fontId="9" fillId="0" borderId="6" xfId="2" applyFont="1" applyBorder="1" applyAlignment="1" applyProtection="1">
      <alignment horizontal="center" vertical="top" wrapText="1"/>
      <protection locked="0"/>
    </xf>
    <xf numFmtId="0" fontId="3" fillId="0" borderId="1" xfId="2" applyFont="1" applyBorder="1" applyAlignment="1">
      <alignment horizontal="left" vertical="top" wrapText="1"/>
    </xf>
    <xf numFmtId="1" fontId="2" fillId="0" borderId="2" xfId="2" applyNumberFormat="1" applyFont="1" applyBorder="1" applyAlignment="1">
      <alignment horizontal="center" vertical="top" wrapText="1"/>
    </xf>
    <xf numFmtId="1" fontId="2" fillId="0" borderId="5" xfId="2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6" xfId="2" applyFont="1" applyBorder="1" applyAlignment="1" applyProtection="1">
      <alignment horizontal="center" vertical="top" wrapText="1"/>
      <protection locked="0"/>
    </xf>
    <xf numFmtId="0" fontId="9" fillId="0" borderId="18" xfId="2" applyFont="1" applyBorder="1" applyAlignment="1" applyProtection="1">
      <alignment horizontal="center" vertical="top" wrapText="1"/>
      <protection locked="0"/>
    </xf>
    <xf numFmtId="14" fontId="5" fillId="0" borderId="11" xfId="2" applyNumberFormat="1" applyFont="1" applyBorder="1" applyAlignment="1" applyProtection="1">
      <alignment horizontal="left" vertical="top" wrapText="1"/>
      <protection locked="0"/>
    </xf>
    <xf numFmtId="0" fontId="5" fillId="0" borderId="12" xfId="2" applyFont="1" applyBorder="1" applyAlignment="1" applyProtection="1">
      <alignment horizontal="left" vertical="top" wrapText="1"/>
      <protection locked="0"/>
    </xf>
    <xf numFmtId="0" fontId="5" fillId="0" borderId="14" xfId="2" applyFont="1" applyBorder="1" applyAlignment="1" applyProtection="1">
      <alignment horizontal="left" vertical="top" wrapText="1"/>
      <protection locked="0"/>
    </xf>
    <xf numFmtId="0" fontId="5" fillId="0" borderId="22" xfId="2" applyFont="1" applyBorder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top"/>
      <protection locked="0"/>
    </xf>
    <xf numFmtId="0" fontId="4" fillId="0" borderId="1" xfId="2" applyFont="1" applyBorder="1" applyAlignment="1" applyProtection="1">
      <alignment horizontal="center" vertical="top" wrapText="1"/>
      <protection locked="0"/>
    </xf>
    <xf numFmtId="0" fontId="4" fillId="0" borderId="25" xfId="2" applyFont="1" applyBorder="1" applyAlignment="1" applyProtection="1">
      <alignment horizontal="center" vertical="top" wrapText="1"/>
      <protection locked="0"/>
    </xf>
    <xf numFmtId="9" fontId="4" fillId="0" borderId="1" xfId="2" applyNumberFormat="1" applyFont="1" applyBorder="1" applyAlignment="1" applyProtection="1">
      <alignment horizontal="center" vertical="center" wrapText="1"/>
      <protection hidden="1"/>
    </xf>
    <xf numFmtId="9" fontId="4" fillId="0" borderId="18" xfId="2" applyNumberFormat="1" applyFont="1" applyBorder="1" applyAlignment="1" applyProtection="1">
      <alignment horizontal="center" vertical="center" wrapText="1"/>
      <protection hidden="1"/>
    </xf>
    <xf numFmtId="9" fontId="4" fillId="0" borderId="7" xfId="2" applyNumberFormat="1" applyFont="1" applyBorder="1" applyAlignment="1" applyProtection="1">
      <alignment horizontal="center" vertical="center" wrapText="1"/>
      <protection hidden="1"/>
    </xf>
    <xf numFmtId="9" fontId="4" fillId="0" borderId="28" xfId="2" applyNumberFormat="1" applyFont="1" applyBorder="1" applyAlignment="1" applyProtection="1">
      <alignment horizontal="center" vertical="center" wrapText="1"/>
      <protection hidden="1"/>
    </xf>
    <xf numFmtId="9" fontId="4" fillId="0" borderId="9" xfId="2" applyNumberFormat="1" applyFont="1" applyBorder="1" applyAlignment="1" applyProtection="1">
      <alignment horizontal="center" vertical="center" wrapText="1"/>
      <protection hidden="1"/>
    </xf>
    <xf numFmtId="9" fontId="4" fillId="0" borderId="33" xfId="2" applyNumberFormat="1" applyFont="1" applyBorder="1" applyAlignment="1" applyProtection="1">
      <alignment horizontal="center" vertical="center" wrapText="1"/>
      <protection hidden="1"/>
    </xf>
    <xf numFmtId="9" fontId="4" fillId="0" borderId="27" xfId="2" applyNumberFormat="1" applyFont="1" applyBorder="1" applyAlignment="1" applyProtection="1">
      <alignment horizontal="center" vertical="center" wrapText="1"/>
      <protection hidden="1"/>
    </xf>
    <xf numFmtId="9" fontId="4" fillId="0" borderId="36" xfId="2" applyNumberFormat="1" applyFont="1" applyBorder="1" applyAlignment="1" applyProtection="1">
      <alignment horizontal="center" vertical="center" wrapText="1"/>
      <protection hidden="1"/>
    </xf>
    <xf numFmtId="0" fontId="4" fillId="0" borderId="3" xfId="2" applyFont="1" applyBorder="1" applyAlignment="1">
      <alignment horizontal="left" vertical="top" wrapText="1"/>
    </xf>
    <xf numFmtId="0" fontId="4" fillId="0" borderId="4" xfId="2" applyFont="1" applyBorder="1" applyAlignment="1">
      <alignment horizontal="left" vertical="top" wrapText="1"/>
    </xf>
    <xf numFmtId="0" fontId="4" fillId="0" borderId="6" xfId="2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0" fillId="0" borderId="1" xfId="2" applyFont="1" applyBorder="1" applyAlignment="1">
      <alignment horizontal="left" vertical="top" wrapText="1"/>
    </xf>
    <xf numFmtId="0" fontId="10" fillId="0" borderId="3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9" xfId="2" applyFont="1" applyBorder="1" applyAlignment="1">
      <alignment horizontal="left" vertical="top" wrapText="1"/>
    </xf>
    <xf numFmtId="0" fontId="10" fillId="0" borderId="33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8" xfId="2" applyFont="1" applyBorder="1" applyAlignment="1">
      <alignment horizontal="center" vertical="top" wrapText="1"/>
    </xf>
    <xf numFmtId="0" fontId="10" fillId="0" borderId="28" xfId="2" applyFont="1" applyBorder="1" applyAlignment="1">
      <alignment horizontal="center" vertical="top" wrapText="1"/>
    </xf>
    <xf numFmtId="0" fontId="10" fillId="0" borderId="29" xfId="2" applyFont="1" applyBorder="1" applyAlignment="1">
      <alignment horizontal="center" vertical="top" wrapText="1"/>
    </xf>
    <xf numFmtId="0" fontId="10" fillId="0" borderId="30" xfId="2" applyFont="1" applyBorder="1" applyAlignment="1">
      <alignment horizontal="center" vertical="top" wrapText="1"/>
    </xf>
    <xf numFmtId="0" fontId="10" fillId="0" borderId="31" xfId="2" applyFont="1" applyBorder="1" applyAlignment="1">
      <alignment horizontal="center" vertical="top" wrapText="1"/>
    </xf>
    <xf numFmtId="1" fontId="2" fillId="0" borderId="7" xfId="2" applyNumberFormat="1" applyFont="1" applyBorder="1" applyAlignment="1">
      <alignment horizontal="center" vertical="top" wrapText="1"/>
    </xf>
    <xf numFmtId="1" fontId="2" fillId="0" borderId="29" xfId="2" applyNumberFormat="1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horizontal="center" vertical="top"/>
    </xf>
  </cellXfs>
  <cellStyles count="8">
    <cellStyle name="Comma 2" xfId="5"/>
    <cellStyle name="Excel Built-in Normal" xfId="1"/>
    <cellStyle name="Excel Built-in Normal 2" xfId="3"/>
    <cellStyle name="Hyperlink" xfId="7" builtinId="8"/>
    <cellStyle name="Normal" xfId="0" builtinId="0"/>
    <cellStyle name="Normal 3" xfId="2"/>
    <cellStyle name="Normal 4" xfId="4"/>
    <cellStyle name="Percent" xfId="6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218662</xdr:colOff>
      <xdr:row>6</xdr:row>
      <xdr:rowOff>165651</xdr:rowOff>
    </xdr:from>
    <xdr:to>
      <xdr:col>17</xdr:col>
      <xdr:colOff>406351</xdr:colOff>
      <xdr:row>12</xdr:row>
      <xdr:rowOff>74394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4ED549-CC8E-7FF2-72AF-08534A20A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7636" y="1901686"/>
          <a:ext cx="5296639" cy="1905266"/>
        </a:xfrm>
        <a:prstGeom prst="rect">
          <a:avLst/>
        </a:prstGeom>
      </xdr:spPr>
    </xdr:pic>
    <xdr:clientData/>
  </xdr:twoCellAnchor>
  <xdr:twoCellAnchor editAs="oneCell">
    <xdr:from>
      <xdr:col>8</xdr:col>
      <xdr:colOff>993912</xdr:colOff>
      <xdr:row>23</xdr:row>
      <xdr:rowOff>324679</xdr:rowOff>
    </xdr:from>
    <xdr:to>
      <xdr:col>21</xdr:col>
      <xdr:colOff>604984</xdr:colOff>
      <xdr:row>29</xdr:row>
      <xdr:rowOff>399115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298C7B1-A8DD-1DF5-E40A-198C8A4BC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92886" y="7944679"/>
          <a:ext cx="7211431" cy="2191056"/>
        </a:xfrm>
        <a:prstGeom prst="rect">
          <a:avLst/>
        </a:prstGeom>
      </xdr:spPr>
    </xdr:pic>
    <xdr:clientData/>
  </xdr:twoCellAnchor>
  <xdr:twoCellAnchor>
    <xdr:from>
      <xdr:col>0</xdr:col>
      <xdr:colOff>466165</xdr:colOff>
      <xdr:row>227</xdr:row>
      <xdr:rowOff>62754</xdr:rowOff>
    </xdr:from>
    <xdr:to>
      <xdr:col>7</xdr:col>
      <xdr:colOff>387251</xdr:colOff>
      <xdr:row>267</xdr:row>
      <xdr:rowOff>122769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2D60EDB3-2AE9-1D8D-E542-355A271435E8}"/>
            </a:ext>
          </a:extLst>
        </xdr:cNvPr>
        <xdr:cNvGrpSpPr/>
      </xdr:nvGrpSpPr>
      <xdr:grpSpPr>
        <a:xfrm>
          <a:off x="466165" y="55784004"/>
          <a:ext cx="5636086" cy="7680015"/>
          <a:chOff x="466165" y="61658630"/>
          <a:chExt cx="5801624" cy="6996842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2262F807-1670-F028-B24E-D0C24011FE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66165" y="61658630"/>
            <a:ext cx="5801624" cy="4589621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BE9AB89A-F4D4-226F-8401-6D65D1BDE1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782982" y="66421670"/>
            <a:ext cx="2622708" cy="2233802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5A72145C-574F-76CE-2200-2CC5573DCBD3}"/>
              </a:ext>
            </a:extLst>
          </xdr:cNvPr>
          <xdr:cNvSpPr/>
        </xdr:nvSpPr>
        <xdr:spPr>
          <a:xfrm rot="20652329">
            <a:off x="3442138" y="64254994"/>
            <a:ext cx="1087821" cy="604345"/>
          </a:xfrm>
          <a:prstGeom prst="rect">
            <a:avLst/>
          </a:prstGeom>
          <a:noFill/>
          <a:ln w="38100">
            <a:solidFill>
              <a:srgbClr val="0000FF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D248D476-F1EF-FAA2-E187-E77EDDDD4696}"/>
              </a:ext>
            </a:extLst>
          </xdr:cNvPr>
          <xdr:cNvSpPr/>
        </xdr:nvSpPr>
        <xdr:spPr>
          <a:xfrm rot="20694788">
            <a:off x="3263462" y="63960702"/>
            <a:ext cx="1468672" cy="29880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rgbClr val="0000FF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Building No.1</a:t>
            </a:r>
          </a:p>
        </xdr:txBody>
      </xdr:sp>
    </xdr:grpSp>
    <xdr:clientData/>
  </xdr:twoCellAnchor>
  <xdr:twoCellAnchor editAs="oneCell">
    <xdr:from>
      <xdr:col>11</xdr:col>
      <xdr:colOff>529680</xdr:colOff>
      <xdr:row>114</xdr:row>
      <xdr:rowOff>613720</xdr:rowOff>
    </xdr:from>
    <xdr:to>
      <xdr:col>24</xdr:col>
      <xdr:colOff>379502</xdr:colOff>
      <xdr:row>131</xdr:row>
      <xdr:rowOff>5558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CFEF577-20D5-649F-3481-08D308347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415945" y="30903220"/>
          <a:ext cx="6685410" cy="3024944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39</xdr:row>
      <xdr:rowOff>10978</xdr:rowOff>
    </xdr:from>
    <xdr:to>
      <xdr:col>19</xdr:col>
      <xdr:colOff>255551</xdr:colOff>
      <xdr:row>50</xdr:row>
      <xdr:rowOff>57586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10475" y="13574578"/>
          <a:ext cx="5354148" cy="2132584"/>
        </a:xfrm>
        <a:prstGeom prst="rect">
          <a:avLst/>
        </a:prstGeom>
      </xdr:spPr>
    </xdr:pic>
    <xdr:clientData/>
  </xdr:twoCellAnchor>
  <xdr:twoCellAnchor editAs="oneCell">
    <xdr:from>
      <xdr:col>9</xdr:col>
      <xdr:colOff>200025</xdr:colOff>
      <xdr:row>67</xdr:row>
      <xdr:rowOff>638175</xdr:rowOff>
    </xdr:from>
    <xdr:to>
      <xdr:col>23</xdr:col>
      <xdr:colOff>109918</xdr:colOff>
      <xdr:row>77</xdr:row>
      <xdr:rowOff>135725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67625" y="19831050"/>
          <a:ext cx="7592485" cy="4972744"/>
        </a:xfrm>
        <a:prstGeom prst="rect">
          <a:avLst/>
        </a:prstGeom>
      </xdr:spPr>
    </xdr:pic>
    <xdr:clientData/>
  </xdr:twoCellAnchor>
  <xdr:twoCellAnchor>
    <xdr:from>
      <xdr:col>1</xdr:col>
      <xdr:colOff>30593</xdr:colOff>
      <xdr:row>270</xdr:row>
      <xdr:rowOff>99174</xdr:rowOff>
    </xdr:from>
    <xdr:to>
      <xdr:col>6</xdr:col>
      <xdr:colOff>628650</xdr:colOff>
      <xdr:row>304</xdr:row>
      <xdr:rowOff>654</xdr:rowOff>
    </xdr:to>
    <xdr:grpSp>
      <xdr:nvGrpSpPr>
        <xdr:cNvPr id="25" name="Group 24"/>
        <xdr:cNvGrpSpPr/>
      </xdr:nvGrpSpPr>
      <xdr:grpSpPr>
        <a:xfrm>
          <a:off x="778986" y="64011924"/>
          <a:ext cx="4789057" cy="6378480"/>
          <a:chOff x="783068" y="62887974"/>
          <a:chExt cx="4789057" cy="6378480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512D1A61-131A-9BAC-F601-2C7ECC9D08E0}"/>
              </a:ext>
            </a:extLst>
          </xdr:cNvPr>
          <xdr:cNvGrpSpPr/>
        </xdr:nvGrpSpPr>
        <xdr:grpSpPr>
          <a:xfrm>
            <a:off x="783068" y="62887974"/>
            <a:ext cx="4789057" cy="3206002"/>
            <a:chOff x="1370334" y="71402338"/>
            <a:chExt cx="3850319" cy="3130536"/>
          </a:xfrm>
        </xdr:grpSpPr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979AE19D-C5EE-190A-0EB5-1A229D984E21}"/>
                </a:ext>
              </a:extLst>
            </xdr:cNvPr>
            <xdr:cNvGrpSpPr/>
          </xdr:nvGrpSpPr>
          <xdr:grpSpPr>
            <a:xfrm>
              <a:off x="1370334" y="71402338"/>
              <a:ext cx="3850319" cy="3130536"/>
              <a:chOff x="1370334" y="71402338"/>
              <a:chExt cx="3850319" cy="3130536"/>
            </a:xfrm>
          </xdr:grpSpPr>
          <xdr:pic>
            <xdr:nvPicPr>
              <xdr:cNvPr id="2" name="Picture 1">
                <a:extLst>
                  <a:ext uri="{FF2B5EF4-FFF2-40B4-BE49-F238E27FC236}">
                    <a16:creationId xmlns:a16="http://schemas.microsoft.com/office/drawing/2014/main" id="{07F140AC-6B34-04C3-6F91-BA97E061485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370334" y="71402338"/>
                <a:ext cx="3850319" cy="3130536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4E8989DA-FC08-6E54-1729-860A3C81C1F0}"/>
                  </a:ext>
                </a:extLst>
              </xdr:cNvPr>
              <xdr:cNvSpPr/>
            </xdr:nvSpPr>
            <xdr:spPr>
              <a:xfrm>
                <a:off x="3463158" y="72742096"/>
                <a:ext cx="493986" cy="331076"/>
              </a:xfrm>
              <a:prstGeom prst="rect">
                <a:avLst/>
              </a:prstGeom>
              <a:noFill/>
              <a:ln>
                <a:solidFill>
                  <a:srgbClr val="FFFF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/>
              </a:p>
            </xdr:txBody>
          </xdr:sp>
        </xdr:grpSp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id="{909EAE58-7810-D595-A599-C7EAFD40BBFB}"/>
                </a:ext>
              </a:extLst>
            </xdr:cNvPr>
            <xdr:cNvSpPr/>
          </xdr:nvSpPr>
          <xdr:spPr>
            <a:xfrm>
              <a:off x="3264740" y="72295342"/>
              <a:ext cx="1328464" cy="446276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200" b="1">
                  <a:solidFill>
                    <a:srgbClr val="FFFF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Elite Residency Building No.1</a:t>
              </a:r>
            </a:p>
          </xdr:txBody>
        </xdr:sp>
      </xdr:grpSp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1057274" y="66179699"/>
            <a:ext cx="4200525" cy="3086755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</xdr:grpSp>
    <xdr:clientData/>
  </xdr:twoCellAnchor>
  <xdr:twoCellAnchor editAs="oneCell">
    <xdr:from>
      <xdr:col>19</xdr:col>
      <xdr:colOff>336758</xdr:colOff>
      <xdr:row>117</xdr:row>
      <xdr:rowOff>7443</xdr:rowOff>
    </xdr:from>
    <xdr:to>
      <xdr:col>29</xdr:col>
      <xdr:colOff>155465</xdr:colOff>
      <xdr:row>137</xdr:row>
      <xdr:rowOff>304858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073044" y="31453550"/>
          <a:ext cx="5941921" cy="4243487"/>
        </a:xfrm>
        <a:prstGeom prst="rect">
          <a:avLst/>
        </a:prstGeom>
      </xdr:spPr>
    </xdr:pic>
    <xdr:clientData/>
  </xdr:twoCellAnchor>
  <xdr:twoCellAnchor editAs="oneCell">
    <xdr:from>
      <xdr:col>9</xdr:col>
      <xdr:colOff>598713</xdr:colOff>
      <xdr:row>136</xdr:row>
      <xdr:rowOff>190500</xdr:rowOff>
    </xdr:from>
    <xdr:to>
      <xdr:col>29</xdr:col>
      <xdr:colOff>235574</xdr:colOff>
      <xdr:row>162</xdr:row>
      <xdr:rowOff>27816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069034" y="35977286"/>
          <a:ext cx="11026040" cy="4327673"/>
        </a:xfrm>
        <a:prstGeom prst="rect">
          <a:avLst/>
        </a:prstGeom>
      </xdr:spPr>
    </xdr:pic>
    <xdr:clientData/>
  </xdr:twoCellAnchor>
  <xdr:twoCellAnchor editAs="oneCell">
    <xdr:from>
      <xdr:col>8</xdr:col>
      <xdr:colOff>923925</xdr:colOff>
      <xdr:row>51</xdr:row>
      <xdr:rowOff>19050</xdr:rowOff>
    </xdr:from>
    <xdr:to>
      <xdr:col>22</xdr:col>
      <xdr:colOff>181992</xdr:colOff>
      <xdr:row>60</xdr:row>
      <xdr:rowOff>76447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429500" y="15859125"/>
          <a:ext cx="7287642" cy="1771897"/>
        </a:xfrm>
        <a:prstGeom prst="rect">
          <a:avLst/>
        </a:prstGeom>
      </xdr:spPr>
    </xdr:pic>
    <xdr:clientData/>
  </xdr:twoCellAnchor>
  <xdr:twoCellAnchor>
    <xdr:from>
      <xdr:col>0</xdr:col>
      <xdr:colOff>619125</xdr:colOff>
      <xdr:row>179</xdr:row>
      <xdr:rowOff>95249</xdr:rowOff>
    </xdr:from>
    <xdr:to>
      <xdr:col>7</xdr:col>
      <xdr:colOff>180975</xdr:colOff>
      <xdr:row>223</xdr:row>
      <xdr:rowOff>95249</xdr:rowOff>
    </xdr:to>
    <xdr:grpSp>
      <xdr:nvGrpSpPr>
        <xdr:cNvPr id="30" name="Group 29"/>
        <xdr:cNvGrpSpPr/>
      </xdr:nvGrpSpPr>
      <xdr:grpSpPr>
        <a:xfrm>
          <a:off x="619125" y="46672499"/>
          <a:ext cx="5276850" cy="8382000"/>
          <a:chOff x="619125" y="45916102"/>
          <a:chExt cx="5276850" cy="8382000"/>
        </a:xfrm>
      </xdr:grpSpPr>
      <xdr:grpSp>
        <xdr:nvGrpSpPr>
          <xdr:cNvPr id="18" name="Group 17"/>
          <xdr:cNvGrpSpPr/>
        </xdr:nvGrpSpPr>
        <xdr:grpSpPr>
          <a:xfrm>
            <a:off x="619125" y="45916102"/>
            <a:ext cx="5276850" cy="8382000"/>
            <a:chOff x="1106394" y="148068"/>
            <a:chExt cx="4849687" cy="7525719"/>
          </a:xfrm>
        </xdr:grpSpPr>
        <xdr:pic>
          <xdr:nvPicPr>
            <xdr:cNvPr id="19" name="Picture 18" descr="https://vsjcllp.vsjadon.com/upload/insp-244227-87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747447" y="6108126"/>
              <a:ext cx="1173023" cy="156566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" name="Picture 19" descr="https://vsjcllp.vsjadon.com/upload/insp-244227-94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51594" y="3869383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2" name="Picture 21" descr="https://vsjcllp.vsjadon.com/upload/insp-244227-928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06394" y="148068"/>
              <a:ext cx="4849687" cy="364063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3" name="Picture 22" descr="https://vsjcllp.vsjadon.com/upload/insp-244227-88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81408" y="6108126"/>
              <a:ext cx="2085614" cy="156566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29" name="Picture 28" descr="https://vsjcllp.vsjadon.com/upload/insp-244227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33382" y="50067879"/>
            <a:ext cx="3136794" cy="2391899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J1UY1vToipPzMvKy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13"/>
  <sheetViews>
    <sheetView tabSelected="1" view="pageBreakPreview" topLeftCell="A128" zoomScale="70" zoomScaleNormal="85" zoomScaleSheetLayoutView="70" zoomScalePageLayoutView="85" workbookViewId="0">
      <selection activeCell="M135" sqref="M135"/>
    </sheetView>
  </sheetViews>
  <sheetFormatPr defaultColWidth="9.140625" defaultRowHeight="15" x14ac:dyDescent="0.25"/>
  <cols>
    <col min="1" max="1" width="11.28515625" style="8" customWidth="1"/>
    <col min="2" max="2" width="13.28515625" style="8" customWidth="1"/>
    <col min="3" max="3" width="12.140625" style="8" customWidth="1"/>
    <col min="4" max="4" width="12.42578125" style="8" customWidth="1"/>
    <col min="5" max="5" width="11.7109375" style="8" customWidth="1"/>
    <col min="6" max="6" width="13.28515625" style="8" customWidth="1"/>
    <col min="7" max="7" width="11.5703125" style="8" customWidth="1"/>
    <col min="8" max="8" width="11.85546875" style="8" customWidth="1"/>
    <col min="9" max="9" width="14.42578125" style="8" customWidth="1"/>
    <col min="10" max="10" width="9.140625" style="8"/>
    <col min="11" max="11" width="12.140625" style="8" customWidth="1"/>
    <col min="12" max="12" width="9.140625" style="8"/>
    <col min="13" max="13" width="12.5703125" style="8" customWidth="1"/>
    <col min="14" max="15" width="0" style="8" hidden="1" customWidth="1"/>
    <col min="16" max="16" width="6.140625" style="8" customWidth="1"/>
    <col min="17" max="17" width="11.140625" style="8" customWidth="1"/>
    <col min="18" max="16384" width="9.140625" style="8"/>
  </cols>
  <sheetData>
    <row r="1" spans="1:9" ht="43.9" customHeight="1" x14ac:dyDescent="0.25">
      <c r="A1" s="136" t="s">
        <v>137</v>
      </c>
      <c r="B1" s="136"/>
      <c r="C1" s="136"/>
      <c r="D1" s="136"/>
      <c r="E1" s="136"/>
      <c r="F1" s="136"/>
      <c r="G1" s="136"/>
      <c r="H1" s="136"/>
    </row>
    <row r="2" spans="1:9" ht="13.9" x14ac:dyDescent="0.25">
      <c r="A2" s="137" t="s">
        <v>8</v>
      </c>
      <c r="B2" s="137"/>
      <c r="C2" s="137"/>
      <c r="D2" s="137"/>
      <c r="E2" s="137"/>
      <c r="F2" s="137"/>
      <c r="G2" s="137"/>
      <c r="H2" s="137"/>
    </row>
    <row r="3" spans="1:9" ht="13.9" x14ac:dyDescent="0.25">
      <c r="A3" s="9" t="s">
        <v>16</v>
      </c>
      <c r="B3" s="140" t="s">
        <v>14</v>
      </c>
      <c r="C3" s="140"/>
      <c r="D3" s="140"/>
      <c r="E3" s="139" t="s">
        <v>17</v>
      </c>
      <c r="F3" s="139"/>
      <c r="G3" s="139"/>
      <c r="H3" s="139"/>
    </row>
    <row r="4" spans="1:9" ht="15" customHeight="1" x14ac:dyDescent="0.25">
      <c r="A4" s="10">
        <v>1</v>
      </c>
      <c r="B4" s="79" t="s">
        <v>18</v>
      </c>
      <c r="C4" s="79"/>
      <c r="D4" s="79"/>
      <c r="E4" s="141" t="s">
        <v>189</v>
      </c>
      <c r="F4" s="141"/>
      <c r="G4" s="141"/>
      <c r="H4" s="141"/>
    </row>
    <row r="5" spans="1:9" ht="44.25" customHeight="1" x14ac:dyDescent="0.25">
      <c r="A5" s="64">
        <v>2</v>
      </c>
      <c r="B5" s="79" t="s">
        <v>19</v>
      </c>
      <c r="C5" s="79"/>
      <c r="D5" s="79"/>
      <c r="E5" s="75" t="s">
        <v>228</v>
      </c>
      <c r="F5" s="75"/>
      <c r="G5" s="75"/>
      <c r="H5" s="75"/>
    </row>
    <row r="6" spans="1:9" ht="15.75" customHeight="1" x14ac:dyDescent="0.25">
      <c r="A6" s="65"/>
      <c r="B6" s="79"/>
      <c r="C6" s="79"/>
      <c r="D6" s="79"/>
      <c r="E6" s="145" t="s">
        <v>138</v>
      </c>
      <c r="F6" s="146"/>
      <c r="G6" s="149" t="s">
        <v>191</v>
      </c>
      <c r="H6" s="149"/>
    </row>
    <row r="7" spans="1:9" ht="15.75" customHeight="1" x14ac:dyDescent="0.25">
      <c r="A7" s="65"/>
      <c r="B7" s="147" t="s">
        <v>135</v>
      </c>
      <c r="C7" s="148"/>
      <c r="D7" s="148"/>
      <c r="E7" s="142" t="s">
        <v>190</v>
      </c>
      <c r="F7" s="143"/>
      <c r="G7" s="143"/>
      <c r="H7" s="144"/>
    </row>
    <row r="8" spans="1:9" ht="32.450000000000003" customHeight="1" x14ac:dyDescent="0.25">
      <c r="A8" s="65"/>
      <c r="B8" s="138" t="s">
        <v>83</v>
      </c>
      <c r="C8" s="138"/>
      <c r="D8" s="138"/>
      <c r="E8" s="93" t="s">
        <v>215</v>
      </c>
      <c r="F8" s="94"/>
      <c r="G8" s="93" t="s">
        <v>216</v>
      </c>
      <c r="H8" s="94"/>
    </row>
    <row r="9" spans="1:9" x14ac:dyDescent="0.25">
      <c r="A9" s="176"/>
      <c r="B9" s="79" t="s">
        <v>145</v>
      </c>
      <c r="C9" s="79"/>
      <c r="D9" s="79"/>
      <c r="E9" s="75" t="s">
        <v>10</v>
      </c>
      <c r="F9" s="75"/>
      <c r="G9" s="75"/>
      <c r="H9" s="75"/>
    </row>
    <row r="10" spans="1:9" x14ac:dyDescent="0.25">
      <c r="A10" s="10">
        <v>3</v>
      </c>
      <c r="B10" s="79" t="s">
        <v>20</v>
      </c>
      <c r="C10" s="79"/>
      <c r="D10" s="79"/>
      <c r="E10" s="75" t="s">
        <v>192</v>
      </c>
      <c r="F10" s="75"/>
      <c r="G10" s="75"/>
      <c r="H10" s="75"/>
    </row>
    <row r="11" spans="1:9" ht="45" customHeight="1" x14ac:dyDescent="0.25">
      <c r="A11" s="10">
        <v>4</v>
      </c>
      <c r="B11" s="79" t="s">
        <v>21</v>
      </c>
      <c r="C11" s="79"/>
      <c r="D11" s="79"/>
      <c r="E11" s="75" t="str">
        <f>E5</f>
        <v>Elite Residency Building No.1, At Village - Kapase,  Internal Road, Near Kalpana Bunglow, Saphale West, Tal &amp; Dist. Palghar 401102</v>
      </c>
      <c r="F11" s="75"/>
      <c r="G11" s="75"/>
      <c r="H11" s="75"/>
    </row>
    <row r="12" spans="1:9" ht="36" customHeight="1" x14ac:dyDescent="0.25">
      <c r="A12" s="10">
        <v>5</v>
      </c>
      <c r="B12" s="79" t="s">
        <v>22</v>
      </c>
      <c r="C12" s="79"/>
      <c r="D12" s="79"/>
      <c r="E12" s="75" t="s">
        <v>193</v>
      </c>
      <c r="F12" s="75"/>
      <c r="G12" s="75"/>
      <c r="H12" s="75"/>
      <c r="I12" s="95" t="s">
        <v>134</v>
      </c>
    </row>
    <row r="13" spans="1:9" ht="36" customHeight="1" x14ac:dyDescent="0.25">
      <c r="A13" s="10">
        <v>6</v>
      </c>
      <c r="B13" s="79" t="s">
        <v>23</v>
      </c>
      <c r="C13" s="79"/>
      <c r="D13" s="79"/>
      <c r="E13" s="130" t="str">
        <f>E12</f>
        <v>Proposed Mixed Building On Gut No.84 (Pt), Village Kapase, Tal &amp; Dist. Palghar</v>
      </c>
      <c r="F13" s="130"/>
      <c r="G13" s="130"/>
      <c r="H13" s="130"/>
      <c r="I13" s="95"/>
    </row>
    <row r="14" spans="1:9" ht="15" customHeight="1" x14ac:dyDescent="0.25">
      <c r="A14" s="10">
        <v>7</v>
      </c>
      <c r="B14" s="79" t="s">
        <v>24</v>
      </c>
      <c r="C14" s="79"/>
      <c r="D14" s="79"/>
      <c r="E14" s="75">
        <v>45883</v>
      </c>
      <c r="F14" s="75"/>
      <c r="G14" s="75"/>
      <c r="H14" s="75"/>
    </row>
    <row r="15" spans="1:9" ht="15" customHeight="1" x14ac:dyDescent="0.25">
      <c r="A15" s="10">
        <v>8</v>
      </c>
      <c r="B15" s="79" t="s">
        <v>180</v>
      </c>
      <c r="C15" s="79"/>
      <c r="D15" s="79"/>
      <c r="E15" s="75">
        <v>45883</v>
      </c>
      <c r="F15" s="75"/>
      <c r="G15" s="75"/>
      <c r="H15" s="75"/>
    </row>
    <row r="16" spans="1:9" ht="62.25" customHeight="1" x14ac:dyDescent="0.25">
      <c r="A16" s="10">
        <v>9</v>
      </c>
      <c r="B16" s="178" t="s">
        <v>25</v>
      </c>
      <c r="C16" s="178"/>
      <c r="D16" s="178"/>
      <c r="E16" s="75" t="s">
        <v>227</v>
      </c>
      <c r="F16" s="75"/>
      <c r="G16" s="75"/>
      <c r="H16" s="75"/>
    </row>
    <row r="17" spans="1:10" ht="30.75" customHeight="1" x14ac:dyDescent="0.25">
      <c r="A17" s="10">
        <v>10</v>
      </c>
      <c r="B17" s="77" t="s">
        <v>26</v>
      </c>
      <c r="C17" s="77"/>
      <c r="D17" s="77"/>
      <c r="E17" s="75" t="s">
        <v>65</v>
      </c>
      <c r="F17" s="75"/>
      <c r="G17" s="75"/>
      <c r="H17" s="75"/>
    </row>
    <row r="18" spans="1:10" x14ac:dyDescent="0.25">
      <c r="A18" s="10">
        <v>11</v>
      </c>
      <c r="B18" s="79" t="s">
        <v>27</v>
      </c>
      <c r="C18" s="79"/>
      <c r="D18" s="79"/>
      <c r="E18" s="75" t="s">
        <v>65</v>
      </c>
      <c r="F18" s="75"/>
      <c r="G18" s="75"/>
      <c r="H18" s="75"/>
    </row>
    <row r="19" spans="1:10" ht="46.5" customHeight="1" x14ac:dyDescent="0.25">
      <c r="A19" s="10">
        <v>12</v>
      </c>
      <c r="B19" s="77" t="s">
        <v>28</v>
      </c>
      <c r="C19" s="77"/>
      <c r="D19" s="77"/>
      <c r="E19" s="78" t="s">
        <v>65</v>
      </c>
      <c r="F19" s="78"/>
      <c r="G19" s="78"/>
      <c r="H19" s="78"/>
    </row>
    <row r="20" spans="1:10" ht="47.25" customHeight="1" x14ac:dyDescent="0.25">
      <c r="A20" s="10">
        <v>13</v>
      </c>
      <c r="B20" s="77" t="s">
        <v>109</v>
      </c>
      <c r="C20" s="77"/>
      <c r="D20" s="77"/>
      <c r="E20" s="135">
        <v>9137846590</v>
      </c>
      <c r="F20" s="135"/>
      <c r="G20" s="135"/>
      <c r="H20" s="135"/>
    </row>
    <row r="21" spans="1:10" ht="29.25" customHeight="1" x14ac:dyDescent="0.25">
      <c r="A21" s="10">
        <v>14</v>
      </c>
      <c r="B21" s="77" t="s">
        <v>29</v>
      </c>
      <c r="C21" s="77"/>
      <c r="D21" s="77"/>
      <c r="E21" s="75">
        <v>45885</v>
      </c>
      <c r="F21" s="75"/>
      <c r="G21" s="75"/>
      <c r="H21" s="75"/>
    </row>
    <row r="22" spans="1:10" ht="15" customHeight="1" x14ac:dyDescent="0.25">
      <c r="A22" s="10">
        <v>15</v>
      </c>
      <c r="B22" s="77" t="s">
        <v>30</v>
      </c>
      <c r="C22" s="77"/>
      <c r="D22" s="77"/>
      <c r="E22" s="75" t="s">
        <v>218</v>
      </c>
      <c r="F22" s="75"/>
      <c r="G22" s="75"/>
      <c r="H22" s="75"/>
      <c r="I22" s="96"/>
      <c r="J22" s="97"/>
    </row>
    <row r="23" spans="1:10" ht="30" customHeight="1" x14ac:dyDescent="0.25">
      <c r="A23" s="10">
        <v>16</v>
      </c>
      <c r="B23" s="77" t="s">
        <v>31</v>
      </c>
      <c r="C23" s="77"/>
      <c r="D23" s="77"/>
      <c r="E23" s="75" t="s">
        <v>194</v>
      </c>
      <c r="F23" s="75"/>
      <c r="G23" s="75"/>
      <c r="H23" s="75"/>
      <c r="I23" s="96"/>
      <c r="J23" s="97"/>
    </row>
    <row r="24" spans="1:10" ht="46.5" customHeight="1" x14ac:dyDescent="0.25">
      <c r="A24" s="10">
        <v>17</v>
      </c>
      <c r="B24" s="77" t="s">
        <v>110</v>
      </c>
      <c r="C24" s="77"/>
      <c r="D24" s="77"/>
      <c r="E24" s="75" t="s">
        <v>10</v>
      </c>
      <c r="F24" s="75"/>
      <c r="G24" s="75"/>
      <c r="H24" s="75"/>
      <c r="I24" s="96"/>
      <c r="J24" s="97"/>
    </row>
    <row r="25" spans="1:10" ht="31.5" customHeight="1" x14ac:dyDescent="0.25">
      <c r="A25" s="10">
        <v>18</v>
      </c>
      <c r="B25" s="77" t="s">
        <v>32</v>
      </c>
      <c r="C25" s="77"/>
      <c r="D25" s="77"/>
      <c r="E25" s="78" t="s">
        <v>65</v>
      </c>
      <c r="F25" s="78"/>
      <c r="G25" s="78"/>
      <c r="H25" s="78"/>
    </row>
    <row r="26" spans="1:10" x14ac:dyDescent="0.25">
      <c r="A26" s="10">
        <v>19</v>
      </c>
      <c r="B26" s="130" t="s">
        <v>33</v>
      </c>
      <c r="C26" s="130"/>
      <c r="D26" s="130"/>
      <c r="E26" s="75" t="s">
        <v>217</v>
      </c>
      <c r="F26" s="75"/>
      <c r="G26" s="75"/>
      <c r="H26" s="75"/>
    </row>
    <row r="27" spans="1:10" ht="45" customHeight="1" x14ac:dyDescent="0.25">
      <c r="A27" s="10">
        <v>20</v>
      </c>
      <c r="B27" s="77" t="s">
        <v>34</v>
      </c>
      <c r="C27" s="77"/>
      <c r="D27" s="77"/>
      <c r="E27" s="78" t="s">
        <v>65</v>
      </c>
      <c r="F27" s="78"/>
      <c r="G27" s="78"/>
      <c r="H27" s="78"/>
    </row>
    <row r="28" spans="1:10" ht="13.9" x14ac:dyDescent="0.25">
      <c r="A28" s="10">
        <v>21</v>
      </c>
      <c r="B28" s="77" t="s">
        <v>35</v>
      </c>
      <c r="C28" s="77"/>
      <c r="D28" s="77"/>
      <c r="E28" s="75" t="s">
        <v>195</v>
      </c>
      <c r="F28" s="75"/>
      <c r="G28" s="75"/>
      <c r="H28" s="75"/>
    </row>
    <row r="29" spans="1:10" ht="15" customHeight="1" x14ac:dyDescent="0.25">
      <c r="A29" s="10">
        <v>22</v>
      </c>
      <c r="B29" s="77" t="s">
        <v>36</v>
      </c>
      <c r="C29" s="77"/>
      <c r="D29" s="77"/>
      <c r="E29" s="75" t="s">
        <v>195</v>
      </c>
      <c r="F29" s="75"/>
      <c r="G29" s="75"/>
      <c r="H29" s="75"/>
    </row>
    <row r="30" spans="1:10" ht="33.75" customHeight="1" x14ac:dyDescent="0.25">
      <c r="A30" s="10">
        <v>23</v>
      </c>
      <c r="B30" s="77" t="s">
        <v>37</v>
      </c>
      <c r="C30" s="77"/>
      <c r="D30" s="77"/>
      <c r="E30" s="75" t="s">
        <v>226</v>
      </c>
      <c r="F30" s="75"/>
      <c r="G30" s="75"/>
      <c r="H30" s="75"/>
    </row>
    <row r="31" spans="1:10" ht="33" customHeight="1" x14ac:dyDescent="0.25">
      <c r="A31" s="10">
        <v>24</v>
      </c>
      <c r="B31" s="77" t="s">
        <v>38</v>
      </c>
      <c r="C31" s="77"/>
      <c r="D31" s="77"/>
      <c r="E31" s="75" t="s">
        <v>196</v>
      </c>
      <c r="F31" s="75"/>
      <c r="G31" s="75"/>
      <c r="H31" s="75"/>
    </row>
    <row r="32" spans="1:10" x14ac:dyDescent="0.25">
      <c r="A32" s="10">
        <v>25</v>
      </c>
      <c r="B32" s="77" t="s">
        <v>39</v>
      </c>
      <c r="C32" s="77"/>
      <c r="D32" s="77"/>
      <c r="E32" s="75" t="s">
        <v>197</v>
      </c>
      <c r="F32" s="75"/>
      <c r="G32" s="75"/>
      <c r="H32" s="75"/>
      <c r="I32" s="98" t="s">
        <v>134</v>
      </c>
      <c r="J32" s="99"/>
    </row>
    <row r="33" spans="1:10" ht="30" customHeight="1" x14ac:dyDescent="0.25">
      <c r="A33" s="10">
        <v>26</v>
      </c>
      <c r="B33" s="77" t="s">
        <v>40</v>
      </c>
      <c r="C33" s="77"/>
      <c r="D33" s="77"/>
      <c r="E33" s="130" t="str">
        <f>E32</f>
        <v>Collector of Palghar</v>
      </c>
      <c r="F33" s="130"/>
      <c r="G33" s="130"/>
      <c r="H33" s="130"/>
      <c r="I33" s="98"/>
      <c r="J33" s="99"/>
    </row>
    <row r="34" spans="1:10" ht="33.75" customHeight="1" x14ac:dyDescent="0.25">
      <c r="A34" s="10">
        <v>27</v>
      </c>
      <c r="B34" s="77" t="s">
        <v>41</v>
      </c>
      <c r="C34" s="77"/>
      <c r="D34" s="77"/>
      <c r="E34" s="78" t="s">
        <v>68</v>
      </c>
      <c r="F34" s="78"/>
      <c r="G34" s="78"/>
      <c r="H34" s="78"/>
    </row>
    <row r="35" spans="1:10" ht="29.25" customHeight="1" x14ac:dyDescent="0.25">
      <c r="A35" s="10">
        <v>28</v>
      </c>
      <c r="B35" s="77" t="s">
        <v>42</v>
      </c>
      <c r="C35" s="77"/>
      <c r="D35" s="77"/>
      <c r="E35" s="78" t="str">
        <f>IF(AND(ISNUMBER(SEARCH("Flat",E138)),ISNUMBER(SEARCH("Shop",E138)),ISNUMBER(SEARCH("Office",E138))),"Residential + Commercial",IF(AND(ISNUMBER(SEARCH("Flat",E138)),ISNUMBER(SEARCH("Shop",E138))),"Residential + Commercial",IF(AND(ISNUMBER(SEARCH("Flat",E138)),ISNUMBER(SEARCH("Office",E138))),"Residential + Commercial",IF(AND(ISNUMBER(SEARCH("Shop",E138)),ISNUMBER(SEARCH("Office",E138))),"Commercial",IF(ISNUMBER(SEARCH("Shop",E138)),"Commercial",IF(ISNUMBER(SEARCH("Office",E138)),"Commercial",IF(ISNUMBER(SEARCH("Flat",E138)),"Residential")))))))</f>
        <v>Residential + Commercial</v>
      </c>
      <c r="F35" s="78"/>
      <c r="G35" s="78"/>
      <c r="H35" s="78"/>
    </row>
    <row r="36" spans="1:10" ht="15" customHeight="1" x14ac:dyDescent="0.25">
      <c r="A36" s="10">
        <v>29</v>
      </c>
      <c r="B36" s="77" t="s">
        <v>174</v>
      </c>
      <c r="C36" s="77"/>
      <c r="D36" s="77"/>
      <c r="E36" s="100">
        <v>11280</v>
      </c>
      <c r="F36" s="100"/>
      <c r="G36" s="100"/>
      <c r="H36" s="100"/>
    </row>
    <row r="37" spans="1:10" ht="31.5" customHeight="1" x14ac:dyDescent="0.25">
      <c r="A37" s="10">
        <v>30</v>
      </c>
      <c r="B37" s="77" t="s">
        <v>80</v>
      </c>
      <c r="C37" s="77"/>
      <c r="D37" s="77"/>
      <c r="E37" s="78" t="s">
        <v>9</v>
      </c>
      <c r="F37" s="78"/>
      <c r="G37" s="78"/>
      <c r="H37" s="78"/>
    </row>
    <row r="38" spans="1:10" ht="31.5" customHeight="1" x14ac:dyDescent="0.25">
      <c r="A38" s="10">
        <v>31</v>
      </c>
      <c r="B38" s="77" t="s">
        <v>81</v>
      </c>
      <c r="C38" s="77"/>
      <c r="D38" s="77"/>
      <c r="E38" s="78" t="s">
        <v>69</v>
      </c>
      <c r="F38" s="78"/>
      <c r="G38" s="78"/>
      <c r="H38" s="78"/>
    </row>
    <row r="39" spans="1:10" ht="30.75" customHeight="1" x14ac:dyDescent="0.25">
      <c r="A39" s="10">
        <v>32</v>
      </c>
      <c r="B39" s="77" t="s">
        <v>43</v>
      </c>
      <c r="C39" s="77"/>
      <c r="D39" s="77"/>
      <c r="E39" s="78" t="s">
        <v>9</v>
      </c>
      <c r="F39" s="78"/>
      <c r="G39" s="78"/>
      <c r="H39" s="78"/>
    </row>
    <row r="40" spans="1:10" x14ac:dyDescent="0.25">
      <c r="A40" s="54">
        <v>33</v>
      </c>
      <c r="B40" s="130" t="s">
        <v>173</v>
      </c>
      <c r="C40" s="130"/>
      <c r="D40" s="130"/>
      <c r="E40" s="130">
        <v>10151.995999999999</v>
      </c>
      <c r="F40" s="130"/>
      <c r="G40" s="130"/>
      <c r="H40" s="130"/>
    </row>
    <row r="41" spans="1:10" x14ac:dyDescent="0.25">
      <c r="A41" s="55"/>
      <c r="B41" s="57" t="s">
        <v>181</v>
      </c>
      <c r="C41" s="57"/>
      <c r="D41" s="57"/>
      <c r="E41" s="57">
        <v>16127.415999999999</v>
      </c>
      <c r="F41" s="57"/>
      <c r="G41" s="57"/>
      <c r="H41" s="57"/>
      <c r="I41" s="40">
        <f>E41/E40</f>
        <v>1.5885955825829718</v>
      </c>
    </row>
    <row r="42" spans="1:10" ht="15" customHeight="1" x14ac:dyDescent="0.25">
      <c r="A42" s="56"/>
      <c r="B42" s="57" t="s">
        <v>198</v>
      </c>
      <c r="C42" s="57"/>
      <c r="D42" s="57"/>
      <c r="E42" s="57">
        <v>2119.4229999999998</v>
      </c>
      <c r="F42" s="57"/>
      <c r="G42" s="57"/>
      <c r="H42" s="57"/>
    </row>
    <row r="43" spans="1:10" ht="13.9" x14ac:dyDescent="0.25">
      <c r="A43" s="10">
        <v>34</v>
      </c>
      <c r="B43" s="57" t="s">
        <v>139</v>
      </c>
      <c r="C43" s="57"/>
      <c r="D43" s="57"/>
      <c r="E43" s="157">
        <f>10151.996/E40</f>
        <v>1</v>
      </c>
      <c r="F43" s="157"/>
      <c r="G43" s="157"/>
      <c r="H43" s="157"/>
    </row>
    <row r="44" spans="1:10" ht="15" customHeight="1" x14ac:dyDescent="0.25">
      <c r="A44" s="10">
        <f>A43+1</f>
        <v>35</v>
      </c>
      <c r="B44" s="179" t="s">
        <v>140</v>
      </c>
      <c r="C44" s="180"/>
      <c r="D44" s="181"/>
      <c r="E44" s="157">
        <v>0</v>
      </c>
      <c r="F44" s="157"/>
      <c r="G44" s="157"/>
      <c r="H44" s="157"/>
    </row>
    <row r="45" spans="1:10" ht="13.9" x14ac:dyDescent="0.25">
      <c r="A45" s="10">
        <f t="shared" ref="A45:A47" si="0">A44+1</f>
        <v>36</v>
      </c>
      <c r="B45" s="130" t="s">
        <v>141</v>
      </c>
      <c r="C45" s="130"/>
      <c r="D45" s="130"/>
      <c r="E45" s="76">
        <f>5975.42/E40</f>
        <v>0.58859558258297195</v>
      </c>
      <c r="F45" s="76"/>
      <c r="G45" s="76"/>
      <c r="H45" s="76"/>
    </row>
    <row r="46" spans="1:10" ht="16.5" customHeight="1" x14ac:dyDescent="0.25">
      <c r="A46" s="10">
        <f t="shared" si="0"/>
        <v>37</v>
      </c>
      <c r="B46" s="130" t="s">
        <v>44</v>
      </c>
      <c r="C46" s="130"/>
      <c r="D46" s="130"/>
      <c r="E46" s="76">
        <v>0</v>
      </c>
      <c r="F46" s="76"/>
      <c r="G46" s="76"/>
      <c r="H46" s="76"/>
    </row>
    <row r="47" spans="1:10" ht="16.5" customHeight="1" x14ac:dyDescent="0.25">
      <c r="A47" s="10">
        <f t="shared" si="0"/>
        <v>38</v>
      </c>
      <c r="B47" s="130" t="s">
        <v>142</v>
      </c>
      <c r="C47" s="130"/>
      <c r="D47" s="130"/>
      <c r="E47" s="76">
        <f>SUM(E43:H46)</f>
        <v>1.5885955825829718</v>
      </c>
      <c r="F47" s="76"/>
      <c r="G47" s="76"/>
      <c r="H47" s="76"/>
    </row>
    <row r="48" spans="1:10" x14ac:dyDescent="0.25">
      <c r="A48" s="54">
        <v>39</v>
      </c>
      <c r="B48" s="77" t="s">
        <v>45</v>
      </c>
      <c r="C48" s="77"/>
      <c r="D48" s="77"/>
      <c r="E48" s="75">
        <v>45833</v>
      </c>
      <c r="F48" s="75"/>
      <c r="G48" s="75"/>
      <c r="H48" s="75"/>
    </row>
    <row r="49" spans="1:10" x14ac:dyDescent="0.25">
      <c r="A49" s="56"/>
      <c r="B49" s="130" t="s">
        <v>158</v>
      </c>
      <c r="C49" s="130"/>
      <c r="D49" s="130"/>
      <c r="E49" s="151" t="s">
        <v>225</v>
      </c>
      <c r="F49" s="151"/>
      <c r="G49" s="151"/>
      <c r="H49" s="151"/>
    </row>
    <row r="50" spans="1:10" ht="14.45" thickBot="1" x14ac:dyDescent="0.3">
      <c r="A50" s="29">
        <v>40</v>
      </c>
      <c r="B50" s="129" t="s">
        <v>46</v>
      </c>
      <c r="C50" s="129"/>
      <c r="D50" s="129"/>
      <c r="E50" s="129"/>
      <c r="F50" s="129"/>
      <c r="G50" s="129"/>
      <c r="H50" s="129"/>
    </row>
    <row r="51" spans="1:10" ht="15" customHeight="1" x14ac:dyDescent="0.25">
      <c r="A51" s="152" t="s">
        <v>161</v>
      </c>
      <c r="B51" s="153"/>
      <c r="C51" s="184" t="str">
        <f>E74</f>
        <v>Building No.1 =  Gr + 1st to 5th Floor</v>
      </c>
      <c r="D51" s="185"/>
      <c r="E51" s="185"/>
      <c r="F51" s="185"/>
      <c r="G51" s="185"/>
      <c r="H51" s="186"/>
      <c r="I51" s="4" t="str">
        <f ca="1">(IF(E55&gt;99%,"All work completed. Please provide OC.",IF(E55&gt;89.8%,"Plinth, RCC, Brick, Plaster, Flooring, Painting work Completed. Finishing work is in process.",IF(E55&lt;94%,(IF(C55=0,"Work not yet Started.",IF(D55=25%,"Piling work in process",IF(D55=50%,"Excavation work in process",IF(D55=100%,"Excavation work Completed. ","0")))&amp;(IF(C56=0%,"",IF(C56=J57,"Footing work is process",IF(C56=J58,"Footing work Completed",IF(C56=J59,"1st Basement Completed",IF(C56=J60,"1st &amp; 2nd Basement Completed",IF(C56=J61,"1st to 3rd Basement Completed",IF(C56=J62,"1st to 4th Basement Completed",IF(C56=J63,"Plinth work is process",IF(C56=J64,"Plinth work completed","0")))))))))))&amp;(IF(C57=(D52+F52+H52),", RCC Slab",IF(C57&gt;0,", RCC upto "&amp;C57&amp;" Slab",""))&amp;(IF(C58=H52,", Brickwork",IF(C58&gt;0,", Brickwork upto "&amp;C58&amp;" Floor",""))&amp;(IF(C59=H52,", Internal Plaster",IF(C59&gt;0,", Internal Plaster upto "&amp;C59&amp;" Floor",""))&amp;(IF(C60=H52,", External Plaster",IF(C60&gt;0,", External Plaster upto "&amp;C60&amp;" Floor",""))&amp;(IF(C61=H52,", Flooring",IF(C61&gt;0,", Flooring upto "&amp;C61&amp;" Floor",""))&amp;(IF(C62=H52,", Painting",IF(C62&gt;0,", Painting upto "&amp;C62&amp;" Floor",""))&amp;(IF(C63&gt;0,", Finishing upto "&amp;C63&amp;" Floor","")&amp;(IF(C57&gt;0.5," Completed",""))))))))))))))</f>
        <v>Excavation work Completed. Plinth work is process</v>
      </c>
      <c r="J51" s="11"/>
    </row>
    <row r="52" spans="1:10" x14ac:dyDescent="0.25">
      <c r="A52" s="5" t="s">
        <v>84</v>
      </c>
      <c r="B52" s="6">
        <v>0</v>
      </c>
      <c r="C52" s="6" t="s">
        <v>86</v>
      </c>
      <c r="D52" s="6">
        <v>1</v>
      </c>
      <c r="E52" s="30" t="s">
        <v>85</v>
      </c>
      <c r="F52" s="6">
        <v>0</v>
      </c>
      <c r="G52" s="6" t="s">
        <v>111</v>
      </c>
      <c r="H52" s="32">
        <f ca="1">--TRIM(RIGHT(SUBSTITUTE(LEFT(C51,_xlfn.AGGREGATE(16,6,FIND({0,1,2,3,4,5,6,7,8,9},C51,ROW(INDIRECT("1:"&amp;LEN(C51)))),1))," ",REPT(" ",LEN(C51))),LEN(C51)))</f>
        <v>5</v>
      </c>
      <c r="I52" s="7"/>
      <c r="J52" s="12"/>
    </row>
    <row r="53" spans="1:10" ht="15" customHeight="1" x14ac:dyDescent="0.25">
      <c r="A53" s="187" t="s">
        <v>112</v>
      </c>
      <c r="B53" s="188"/>
      <c r="C53" s="168" t="str">
        <f ca="1">I51</f>
        <v>Excavation work Completed. Plinth work is process</v>
      </c>
      <c r="D53" s="169"/>
      <c r="E53" s="169"/>
      <c r="F53" s="169"/>
      <c r="G53" s="169"/>
      <c r="H53" s="170"/>
      <c r="I53" s="7" t="s">
        <v>113</v>
      </c>
      <c r="J53" s="12"/>
    </row>
    <row r="54" spans="1:10" ht="15" customHeight="1" x14ac:dyDescent="0.25">
      <c r="A54" s="171" t="s">
        <v>4</v>
      </c>
      <c r="B54" s="172"/>
      <c r="C54" s="44" t="s">
        <v>114</v>
      </c>
      <c r="D54" s="44" t="s">
        <v>115</v>
      </c>
      <c r="E54" s="160" t="s">
        <v>116</v>
      </c>
      <c r="F54" s="161"/>
      <c r="G54" s="189" t="s">
        <v>117</v>
      </c>
      <c r="H54" s="190"/>
      <c r="I54" s="2" t="s">
        <v>118</v>
      </c>
      <c r="J54" s="13">
        <f ca="1">H52*25%</f>
        <v>1.25</v>
      </c>
    </row>
    <row r="55" spans="1:10" ht="15" customHeight="1" x14ac:dyDescent="0.25">
      <c r="A55" s="133" t="s">
        <v>119</v>
      </c>
      <c r="B55" s="134"/>
      <c r="C55" s="45">
        <f ca="1">J56</f>
        <v>5</v>
      </c>
      <c r="D55" s="46">
        <f ca="1">((100/H52)*C55)/100</f>
        <v>1</v>
      </c>
      <c r="E55" s="191">
        <f ca="1">(((C56/H52*20)+(30/(D52+F52+H52)*C57)+(10/(H52)*C58)+(5/(H52)*C59)+(5/H52*C60)+(10/H52*C61)+(5/H52*C62)+(5/H52*C63)+(10/H52*C64))/100)</f>
        <v>0.15</v>
      </c>
      <c r="F55" s="191"/>
      <c r="G55" s="193">
        <f ca="1">((((C55/H52)*10)+((C56/H52)*20)+(30/(H52+F52+D52)*C57)+(10/H52*C58)+(5/H52*C59)+(5/H52*C60)+(10/H52*C61)+(5/H52*C62)+(5/H52*C63)+(0/H52*C64))/100)</f>
        <v>0.25</v>
      </c>
      <c r="H55" s="194"/>
      <c r="I55" s="2" t="s">
        <v>87</v>
      </c>
      <c r="J55" s="14">
        <f ca="1">H52*50%</f>
        <v>2.5</v>
      </c>
    </row>
    <row r="56" spans="1:10" x14ac:dyDescent="0.25">
      <c r="A56" s="133" t="s">
        <v>5</v>
      </c>
      <c r="B56" s="134"/>
      <c r="C56" s="47">
        <f ca="1">J63</f>
        <v>3.75</v>
      </c>
      <c r="D56" s="46">
        <f ca="1">((100/H52)*C56)/100</f>
        <v>0.75</v>
      </c>
      <c r="E56" s="191"/>
      <c r="F56" s="191"/>
      <c r="G56" s="195"/>
      <c r="H56" s="196"/>
      <c r="I56" s="2" t="s">
        <v>88</v>
      </c>
      <c r="J56" s="14">
        <f ca="1">H52</f>
        <v>5</v>
      </c>
    </row>
    <row r="57" spans="1:10" ht="15" customHeight="1" x14ac:dyDescent="0.25">
      <c r="A57" s="133" t="s">
        <v>120</v>
      </c>
      <c r="B57" s="134"/>
      <c r="C57" s="47">
        <v>0</v>
      </c>
      <c r="D57" s="46">
        <f ca="1">((100/(D52+F52+H52))*C57)/100</f>
        <v>0</v>
      </c>
      <c r="E57" s="191"/>
      <c r="F57" s="191"/>
      <c r="G57" s="195"/>
      <c r="H57" s="196"/>
      <c r="I57" s="2" t="s">
        <v>89</v>
      </c>
      <c r="J57" s="15">
        <f ca="1">(IF(B52&gt;1,(H52/(B52+2)),H52/4))</f>
        <v>1.25</v>
      </c>
    </row>
    <row r="58" spans="1:10" ht="15" customHeight="1" x14ac:dyDescent="0.25">
      <c r="A58" s="133" t="s">
        <v>121</v>
      </c>
      <c r="B58" s="134" t="s">
        <v>122</v>
      </c>
      <c r="C58" s="45">
        <v>0</v>
      </c>
      <c r="D58" s="46">
        <f ca="1">((100/H52)*C58)/100</f>
        <v>0</v>
      </c>
      <c r="E58" s="191"/>
      <c r="F58" s="191"/>
      <c r="G58" s="195"/>
      <c r="H58" s="196"/>
      <c r="I58" s="2" t="s">
        <v>90</v>
      </c>
      <c r="J58" s="15">
        <f ca="1">(IF(B52&gt;1,(H52/(B52+2)+J57),H52/4+J57))</f>
        <v>2.5</v>
      </c>
    </row>
    <row r="59" spans="1:10" ht="15" customHeight="1" x14ac:dyDescent="0.25">
      <c r="A59" s="133" t="s">
        <v>123</v>
      </c>
      <c r="B59" s="134" t="s">
        <v>122</v>
      </c>
      <c r="C59" s="45">
        <v>0</v>
      </c>
      <c r="D59" s="46">
        <f ca="1">((100/H52)*C59)/100</f>
        <v>0</v>
      </c>
      <c r="E59" s="191"/>
      <c r="F59" s="191"/>
      <c r="G59" s="195"/>
      <c r="H59" s="196"/>
      <c r="I59" s="2" t="s">
        <v>124</v>
      </c>
      <c r="J59" s="15">
        <f>(IF(B52&gt;1,(H52/(B52+2)+J58),0))</f>
        <v>0</v>
      </c>
    </row>
    <row r="60" spans="1:10" ht="15" customHeight="1" x14ac:dyDescent="0.25">
      <c r="A60" s="133" t="s">
        <v>185</v>
      </c>
      <c r="B60" s="134" t="s">
        <v>125</v>
      </c>
      <c r="C60" s="45">
        <v>0</v>
      </c>
      <c r="D60" s="46">
        <f ca="1">((100/(H52))*C60)/100</f>
        <v>0</v>
      </c>
      <c r="E60" s="191"/>
      <c r="F60" s="191"/>
      <c r="G60" s="195"/>
      <c r="H60" s="196"/>
      <c r="I60" s="2" t="s">
        <v>126</v>
      </c>
      <c r="J60" s="15">
        <f>(IF(B52&gt;2,(H52/(B52+2)+J59),0))</f>
        <v>0</v>
      </c>
    </row>
    <row r="61" spans="1:10" ht="15" customHeight="1" x14ac:dyDescent="0.25">
      <c r="A61" s="133" t="s">
        <v>127</v>
      </c>
      <c r="B61" s="134" t="s">
        <v>127</v>
      </c>
      <c r="C61" s="45">
        <v>0</v>
      </c>
      <c r="D61" s="46">
        <f ca="1">((100/H52)*C61)/100</f>
        <v>0</v>
      </c>
      <c r="E61" s="191"/>
      <c r="F61" s="191"/>
      <c r="G61" s="195"/>
      <c r="H61" s="196"/>
      <c r="I61" s="2" t="s">
        <v>128</v>
      </c>
      <c r="J61" s="16">
        <f>(IF(B52&gt;3,(H52/(B52+2)+J60),0))</f>
        <v>0</v>
      </c>
    </row>
    <row r="62" spans="1:10" ht="15" customHeight="1" x14ac:dyDescent="0.25">
      <c r="A62" s="133" t="s">
        <v>129</v>
      </c>
      <c r="B62" s="134"/>
      <c r="C62" s="45">
        <v>0</v>
      </c>
      <c r="D62" s="46">
        <f ca="1">((100/H52)*C62)/100</f>
        <v>0</v>
      </c>
      <c r="E62" s="191"/>
      <c r="F62" s="191"/>
      <c r="G62" s="195"/>
      <c r="H62" s="196"/>
      <c r="I62" s="2" t="s">
        <v>130</v>
      </c>
      <c r="J62" s="15">
        <f>(IF(B52&gt;4,(H52/(B52+2)+J61),0))</f>
        <v>0</v>
      </c>
    </row>
    <row r="63" spans="1:10" ht="15" customHeight="1" x14ac:dyDescent="0.25">
      <c r="A63" s="133" t="s">
        <v>184</v>
      </c>
      <c r="B63" s="134" t="s">
        <v>125</v>
      </c>
      <c r="C63" s="45">
        <v>0</v>
      </c>
      <c r="D63" s="46">
        <f ca="1">((100/(H52))*C63)/100</f>
        <v>0</v>
      </c>
      <c r="E63" s="191"/>
      <c r="F63" s="191"/>
      <c r="G63" s="195"/>
      <c r="H63" s="196"/>
      <c r="I63" s="2" t="s">
        <v>91</v>
      </c>
      <c r="J63" s="15">
        <f ca="1">(IF(B52=1,(H52/(B52+3)+J58),IF(B52=0,(H52/4+J58),IF(B52&gt;1,0))))</f>
        <v>3.75</v>
      </c>
    </row>
    <row r="64" spans="1:10" ht="15.75" customHeight="1" thickBot="1" x14ac:dyDescent="0.3">
      <c r="A64" s="182" t="s">
        <v>131</v>
      </c>
      <c r="B64" s="183"/>
      <c r="C64" s="48">
        <v>0</v>
      </c>
      <c r="D64" s="49">
        <f ca="1">((100/(H52))*C64)/100</f>
        <v>0</v>
      </c>
      <c r="E64" s="192"/>
      <c r="F64" s="192"/>
      <c r="G64" s="197"/>
      <c r="H64" s="198"/>
      <c r="I64" s="3" t="s">
        <v>92</v>
      </c>
      <c r="J64" s="17">
        <f ca="1">(IF(B52&gt;1.5,(H52/(B52+2)+J58+MAX(0,J59-J58)+MAX(0,J60-J59)+MAX(0,J61-J60)+MAX(0,J62-J61)+MAX(0,J63-J62)),IF(B52=1,(H52/(B52+3)+J63),IF(B52=0,H52/4+J63))))</f>
        <v>5</v>
      </c>
    </row>
    <row r="65" spans="1:11" x14ac:dyDescent="0.25">
      <c r="A65" s="67">
        <v>41</v>
      </c>
      <c r="B65" s="68" t="s">
        <v>178</v>
      </c>
      <c r="C65" s="69"/>
      <c r="D65" s="69"/>
      <c r="E65" s="72" t="s">
        <v>160</v>
      </c>
      <c r="F65" s="73"/>
      <c r="G65" s="74"/>
      <c r="H65" s="33">
        <v>48213</v>
      </c>
    </row>
    <row r="66" spans="1:11" x14ac:dyDescent="0.25">
      <c r="A66" s="56"/>
      <c r="B66" s="70"/>
      <c r="C66" s="71"/>
      <c r="D66" s="71"/>
      <c r="E66" s="75" t="s">
        <v>159</v>
      </c>
      <c r="F66" s="75"/>
      <c r="G66" s="75"/>
      <c r="H66" s="31" t="s">
        <v>199</v>
      </c>
    </row>
    <row r="67" spans="1:11" ht="38.25" customHeight="1" x14ac:dyDescent="0.25">
      <c r="A67" s="10">
        <v>42</v>
      </c>
      <c r="B67" s="77" t="s">
        <v>70</v>
      </c>
      <c r="C67" s="77"/>
      <c r="D67" s="77"/>
      <c r="E67" s="78" t="s">
        <v>10</v>
      </c>
      <c r="F67" s="78"/>
      <c r="G67" s="78"/>
      <c r="H67" s="78"/>
    </row>
    <row r="68" spans="1:11" ht="183.75" customHeight="1" x14ac:dyDescent="0.25">
      <c r="A68" s="10">
        <v>43</v>
      </c>
      <c r="B68" s="77" t="s">
        <v>62</v>
      </c>
      <c r="C68" s="77"/>
      <c r="D68" s="77"/>
      <c r="E68" s="66" t="s">
        <v>200</v>
      </c>
      <c r="F68" s="66"/>
      <c r="G68" s="66"/>
      <c r="H68" s="66"/>
    </row>
    <row r="69" spans="1:11" s="20" customFormat="1" ht="111" customHeight="1" x14ac:dyDescent="0.25">
      <c r="A69" s="10">
        <v>44</v>
      </c>
      <c r="B69" s="156" t="s">
        <v>171</v>
      </c>
      <c r="C69" s="156"/>
      <c r="D69" s="156"/>
      <c r="E69" s="66" t="s">
        <v>203</v>
      </c>
      <c r="F69" s="66"/>
      <c r="G69" s="66"/>
      <c r="H69" s="66"/>
      <c r="I69" s="8"/>
      <c r="J69" s="8"/>
      <c r="K69" s="8"/>
    </row>
    <row r="70" spans="1:11" s="20" customFormat="1" ht="36" customHeight="1" x14ac:dyDescent="0.25">
      <c r="A70" s="10">
        <v>45</v>
      </c>
      <c r="B70" s="77" t="s">
        <v>63</v>
      </c>
      <c r="C70" s="77"/>
      <c r="D70" s="77"/>
      <c r="E70" s="78" t="s">
        <v>9</v>
      </c>
      <c r="F70" s="78"/>
      <c r="G70" s="78"/>
      <c r="H70" s="78"/>
      <c r="I70" s="8"/>
      <c r="J70" s="8"/>
      <c r="K70" s="8"/>
    </row>
    <row r="71" spans="1:11" ht="15.75" customHeight="1" x14ac:dyDescent="0.25">
      <c r="A71" s="64">
        <v>46</v>
      </c>
      <c r="B71" s="58" t="s">
        <v>64</v>
      </c>
      <c r="C71" s="59"/>
      <c r="D71" s="60"/>
      <c r="E71" s="154" t="s">
        <v>164</v>
      </c>
      <c r="F71" s="154"/>
      <c r="G71" s="154"/>
      <c r="H71" s="154"/>
    </row>
    <row r="72" spans="1:11" ht="15.75" customHeight="1" x14ac:dyDescent="0.25">
      <c r="A72" s="65"/>
      <c r="B72" s="61"/>
      <c r="C72" s="62"/>
      <c r="D72" s="63"/>
      <c r="E72" s="155" t="s">
        <v>202</v>
      </c>
      <c r="F72" s="143"/>
      <c r="G72" s="143"/>
      <c r="H72" s="144"/>
    </row>
    <row r="73" spans="1:11" s="20" customFormat="1" x14ac:dyDescent="0.25">
      <c r="A73" s="65"/>
      <c r="B73" s="61"/>
      <c r="C73" s="62"/>
      <c r="D73" s="63"/>
      <c r="E73" s="162" t="s">
        <v>165</v>
      </c>
      <c r="F73" s="163"/>
      <c r="G73" s="163"/>
      <c r="H73" s="164"/>
      <c r="I73" s="8"/>
      <c r="J73" s="8"/>
      <c r="K73" s="8"/>
    </row>
    <row r="74" spans="1:11" s="20" customFormat="1" ht="13.9" customHeight="1" x14ac:dyDescent="0.25">
      <c r="A74" s="65"/>
      <c r="B74" s="61"/>
      <c r="C74" s="62"/>
      <c r="D74" s="62"/>
      <c r="E74" s="165" t="s">
        <v>202</v>
      </c>
      <c r="F74" s="166"/>
      <c r="G74" s="166"/>
      <c r="H74" s="167"/>
      <c r="I74" s="8"/>
      <c r="J74" s="8"/>
      <c r="K74" s="8"/>
    </row>
    <row r="75" spans="1:11" ht="13.9" x14ac:dyDescent="0.25">
      <c r="A75" s="150" t="s">
        <v>75</v>
      </c>
      <c r="B75" s="150"/>
      <c r="C75" s="150"/>
      <c r="D75" s="150"/>
      <c r="E75" s="150"/>
      <c r="F75" s="150"/>
      <c r="G75" s="150"/>
      <c r="H75" s="150"/>
    </row>
    <row r="76" spans="1:11" ht="13.9" x14ac:dyDescent="0.25">
      <c r="A76" s="173" t="s">
        <v>182</v>
      </c>
      <c r="B76" s="173"/>
      <c r="C76" s="113" t="s">
        <v>201</v>
      </c>
      <c r="D76" s="113"/>
      <c r="E76" s="113"/>
      <c r="F76" s="18" t="s">
        <v>76</v>
      </c>
      <c r="G76" s="114">
        <v>45743</v>
      </c>
      <c r="H76" s="113"/>
    </row>
    <row r="77" spans="1:11" ht="13.9" x14ac:dyDescent="0.25">
      <c r="A77" s="173" t="s">
        <v>183</v>
      </c>
      <c r="B77" s="173"/>
      <c r="C77" s="113" t="s">
        <v>201</v>
      </c>
      <c r="D77" s="113"/>
      <c r="E77" s="113"/>
      <c r="F77" s="18" t="s">
        <v>76</v>
      </c>
      <c r="G77" s="114">
        <v>45743</v>
      </c>
      <c r="H77" s="113"/>
    </row>
    <row r="78" spans="1:11" x14ac:dyDescent="0.25">
      <c r="A78" s="104" t="s">
        <v>166</v>
      </c>
      <c r="B78" s="105"/>
      <c r="C78" s="113" t="s">
        <v>201</v>
      </c>
      <c r="D78" s="113"/>
      <c r="E78" s="113"/>
      <c r="F78" s="19" t="s">
        <v>76</v>
      </c>
      <c r="G78" s="114">
        <v>45743</v>
      </c>
      <c r="H78" s="113"/>
    </row>
    <row r="79" spans="1:11" ht="27.6" customHeight="1" x14ac:dyDescent="0.25">
      <c r="A79" s="106"/>
      <c r="B79" s="107"/>
      <c r="C79" s="199" t="s">
        <v>202</v>
      </c>
      <c r="D79" s="200"/>
      <c r="E79" s="200"/>
      <c r="F79" s="200"/>
      <c r="G79" s="200"/>
      <c r="H79" s="201"/>
    </row>
    <row r="80" spans="1:11" ht="13.9" hidden="1" x14ac:dyDescent="0.25">
      <c r="A80" s="116" t="s">
        <v>186</v>
      </c>
      <c r="B80" s="117"/>
      <c r="C80" s="204"/>
      <c r="D80" s="204"/>
      <c r="E80" s="204"/>
      <c r="F80" s="36" t="s">
        <v>76</v>
      </c>
      <c r="G80" s="204"/>
      <c r="H80" s="204"/>
    </row>
    <row r="81" spans="1:11" ht="15" hidden="1" customHeight="1" x14ac:dyDescent="0.25">
      <c r="A81" s="118"/>
      <c r="B81" s="119"/>
      <c r="C81" s="205"/>
      <c r="D81" s="206"/>
      <c r="E81" s="206"/>
      <c r="F81" s="206"/>
      <c r="G81" s="206"/>
      <c r="H81" s="207"/>
    </row>
    <row r="82" spans="1:11" ht="15" hidden="1" customHeight="1" x14ac:dyDescent="0.25">
      <c r="A82" s="116" t="s">
        <v>188</v>
      </c>
      <c r="B82" s="117"/>
      <c r="C82" s="204"/>
      <c r="D82" s="204"/>
      <c r="E82" s="204"/>
      <c r="F82" s="36" t="s">
        <v>76</v>
      </c>
      <c r="G82" s="204"/>
      <c r="H82" s="204"/>
    </row>
    <row r="83" spans="1:11" ht="15" hidden="1" customHeight="1" x14ac:dyDescent="0.25">
      <c r="A83" s="118"/>
      <c r="B83" s="119"/>
      <c r="C83" s="205"/>
      <c r="D83" s="206"/>
      <c r="E83" s="206"/>
      <c r="F83" s="206"/>
      <c r="G83" s="206"/>
      <c r="H83" s="207"/>
      <c r="I83" s="20"/>
      <c r="J83" s="20"/>
      <c r="K83" s="20"/>
    </row>
    <row r="84" spans="1:11" ht="15" hidden="1" customHeight="1" x14ac:dyDescent="0.25">
      <c r="A84" s="116" t="s">
        <v>187</v>
      </c>
      <c r="B84" s="117"/>
      <c r="C84" s="210"/>
      <c r="D84" s="211"/>
      <c r="E84" s="212"/>
      <c r="F84" s="36" t="s">
        <v>76</v>
      </c>
      <c r="G84" s="204"/>
      <c r="H84" s="204"/>
      <c r="I84" s="20"/>
      <c r="J84" s="20"/>
      <c r="K84" s="20"/>
    </row>
    <row r="85" spans="1:11" ht="34.5" hidden="1" customHeight="1" x14ac:dyDescent="0.25">
      <c r="A85" s="208"/>
      <c r="B85" s="209"/>
      <c r="C85" s="213"/>
      <c r="D85" s="214"/>
      <c r="E85" s="215"/>
      <c r="F85" s="37" t="s">
        <v>163</v>
      </c>
      <c r="G85" s="204"/>
      <c r="H85" s="204"/>
    </row>
    <row r="86" spans="1:11" ht="34.5" hidden="1" customHeight="1" x14ac:dyDescent="0.25">
      <c r="A86" s="118"/>
      <c r="B86" s="119"/>
      <c r="C86" s="205"/>
      <c r="D86" s="206"/>
      <c r="E86" s="206"/>
      <c r="F86" s="206"/>
      <c r="G86" s="206"/>
      <c r="H86" s="207"/>
    </row>
    <row r="87" spans="1:11" ht="13.9" x14ac:dyDescent="0.25">
      <c r="A87" s="111" t="s">
        <v>77</v>
      </c>
      <c r="B87" s="111"/>
      <c r="C87" s="86" t="s">
        <v>78</v>
      </c>
      <c r="D87" s="87"/>
      <c r="E87" s="87" t="s">
        <v>79</v>
      </c>
      <c r="F87" s="35" t="s">
        <v>76</v>
      </c>
      <c r="G87" s="86" t="s">
        <v>10</v>
      </c>
      <c r="H87" s="86" t="s">
        <v>10</v>
      </c>
    </row>
    <row r="88" spans="1:11" ht="13.9" x14ac:dyDescent="0.25">
      <c r="A88" s="110" t="s">
        <v>211</v>
      </c>
      <c r="B88" s="110"/>
      <c r="C88" s="110"/>
      <c r="D88" s="110"/>
      <c r="E88" s="110"/>
      <c r="F88" s="110"/>
      <c r="G88" s="110"/>
      <c r="H88" s="110"/>
      <c r="I88" s="20"/>
      <c r="J88" s="20"/>
      <c r="K88" s="20"/>
    </row>
    <row r="89" spans="1:11" ht="13.9" x14ac:dyDescent="0.25">
      <c r="A89" s="108" t="s">
        <v>71</v>
      </c>
      <c r="B89" s="108"/>
      <c r="C89" s="102" t="s">
        <v>72</v>
      </c>
      <c r="D89" s="102"/>
      <c r="E89" s="103" t="s">
        <v>73</v>
      </c>
      <c r="F89" s="103"/>
      <c r="G89" s="103" t="s">
        <v>74</v>
      </c>
      <c r="H89" s="103"/>
      <c r="I89" s="20"/>
      <c r="J89" s="20"/>
      <c r="K89" s="20"/>
    </row>
    <row r="90" spans="1:11" ht="15" customHeight="1" x14ac:dyDescent="0.25">
      <c r="A90" s="112" t="s">
        <v>204</v>
      </c>
      <c r="B90" s="112"/>
      <c r="C90" s="131">
        <f>COUNT(F103:F112)</f>
        <v>10</v>
      </c>
      <c r="D90" s="132"/>
      <c r="E90" s="109">
        <f>SUM(F103:F112)</f>
        <v>2142.1651679999995</v>
      </c>
      <c r="F90" s="109"/>
      <c r="G90" s="109">
        <f>SUM(H103:H112)</f>
        <v>3213.2477520000002</v>
      </c>
      <c r="H90" s="109"/>
    </row>
    <row r="91" spans="1:11" ht="13.9" x14ac:dyDescent="0.25">
      <c r="A91" s="115" t="s">
        <v>12</v>
      </c>
      <c r="B91" s="115"/>
      <c r="C91" s="101">
        <f t="shared" ref="C91:G91" si="1">SUM(C90)</f>
        <v>10</v>
      </c>
      <c r="D91" s="102"/>
      <c r="E91" s="103">
        <f t="shared" si="1"/>
        <v>2142.1651679999995</v>
      </c>
      <c r="F91" s="103"/>
      <c r="G91" s="103">
        <f t="shared" si="1"/>
        <v>3213.2477520000002</v>
      </c>
      <c r="H91" s="103"/>
    </row>
    <row r="92" spans="1:11" ht="13.9" x14ac:dyDescent="0.25">
      <c r="A92" s="110" t="s">
        <v>212</v>
      </c>
      <c r="B92" s="110"/>
      <c r="C92" s="110"/>
      <c r="D92" s="110"/>
      <c r="E92" s="110"/>
      <c r="F92" s="110"/>
      <c r="G92" s="110"/>
      <c r="H92" s="110"/>
    </row>
    <row r="93" spans="1:11" ht="13.9" x14ac:dyDescent="0.25">
      <c r="A93" s="108" t="s">
        <v>71</v>
      </c>
      <c r="B93" s="108"/>
      <c r="C93" s="102" t="s">
        <v>72</v>
      </c>
      <c r="D93" s="102"/>
      <c r="E93" s="103" t="s">
        <v>73</v>
      </c>
      <c r="F93" s="103"/>
      <c r="G93" s="103" t="s">
        <v>74</v>
      </c>
      <c r="H93" s="103"/>
    </row>
    <row r="94" spans="1:11" ht="13.9" x14ac:dyDescent="0.25">
      <c r="A94" s="112" t="s">
        <v>204</v>
      </c>
      <c r="B94" s="112"/>
      <c r="C94" s="131">
        <f>COUNT(F119:F126)+COUNT(F128:F135)*4</f>
        <v>40</v>
      </c>
      <c r="D94" s="132"/>
      <c r="E94" s="109">
        <f>SUM(F119:F126)+SUM(F128:F135)*4</f>
        <v>16983.116280000002</v>
      </c>
      <c r="F94" s="109"/>
      <c r="G94" s="109">
        <f>SUM(H119:H126)+SUM(H128:H135)*4</f>
        <v>24925.172219999997</v>
      </c>
      <c r="H94" s="109"/>
    </row>
    <row r="95" spans="1:11" ht="13.9" x14ac:dyDescent="0.25">
      <c r="A95" s="115" t="s">
        <v>12</v>
      </c>
      <c r="B95" s="115"/>
      <c r="C95" s="101">
        <f t="shared" ref="C95:G95" si="2">SUM(C94)</f>
        <v>40</v>
      </c>
      <c r="D95" s="102"/>
      <c r="E95" s="103">
        <f t="shared" si="2"/>
        <v>16983.116280000002</v>
      </c>
      <c r="F95" s="103"/>
      <c r="G95" s="103">
        <f t="shared" si="2"/>
        <v>24925.172219999997</v>
      </c>
      <c r="H95" s="103"/>
    </row>
    <row r="96" spans="1:11" ht="13.9" x14ac:dyDescent="0.25">
      <c r="A96" s="115" t="s">
        <v>153</v>
      </c>
      <c r="B96" s="115"/>
      <c r="C96" s="101">
        <f>C91+C95</f>
        <v>50</v>
      </c>
      <c r="D96" s="102"/>
      <c r="E96" s="103">
        <f>E91+E95</f>
        <v>19125.281448000002</v>
      </c>
      <c r="F96" s="103"/>
      <c r="G96" s="103">
        <f>G91+G95</f>
        <v>28138.419971999996</v>
      </c>
      <c r="H96" s="103"/>
    </row>
    <row r="97" spans="1:16" ht="15" customHeight="1" x14ac:dyDescent="0.25">
      <c r="A97" s="218" t="s">
        <v>157</v>
      </c>
      <c r="B97" s="218"/>
      <c r="C97" s="218"/>
      <c r="D97" s="218"/>
      <c r="E97" s="218"/>
      <c r="F97" s="218"/>
      <c r="G97" s="218"/>
      <c r="H97" s="218"/>
    </row>
    <row r="98" spans="1:16" ht="15" customHeight="1" x14ac:dyDescent="0.25">
      <c r="A98" s="219" t="s">
        <v>177</v>
      </c>
      <c r="B98" s="219"/>
      <c r="C98" s="219"/>
      <c r="D98" s="219"/>
      <c r="E98" s="219"/>
      <c r="F98" s="219"/>
      <c r="G98" s="219"/>
      <c r="H98" s="219"/>
    </row>
    <row r="99" spans="1:16" ht="42.75" x14ac:dyDescent="0.25">
      <c r="A99" s="89" t="s">
        <v>229</v>
      </c>
      <c r="B99" s="91" t="s">
        <v>2</v>
      </c>
      <c r="C99" s="89" t="s">
        <v>172</v>
      </c>
      <c r="D99" s="89" t="s">
        <v>155</v>
      </c>
      <c r="E99" s="120" t="s">
        <v>162</v>
      </c>
      <c r="F99" s="89" t="s">
        <v>169</v>
      </c>
      <c r="G99" s="120" t="s">
        <v>170</v>
      </c>
      <c r="H99" s="42" t="s">
        <v>168</v>
      </c>
    </row>
    <row r="100" spans="1:16" ht="15" customHeight="1" x14ac:dyDescent="0.25">
      <c r="A100" s="89"/>
      <c r="B100" s="91"/>
      <c r="C100" s="89"/>
      <c r="D100" s="89"/>
      <c r="E100" s="121"/>
      <c r="F100" s="89"/>
      <c r="G100" s="121"/>
      <c r="H100" s="43">
        <v>0.5</v>
      </c>
      <c r="N100" s="8" t="str">
        <f ca="1">O100&amp;" to "&amp;P100</f>
        <v>201 to 501</v>
      </c>
      <c r="O100" s="8">
        <f ca="1">(SUMPRODUCT(MID(0&amp;(LEFT(A127,SUM(LEN(A127)-LEN(SUBSTITUTE(A127,{"0","1","2"},""))))), LARGE(INDEX(ISNUMBER(--MID((LEFT(A127,SUM(LEN(A127)-LEN(SUBSTITUTE(A127,{"0","1","2"},""))))), ROW(INDIRECT("1:"&amp;LEN((LEFT(A127,SUM(LEN(A127)-LEN(SUBSTITUTE(A127,{"0","1","2"},"")))))))), 1)) * ROW(INDIRECT("1:"&amp;LEN((LEFT(A127,SUM(LEN(A127)-LEN(SUBSTITUTE(A127,{"0","1","2"},"")))))))), 0), ROW(INDIRECT("1:"&amp;LEN((LEFT(A127,SUM(LEN(A127)-LEN(SUBSTITUTE(A127,{"0","1","2"},"")))))))))+1, 1) * 10^ROW(INDIRECT("1:"&amp;LEN((LEFT(A127,SUM(LEN(A127)-LEN(SUBSTITUTE(A127,{"0","1","2"},""))))))))/10))*100+1</f>
        <v>201</v>
      </c>
      <c r="P100" s="8">
        <f ca="1">(SUMPRODUCT(MID(0&amp;(--TRIM(RIGHT(SUBSTITUTE(LEFT(A127,_xlfn.AGGREGATE(16,6,FIND({0,1,2,3,4,5,6,7,8,9},A127,ROW(INDIRECT("1:"&amp;LEN(A127)))),1))," ",REPT(" ",LEN(A127))),LEN(A127)))), LARGE(INDEX(ISNUMBER(--MID((--TRIM(RIGHT(SUBSTITUTE(LEFT(A127,_xlfn.AGGREGATE(16,6,FIND({0,1,2,3,4,5,6,7,8,9},A127,ROW(INDIRECT("1:"&amp;LEN(A127)))),1))," ",REPT(" ",LEN(A127))),LEN(A127)))), ROW(INDIRECT("1:"&amp;LEN((--TRIM(RIGHT(SUBSTITUTE(LEFT(A127,_xlfn.AGGREGATE(16,6,FIND({0,1,2,3,4,5,6,7,8,9},A127,ROW(INDIRECT("1:"&amp;LEN(A127)))),1))," ",REPT(" ",LEN(A127))),LEN(A127))))))), 1)) * ROW(INDIRECT("1:"&amp;LEN((--TRIM(RIGHT(SUBSTITUTE(LEFT(A127,_xlfn.AGGREGATE(16,6,FIND({0,1,2,3,4,5,6,7,8,9},A127,ROW(INDIRECT("1:"&amp;LEN(A127)))),1))," ",REPT(" ",LEN(A127))),LEN(A127))))))), 0), ROW(INDIRECT("1:"&amp;LEN((--TRIM(RIGHT(SUBSTITUTE(LEFT(A127,_xlfn.AGGREGATE(16,6,FIND({0,1,2,3,4,5,6,7,8,9},A127,ROW(INDIRECT("1:"&amp;LEN(A127)))),1))," ",REPT(" ",LEN(A127))),LEN(A127))))))))+1, 1) * 10^ROW(INDIRECT("1:"&amp;LEN((--TRIM(RIGHT(SUBSTITUTE(LEFT(A127,_xlfn.AGGREGATE(16,6,FIND({0,1,2,3,4,5,6,7,8,9},A127,ROW(INDIRECT("1:"&amp;LEN(A127)))),1))," ",REPT(" ",LEN(A127))),LEN(A127)))))))/10))*100+1</f>
        <v>501</v>
      </c>
    </row>
    <row r="101" spans="1:16" ht="15" customHeight="1" x14ac:dyDescent="0.25">
      <c r="A101" s="122" t="s">
        <v>204</v>
      </c>
      <c r="B101" s="122"/>
      <c r="C101" s="122"/>
      <c r="D101" s="122"/>
      <c r="E101" s="122"/>
      <c r="F101" s="122"/>
      <c r="G101" s="123"/>
      <c r="H101" s="122"/>
      <c r="N101" s="8" t="str">
        <f t="shared" ref="N101:N109" ca="1" si="3">O101&amp;" to "&amp;P101</f>
        <v>202 to 502</v>
      </c>
      <c r="O101" s="8">
        <f ca="1">O100+1</f>
        <v>202</v>
      </c>
      <c r="P101" s="8">
        <f ca="1">P100+1</f>
        <v>502</v>
      </c>
    </row>
    <row r="102" spans="1:16" ht="15" customHeight="1" x14ac:dyDescent="0.25">
      <c r="A102" s="158" t="s">
        <v>175</v>
      </c>
      <c r="B102" s="158"/>
      <c r="C102" s="158"/>
      <c r="D102" s="158"/>
      <c r="E102" s="158"/>
      <c r="F102" s="158"/>
      <c r="G102" s="159"/>
      <c r="H102" s="158"/>
      <c r="N102" s="8" t="str">
        <f t="shared" ca="1" si="3"/>
        <v>203 to 503</v>
      </c>
      <c r="O102" s="8">
        <f t="shared" ref="O102:O109" ca="1" si="4">O101+1</f>
        <v>203</v>
      </c>
      <c r="P102" s="8">
        <f t="shared" ref="P102:P109" ca="1" si="5">P101+1</f>
        <v>503</v>
      </c>
    </row>
    <row r="103" spans="1:16" ht="13.9" x14ac:dyDescent="0.25">
      <c r="A103" s="21">
        <v>1</v>
      </c>
      <c r="B103" s="1" t="s">
        <v>95</v>
      </c>
      <c r="C103" s="41">
        <f>(19.1)*10.764</f>
        <v>205.5924</v>
      </c>
      <c r="D103" s="41">
        <f>(2.75*1.2)*10.764</f>
        <v>35.521199999999993</v>
      </c>
      <c r="E103" s="1">
        <v>0</v>
      </c>
      <c r="F103" s="1">
        <f>C103+D103+E103</f>
        <v>241.11359999999999</v>
      </c>
      <c r="G103" s="1">
        <v>0</v>
      </c>
      <c r="H103" s="1">
        <f t="shared" ref="H103:H112" si="6">F103*(($H$100)+1)+G103</f>
        <v>361.67039999999997</v>
      </c>
      <c r="I103" s="8">
        <f>2.75*5.5+1.1*1.35+1.5*1.2</f>
        <v>18.41</v>
      </c>
      <c r="N103" s="8" t="str">
        <f t="shared" ca="1" si="3"/>
        <v>204 to 504</v>
      </c>
      <c r="O103" s="8">
        <f t="shared" ca="1" si="4"/>
        <v>204</v>
      </c>
      <c r="P103" s="8">
        <f t="shared" ca="1" si="5"/>
        <v>504</v>
      </c>
    </row>
    <row r="104" spans="1:16" ht="15" customHeight="1" x14ac:dyDescent="0.25">
      <c r="A104" s="21">
        <f>A103+1</f>
        <v>2</v>
      </c>
      <c r="B104" s="1" t="s">
        <v>95</v>
      </c>
      <c r="C104" s="41">
        <f>(15.68)*10.764</f>
        <v>168.77951999999999</v>
      </c>
      <c r="D104" s="41">
        <f>(2.25*1.2)*10.764</f>
        <v>29.062799999999996</v>
      </c>
      <c r="E104" s="1">
        <v>0</v>
      </c>
      <c r="F104" s="1">
        <f t="shared" ref="F104:F107" si="7">C104+D104+E104</f>
        <v>197.84231999999997</v>
      </c>
      <c r="G104" s="1">
        <v>0</v>
      </c>
      <c r="H104" s="1">
        <f t="shared" si="6"/>
        <v>296.76347999999996</v>
      </c>
      <c r="N104" s="8" t="str">
        <f t="shared" ca="1" si="3"/>
        <v>205 to 505</v>
      </c>
      <c r="O104" s="8">
        <f t="shared" ca="1" si="4"/>
        <v>205</v>
      </c>
      <c r="P104" s="8">
        <f t="shared" ca="1" si="5"/>
        <v>505</v>
      </c>
    </row>
    <row r="105" spans="1:16" ht="15" customHeight="1" x14ac:dyDescent="0.25">
      <c r="A105" s="21">
        <f>A104+1</f>
        <v>3</v>
      </c>
      <c r="B105" s="1" t="s">
        <v>95</v>
      </c>
      <c r="C105" s="41">
        <f>(16.77)*10.764</f>
        <v>180.51227999999998</v>
      </c>
      <c r="D105" s="41">
        <f>(2.74*1.2)*10.764</f>
        <v>35.392032</v>
      </c>
      <c r="E105" s="1">
        <v>0</v>
      </c>
      <c r="F105" s="1">
        <f t="shared" si="7"/>
        <v>215.90431199999998</v>
      </c>
      <c r="G105" s="1">
        <v>0</v>
      </c>
      <c r="H105" s="1">
        <f t="shared" si="6"/>
        <v>323.85646799999995</v>
      </c>
      <c r="N105" s="8" t="str">
        <f t="shared" ca="1" si="3"/>
        <v>206 to 506</v>
      </c>
      <c r="O105" s="8">
        <f t="shared" ca="1" si="4"/>
        <v>206</v>
      </c>
      <c r="P105" s="8">
        <f t="shared" ca="1" si="5"/>
        <v>506</v>
      </c>
    </row>
    <row r="106" spans="1:16" ht="15" customHeight="1" x14ac:dyDescent="0.25">
      <c r="A106" s="21">
        <f>A105+1</f>
        <v>4</v>
      </c>
      <c r="B106" s="1" t="s">
        <v>95</v>
      </c>
      <c r="C106" s="41">
        <f>(16.77)*10.764</f>
        <v>180.51227999999998</v>
      </c>
      <c r="D106" s="41">
        <f>(2.74*1.2)*10.764</f>
        <v>35.392032</v>
      </c>
      <c r="E106" s="1">
        <v>0</v>
      </c>
      <c r="F106" s="1">
        <f t="shared" si="7"/>
        <v>215.90431199999998</v>
      </c>
      <c r="G106" s="1">
        <v>0</v>
      </c>
      <c r="H106" s="1">
        <f t="shared" si="6"/>
        <v>323.85646799999995</v>
      </c>
      <c r="N106" s="8" t="str">
        <f t="shared" ca="1" si="3"/>
        <v>207 to 507</v>
      </c>
      <c r="O106" s="8">
        <f t="shared" ca="1" si="4"/>
        <v>207</v>
      </c>
      <c r="P106" s="8">
        <f t="shared" ca="1" si="5"/>
        <v>507</v>
      </c>
    </row>
    <row r="107" spans="1:16" ht="15" customHeight="1" x14ac:dyDescent="0.25">
      <c r="A107" s="21">
        <f>A106+1</f>
        <v>5</v>
      </c>
      <c r="B107" s="1" t="s">
        <v>95</v>
      </c>
      <c r="C107" s="41">
        <v>130.02912000000001</v>
      </c>
      <c r="D107" s="41">
        <f>(2.7*1.2)*10.764</f>
        <v>34.875360000000001</v>
      </c>
      <c r="E107" s="1">
        <v>0</v>
      </c>
      <c r="F107" s="1">
        <f t="shared" si="7"/>
        <v>164.90448000000001</v>
      </c>
      <c r="G107" s="1">
        <v>0</v>
      </c>
      <c r="H107" s="1">
        <f t="shared" si="6"/>
        <v>247.35672</v>
      </c>
      <c r="N107" s="8" t="str">
        <f t="shared" ca="1" si="3"/>
        <v>208 to 508</v>
      </c>
      <c r="O107" s="8">
        <f t="shared" ca="1" si="4"/>
        <v>208</v>
      </c>
      <c r="P107" s="8">
        <f t="shared" ca="1" si="5"/>
        <v>508</v>
      </c>
    </row>
    <row r="108" spans="1:16" ht="15" customHeight="1" x14ac:dyDescent="0.25">
      <c r="A108" s="21">
        <v>6</v>
      </c>
      <c r="B108" s="1" t="s">
        <v>95</v>
      </c>
      <c r="C108" s="41">
        <v>129.81384</v>
      </c>
      <c r="D108" s="41">
        <f>(2.7*1.2)*10.764</f>
        <v>34.875360000000001</v>
      </c>
      <c r="E108" s="1">
        <v>0</v>
      </c>
      <c r="F108" s="1">
        <f>C108+D108+E108</f>
        <v>164.6892</v>
      </c>
      <c r="G108" s="1">
        <v>0</v>
      </c>
      <c r="H108" s="1">
        <f t="shared" si="6"/>
        <v>247.03379999999999</v>
      </c>
      <c r="N108" s="8" t="str">
        <f t="shared" ca="1" si="3"/>
        <v>209 to 509</v>
      </c>
      <c r="O108" s="8">
        <f t="shared" ca="1" si="4"/>
        <v>209</v>
      </c>
      <c r="P108" s="8">
        <f t="shared" ca="1" si="5"/>
        <v>509</v>
      </c>
    </row>
    <row r="109" spans="1:16" ht="13.9" x14ac:dyDescent="0.25">
      <c r="A109" s="21">
        <f>A108+1</f>
        <v>7</v>
      </c>
      <c r="B109" s="1" t="s">
        <v>95</v>
      </c>
      <c r="C109" s="41">
        <f>(12.08)*10.764</f>
        <v>130.02912000000001</v>
      </c>
      <c r="D109" s="41">
        <f>(2.7*1.2)*10.764</f>
        <v>34.875360000000001</v>
      </c>
      <c r="E109" s="1">
        <v>0</v>
      </c>
      <c r="F109" s="1">
        <f t="shared" ref="F109:F112" si="8">C109+D109+E109</f>
        <v>164.90448000000001</v>
      </c>
      <c r="G109" s="1">
        <v>0</v>
      </c>
      <c r="H109" s="1">
        <f t="shared" si="6"/>
        <v>247.35672</v>
      </c>
      <c r="N109" s="8" t="str">
        <f t="shared" ca="1" si="3"/>
        <v>210 to 510</v>
      </c>
      <c r="O109" s="8">
        <f t="shared" ca="1" si="4"/>
        <v>210</v>
      </c>
      <c r="P109" s="8">
        <f t="shared" ca="1" si="5"/>
        <v>510</v>
      </c>
    </row>
    <row r="110" spans="1:16" ht="13.9" x14ac:dyDescent="0.25">
      <c r="A110" s="21">
        <f>A109+1</f>
        <v>8</v>
      </c>
      <c r="B110" s="1" t="s">
        <v>95</v>
      </c>
      <c r="C110" s="41">
        <f>(16.77)*10.764</f>
        <v>180.51227999999998</v>
      </c>
      <c r="D110" s="41">
        <f>(2.74*1.2)*10.764</f>
        <v>35.392032</v>
      </c>
      <c r="E110" s="1">
        <v>0</v>
      </c>
      <c r="F110" s="1">
        <f t="shared" si="8"/>
        <v>215.90431199999998</v>
      </c>
      <c r="G110" s="1">
        <v>0</v>
      </c>
      <c r="H110" s="1">
        <f t="shared" si="6"/>
        <v>323.85646799999995</v>
      </c>
    </row>
    <row r="111" spans="1:16" ht="15" customHeight="1" x14ac:dyDescent="0.25">
      <c r="A111" s="21">
        <f>A110+1</f>
        <v>9</v>
      </c>
      <c r="B111" s="1" t="s">
        <v>95</v>
      </c>
      <c r="C111" s="41">
        <f>(16.77)*10.764</f>
        <v>180.51227999999998</v>
      </c>
      <c r="D111" s="41">
        <f>(2.74*1.2)*10.764</f>
        <v>35.392032</v>
      </c>
      <c r="E111" s="1">
        <v>0</v>
      </c>
      <c r="F111" s="1">
        <f t="shared" si="8"/>
        <v>215.90431199999998</v>
      </c>
      <c r="G111" s="1">
        <v>0</v>
      </c>
      <c r="H111" s="1">
        <f t="shared" si="6"/>
        <v>323.85646799999995</v>
      </c>
      <c r="N111" s="8" t="e">
        <f ca="1">O111&amp;" &amp; "&amp;P111</f>
        <v>#REF!</v>
      </c>
      <c r="O111" s="8" t="e">
        <f ca="1">(SUMPRODUCT(MID(0&amp;(LEFT(#REF!,SUM(LEN(#REF!)-LEN(SUBSTITUTE(#REF!,{"0","1","2"},""))))), LARGE(INDEX(ISNUMBER(--MID((LEFT(#REF!,SUM(LEN(#REF!)-LEN(SUBSTITUTE(#REF!,{"0","1","2"},""))))), ROW(INDIRECT("1:"&amp;LEN((LEFT(#REF!,SUM(LEN(#REF!)-LEN(SUBSTITUTE(#REF!,{"0","1","2"},"")))))))), 1)) * ROW(INDIRECT("1:"&amp;LEN((LEFT(#REF!,SUM(LEN(#REF!)-LEN(SUBSTITUTE(#REF!,{"0","1","2"},"")))))))), 0), ROW(INDIRECT("1:"&amp;LEN((LEFT(#REF!,SUM(LEN(#REF!)-LEN(SUBSTITUTE(#REF!,{"0","1","2"},"")))))))))+1, 1) * 10^ROW(INDIRECT("1:"&amp;LEN((LEFT(#REF!,SUM(LEN(#REF!)-LEN(SUBSTITUTE(#REF!,{"0","1","2"},""))))))))/10))*100+1</f>
        <v>#REF!</v>
      </c>
      <c r="P111" s="8" t="e">
        <f ca="1">(SUMPRODUCT(MID(0&amp;(--TRIM(RIGHT(SUBSTITUTE(LEFT(#REF!,_xlfn.AGGREGATE(16,6,FIND({0,1,2,3,4,5,6,7,8,9},#REF!,ROW(INDIRECT("1:"&amp;LEN(#REF!)))),1))," ",REPT(" ",LEN(#REF!))),LEN(#REF!)))), LARGE(INDEX(ISNUMBER(--MID((--TRIM(RIGHT(SUBSTITUTE(LEFT(#REF!,_xlfn.AGGREGATE(16,6,FIND({0,1,2,3,4,5,6,7,8,9},#REF!,ROW(INDIRECT("1:"&amp;LEN(#REF!)))),1))," ",REPT(" ",LEN(#REF!))),LEN(#REF!)))), ROW(INDIRECT("1:"&amp;LEN((--TRIM(RIGHT(SUBSTITUTE(LEFT(#REF!,_xlfn.AGGREGATE(16,6,FIND({0,1,2,3,4,5,6,7,8,9},#REF!,ROW(INDIRECT("1:"&amp;LEN(#REF!)))),1))," ",REPT(" ",LEN(#REF!))),LEN(#REF!))))))), 1)) * ROW(INDIRECT("1:"&amp;LEN((--TRIM(RIGHT(SUBSTITUTE(LEFT(#REF!,_xlfn.AGGREGATE(16,6,FIND({0,1,2,3,4,5,6,7,8,9},#REF!,ROW(INDIRECT("1:"&amp;LEN(#REF!)))),1))," ",REPT(" ",LEN(#REF!))),LEN(#REF!))))))), 0), ROW(INDIRECT("1:"&amp;LEN((--TRIM(RIGHT(SUBSTITUTE(LEFT(#REF!,_xlfn.AGGREGATE(16,6,FIND({0,1,2,3,4,5,6,7,8,9},#REF!,ROW(INDIRECT("1:"&amp;LEN(#REF!)))),1))," ",REPT(" ",LEN(#REF!))),LEN(#REF!))))))))+1, 1) * 10^ROW(INDIRECT("1:"&amp;LEN((--TRIM(RIGHT(SUBSTITUTE(LEFT(#REF!,_xlfn.AGGREGATE(16,6,FIND({0,1,2,3,4,5,6,7,8,9},#REF!,ROW(INDIRECT("1:"&amp;LEN(#REF!)))),1))," ",REPT(" ",LEN(#REF!))),LEN(#REF!)))))))/10))*100+1</f>
        <v>#REF!</v>
      </c>
    </row>
    <row r="112" spans="1:16" ht="15" customHeight="1" x14ac:dyDescent="0.25">
      <c r="A112" s="21">
        <f>A111+1</f>
        <v>10</v>
      </c>
      <c r="B112" s="1" t="s">
        <v>95</v>
      </c>
      <c r="C112" s="41">
        <f>(26.78)*10.764</f>
        <v>288.25992000000002</v>
      </c>
      <c r="D112" s="41">
        <f>(4.4*1.2)*10.764</f>
        <v>56.833919999999999</v>
      </c>
      <c r="E112" s="1">
        <v>0</v>
      </c>
      <c r="F112" s="1">
        <f t="shared" si="8"/>
        <v>345.09384</v>
      </c>
      <c r="G112" s="1">
        <v>0</v>
      </c>
      <c r="H112" s="1">
        <f t="shared" si="6"/>
        <v>517.64076</v>
      </c>
      <c r="N112" s="8" t="e">
        <f t="shared" ref="N112:N120" ca="1" si="9">O112&amp;" &amp; "&amp;P112</f>
        <v>#REF!</v>
      </c>
      <c r="O112" s="8" t="e">
        <f ca="1">O111+1</f>
        <v>#REF!</v>
      </c>
      <c r="P112" s="8" t="e">
        <f ca="1">P111+1</f>
        <v>#REF!</v>
      </c>
    </row>
    <row r="113" spans="1:16" ht="15" customHeight="1" x14ac:dyDescent="0.25">
      <c r="A113" s="124"/>
      <c r="B113" s="124"/>
      <c r="C113" s="124"/>
      <c r="D113" s="124"/>
      <c r="E113" s="124"/>
      <c r="F113" s="124"/>
      <c r="G113" s="125"/>
      <c r="H113" s="124"/>
      <c r="N113" s="8" t="e">
        <f t="shared" ca="1" si="9"/>
        <v>#REF!</v>
      </c>
      <c r="O113" s="8" t="e">
        <f t="shared" ref="O113:O120" ca="1" si="10">O112+1</f>
        <v>#REF!</v>
      </c>
      <c r="P113" s="8" t="e">
        <f t="shared" ref="P113:P120" ca="1" si="11">P112+1</f>
        <v>#REF!</v>
      </c>
    </row>
    <row r="114" spans="1:16" ht="15" customHeight="1" x14ac:dyDescent="0.25">
      <c r="A114" s="92" t="s">
        <v>176</v>
      </c>
      <c r="B114" s="92"/>
      <c r="C114" s="92"/>
      <c r="D114" s="92"/>
      <c r="E114" s="92"/>
      <c r="F114" s="92"/>
      <c r="G114" s="92"/>
      <c r="H114" s="92"/>
      <c r="N114" s="8" t="e">
        <f t="shared" ca="1" si="9"/>
        <v>#REF!</v>
      </c>
      <c r="O114" s="8" t="e">
        <f t="shared" ca="1" si="10"/>
        <v>#REF!</v>
      </c>
      <c r="P114" s="8" t="e">
        <f t="shared" ca="1" si="11"/>
        <v>#REF!</v>
      </c>
    </row>
    <row r="115" spans="1:16" ht="49.15" customHeight="1" x14ac:dyDescent="0.25">
      <c r="A115" s="126" t="s">
        <v>167</v>
      </c>
      <c r="B115" s="127" t="s">
        <v>2</v>
      </c>
      <c r="C115" s="126" t="s">
        <v>208</v>
      </c>
      <c r="D115" s="126" t="s">
        <v>156</v>
      </c>
      <c r="E115" s="126" t="s">
        <v>207</v>
      </c>
      <c r="F115" s="174" t="s">
        <v>169</v>
      </c>
      <c r="G115" s="216" t="s">
        <v>170</v>
      </c>
      <c r="H115" s="42" t="s">
        <v>168</v>
      </c>
      <c r="N115" s="8" t="e">
        <f t="shared" ca="1" si="9"/>
        <v>#REF!</v>
      </c>
      <c r="O115" s="8" t="e">
        <f t="shared" ca="1" si="10"/>
        <v>#REF!</v>
      </c>
      <c r="P115" s="8" t="e">
        <f t="shared" ca="1" si="11"/>
        <v>#REF!</v>
      </c>
    </row>
    <row r="116" spans="1:16" ht="15" customHeight="1" x14ac:dyDescent="0.25">
      <c r="A116" s="126"/>
      <c r="B116" s="127"/>
      <c r="C116" s="126"/>
      <c r="D116" s="126"/>
      <c r="E116" s="126"/>
      <c r="F116" s="175"/>
      <c r="G116" s="217"/>
      <c r="H116" s="43">
        <v>0.45</v>
      </c>
      <c r="N116" s="8" t="e">
        <f t="shared" ca="1" si="9"/>
        <v>#REF!</v>
      </c>
      <c r="O116" s="8" t="e">
        <f t="shared" ca="1" si="10"/>
        <v>#REF!</v>
      </c>
      <c r="P116" s="8" t="e">
        <f t="shared" ca="1" si="11"/>
        <v>#REF!</v>
      </c>
    </row>
    <row r="117" spans="1:16" ht="15" customHeight="1" x14ac:dyDescent="0.25">
      <c r="A117" s="158" t="s">
        <v>204</v>
      </c>
      <c r="B117" s="158"/>
      <c r="C117" s="158"/>
      <c r="D117" s="158"/>
      <c r="E117" s="158"/>
      <c r="F117" s="158"/>
      <c r="G117" s="159"/>
      <c r="H117" s="159"/>
      <c r="N117" s="8" t="e">
        <f t="shared" ca="1" si="9"/>
        <v>#REF!</v>
      </c>
      <c r="O117" s="8" t="e">
        <f t="shared" ca="1" si="10"/>
        <v>#REF!</v>
      </c>
      <c r="P117" s="8" t="e">
        <f t="shared" ca="1" si="11"/>
        <v>#REF!</v>
      </c>
    </row>
    <row r="118" spans="1:16" ht="15" customHeight="1" x14ac:dyDescent="0.25">
      <c r="A118" s="158" t="s">
        <v>154</v>
      </c>
      <c r="B118" s="158"/>
      <c r="C118" s="158"/>
      <c r="D118" s="158"/>
      <c r="E118" s="158"/>
      <c r="F118" s="158"/>
      <c r="G118" s="159"/>
      <c r="H118" s="159"/>
      <c r="I118" s="8">
        <f>2.74*3.98+2.7*2.93+2.75*2.22+0.9*1.3+1.65*1.3</f>
        <v>28.236200000000004</v>
      </c>
      <c r="J118" s="8">
        <f>2.74+2.75</f>
        <v>5.49</v>
      </c>
      <c r="N118" s="8" t="e">
        <f t="shared" ca="1" si="9"/>
        <v>#REF!</v>
      </c>
      <c r="O118" s="8" t="e">
        <f t="shared" ca="1" si="10"/>
        <v>#REF!</v>
      </c>
      <c r="P118" s="8" t="e">
        <f t="shared" ca="1" si="11"/>
        <v>#REF!</v>
      </c>
    </row>
    <row r="119" spans="1:16" ht="15" customHeight="1" x14ac:dyDescent="0.25">
      <c r="A119" s="21">
        <v>1</v>
      </c>
      <c r="B119" s="1" t="s">
        <v>205</v>
      </c>
      <c r="C119" s="41">
        <f>(30.34+2.75)*10.764</f>
        <v>356.18076000000002</v>
      </c>
      <c r="D119" s="41">
        <f>(2.74)*10.764</f>
        <v>29.493359999999999</v>
      </c>
      <c r="E119" s="41">
        <v>0</v>
      </c>
      <c r="F119" s="1">
        <f t="shared" ref="F119:F125" si="12">C119+D119+E119</f>
        <v>385.67412000000002</v>
      </c>
      <c r="G119" s="41">
        <f>(2.74*2+2.8*1)*10.764</f>
        <v>89.125920000000008</v>
      </c>
      <c r="H119" s="1">
        <f t="shared" ref="H119:H126" si="13">F119*(($H$116)+1)+(IF(G119&lt;101,G119,IF(G119&lt;201,G119/2,IF(G119&lt;=301,G119/3,G119/4))))</f>
        <v>648.35339399999998</v>
      </c>
      <c r="N119" s="8" t="e">
        <f t="shared" ca="1" si="9"/>
        <v>#REF!</v>
      </c>
      <c r="O119" s="8" t="e">
        <f t="shared" ca="1" si="10"/>
        <v>#REF!</v>
      </c>
      <c r="P119" s="8" t="e">
        <f t="shared" ca="1" si="11"/>
        <v>#REF!</v>
      </c>
    </row>
    <row r="120" spans="1:16" ht="15" customHeight="1" x14ac:dyDescent="0.25">
      <c r="A120" s="21">
        <f>A119+1</f>
        <v>2</v>
      </c>
      <c r="B120" s="1" t="s">
        <v>206</v>
      </c>
      <c r="C120" s="41">
        <f>(41.99)*10.764</f>
        <v>451.98036000000002</v>
      </c>
      <c r="D120" s="41">
        <f>(2.74+1.2*1.5)*10.764</f>
        <v>48.868559999999995</v>
      </c>
      <c r="E120" s="41">
        <v>0</v>
      </c>
      <c r="F120" s="1">
        <f t="shared" si="12"/>
        <v>500.84892000000002</v>
      </c>
      <c r="G120" s="41">
        <f>(2.74*2+1.2*1+2.75*1.1)*10.764</f>
        <v>104.46462000000001</v>
      </c>
      <c r="H120" s="1">
        <f t="shared" si="13"/>
        <v>778.46324400000003</v>
      </c>
      <c r="N120" s="8" t="e">
        <f t="shared" ca="1" si="9"/>
        <v>#REF!</v>
      </c>
      <c r="O120" s="8" t="e">
        <f t="shared" ca="1" si="10"/>
        <v>#REF!</v>
      </c>
      <c r="P120" s="8" t="e">
        <f t="shared" ca="1" si="11"/>
        <v>#REF!</v>
      </c>
    </row>
    <row r="121" spans="1:16" x14ac:dyDescent="0.25">
      <c r="A121" s="21">
        <f>A120+1</f>
        <v>3</v>
      </c>
      <c r="B121" s="1" t="s">
        <v>206</v>
      </c>
      <c r="C121" s="41">
        <f>(42.37)*10.764</f>
        <v>456.07067999999992</v>
      </c>
      <c r="D121" s="41">
        <f>(2.74+1.2*1.5)*10.764</f>
        <v>48.868559999999995</v>
      </c>
      <c r="E121" s="41">
        <f>(2.75*0.75)*10.764</f>
        <v>22.200749999999999</v>
      </c>
      <c r="F121" s="1">
        <f t="shared" si="12"/>
        <v>527.1399899999999</v>
      </c>
      <c r="G121" s="41">
        <v>0</v>
      </c>
      <c r="H121" s="1">
        <f t="shared" si="13"/>
        <v>764.35298549999982</v>
      </c>
    </row>
    <row r="122" spans="1:16" ht="15" customHeight="1" x14ac:dyDescent="0.25">
      <c r="A122" s="21">
        <f>A121+1</f>
        <v>4</v>
      </c>
      <c r="B122" s="1" t="s">
        <v>205</v>
      </c>
      <c r="C122" s="41">
        <f>(33.64)*10.764</f>
        <v>362.10095999999999</v>
      </c>
      <c r="D122" s="41">
        <f>(2.74+3.5)*10.764</f>
        <v>67.167360000000002</v>
      </c>
      <c r="E122" s="41">
        <v>0</v>
      </c>
      <c r="F122" s="1">
        <f t="shared" si="12"/>
        <v>429.26832000000002</v>
      </c>
      <c r="G122" s="41">
        <v>0</v>
      </c>
      <c r="H122" s="1">
        <f t="shared" si="13"/>
        <v>622.43906400000003</v>
      </c>
      <c r="I122" s="97"/>
      <c r="J122" s="97"/>
      <c r="N122" s="8" t="e">
        <f ca="1">O122&amp;",..,"&amp;P122</f>
        <v>#REF!</v>
      </c>
      <c r="O122" s="8" t="e">
        <f ca="1">(SUMPRODUCT(MID(0&amp;(LEFT(#REF!,SUM(LEN(#REF!)-LEN(SUBSTITUTE(#REF!,{"0","1","2","3"},""))))), LARGE(INDEX(ISNUMBER(--MID((LEFT(#REF!,SUM(LEN(#REF!)-LEN(SUBSTITUTE(#REF!,{"0","1","2","3"},""))))), ROW(INDIRECT("1:"&amp;LEN((LEFT(#REF!,SUM(LEN(#REF!)-LEN(SUBSTITUTE(#REF!,{"0","1","2","3"},"")))))))), 1)) * ROW(INDIRECT("1:"&amp;LEN((LEFT(#REF!,SUM(LEN(#REF!)-LEN(SUBSTITUTE(#REF!,{"0","1","2","3"},"")))))))), 0), ROW(INDIRECT("1:"&amp;LEN((LEFT(#REF!,SUM(LEN(#REF!)-LEN(SUBSTITUTE(#REF!,{"0","1","2","3"},"")))))))))+1, 1) * 10^ROW(INDIRECT("1:"&amp;LEN((LEFT(#REF!,SUM(LEN(#REF!)-LEN(SUBSTITUTE(#REF!,{"0","1","2","3"},""))))))))/10))*100+1</f>
        <v>#REF!</v>
      </c>
      <c r="P122" s="8" t="e">
        <f ca="1">(SUMPRODUCT(MID(0&amp;(--TRIM(RIGHT(SUBSTITUTE(LEFT(#REF!,_xlfn.AGGREGATE(16,6,FIND({0,1,2,3,4,5,6,7,8,9},#REF!,ROW(INDIRECT("1:"&amp;LEN(#REF!)))),1))," ",REPT(" ",LEN(#REF!))),LEN(#REF!)))), LARGE(INDEX(ISNUMBER(--MID((--TRIM(RIGHT(SUBSTITUTE(LEFT(#REF!,_xlfn.AGGREGATE(16,6,FIND({0,1,2,3,4,5,6,7,8,9},#REF!,ROW(INDIRECT("1:"&amp;LEN(#REF!)))),1))," ",REPT(" ",LEN(#REF!))),LEN(#REF!)))), ROW(INDIRECT("1:"&amp;LEN((--TRIM(RIGHT(SUBSTITUTE(LEFT(#REF!,_xlfn.AGGREGATE(16,6,FIND({0,1,2,3,4,5,6,7,8,9},#REF!,ROW(INDIRECT("1:"&amp;LEN(#REF!)))),1))," ",REPT(" ",LEN(#REF!))),LEN(#REF!))))))), 1)) * ROW(INDIRECT("1:"&amp;LEN((--TRIM(RIGHT(SUBSTITUTE(LEFT(#REF!,_xlfn.AGGREGATE(16,6,FIND({0,1,2,3,4,5,6,7,8,9},#REF!,ROW(INDIRECT("1:"&amp;LEN(#REF!)))),1))," ",REPT(" ",LEN(#REF!))),LEN(#REF!))))))), 0), ROW(INDIRECT("1:"&amp;LEN((--TRIM(RIGHT(SUBSTITUTE(LEFT(#REF!,_xlfn.AGGREGATE(16,6,FIND({0,1,2,3,4,5,6,7,8,9},#REF!,ROW(INDIRECT("1:"&amp;LEN(#REF!)))),1))," ",REPT(" ",LEN(#REF!))),LEN(#REF!))))))))+1, 1) * 10^ROW(INDIRECT("1:"&amp;LEN((--TRIM(RIGHT(SUBSTITUTE(LEFT(#REF!,_xlfn.AGGREGATE(16,6,FIND({0,1,2,3,4,5,6,7,8,9},#REF!,ROW(INDIRECT("1:"&amp;LEN(#REF!)))),1))," ",REPT(" ",LEN(#REF!))),LEN(#REF!)))))))/10))*100+1</f>
        <v>#REF!</v>
      </c>
    </row>
    <row r="123" spans="1:16" ht="15" customHeight="1" x14ac:dyDescent="0.25">
      <c r="A123" s="21">
        <f>A122+1</f>
        <v>5</v>
      </c>
      <c r="B123" s="1" t="s">
        <v>205</v>
      </c>
      <c r="C123" s="41">
        <f>(33.64)*10.764</f>
        <v>362.10095999999999</v>
      </c>
      <c r="D123" s="41">
        <f>(2.74+3.5)*10.764</f>
        <v>67.167360000000002</v>
      </c>
      <c r="E123" s="41">
        <v>0</v>
      </c>
      <c r="F123" s="1">
        <f t="shared" si="12"/>
        <v>429.26832000000002</v>
      </c>
      <c r="G123" s="41">
        <v>0</v>
      </c>
      <c r="H123" s="1">
        <f t="shared" si="13"/>
        <v>622.43906400000003</v>
      </c>
      <c r="N123" s="8" t="e">
        <f t="shared" ref="N123:N129" ca="1" si="14">O123&amp;",..,"&amp;P123</f>
        <v>#REF!</v>
      </c>
      <c r="O123" s="8" t="e">
        <f ca="1">O122+1</f>
        <v>#REF!</v>
      </c>
      <c r="P123" s="8" t="e">
        <f ca="1">P122+1</f>
        <v>#REF!</v>
      </c>
    </row>
    <row r="124" spans="1:16" ht="15" customHeight="1" x14ac:dyDescent="0.25">
      <c r="A124" s="22">
        <f t="shared" ref="A124:A126" si="15">A123+1</f>
        <v>6</v>
      </c>
      <c r="B124" s="1" t="s">
        <v>205</v>
      </c>
      <c r="C124" s="41">
        <f>(31.74)*10.764</f>
        <v>341.64935999999994</v>
      </c>
      <c r="D124" s="41">
        <f>(2.74+2.3)*10.764</f>
        <v>54.25056</v>
      </c>
      <c r="E124" s="41">
        <f>(3.05*0.75)*10.764</f>
        <v>24.622649999999993</v>
      </c>
      <c r="F124" s="1">
        <f t="shared" si="12"/>
        <v>420.52256999999997</v>
      </c>
      <c r="G124" s="41">
        <v>0</v>
      </c>
      <c r="H124" s="1">
        <f t="shared" si="13"/>
        <v>609.75772649999999</v>
      </c>
      <c r="K124" s="26" t="s">
        <v>221</v>
      </c>
      <c r="N124" s="8" t="e">
        <f t="shared" ca="1" si="14"/>
        <v>#REF!</v>
      </c>
      <c r="O124" s="8" t="e">
        <f t="shared" ref="O124:O129" ca="1" si="16">O123+1</f>
        <v>#REF!</v>
      </c>
      <c r="P124" s="8" t="e">
        <f t="shared" ref="P124:P129" ca="1" si="17">P123+1</f>
        <v>#REF!</v>
      </c>
    </row>
    <row r="125" spans="1:16" ht="15" customHeight="1" x14ac:dyDescent="0.25">
      <c r="A125" s="22">
        <f t="shared" si="15"/>
        <v>7</v>
      </c>
      <c r="B125" s="1" t="s">
        <v>205</v>
      </c>
      <c r="C125" s="41">
        <f>(29.85)*10.764</f>
        <v>321.30540000000002</v>
      </c>
      <c r="D125" s="41">
        <v>0</v>
      </c>
      <c r="E125" s="41">
        <f>(3*0.75)*10.764</f>
        <v>24.218999999999998</v>
      </c>
      <c r="F125" s="1">
        <f t="shared" si="12"/>
        <v>345.52440000000001</v>
      </c>
      <c r="G125" s="41">
        <f>(2.74*3.2+1.5*0.9+3.05*1.6)*10.764</f>
        <v>161.43847199999999</v>
      </c>
      <c r="H125" s="1">
        <f t="shared" si="13"/>
        <v>581.72961599999996</v>
      </c>
    </row>
    <row r="126" spans="1:16" ht="15" customHeight="1" x14ac:dyDescent="0.25">
      <c r="A126" s="22">
        <f t="shared" si="15"/>
        <v>8</v>
      </c>
      <c r="B126" s="1" t="s">
        <v>209</v>
      </c>
      <c r="C126" s="41">
        <f>(22.19)*10.764</f>
        <v>238.85316</v>
      </c>
      <c r="D126" s="41">
        <f>(2.74)*10.764</f>
        <v>29.493359999999999</v>
      </c>
      <c r="E126" s="41">
        <v>0</v>
      </c>
      <c r="F126" s="1">
        <f t="shared" ref="F126" si="18">C126+D126+E126</f>
        <v>268.34652</v>
      </c>
      <c r="G126" s="41">
        <f>(2.74*2.1+3*1.5+1.3*3.2)*10.764</f>
        <v>155.15229600000001</v>
      </c>
      <c r="H126" s="1">
        <f t="shared" si="13"/>
        <v>466.67860199999996</v>
      </c>
      <c r="N126" s="8" t="e">
        <f t="shared" si="14"/>
        <v>#REF!</v>
      </c>
      <c r="O126" s="8" t="e">
        <f>#REF!+1</f>
        <v>#REF!</v>
      </c>
      <c r="P126" s="8" t="e">
        <f>#REF!+1</f>
        <v>#REF!</v>
      </c>
    </row>
    <row r="127" spans="1:16" ht="15" customHeight="1" x14ac:dyDescent="0.25">
      <c r="A127" s="158" t="s">
        <v>210</v>
      </c>
      <c r="B127" s="158"/>
      <c r="C127" s="158"/>
      <c r="D127" s="158"/>
      <c r="E127" s="158"/>
      <c r="F127" s="158"/>
      <c r="G127" s="158"/>
      <c r="H127" s="158"/>
      <c r="I127" s="41">
        <v>10.763999999999999</v>
      </c>
      <c r="K127" s="8">
        <v>2800</v>
      </c>
      <c r="N127" s="8" t="e">
        <f t="shared" si="14"/>
        <v>#REF!</v>
      </c>
      <c r="O127" s="8" t="e">
        <f t="shared" si="16"/>
        <v>#REF!</v>
      </c>
      <c r="P127" s="8" t="e">
        <f t="shared" si="17"/>
        <v>#REF!</v>
      </c>
    </row>
    <row r="128" spans="1:16" ht="15" customHeight="1" x14ac:dyDescent="0.25">
      <c r="A128" s="21">
        <v>1</v>
      </c>
      <c r="B128" s="1" t="s">
        <v>205</v>
      </c>
      <c r="C128" s="41">
        <f>(30.34+2.75)*10.764</f>
        <v>356.18076000000002</v>
      </c>
      <c r="D128" s="41">
        <f>(2.74)*10.764</f>
        <v>29.493359999999999</v>
      </c>
      <c r="E128" s="41">
        <f>(2.7*0.75)*10.764</f>
        <v>21.797100000000004</v>
      </c>
      <c r="F128" s="1">
        <f t="shared" ref="F128:F135" si="19">C128+D128+E128</f>
        <v>407.47122000000002</v>
      </c>
      <c r="G128" s="1">
        <v>0</v>
      </c>
      <c r="H128" s="1">
        <f t="shared" ref="H128:H135" si="20">F128*(($H$116)+1)+(IF(G128&lt;101,G128,IF(G128&lt;201,G128/2,IF(G128&lt;=301,G128/3,G128/4))))</f>
        <v>590.83326899999997</v>
      </c>
      <c r="K128" s="50">
        <f>H128*$K$127</f>
        <v>1654333.1531999998</v>
      </c>
      <c r="N128" s="8" t="e">
        <f t="shared" si="14"/>
        <v>#REF!</v>
      </c>
      <c r="O128" s="8" t="e">
        <f t="shared" si="16"/>
        <v>#REF!</v>
      </c>
      <c r="P128" s="8" t="e">
        <f t="shared" si="17"/>
        <v>#REF!</v>
      </c>
    </row>
    <row r="129" spans="1:19" ht="15" customHeight="1" x14ac:dyDescent="0.25">
      <c r="A129" s="21">
        <f>A128+1</f>
        <v>2</v>
      </c>
      <c r="B129" s="1" t="s">
        <v>206</v>
      </c>
      <c r="C129" s="41">
        <f>(41.99)*10.764</f>
        <v>451.98036000000002</v>
      </c>
      <c r="D129" s="41">
        <f>(2.74+1.2*1.5)*10.764</f>
        <v>48.868559999999995</v>
      </c>
      <c r="E129" s="41">
        <f>(2.75*0.75)*10.764</f>
        <v>22.200749999999999</v>
      </c>
      <c r="F129" s="1">
        <f t="shared" si="19"/>
        <v>523.04966999999999</v>
      </c>
      <c r="G129" s="1">
        <v>0</v>
      </c>
      <c r="H129" s="1">
        <f t="shared" si="20"/>
        <v>758.42202149999991</v>
      </c>
      <c r="K129" s="51">
        <f t="shared" ref="K129:K135" si="21">H129*$K$127</f>
        <v>2123581.6601999998</v>
      </c>
      <c r="N129" s="8" t="e">
        <f t="shared" si="14"/>
        <v>#REF!</v>
      </c>
      <c r="O129" s="8" t="e">
        <f t="shared" si="16"/>
        <v>#REF!</v>
      </c>
      <c r="P129" s="8" t="e">
        <f t="shared" si="17"/>
        <v>#REF!</v>
      </c>
    </row>
    <row r="130" spans="1:19" ht="15" customHeight="1" x14ac:dyDescent="0.25">
      <c r="A130" s="21">
        <f>A129+1</f>
        <v>3</v>
      </c>
      <c r="B130" s="1" t="s">
        <v>206</v>
      </c>
      <c r="C130" s="41">
        <f>(42.37)*10.764</f>
        <v>456.07067999999992</v>
      </c>
      <c r="D130" s="41">
        <f>(2.74+1.2*1.5)*10.764</f>
        <v>48.868559999999995</v>
      </c>
      <c r="E130" s="41">
        <f>(2.75*0.75)*10.764</f>
        <v>22.200749999999999</v>
      </c>
      <c r="F130" s="1">
        <f t="shared" si="19"/>
        <v>527.1399899999999</v>
      </c>
      <c r="G130" s="1">
        <v>0</v>
      </c>
      <c r="H130" s="1">
        <f t="shared" si="20"/>
        <v>764.35298549999982</v>
      </c>
      <c r="K130" s="51">
        <f t="shared" si="21"/>
        <v>2140188.3593999995</v>
      </c>
      <c r="M130" s="8" t="s">
        <v>220</v>
      </c>
      <c r="Q130" s="26">
        <v>4500</v>
      </c>
    </row>
    <row r="131" spans="1:19" x14ac:dyDescent="0.25">
      <c r="A131" s="21">
        <f>A130+1</f>
        <v>4</v>
      </c>
      <c r="B131" s="1" t="s">
        <v>205</v>
      </c>
      <c r="C131" s="41">
        <f>(33.64)*10.764</f>
        <v>362.10095999999999</v>
      </c>
      <c r="D131" s="41">
        <f>(2.74+3.5)*10.764</f>
        <v>67.167360000000002</v>
      </c>
      <c r="E131" s="41">
        <v>0</v>
      </c>
      <c r="F131" s="1">
        <f t="shared" si="19"/>
        <v>429.26832000000002</v>
      </c>
      <c r="G131" s="1">
        <v>0</v>
      </c>
      <c r="H131" s="1">
        <f t="shared" si="20"/>
        <v>622.43906400000003</v>
      </c>
      <c r="I131" s="97"/>
      <c r="J131" s="97"/>
      <c r="K131" s="51">
        <f t="shared" si="21"/>
        <v>1742829.3792000001</v>
      </c>
      <c r="M131" s="51">
        <f>22.19*10.764</f>
        <v>238.85316</v>
      </c>
      <c r="Q131" s="8">
        <f>M131*$Q$130</f>
        <v>1074839.22</v>
      </c>
    </row>
    <row r="132" spans="1:19" x14ac:dyDescent="0.25">
      <c r="A132" s="21">
        <f>A131+1</f>
        <v>5</v>
      </c>
      <c r="B132" s="1" t="s">
        <v>205</v>
      </c>
      <c r="C132" s="41">
        <f>(33.64)*10.764</f>
        <v>362.10095999999999</v>
      </c>
      <c r="D132" s="41">
        <f>(2.74+3.5)*10.764</f>
        <v>67.167360000000002</v>
      </c>
      <c r="E132" s="41">
        <v>0</v>
      </c>
      <c r="F132" s="1">
        <f t="shared" si="19"/>
        <v>429.26832000000002</v>
      </c>
      <c r="G132" s="1">
        <v>0</v>
      </c>
      <c r="H132" s="1">
        <f t="shared" si="20"/>
        <v>622.43906400000003</v>
      </c>
      <c r="I132" s="38" t="s">
        <v>223</v>
      </c>
      <c r="K132" s="51">
        <f t="shared" si="21"/>
        <v>1742829.3792000001</v>
      </c>
      <c r="M132" s="51">
        <f>30.34*10.764</f>
        <v>326.57975999999996</v>
      </c>
      <c r="Q132" s="8">
        <f>M132*$Q$130</f>
        <v>1469608.92</v>
      </c>
    </row>
    <row r="133" spans="1:19" x14ac:dyDescent="0.25">
      <c r="A133" s="21">
        <f>A132+1</f>
        <v>6</v>
      </c>
      <c r="B133" s="1" t="s">
        <v>205</v>
      </c>
      <c r="C133" s="41">
        <f>(31.74)*10.764</f>
        <v>341.64935999999994</v>
      </c>
      <c r="D133" s="41">
        <f>(2.74+2.3)*10.764</f>
        <v>54.25056</v>
      </c>
      <c r="E133" s="41">
        <f>(3.05*0.75)*10.764</f>
        <v>24.622649999999993</v>
      </c>
      <c r="F133" s="1">
        <f t="shared" si="19"/>
        <v>420.52256999999997</v>
      </c>
      <c r="G133" s="1">
        <v>0</v>
      </c>
      <c r="H133" s="1">
        <f t="shared" si="20"/>
        <v>609.75772649999999</v>
      </c>
      <c r="I133" s="50">
        <f>1600000/H133</f>
        <v>2623.9929901076866</v>
      </c>
      <c r="J133" s="38" t="s">
        <v>222</v>
      </c>
      <c r="K133" s="50">
        <f t="shared" si="21"/>
        <v>1707321.6342</v>
      </c>
      <c r="Q133" s="8">
        <f>4500/1.45</f>
        <v>3103.4482758620688</v>
      </c>
      <c r="S133" s="26">
        <f>4500/1.45</f>
        <v>3103.4482758620688</v>
      </c>
    </row>
    <row r="134" spans="1:19" x14ac:dyDescent="0.25">
      <c r="A134" s="21">
        <f t="shared" ref="A134:A135" si="22">A133+1</f>
        <v>7</v>
      </c>
      <c r="B134" s="1" t="s">
        <v>205</v>
      </c>
      <c r="C134" s="41">
        <f>(29.85)*10.764</f>
        <v>321.30540000000002</v>
      </c>
      <c r="D134" s="41">
        <v>0</v>
      </c>
      <c r="E134" s="41">
        <f>(3*0.75+2.74*0.75+3.05*0.75)*10.764</f>
        <v>70.961669999999984</v>
      </c>
      <c r="F134" s="1">
        <f t="shared" si="19"/>
        <v>392.26706999999999</v>
      </c>
      <c r="G134" s="1">
        <v>0</v>
      </c>
      <c r="H134" s="1">
        <f t="shared" si="20"/>
        <v>568.78725149999991</v>
      </c>
      <c r="I134" s="50">
        <f>1500000/H134</f>
        <v>2637.1899089584294</v>
      </c>
      <c r="J134" s="26">
        <f>1590000/H134</f>
        <v>2795.4213034959353</v>
      </c>
      <c r="K134" s="52">
        <f t="shared" si="21"/>
        <v>1592604.3041999997</v>
      </c>
    </row>
    <row r="135" spans="1:19" x14ac:dyDescent="0.25">
      <c r="A135" s="21">
        <f t="shared" si="22"/>
        <v>8</v>
      </c>
      <c r="B135" s="1" t="s">
        <v>209</v>
      </c>
      <c r="C135" s="41">
        <f>(22.19)*10.764</f>
        <v>238.85316</v>
      </c>
      <c r="D135" s="41">
        <f>(2.74)*10.764</f>
        <v>29.493359999999999</v>
      </c>
      <c r="E135" s="41">
        <f>(2.7*0.75)*10.764</f>
        <v>21.797100000000004</v>
      </c>
      <c r="F135" s="1">
        <f t="shared" si="19"/>
        <v>290.14362</v>
      </c>
      <c r="G135" s="1">
        <v>0</v>
      </c>
      <c r="H135" s="1">
        <f t="shared" si="20"/>
        <v>420.70824899999997</v>
      </c>
      <c r="K135" s="51">
        <f t="shared" si="21"/>
        <v>1177983.0972</v>
      </c>
    </row>
    <row r="136" spans="1:19" x14ac:dyDescent="0.25">
      <c r="A136" s="90"/>
      <c r="B136" s="90"/>
      <c r="C136" s="90"/>
      <c r="D136" s="90"/>
      <c r="E136" s="90"/>
      <c r="F136" s="90"/>
      <c r="G136" s="90"/>
      <c r="H136" s="90"/>
    </row>
    <row r="137" spans="1:19" ht="29.45" customHeight="1" x14ac:dyDescent="0.25">
      <c r="A137" s="10">
        <v>48</v>
      </c>
      <c r="B137" s="77" t="s">
        <v>47</v>
      </c>
      <c r="C137" s="77"/>
      <c r="D137" s="77"/>
      <c r="E137" s="75" t="str">
        <f>E74</f>
        <v>Building No.1 =  Gr + 1st to 5th Floor</v>
      </c>
      <c r="F137" s="75"/>
      <c r="G137" s="75"/>
      <c r="H137" s="75"/>
    </row>
    <row r="138" spans="1:19" ht="50.25" customHeight="1" x14ac:dyDescent="0.25">
      <c r="A138" s="10">
        <v>49</v>
      </c>
      <c r="B138" s="77" t="s">
        <v>133</v>
      </c>
      <c r="C138" s="77"/>
      <c r="D138" s="77"/>
      <c r="E138" s="66" t="s">
        <v>213</v>
      </c>
      <c r="F138" s="66"/>
      <c r="G138" s="66"/>
      <c r="H138" s="66"/>
    </row>
    <row r="139" spans="1:19" ht="49.9" customHeight="1" x14ac:dyDescent="0.25">
      <c r="A139" s="10">
        <v>50</v>
      </c>
      <c r="B139" s="77" t="s">
        <v>48</v>
      </c>
      <c r="C139" s="77"/>
      <c r="D139" s="77"/>
      <c r="E139" s="78" t="s">
        <v>67</v>
      </c>
      <c r="F139" s="78"/>
      <c r="G139" s="78"/>
      <c r="H139" s="78"/>
    </row>
    <row r="140" spans="1:19" x14ac:dyDescent="0.25">
      <c r="A140" s="88">
        <v>51</v>
      </c>
      <c r="B140" s="77" t="s">
        <v>49</v>
      </c>
      <c r="C140" s="77"/>
      <c r="D140" s="77"/>
      <c r="E140" s="141" t="s">
        <v>66</v>
      </c>
      <c r="F140" s="141"/>
      <c r="G140" s="141"/>
      <c r="H140" s="141"/>
    </row>
    <row r="141" spans="1:19" ht="33" customHeight="1" x14ac:dyDescent="0.25">
      <c r="A141" s="88"/>
      <c r="B141" s="77"/>
      <c r="C141" s="77"/>
      <c r="D141" s="77"/>
      <c r="E141" s="130" t="s">
        <v>152</v>
      </c>
      <c r="F141" s="130"/>
      <c r="G141" s="130"/>
      <c r="H141" s="39">
        <v>2800</v>
      </c>
    </row>
    <row r="142" spans="1:19" ht="33" customHeight="1" x14ac:dyDescent="0.25">
      <c r="A142" s="10">
        <v>52</v>
      </c>
      <c r="B142" s="77" t="s">
        <v>50</v>
      </c>
      <c r="C142" s="77"/>
      <c r="D142" s="77"/>
      <c r="E142" s="75" t="s">
        <v>67</v>
      </c>
      <c r="F142" s="75"/>
      <c r="G142" s="75"/>
      <c r="H142" s="75"/>
    </row>
    <row r="143" spans="1:19" x14ac:dyDescent="0.25">
      <c r="A143" s="88">
        <v>53</v>
      </c>
      <c r="B143" s="77" t="s">
        <v>144</v>
      </c>
      <c r="C143" s="77"/>
      <c r="D143" s="77"/>
      <c r="E143" s="177" t="s">
        <v>143</v>
      </c>
      <c r="F143" s="177"/>
      <c r="G143" s="177"/>
      <c r="H143" s="177"/>
    </row>
    <row r="144" spans="1:19" ht="32.450000000000003" customHeight="1" x14ac:dyDescent="0.25">
      <c r="A144" s="88"/>
      <c r="B144" s="77"/>
      <c r="C144" s="77"/>
      <c r="D144" s="77"/>
      <c r="E144" s="130" t="s">
        <v>152</v>
      </c>
      <c r="F144" s="130"/>
      <c r="G144" s="130"/>
      <c r="H144" s="39">
        <f>H141</f>
        <v>2800</v>
      </c>
    </row>
    <row r="145" spans="1:8" x14ac:dyDescent="0.25">
      <c r="A145" s="88"/>
      <c r="B145" s="77"/>
      <c r="C145" s="77"/>
      <c r="D145" s="77"/>
      <c r="E145" s="130" t="s">
        <v>13</v>
      </c>
      <c r="F145" s="130"/>
      <c r="G145" s="130"/>
      <c r="H145" s="39">
        <v>100000</v>
      </c>
    </row>
    <row r="146" spans="1:8" ht="48.6" customHeight="1" x14ac:dyDescent="0.25">
      <c r="A146" s="10">
        <v>54</v>
      </c>
      <c r="B146" s="77" t="s">
        <v>51</v>
      </c>
      <c r="C146" s="77"/>
      <c r="D146" s="77"/>
      <c r="E146" s="75" t="s">
        <v>10</v>
      </c>
      <c r="F146" s="75"/>
      <c r="G146" s="75"/>
      <c r="H146" s="75"/>
    </row>
    <row r="147" spans="1:8" ht="33" customHeight="1" x14ac:dyDescent="0.25">
      <c r="A147" s="64">
        <v>55</v>
      </c>
      <c r="B147" s="58" t="s">
        <v>52</v>
      </c>
      <c r="C147" s="59"/>
      <c r="D147" s="60"/>
      <c r="E147" s="78" t="s">
        <v>10</v>
      </c>
      <c r="F147" s="78"/>
      <c r="G147" s="78"/>
      <c r="H147" s="78"/>
    </row>
    <row r="148" spans="1:8" ht="13.9" hidden="1" customHeight="1" x14ac:dyDescent="0.25">
      <c r="A148" s="65"/>
      <c r="B148" s="61"/>
      <c r="C148" s="202"/>
      <c r="D148" s="63"/>
      <c r="E148" s="66" t="s">
        <v>96</v>
      </c>
      <c r="F148" s="66"/>
      <c r="G148" s="66"/>
      <c r="H148" s="28">
        <v>0.1</v>
      </c>
    </row>
    <row r="149" spans="1:8" ht="13.9" hidden="1" customHeight="1" x14ac:dyDescent="0.25">
      <c r="A149" s="65"/>
      <c r="B149" s="61"/>
      <c r="C149" s="202"/>
      <c r="D149" s="63"/>
      <c r="E149" s="66" t="s">
        <v>97</v>
      </c>
      <c r="F149" s="66"/>
      <c r="G149" s="66"/>
      <c r="H149" s="28">
        <v>0.2</v>
      </c>
    </row>
    <row r="150" spans="1:8" ht="60" hidden="1" customHeight="1" x14ac:dyDescent="0.25">
      <c r="A150" s="65"/>
      <c r="B150" s="61"/>
      <c r="C150" s="202"/>
      <c r="D150" s="63"/>
      <c r="E150" s="66" t="s">
        <v>5</v>
      </c>
      <c r="F150" s="66"/>
      <c r="G150" s="66"/>
      <c r="H150" s="28">
        <v>0.15</v>
      </c>
    </row>
    <row r="151" spans="1:8" ht="51" hidden="1" customHeight="1" x14ac:dyDescent="0.25">
      <c r="A151" s="65"/>
      <c r="B151" s="61"/>
      <c r="C151" s="202"/>
      <c r="D151" s="63"/>
      <c r="E151" s="66" t="s">
        <v>98</v>
      </c>
      <c r="F151" s="66"/>
      <c r="G151" s="66"/>
      <c r="H151" s="28">
        <v>0.05</v>
      </c>
    </row>
    <row r="152" spans="1:8" ht="62.25" hidden="1" customHeight="1" x14ac:dyDescent="0.25">
      <c r="A152" s="65"/>
      <c r="B152" s="61"/>
      <c r="C152" s="202"/>
      <c r="D152" s="63"/>
      <c r="E152" s="66" t="s">
        <v>99</v>
      </c>
      <c r="F152" s="66"/>
      <c r="G152" s="66"/>
      <c r="H152" s="28">
        <v>0.05</v>
      </c>
    </row>
    <row r="153" spans="1:8" ht="62.25" hidden="1" customHeight="1" x14ac:dyDescent="0.25">
      <c r="A153" s="65"/>
      <c r="B153" s="61"/>
      <c r="C153" s="202"/>
      <c r="D153" s="63"/>
      <c r="E153" s="66" t="s">
        <v>100</v>
      </c>
      <c r="F153" s="66"/>
      <c r="G153" s="66"/>
      <c r="H153" s="28">
        <v>0.05</v>
      </c>
    </row>
    <row r="154" spans="1:8" ht="13.9" hidden="1" customHeight="1" x14ac:dyDescent="0.25">
      <c r="A154" s="65"/>
      <c r="B154" s="61"/>
      <c r="C154" s="202"/>
      <c r="D154" s="63"/>
      <c r="E154" s="66" t="s">
        <v>101</v>
      </c>
      <c r="F154" s="66"/>
      <c r="G154" s="66"/>
      <c r="H154" s="28">
        <v>0.05</v>
      </c>
    </row>
    <row r="155" spans="1:8" ht="33" hidden="1" customHeight="1" x14ac:dyDescent="0.25">
      <c r="A155" s="65"/>
      <c r="B155" s="61"/>
      <c r="C155" s="202"/>
      <c r="D155" s="63"/>
      <c r="E155" s="66" t="s">
        <v>102</v>
      </c>
      <c r="F155" s="66"/>
      <c r="G155" s="66"/>
      <c r="H155" s="28">
        <v>0.05</v>
      </c>
    </row>
    <row r="156" spans="1:8" ht="49.5" hidden="1" customHeight="1" x14ac:dyDescent="0.25">
      <c r="A156" s="65"/>
      <c r="B156" s="61"/>
      <c r="C156" s="202"/>
      <c r="D156" s="63"/>
      <c r="E156" s="66" t="s">
        <v>103</v>
      </c>
      <c r="F156" s="66"/>
      <c r="G156" s="66"/>
      <c r="H156" s="28">
        <v>0.05</v>
      </c>
    </row>
    <row r="157" spans="1:8" ht="13.9" hidden="1" customHeight="1" x14ac:dyDescent="0.25">
      <c r="A157" s="65"/>
      <c r="B157" s="61"/>
      <c r="C157" s="202"/>
      <c r="D157" s="63"/>
      <c r="E157" s="66" t="s">
        <v>104</v>
      </c>
      <c r="F157" s="66"/>
      <c r="G157" s="66"/>
      <c r="H157" s="28">
        <v>0.05</v>
      </c>
    </row>
    <row r="158" spans="1:8" ht="13.9" hidden="1" customHeight="1" x14ac:dyDescent="0.25">
      <c r="A158" s="65"/>
      <c r="B158" s="61"/>
      <c r="C158" s="202"/>
      <c r="D158" s="63"/>
      <c r="E158" s="66" t="s">
        <v>105</v>
      </c>
      <c r="F158" s="66"/>
      <c r="G158" s="66"/>
      <c r="H158" s="28">
        <v>0.05</v>
      </c>
    </row>
    <row r="159" spans="1:8" ht="13.9" hidden="1" customHeight="1" x14ac:dyDescent="0.25">
      <c r="A159" s="65"/>
      <c r="B159" s="61"/>
      <c r="C159" s="202"/>
      <c r="D159" s="63"/>
      <c r="E159" s="66" t="s">
        <v>106</v>
      </c>
      <c r="F159" s="66"/>
      <c r="G159" s="66"/>
      <c r="H159" s="28">
        <v>0.05</v>
      </c>
    </row>
    <row r="160" spans="1:8" ht="13.9" hidden="1" customHeight="1" x14ac:dyDescent="0.25">
      <c r="A160" s="65"/>
      <c r="B160" s="61"/>
      <c r="C160" s="202"/>
      <c r="D160" s="63"/>
      <c r="E160" s="66" t="s">
        <v>107</v>
      </c>
      <c r="F160" s="66"/>
      <c r="G160" s="66"/>
      <c r="H160" s="28">
        <v>0.05</v>
      </c>
    </row>
    <row r="161" spans="1:8" ht="13.9" hidden="1" customHeight="1" x14ac:dyDescent="0.25">
      <c r="A161" s="65"/>
      <c r="B161" s="61"/>
      <c r="C161" s="202"/>
      <c r="D161" s="63"/>
      <c r="E161" s="66" t="s">
        <v>108</v>
      </c>
      <c r="F161" s="66"/>
      <c r="G161" s="66"/>
      <c r="H161" s="28">
        <v>0.05</v>
      </c>
    </row>
    <row r="162" spans="1:8" ht="13.9" hidden="1" customHeight="1" x14ac:dyDescent="0.25">
      <c r="A162" s="176"/>
      <c r="B162" s="70"/>
      <c r="C162" s="71"/>
      <c r="D162" s="203"/>
      <c r="E162" s="66" t="s">
        <v>12</v>
      </c>
      <c r="F162" s="66"/>
      <c r="G162" s="66"/>
      <c r="H162" s="28">
        <f>SUM(H148:H161)</f>
        <v>1.0000000000000004</v>
      </c>
    </row>
    <row r="163" spans="1:8" ht="60" customHeight="1" x14ac:dyDescent="0.25">
      <c r="A163" s="10">
        <v>56</v>
      </c>
      <c r="B163" s="77" t="s">
        <v>53</v>
      </c>
      <c r="C163" s="77"/>
      <c r="D163" s="77"/>
      <c r="E163" s="78" t="s">
        <v>65</v>
      </c>
      <c r="F163" s="78"/>
      <c r="G163" s="78"/>
      <c r="H163" s="78"/>
    </row>
    <row r="164" spans="1:8" ht="50.45" customHeight="1" x14ac:dyDescent="0.25">
      <c r="A164" s="10">
        <v>57</v>
      </c>
      <c r="B164" s="77" t="s">
        <v>54</v>
      </c>
      <c r="C164" s="77"/>
      <c r="D164" s="77"/>
      <c r="E164" s="78" t="s">
        <v>65</v>
      </c>
      <c r="F164" s="78"/>
      <c r="G164" s="78"/>
      <c r="H164" s="78"/>
    </row>
    <row r="165" spans="1:8" ht="52.15" customHeight="1" x14ac:dyDescent="0.25">
      <c r="A165" s="10">
        <v>58</v>
      </c>
      <c r="B165" s="77" t="s">
        <v>55</v>
      </c>
      <c r="C165" s="77"/>
      <c r="D165" s="77"/>
      <c r="E165" s="78" t="s">
        <v>65</v>
      </c>
      <c r="F165" s="78"/>
      <c r="G165" s="78"/>
      <c r="H165" s="78"/>
    </row>
    <row r="166" spans="1:8" ht="62.25" customHeight="1" x14ac:dyDescent="0.25">
      <c r="A166" s="10">
        <v>59</v>
      </c>
      <c r="B166" s="77" t="s">
        <v>56</v>
      </c>
      <c r="C166" s="77"/>
      <c r="D166" s="77"/>
      <c r="E166" s="78" t="s">
        <v>65</v>
      </c>
      <c r="F166" s="78"/>
      <c r="G166" s="78"/>
      <c r="H166" s="78"/>
    </row>
    <row r="167" spans="1:8" x14ac:dyDescent="0.25">
      <c r="A167" s="10">
        <v>60</v>
      </c>
      <c r="B167" s="77" t="s">
        <v>57</v>
      </c>
      <c r="C167" s="77"/>
      <c r="D167" s="77"/>
      <c r="E167" s="77"/>
      <c r="F167" s="77"/>
      <c r="G167" s="77"/>
      <c r="H167" s="77"/>
    </row>
    <row r="168" spans="1:8" ht="34.15" customHeight="1" x14ac:dyDescent="0.25">
      <c r="A168" s="10" t="s">
        <v>58</v>
      </c>
      <c r="B168" s="77" t="s">
        <v>59</v>
      </c>
      <c r="C168" s="77"/>
      <c r="D168" s="77"/>
      <c r="E168" s="78" t="s">
        <v>65</v>
      </c>
      <c r="F168" s="78"/>
      <c r="G168" s="78"/>
      <c r="H168" s="78"/>
    </row>
    <row r="169" spans="1:8" ht="57.6" customHeight="1" x14ac:dyDescent="0.25">
      <c r="A169" s="29" t="s">
        <v>61</v>
      </c>
      <c r="B169" s="129" t="s">
        <v>60</v>
      </c>
      <c r="C169" s="129"/>
      <c r="D169" s="129"/>
      <c r="E169" s="128" t="s">
        <v>67</v>
      </c>
      <c r="F169" s="128"/>
      <c r="G169" s="128"/>
      <c r="H169" s="128"/>
    </row>
    <row r="170" spans="1:8" x14ac:dyDescent="0.25">
      <c r="A170" s="53" t="s">
        <v>146</v>
      </c>
      <c r="B170" s="53"/>
      <c r="C170" s="53"/>
      <c r="D170" s="53"/>
      <c r="E170" s="53"/>
      <c r="F170" s="53"/>
      <c r="G170" s="53"/>
      <c r="H170" s="53"/>
    </row>
    <row r="171" spans="1:8" x14ac:dyDescent="0.25">
      <c r="A171" s="34">
        <v>1</v>
      </c>
      <c r="B171" s="53" t="s">
        <v>219</v>
      </c>
      <c r="C171" s="53"/>
      <c r="D171" s="53"/>
      <c r="E171" s="53"/>
      <c r="F171" s="53"/>
      <c r="G171" s="53"/>
      <c r="H171" s="53"/>
    </row>
    <row r="172" spans="1:8" x14ac:dyDescent="0.25">
      <c r="A172" s="34">
        <f t="shared" ref="A172:A178" si="23">A171+1</f>
        <v>2</v>
      </c>
      <c r="B172" s="53" t="s">
        <v>147</v>
      </c>
      <c r="C172" s="53"/>
      <c r="D172" s="53"/>
      <c r="E172" s="53"/>
      <c r="F172" s="53"/>
      <c r="G172" s="53"/>
      <c r="H172" s="53"/>
    </row>
    <row r="173" spans="1:8" x14ac:dyDescent="0.25">
      <c r="A173" s="34">
        <f t="shared" si="23"/>
        <v>3</v>
      </c>
      <c r="B173" s="53" t="s">
        <v>148</v>
      </c>
      <c r="C173" s="53"/>
      <c r="D173" s="53"/>
      <c r="E173" s="53"/>
      <c r="F173" s="53"/>
      <c r="G173" s="53"/>
      <c r="H173" s="53"/>
    </row>
    <row r="174" spans="1:8" x14ac:dyDescent="0.25">
      <c r="A174" s="34">
        <f t="shared" si="23"/>
        <v>4</v>
      </c>
      <c r="B174" s="53" t="s">
        <v>214</v>
      </c>
      <c r="C174" s="53"/>
      <c r="D174" s="53"/>
      <c r="E174" s="53"/>
      <c r="F174" s="53"/>
      <c r="G174" s="53"/>
      <c r="H174" s="53"/>
    </row>
    <row r="175" spans="1:8" x14ac:dyDescent="0.25">
      <c r="A175" s="34">
        <f t="shared" si="23"/>
        <v>5</v>
      </c>
      <c r="B175" s="53" t="s">
        <v>149</v>
      </c>
      <c r="C175" s="53"/>
      <c r="D175" s="53"/>
      <c r="E175" s="53"/>
      <c r="F175" s="53"/>
      <c r="G175" s="53"/>
      <c r="H175" s="53"/>
    </row>
    <row r="176" spans="1:8" x14ac:dyDescent="0.25">
      <c r="A176" s="34">
        <f t="shared" si="23"/>
        <v>6</v>
      </c>
      <c r="B176" s="53" t="s">
        <v>150</v>
      </c>
      <c r="C176" s="53"/>
      <c r="D176" s="53"/>
      <c r="E176" s="53"/>
      <c r="F176" s="53"/>
      <c r="G176" s="53"/>
      <c r="H176" s="53"/>
    </row>
    <row r="177" spans="1:8" ht="30.75" customHeight="1" x14ac:dyDescent="0.25">
      <c r="A177" s="34">
        <f t="shared" si="23"/>
        <v>7</v>
      </c>
      <c r="B177" s="53" t="s">
        <v>151</v>
      </c>
      <c r="C177" s="53"/>
      <c r="D177" s="53"/>
      <c r="E177" s="53"/>
      <c r="F177" s="53"/>
      <c r="G177" s="53"/>
      <c r="H177" s="53"/>
    </row>
    <row r="178" spans="1:8" x14ac:dyDescent="0.25">
      <c r="A178" s="34">
        <f t="shared" si="23"/>
        <v>8</v>
      </c>
      <c r="B178" s="53" t="s">
        <v>224</v>
      </c>
      <c r="C178" s="53"/>
      <c r="D178" s="53"/>
      <c r="E178" s="53"/>
      <c r="F178" s="53"/>
      <c r="G178" s="53"/>
      <c r="H178" s="53"/>
    </row>
    <row r="179" spans="1:8" x14ac:dyDescent="0.25">
      <c r="A179" s="23" t="s">
        <v>82</v>
      </c>
      <c r="B179" s="24"/>
      <c r="C179" s="24"/>
      <c r="D179" s="84" t="str">
        <f>E4</f>
        <v>Elite Residency Building No.1</v>
      </c>
      <c r="E179" s="84"/>
      <c r="F179" s="84"/>
      <c r="G179" s="84"/>
      <c r="H179" s="84"/>
    </row>
    <row r="180" spans="1:8" x14ac:dyDescent="0.25">
      <c r="A180" s="24"/>
      <c r="B180" s="24"/>
      <c r="C180" s="24"/>
      <c r="D180" s="24"/>
      <c r="E180" s="24"/>
      <c r="F180" s="24"/>
      <c r="G180" s="24"/>
      <c r="H180" s="24"/>
    </row>
    <row r="181" spans="1:8" x14ac:dyDescent="0.25">
      <c r="A181" s="24"/>
      <c r="B181" s="24"/>
      <c r="C181" s="24"/>
      <c r="D181" s="24"/>
      <c r="E181" s="24"/>
      <c r="F181" s="24"/>
      <c r="G181" s="24"/>
      <c r="H181" s="24"/>
    </row>
    <row r="200" spans="3:9" x14ac:dyDescent="0.25">
      <c r="C200" s="25"/>
      <c r="F200" s="85"/>
      <c r="G200" s="85"/>
    </row>
    <row r="208" spans="3:9" x14ac:dyDescent="0.25">
      <c r="I208"/>
    </row>
    <row r="226" spans="1:1" x14ac:dyDescent="0.25">
      <c r="A226" s="26" t="s">
        <v>136</v>
      </c>
    </row>
    <row r="270" spans="1:8" x14ac:dyDescent="0.25">
      <c r="A270" s="26" t="s">
        <v>15</v>
      </c>
      <c r="B270" s="24"/>
      <c r="C270" s="24"/>
      <c r="D270" s="27"/>
      <c r="E270" s="23"/>
      <c r="F270" s="24"/>
      <c r="G270" s="24"/>
      <c r="H270" s="24"/>
    </row>
    <row r="271" spans="1:8" x14ac:dyDescent="0.25">
      <c r="A271" s="24"/>
      <c r="B271" s="24"/>
      <c r="C271" s="24"/>
      <c r="D271" s="24"/>
      <c r="E271" s="24"/>
      <c r="F271" s="24"/>
      <c r="G271" s="24"/>
      <c r="H271" s="24"/>
    </row>
    <row r="272" spans="1:8" x14ac:dyDescent="0.25">
      <c r="A272" s="24"/>
      <c r="B272" s="24"/>
      <c r="C272" s="24"/>
      <c r="D272" s="24"/>
      <c r="E272" s="24"/>
      <c r="F272" s="24"/>
      <c r="G272" s="24"/>
      <c r="H272" s="24"/>
    </row>
    <row r="291" spans="3:7" x14ac:dyDescent="0.25">
      <c r="C291" s="25"/>
      <c r="F291" s="85"/>
      <c r="G291" s="85"/>
    </row>
    <row r="306" spans="1:8" x14ac:dyDescent="0.25">
      <c r="A306" s="79" t="s">
        <v>0</v>
      </c>
      <c r="B306" s="79"/>
      <c r="C306" s="79"/>
      <c r="D306" s="79"/>
      <c r="E306" s="79"/>
      <c r="F306" s="79"/>
      <c r="G306" s="79"/>
      <c r="H306" s="79"/>
    </row>
    <row r="307" spans="1:8" x14ac:dyDescent="0.25">
      <c r="A307" s="79" t="s">
        <v>3</v>
      </c>
      <c r="B307" s="79"/>
      <c r="C307" s="79"/>
      <c r="D307" s="79"/>
      <c r="E307" s="79"/>
      <c r="F307" s="79"/>
      <c r="G307" s="79"/>
      <c r="H307" s="79"/>
    </row>
    <row r="308" spans="1:8" x14ac:dyDescent="0.25">
      <c r="A308" s="79" t="s">
        <v>1</v>
      </c>
      <c r="B308" s="79"/>
      <c r="C308" s="79"/>
      <c r="D308" s="79"/>
      <c r="E308" s="79"/>
      <c r="F308" s="79"/>
      <c r="G308" s="79"/>
      <c r="H308" s="79"/>
    </row>
    <row r="309" spans="1:8" x14ac:dyDescent="0.25">
      <c r="A309" s="79" t="s">
        <v>6</v>
      </c>
      <c r="B309" s="79"/>
      <c r="C309" s="79"/>
      <c r="D309" s="79"/>
      <c r="E309" s="79"/>
      <c r="F309" s="79"/>
      <c r="G309" s="79"/>
      <c r="H309" s="79"/>
    </row>
    <row r="310" spans="1:8" x14ac:dyDescent="0.25">
      <c r="A310" s="79" t="s">
        <v>11</v>
      </c>
      <c r="B310" s="79"/>
      <c r="C310" s="79"/>
      <c r="D310" s="79"/>
      <c r="E310" s="79"/>
      <c r="F310" s="79"/>
      <c r="G310" s="79"/>
      <c r="H310" s="79"/>
    </row>
    <row r="311" spans="1:8" x14ac:dyDescent="0.25">
      <c r="A311" s="79" t="s">
        <v>7</v>
      </c>
      <c r="B311" s="79"/>
      <c r="C311" s="79"/>
      <c r="D311" s="79"/>
      <c r="E311" s="79"/>
      <c r="F311" s="79"/>
      <c r="G311" s="79"/>
      <c r="H311" s="79"/>
    </row>
    <row r="312" spans="1:8" ht="65.25" customHeight="1" x14ac:dyDescent="0.25">
      <c r="A312" s="82" t="s">
        <v>132</v>
      </c>
      <c r="B312" s="83"/>
      <c r="C312" s="80" t="s">
        <v>194</v>
      </c>
      <c r="D312" s="80"/>
      <c r="E312" s="80" t="s">
        <v>179</v>
      </c>
      <c r="F312" s="80"/>
      <c r="G312" s="81"/>
      <c r="H312" s="81"/>
    </row>
    <row r="313" spans="1:8" x14ac:dyDescent="0.25">
      <c r="A313" s="26"/>
    </row>
  </sheetData>
  <mergeCells count="298">
    <mergeCell ref="A102:H102"/>
    <mergeCell ref="A118:H118"/>
    <mergeCell ref="B147:D162"/>
    <mergeCell ref="A147:A162"/>
    <mergeCell ref="E147:H147"/>
    <mergeCell ref="G84:H84"/>
    <mergeCell ref="G85:H85"/>
    <mergeCell ref="C81:H81"/>
    <mergeCell ref="C83:H83"/>
    <mergeCell ref="A82:B83"/>
    <mergeCell ref="C82:E82"/>
    <mergeCell ref="G82:H82"/>
    <mergeCell ref="A84:B86"/>
    <mergeCell ref="C86:H86"/>
    <mergeCell ref="C84:E85"/>
    <mergeCell ref="E155:G155"/>
    <mergeCell ref="G115:G116"/>
    <mergeCell ref="B137:D137"/>
    <mergeCell ref="B138:D138"/>
    <mergeCell ref="A97:H97"/>
    <mergeCell ref="A98:H98"/>
    <mergeCell ref="A64:B64"/>
    <mergeCell ref="C51:H51"/>
    <mergeCell ref="A53:B53"/>
    <mergeCell ref="A60:B60"/>
    <mergeCell ref="G54:H54"/>
    <mergeCell ref="A55:B55"/>
    <mergeCell ref="E55:F64"/>
    <mergeCell ref="A61:B61"/>
    <mergeCell ref="G55:H64"/>
    <mergeCell ref="A56:B56"/>
    <mergeCell ref="A5:A9"/>
    <mergeCell ref="E143:H143"/>
    <mergeCell ref="B27:D27"/>
    <mergeCell ref="A76:B76"/>
    <mergeCell ref="G76:H76"/>
    <mergeCell ref="C93:D93"/>
    <mergeCell ref="A88:H88"/>
    <mergeCell ref="A89:B89"/>
    <mergeCell ref="C89:D89"/>
    <mergeCell ref="E89:F89"/>
    <mergeCell ref="G89:H89"/>
    <mergeCell ref="A90:B90"/>
    <mergeCell ref="B26:D26"/>
    <mergeCell ref="B15:D15"/>
    <mergeCell ref="B16:D16"/>
    <mergeCell ref="B40:D40"/>
    <mergeCell ref="E40:H40"/>
    <mergeCell ref="B41:D41"/>
    <mergeCell ref="E41:H41"/>
    <mergeCell ref="A48:A49"/>
    <mergeCell ref="B49:D49"/>
    <mergeCell ref="E43:H43"/>
    <mergeCell ref="B44:D44"/>
    <mergeCell ref="B38:D38"/>
    <mergeCell ref="I122:J122"/>
    <mergeCell ref="E141:G141"/>
    <mergeCell ref="A127:H127"/>
    <mergeCell ref="A117:H117"/>
    <mergeCell ref="A140:A141"/>
    <mergeCell ref="E139:H139"/>
    <mergeCell ref="I131:J131"/>
    <mergeCell ref="B139:D139"/>
    <mergeCell ref="B39:D39"/>
    <mergeCell ref="E47:H47"/>
    <mergeCell ref="G77:H77"/>
    <mergeCell ref="E54:F54"/>
    <mergeCell ref="E73:H73"/>
    <mergeCell ref="E74:H74"/>
    <mergeCell ref="C53:H53"/>
    <mergeCell ref="A54:B54"/>
    <mergeCell ref="C76:E76"/>
    <mergeCell ref="A77:B77"/>
    <mergeCell ref="C77:E77"/>
    <mergeCell ref="E70:H70"/>
    <mergeCell ref="E67:H67"/>
    <mergeCell ref="G95:H95"/>
    <mergeCell ref="E115:E116"/>
    <mergeCell ref="F115:F116"/>
    <mergeCell ref="B37:D37"/>
    <mergeCell ref="E140:H140"/>
    <mergeCell ref="B146:D146"/>
    <mergeCell ref="E146:H146"/>
    <mergeCell ref="E166:H166"/>
    <mergeCell ref="B67:D67"/>
    <mergeCell ref="C90:D90"/>
    <mergeCell ref="B50:H50"/>
    <mergeCell ref="E69:H69"/>
    <mergeCell ref="A57:B57"/>
    <mergeCell ref="A58:B58"/>
    <mergeCell ref="A63:B63"/>
    <mergeCell ref="B43:D43"/>
    <mergeCell ref="A75:H75"/>
    <mergeCell ref="E49:H49"/>
    <mergeCell ref="A51:B51"/>
    <mergeCell ref="A62:B62"/>
    <mergeCell ref="E71:H71"/>
    <mergeCell ref="E72:H72"/>
    <mergeCell ref="B70:D70"/>
    <mergeCell ref="B69:D69"/>
    <mergeCell ref="B68:D68"/>
    <mergeCell ref="E44:H44"/>
    <mergeCell ref="B47:D47"/>
    <mergeCell ref="A1:H1"/>
    <mergeCell ref="A2:H2"/>
    <mergeCell ref="E12:H12"/>
    <mergeCell ref="E13:H13"/>
    <mergeCell ref="E14:H14"/>
    <mergeCell ref="B13:D13"/>
    <mergeCell ref="B14:D14"/>
    <mergeCell ref="B5:D6"/>
    <mergeCell ref="B4:D4"/>
    <mergeCell ref="B10:D10"/>
    <mergeCell ref="B11:D11"/>
    <mergeCell ref="E10:H10"/>
    <mergeCell ref="E11:H11"/>
    <mergeCell ref="B8:D8"/>
    <mergeCell ref="E3:H3"/>
    <mergeCell ref="B3:D3"/>
    <mergeCell ref="B12:D12"/>
    <mergeCell ref="E4:H4"/>
    <mergeCell ref="E7:H7"/>
    <mergeCell ref="E6:F6"/>
    <mergeCell ref="E5:H5"/>
    <mergeCell ref="B7:D7"/>
    <mergeCell ref="G6:H6"/>
    <mergeCell ref="B9:D9"/>
    <mergeCell ref="B17:D17"/>
    <mergeCell ref="B20:D20"/>
    <mergeCell ref="B18:D18"/>
    <mergeCell ref="B19:D19"/>
    <mergeCell ref="B21:D21"/>
    <mergeCell ref="E21:H21"/>
    <mergeCell ref="B22:D22"/>
    <mergeCell ref="E22:H22"/>
    <mergeCell ref="E17:H17"/>
    <mergeCell ref="E18:H18"/>
    <mergeCell ref="E19:H19"/>
    <mergeCell ref="E20:H20"/>
    <mergeCell ref="B25:D25"/>
    <mergeCell ref="B23:D23"/>
    <mergeCell ref="E26:H26"/>
    <mergeCell ref="E15:H15"/>
    <mergeCell ref="A59:B59"/>
    <mergeCell ref="B28:D28"/>
    <mergeCell ref="E48:H48"/>
    <mergeCell ref="E33:H33"/>
    <mergeCell ref="B48:D48"/>
    <mergeCell ref="B35:D35"/>
    <mergeCell ref="B34:D34"/>
    <mergeCell ref="E34:H34"/>
    <mergeCell ref="B29:D29"/>
    <mergeCell ref="B30:D30"/>
    <mergeCell ref="B31:D31"/>
    <mergeCell ref="B32:D32"/>
    <mergeCell ref="B33:D33"/>
    <mergeCell ref="B45:D45"/>
    <mergeCell ref="E16:H16"/>
    <mergeCell ref="B24:D24"/>
    <mergeCell ref="E24:H24"/>
    <mergeCell ref="B46:D46"/>
    <mergeCell ref="E46:H46"/>
    <mergeCell ref="B36:D36"/>
    <mergeCell ref="E169:H169"/>
    <mergeCell ref="E150:G150"/>
    <mergeCell ref="B166:D166"/>
    <mergeCell ref="E153:G153"/>
    <mergeCell ref="E156:G156"/>
    <mergeCell ref="E90:F90"/>
    <mergeCell ref="G90:H90"/>
    <mergeCell ref="F99:F100"/>
    <mergeCell ref="E137:H137"/>
    <mergeCell ref="E142:H142"/>
    <mergeCell ref="E138:H138"/>
    <mergeCell ref="E99:E100"/>
    <mergeCell ref="B140:D141"/>
    <mergeCell ref="B169:D169"/>
    <mergeCell ref="B167:H167"/>
    <mergeCell ref="E159:G159"/>
    <mergeCell ref="E144:G144"/>
    <mergeCell ref="B143:D145"/>
    <mergeCell ref="E152:G152"/>
    <mergeCell ref="E148:G148"/>
    <mergeCell ref="C94:D94"/>
    <mergeCell ref="E94:F94"/>
    <mergeCell ref="C95:D95"/>
    <mergeCell ref="E145:G145"/>
    <mergeCell ref="G99:G100"/>
    <mergeCell ref="A101:H101"/>
    <mergeCell ref="A307:H307"/>
    <mergeCell ref="E164:H164"/>
    <mergeCell ref="E162:G162"/>
    <mergeCell ref="B168:D168"/>
    <mergeCell ref="E161:G161"/>
    <mergeCell ref="E165:H165"/>
    <mergeCell ref="B163:D163"/>
    <mergeCell ref="E163:H163"/>
    <mergeCell ref="E157:G157"/>
    <mergeCell ref="E160:G160"/>
    <mergeCell ref="E151:G151"/>
    <mergeCell ref="B165:D165"/>
    <mergeCell ref="F291:G291"/>
    <mergeCell ref="E158:G158"/>
    <mergeCell ref="E149:G149"/>
    <mergeCell ref="E154:G154"/>
    <mergeCell ref="A113:H113"/>
    <mergeCell ref="A115:A116"/>
    <mergeCell ref="B115:B116"/>
    <mergeCell ref="B142:D142"/>
    <mergeCell ref="C115:C116"/>
    <mergeCell ref="D115:D116"/>
    <mergeCell ref="A87:B87"/>
    <mergeCell ref="G87:H87"/>
    <mergeCell ref="E93:F93"/>
    <mergeCell ref="A94:B94"/>
    <mergeCell ref="G93:H93"/>
    <mergeCell ref="C78:E78"/>
    <mergeCell ref="E96:F96"/>
    <mergeCell ref="G96:H96"/>
    <mergeCell ref="G78:H78"/>
    <mergeCell ref="A91:B91"/>
    <mergeCell ref="C91:D91"/>
    <mergeCell ref="E91:F91"/>
    <mergeCell ref="G91:H91"/>
    <mergeCell ref="A95:B95"/>
    <mergeCell ref="A96:B96"/>
    <mergeCell ref="A80:B81"/>
    <mergeCell ref="C79:H79"/>
    <mergeCell ref="C80:E80"/>
    <mergeCell ref="G80:H80"/>
    <mergeCell ref="E8:F8"/>
    <mergeCell ref="G8:H8"/>
    <mergeCell ref="I12:I13"/>
    <mergeCell ref="I23:J23"/>
    <mergeCell ref="I22:J22"/>
    <mergeCell ref="I24:J24"/>
    <mergeCell ref="I32:J33"/>
    <mergeCell ref="E29:H29"/>
    <mergeCell ref="E38:H38"/>
    <mergeCell ref="E25:H25"/>
    <mergeCell ref="E23:H23"/>
    <mergeCell ref="E30:H30"/>
    <mergeCell ref="E31:H31"/>
    <mergeCell ref="E32:H32"/>
    <mergeCell ref="E36:H36"/>
    <mergeCell ref="E37:H37"/>
    <mergeCell ref="E35:H35"/>
    <mergeCell ref="E27:H27"/>
    <mergeCell ref="E9:H9"/>
    <mergeCell ref="E28:H28"/>
    <mergeCell ref="A310:H310"/>
    <mergeCell ref="A308:H308"/>
    <mergeCell ref="E312:F312"/>
    <mergeCell ref="G312:H312"/>
    <mergeCell ref="E39:H39"/>
    <mergeCell ref="A312:B312"/>
    <mergeCell ref="C312:D312"/>
    <mergeCell ref="A170:H170"/>
    <mergeCell ref="B171:H171"/>
    <mergeCell ref="B172:H172"/>
    <mergeCell ref="B173:H173"/>
    <mergeCell ref="B174:H174"/>
    <mergeCell ref="B175:H175"/>
    <mergeCell ref="B176:H176"/>
    <mergeCell ref="B177:H177"/>
    <mergeCell ref="D179:H179"/>
    <mergeCell ref="A311:H311"/>
    <mergeCell ref="A306:H306"/>
    <mergeCell ref="A309:H309"/>
    <mergeCell ref="F200:G200"/>
    <mergeCell ref="C87:E87"/>
    <mergeCell ref="A143:A145"/>
    <mergeCell ref="C99:C100"/>
    <mergeCell ref="A136:H136"/>
    <mergeCell ref="B178:H178"/>
    <mergeCell ref="A40:A42"/>
    <mergeCell ref="B42:D42"/>
    <mergeCell ref="E42:H42"/>
    <mergeCell ref="B71:D74"/>
    <mergeCell ref="A71:A74"/>
    <mergeCell ref="E68:H68"/>
    <mergeCell ref="A65:A66"/>
    <mergeCell ref="B65:D66"/>
    <mergeCell ref="E65:G65"/>
    <mergeCell ref="E66:G66"/>
    <mergeCell ref="E45:H45"/>
    <mergeCell ref="B164:D164"/>
    <mergeCell ref="E168:H168"/>
    <mergeCell ref="D99:D100"/>
    <mergeCell ref="A99:A100"/>
    <mergeCell ref="B99:B100"/>
    <mergeCell ref="A114:H114"/>
    <mergeCell ref="C96:D96"/>
    <mergeCell ref="E95:F95"/>
    <mergeCell ref="A78:B79"/>
    <mergeCell ref="A93:B93"/>
    <mergeCell ref="G94:H94"/>
    <mergeCell ref="A92:H92"/>
  </mergeCells>
  <dataValidations disablePrompts="1" count="3">
    <dataValidation type="list" allowBlank="1" showInputMessage="1" showErrorMessage="1" sqref="H116 H100">
      <formula1>".45,.50,.55,.60"</formula1>
    </dataValidation>
    <dataValidation type="list" allowBlank="1" showInputMessage="1" showErrorMessage="1" sqref="E17:H17">
      <formula1>"None,Yes"</formula1>
    </dataValidation>
    <dataValidation type="list" allowBlank="1" showInputMessage="1" showErrorMessage="1" sqref="B177:H177">
      <formula1>"Recommended rate should be considered as all inclusive rate if other charges are not mentioned. (Excluding GST &amp; other government Taxes),Other charges can be considered from cost sheet. "</formula1>
    </dataValidation>
  </dataValidations>
  <hyperlinks>
    <hyperlink ref="E7" r:id="rId1"/>
  </hyperlinks>
  <printOptions horizontalCentered="1"/>
  <pageMargins left="0.23622047244094491" right="0.23622047244094491" top="0.74803149606299213" bottom="0.59055118110236227" header="0.19685039370078741" footer="0.19685039370078741"/>
  <pageSetup paperSize="2" fitToHeight="0" orientation="portrait" r:id="rId2"/>
  <headerFooter>
    <oddHeader>&amp;C&amp;"Times New Roman,Bold"&amp;20&amp;G</oddHeader>
    <oddFooter>&amp;L&amp;"Times New Roman,Bold"Ref No: &amp;F&amp;R&amp;P</oddFooter>
  </headerFooter>
  <rowBreaks count="5" manualBreakCount="5">
    <brk id="50" max="7" man="1"/>
    <brk id="74" max="7" man="1"/>
    <brk id="178" max="7" man="1"/>
    <brk id="225" max="7" man="1"/>
    <brk id="269" max="7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9:O10"/>
  <sheetViews>
    <sheetView workbookViewId="0">
      <selection activeCell="L12" sqref="L12"/>
    </sheetView>
  </sheetViews>
  <sheetFormatPr defaultRowHeight="15" x14ac:dyDescent="0.25"/>
  <sheetData>
    <row r="9" spans="11:15" x14ac:dyDescent="0.25">
      <c r="K9" s="75" t="s">
        <v>93</v>
      </c>
      <c r="L9" s="75"/>
      <c r="M9" s="75"/>
      <c r="N9" s="75"/>
      <c r="O9" s="75"/>
    </row>
    <row r="10" spans="11:15" x14ac:dyDescent="0.25">
      <c r="K10" s="75" t="s">
        <v>94</v>
      </c>
      <c r="L10" s="75"/>
      <c r="M10" s="75"/>
      <c r="N10" s="75"/>
      <c r="O10" s="75"/>
    </row>
  </sheetData>
  <mergeCells count="2">
    <mergeCell ref="K9:O9"/>
    <mergeCell ref="K10:O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VSJC-06</cp:lastModifiedBy>
  <cp:lastPrinted>2025-08-18T10:58:12Z</cp:lastPrinted>
  <dcterms:created xsi:type="dcterms:W3CDTF">2013-11-23T05:32:33Z</dcterms:created>
  <dcterms:modified xsi:type="dcterms:W3CDTF">2025-08-18T11:06:06Z</dcterms:modified>
</cp:coreProperties>
</file>