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sjadon\common drive\APF\25-26\Oct 25\Axis\Nil\Gaurav\La Mer One\"/>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 name="Construction Table" sheetId="8" r:id="rId6"/>
  </sheets>
  <definedNames>
    <definedName name="_xlnm.Print_Area" localSheetId="0">Report!$A$1:$H$304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2" i="1" l="1"/>
  <c r="I31" i="1"/>
  <c r="I67" i="1"/>
  <c r="G51" i="1"/>
  <c r="C51" i="1"/>
  <c r="F134" i="1" l="1"/>
  <c r="C80" i="1" l="1"/>
  <c r="H4" i="8"/>
  <c r="J6" i="8" l="1"/>
  <c r="D16" i="8"/>
  <c r="D10" i="8"/>
  <c r="D11" i="8"/>
  <c r="D15" i="8"/>
  <c r="D9" i="8"/>
  <c r="J8" i="8"/>
  <c r="C7" i="8" s="1"/>
  <c r="D14" i="8"/>
  <c r="D13" i="8"/>
  <c r="J7" i="8"/>
  <c r="J3" i="8"/>
  <c r="J5" i="8" s="1"/>
  <c r="D12" i="8"/>
  <c r="B4" i="8"/>
  <c r="F151" i="1"/>
  <c r="B38" i="6"/>
  <c r="B39" i="6" s="1"/>
  <c r="B40" i="6" s="1"/>
  <c r="B41" i="6" s="1"/>
  <c r="B42" i="6" s="1"/>
  <c r="B43" i="6" s="1"/>
  <c r="B44" i="6" s="1"/>
  <c r="B45" i="6" s="1"/>
  <c r="B46" i="6" s="1"/>
  <c r="B47" i="6" s="1"/>
  <c r="B48" i="6" s="1"/>
  <c r="B49" i="6" s="1"/>
  <c r="B50" i="6" s="1"/>
  <c r="B51" i="6" s="1"/>
  <c r="B52" i="6" s="1"/>
  <c r="B53" i="6" s="1"/>
  <c r="B54" i="6" s="1"/>
  <c r="D7" i="8" l="1"/>
  <c r="J9" i="8"/>
  <c r="J10" i="8" s="1"/>
  <c r="J15" i="8" s="1"/>
  <c r="J16" i="8" s="1"/>
  <c r="E7" i="8" s="1"/>
  <c r="J14" i="8"/>
  <c r="J13" i="8"/>
  <c r="J11" i="8"/>
  <c r="J12" i="8"/>
  <c r="H151" i="1"/>
  <c r="G7" i="8" l="1"/>
  <c r="D8" i="8"/>
  <c r="I4" i="8" s="1"/>
  <c r="J4" i="8"/>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17" i="1"/>
  <c r="B191" i="1"/>
  <c r="B190" i="1"/>
  <c r="F186" i="1"/>
  <c r="H186" i="1" s="1"/>
  <c r="F185" i="1"/>
  <c r="H185" i="1" s="1"/>
  <c r="F184" i="1"/>
  <c r="H184" i="1" s="1"/>
  <c r="F183" i="1"/>
  <c r="H183" i="1" s="1"/>
  <c r="F182" i="1"/>
  <c r="H182" i="1" s="1"/>
  <c r="F180" i="1"/>
  <c r="H180" i="1" s="1"/>
  <c r="F179" i="1"/>
  <c r="H179" i="1" s="1"/>
  <c r="F178" i="1"/>
  <c r="H178" i="1" s="1"/>
  <c r="F177" i="1"/>
  <c r="H177" i="1" s="1"/>
  <c r="F176" i="1"/>
  <c r="H176" i="1" s="1"/>
  <c r="F174" i="1"/>
  <c r="H174" i="1" s="1"/>
  <c r="F173" i="1"/>
  <c r="H173" i="1" s="1"/>
  <c r="F172" i="1"/>
  <c r="H172" i="1" s="1"/>
  <c r="F171" i="1"/>
  <c r="H171" i="1" s="1"/>
  <c r="F170" i="1"/>
  <c r="H170" i="1" s="1"/>
  <c r="F168" i="1"/>
  <c r="H168" i="1" s="1"/>
  <c r="F167" i="1"/>
  <c r="H167" i="1" s="1"/>
  <c r="F166" i="1"/>
  <c r="H166" i="1" s="1"/>
  <c r="F165" i="1"/>
  <c r="H165" i="1" s="1"/>
  <c r="F164" i="1"/>
  <c r="H164" i="1" s="1"/>
  <c r="A164" i="1"/>
  <c r="A165" i="1" s="1"/>
  <c r="A166" i="1" s="1"/>
  <c r="A167" i="1" s="1"/>
  <c r="A168" i="1" s="1"/>
  <c r="F162" i="1"/>
  <c r="H162" i="1" s="1"/>
  <c r="F161" i="1"/>
  <c r="H161" i="1" s="1"/>
  <c r="F160" i="1"/>
  <c r="H160" i="1" s="1"/>
  <c r="A160" i="1"/>
  <c r="A161" i="1" s="1"/>
  <c r="A162" i="1" s="1"/>
  <c r="F159" i="1"/>
  <c r="H159" i="1" s="1"/>
  <c r="F154" i="1"/>
  <c r="H154" i="1" s="1"/>
  <c r="F153" i="1"/>
  <c r="H153" i="1" s="1"/>
  <c r="F152" i="1"/>
  <c r="H152" i="1" s="1"/>
  <c r="A152" i="1"/>
  <c r="A153" i="1" s="1"/>
  <c r="A154" i="1" s="1"/>
  <c r="G145" i="1"/>
  <c r="E145" i="1"/>
  <c r="C145" i="1"/>
  <c r="C108" i="1"/>
  <c r="C94" i="1"/>
  <c r="B81" i="1"/>
  <c r="D74" i="1"/>
  <c r="G57" i="1"/>
  <c r="C57" i="1"/>
  <c r="K55" i="1"/>
  <c r="C55" i="1"/>
  <c r="E44" i="1"/>
  <c r="E45" i="1" s="1"/>
  <c r="S33" i="1"/>
  <c r="E28" i="1"/>
  <c r="E26" i="1"/>
  <c r="C16" i="1"/>
  <c r="I15" i="1"/>
  <c r="Z13" i="1"/>
  <c r="E3" i="1"/>
  <c r="B203" i="1" s="1"/>
  <c r="A182" i="1"/>
  <c r="H95" i="1"/>
  <c r="A176" i="1"/>
  <c r="H109" i="1"/>
  <c r="A170" i="1"/>
  <c r="I5" i="8" l="1"/>
  <c r="I3" i="8" s="1"/>
  <c r="C5" i="8" s="1"/>
  <c r="E42" i="7"/>
  <c r="J88" i="1"/>
  <c r="J89" i="1"/>
  <c r="B109" i="1"/>
  <c r="J117" i="1" s="1"/>
  <c r="I42" i="7"/>
  <c r="H42" i="7" s="1"/>
  <c r="L42" i="7"/>
  <c r="K42" i="7" s="1"/>
  <c r="J94" i="1"/>
  <c r="J96" i="1" s="1"/>
  <c r="D103" i="1"/>
  <c r="D102" i="1"/>
  <c r="D107" i="1"/>
  <c r="D101" i="1"/>
  <c r="J97" i="1"/>
  <c r="D106" i="1"/>
  <c r="J99" i="1"/>
  <c r="C98" i="1" s="1"/>
  <c r="D100" i="1"/>
  <c r="D105" i="1"/>
  <c r="J98" i="1"/>
  <c r="D104" i="1"/>
  <c r="D118" i="1"/>
  <c r="J112" i="1"/>
  <c r="J108" i="1"/>
  <c r="J110" i="1" s="1"/>
  <c r="J111" i="1"/>
  <c r="D116" i="1"/>
  <c r="D121" i="1"/>
  <c r="D115" i="1"/>
  <c r="D120" i="1"/>
  <c r="D114" i="1"/>
  <c r="D117" i="1"/>
  <c r="J113" i="1"/>
  <c r="C112" i="1" s="1"/>
  <c r="D112" i="1" s="1"/>
  <c r="D119" i="1"/>
  <c r="D42" i="7"/>
  <c r="L55" i="1"/>
  <c r="B95" i="1"/>
  <c r="J90" i="1"/>
  <c r="J91" i="1"/>
  <c r="I52" i="1"/>
  <c r="H81" i="1"/>
  <c r="A177" i="1"/>
  <c r="A171" i="1"/>
  <c r="A183" i="1"/>
  <c r="D92" i="1" l="1"/>
  <c r="D86" i="1"/>
  <c r="J86" i="1"/>
  <c r="J87" i="1" s="1"/>
  <c r="J92" i="1" s="1"/>
  <c r="J85" i="1"/>
  <c r="C84" i="1" s="1"/>
  <c r="D84" i="1" s="1"/>
  <c r="D91" i="1"/>
  <c r="D90" i="1"/>
  <c r="J80" i="1"/>
  <c r="J82" i="1" s="1"/>
  <c r="D89" i="1"/>
  <c r="D93" i="1"/>
  <c r="D87" i="1"/>
  <c r="J84" i="1"/>
  <c r="J83" i="1"/>
  <c r="D88" i="1"/>
  <c r="J119" i="1"/>
  <c r="J118" i="1"/>
  <c r="D44" i="7"/>
  <c r="E44" i="7"/>
  <c r="J116" i="1"/>
  <c r="J114" i="1"/>
  <c r="J115" i="1" s="1"/>
  <c r="J120" i="1" s="1"/>
  <c r="J121" i="1" s="1"/>
  <c r="C113" i="1" s="1"/>
  <c r="G112" i="1" s="1"/>
  <c r="D98" i="1"/>
  <c r="J103" i="1"/>
  <c r="J100" i="1"/>
  <c r="J101" i="1" s="1"/>
  <c r="J106" i="1" s="1"/>
  <c r="J107" i="1" s="1"/>
  <c r="J105" i="1"/>
  <c r="J102" i="1"/>
  <c r="J104" i="1"/>
  <c r="A178" i="1"/>
  <c r="A184" i="1"/>
  <c r="A172" i="1"/>
  <c r="J93" i="1" l="1"/>
  <c r="C85" i="1"/>
  <c r="G84" i="1" s="1"/>
  <c r="D78" i="1" s="1"/>
  <c r="D79" i="1" s="1"/>
  <c r="D113" i="1"/>
  <c r="I109" i="1" s="1"/>
  <c r="I110" i="1" s="1"/>
  <c r="J109" i="1"/>
  <c r="E112" i="1"/>
  <c r="E98" i="1"/>
  <c r="D99" i="1"/>
  <c r="I95" i="1" s="1"/>
  <c r="J95" i="1"/>
  <c r="G98" i="1"/>
  <c r="A173" i="1"/>
  <c r="A185" i="1"/>
  <c r="A179" i="1"/>
  <c r="J81" i="1" l="1"/>
  <c r="D85" i="1"/>
  <c r="I81" i="1" s="1"/>
  <c r="I82" i="1" s="1"/>
  <c r="E84" i="1"/>
  <c r="F79" i="1"/>
  <c r="I108" i="1"/>
  <c r="C110" i="1" s="1"/>
  <c r="I96" i="1"/>
  <c r="I94" i="1" s="1"/>
  <c r="C96" i="1" s="1"/>
  <c r="A186" i="1"/>
  <c r="A174" i="1"/>
  <c r="A180" i="1"/>
  <c r="I80" i="1" l="1"/>
  <c r="C8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7"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<sst xmlns="http://schemas.openxmlformats.org/spreadsheetml/2006/main" count="764" uniqueCount="437">
  <si>
    <t xml:space="preserve">Valuation Report </t>
  </si>
  <si>
    <t>Date:</t>
  </si>
  <si>
    <t>CPC Name:</t>
  </si>
  <si>
    <t>Date Of Property Visit</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</si>
  <si>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</si>
  <si>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</si>
  <si>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</si>
  <si>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</si>
  <si>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</si>
  <si>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</si>
  <si>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</si>
  <si>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</si>
  <si>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</si>
  <si>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</si>
  <si>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</si>
  <si>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</si>
  <si>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</si>
  <si>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</si>
  <si>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</si>
  <si>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</si>
  <si>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</si>
  <si>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</si>
  <si>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</si>
  <si>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</si>
  <si>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</si>
  <si>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</si>
  <si>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</si>
  <si>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</si>
  <si>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</si>
  <si>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</si>
  <si>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</si>
  <si>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</si>
  <si>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</si>
  <si>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</si>
  <si>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</si>
  <si>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</si>
  <si>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</si>
  <si>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</si>
  <si>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</si>
  <si>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</si>
  <si>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</si>
  <si>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</si>
  <si>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</si>
  <si>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</si>
  <si>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</si>
  <si>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</si>
  <si>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</si>
  <si>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</si>
  <si>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</si>
  <si>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</si>
  <si>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</si>
  <si>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</si>
  <si>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</si>
  <si>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</si>
  <si>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</si>
  <si>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</si>
  <si>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</si>
  <si>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</si>
  <si>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</si>
  <si>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</si>
  <si>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</si>
  <si>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</si>
  <si>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</si>
  <si>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</si>
  <si>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</si>
  <si>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</si>
  <si>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</si>
  <si>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</si>
  <si>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</si>
  <si>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</si>
  <si>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</si>
  <si>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</si>
  <si>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</si>
  <si>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</si>
  <si>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</si>
  <si>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</si>
  <si>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</si>
  <si>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</si>
  <si>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</si>
  <si>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</si>
  <si>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</si>
  <si>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</si>
  <si>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</si>
  <si>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</si>
  <si>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</si>
  <si>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</si>
  <si>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</si>
  <si>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</si>
  <si>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</si>
  <si>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</si>
  <si>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</si>
  <si>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</si>
  <si>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</si>
  <si>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</si>
  <si>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</si>
  <si>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</si>
  <si>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</si>
  <si>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</si>
  <si>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</si>
  <si>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</si>
  <si>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</si>
  <si>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</si>
  <si>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</si>
  <si>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</si>
  <si>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</si>
  <si>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</si>
  <si>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</si>
  <si>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</si>
  <si>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</si>
  <si>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</si>
  <si>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</si>
  <si>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</si>
  <si>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</si>
  <si>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</si>
  <si>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</si>
  <si>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</si>
  <si>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</si>
  <si>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</si>
  <si>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</si>
  <si>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</si>
  <si>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</si>
  <si>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</si>
  <si>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</si>
  <si>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</si>
  <si>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</si>
  <si>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</si>
  <si>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</si>
  <si>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</si>
  <si>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</si>
  <si>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</si>
  <si>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</si>
  <si>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</si>
  <si>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</si>
  <si>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</si>
  <si>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</si>
  <si>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</si>
  <si>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</si>
  <si>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</si>
  <si>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</si>
  <si>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</si>
  <si>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</si>
  <si>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</si>
  <si>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</si>
  <si>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</si>
  <si>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</si>
  <si>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</si>
  <si>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</si>
  <si>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</si>
  <si>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</si>
  <si>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</si>
  <si>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</si>
  <si>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</si>
  <si>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</si>
  <si>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</si>
  <si>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</si>
  <si>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</si>
  <si>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</si>
  <si>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</si>
  <si>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</si>
  <si>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</si>
  <si>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</si>
  <si>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</si>
  <si>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</si>
  <si>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</si>
  <si>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</si>
  <si>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</si>
  <si>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</si>
  <si>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</si>
  <si>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</si>
  <si>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</si>
  <si>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</si>
  <si>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</si>
  <si>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</si>
  <si>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</si>
  <si>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</si>
  <si>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</si>
  <si>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</si>
  <si>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</si>
  <si>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</si>
  <si>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</si>
  <si>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</si>
  <si>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</si>
  <si>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</si>
  <si>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</si>
  <si>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</si>
  <si>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</si>
  <si>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</si>
  <si>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</si>
  <si>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</si>
  <si>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</si>
  <si>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</si>
  <si>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</si>
  <si>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</si>
  <si>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</si>
  <si>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</si>
  <si>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</si>
  <si>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</si>
  <si>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</si>
  <si>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</si>
  <si>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</si>
  <si>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</si>
  <si>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</si>
  <si>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</si>
  <si>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</si>
  <si>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</si>
  <si>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</si>
  <si>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</si>
  <si>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</si>
  <si>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</si>
  <si>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</si>
  <si>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</si>
  <si>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</si>
  <si>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</si>
  <si>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</si>
  <si>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</si>
  <si>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</si>
  <si>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</si>
  <si>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</si>
  <si>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</si>
  <si>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</si>
  <si>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</si>
  <si>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</si>
  <si>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</si>
  <si>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</si>
  <si>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</si>
  <si>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</si>
  <si>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</si>
  <si>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</si>
  <si>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</si>
  <si>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</si>
  <si>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</si>
  <si>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</si>
  <si>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</si>
  <si>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</si>
  <si>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</si>
  <si>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</si>
  <si>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</si>
  <si>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</si>
  <si>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</si>
  <si>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</si>
  <si>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</si>
  <si>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</si>
  <si>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</si>
  <si>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</si>
  <si>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</si>
  <si>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</si>
  <si>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</si>
  <si>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</si>
  <si>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</si>
  <si>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</si>
  <si>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</si>
  <si>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</si>
  <si>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</si>
  <si>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</si>
  <si>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</si>
  <si>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</si>
  <si>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</si>
  <si>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</si>
  <si>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</si>
  <si>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</si>
  <si>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</si>
  <si>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</si>
  <si>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</si>
  <si>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</si>
  <si>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</si>
  <si>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</si>
  <si>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</si>
  <si>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</si>
  <si>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</si>
  <si>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</si>
  <si>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</si>
  <si>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</si>
  <si>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</si>
  <si>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</si>
  <si>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</si>
  <si>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</si>
  <si>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</si>
  <si>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</si>
  <si>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</si>
  <si>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</si>
  <si>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</si>
  <si>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</si>
  <si>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</si>
  <si>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</si>
  <si>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</si>
  <si>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</si>
  <si>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</si>
  <si>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</si>
  <si>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</si>
  <si>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</si>
  <si>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</si>
  <si>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</si>
  <si>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</si>
  <si>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</si>
  <si>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</si>
  <si>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</si>
  <si>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</si>
  <si>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</si>
  <si>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</si>
  <si>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</si>
  <si>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</si>
  <si>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</si>
  <si>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</si>
  <si>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</si>
  <si>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</si>
  <si>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</si>
  <si>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</si>
  <si>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</si>
  <si>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</si>
  <si>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</si>
  <si>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</si>
  <si>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</si>
  <si>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</si>
  <si>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</si>
  <si>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</si>
  <si>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</si>
  <si>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</si>
  <si>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</si>
  <si>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</si>
  <si>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</si>
  <si>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</si>
  <si>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</si>
  <si>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</si>
  <si>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</si>
  <si>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</si>
  <si>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</si>
  <si>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</si>
  <si>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</si>
  <si>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</si>
  <si>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</si>
  <si>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</si>
  <si>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</si>
  <si>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</si>
  <si>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</si>
  <si>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</si>
  <si>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</si>
  <si>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</si>
  <si>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</si>
  <si>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</si>
  <si>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</si>
  <si>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</si>
  <si>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</si>
  <si>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</si>
  <si>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</si>
  <si>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</si>
  <si>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</si>
  <si>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</si>
  <si>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</si>
  <si>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</si>
  <si>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</si>
  <si>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</si>
  <si>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</si>
  <si>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</si>
  <si>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</si>
  <si>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</si>
  <si>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</si>
  <si>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</si>
  <si>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</si>
  <si>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</si>
  <si>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</si>
  <si>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</si>
  <si>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</si>
  <si>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</si>
  <si>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</si>
  <si>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</si>
  <si>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</si>
  <si>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</si>
  <si>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</si>
  <si>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</si>
  <si>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</si>
  <si>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</si>
  <si>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</si>
  <si>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</si>
  <si>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</si>
  <si>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</si>
  <si>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</si>
  <si>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</si>
  <si>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</si>
  <si>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</si>
  <si>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</si>
  <si>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</si>
  <si>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</si>
  <si>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</si>
  <si>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</si>
  <si>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</si>
  <si>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</si>
  <si>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</si>
  <si>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</si>
  <si>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Truhome Vasai</t>
  </si>
  <si>
    <t>Ground + 20th Floor</t>
  </si>
  <si>
    <t xml:space="preserve">Jio Finance Table </t>
  </si>
  <si>
    <t>Truhome Finance Limited</t>
  </si>
  <si>
    <t xml:space="preserve">Recommended Rate of Parking </t>
  </si>
  <si>
    <t>P52000077903</t>
  </si>
  <si>
    <t>La Mer Homes LLP</t>
  </si>
  <si>
    <t>La Mer One</t>
  </si>
  <si>
    <t>Building No. 5 &amp; 6</t>
  </si>
  <si>
    <t>FP No</t>
  </si>
  <si>
    <t>80 &amp; Gut No. 82/3, 82/5/A, 82/5/B, 82/6, 82/7</t>
  </si>
  <si>
    <t>Palaspe</t>
  </si>
  <si>
    <t>Indian Oil Petrol Pump Palaspa</t>
  </si>
  <si>
    <t>6.6KM from Panvel Railway Station</t>
  </si>
  <si>
    <t>18.947039,73.130846</t>
  </si>
  <si>
    <t>https://maps.app.goo.gl/BEBah65wENnTKUex8</t>
  </si>
  <si>
    <t>Not Provided</t>
  </si>
  <si>
    <t>As per RERA - 31/03/2029</t>
  </si>
  <si>
    <t>Vitrified tiles flooring, Granite Kitchen Platform, Decorative Entrance, etc.</t>
  </si>
  <si>
    <r>
      <t xml:space="preserve">Proposed Amenities :                                                                                                                                                                                                                         </t>
    </r>
    <r>
      <rPr>
        <b/>
        <sz val="12"/>
        <color theme="1"/>
        <rFont val="Times New Roman"/>
        <family val="1"/>
      </rPr>
      <t xml:space="preserve">                                               </t>
    </r>
  </si>
  <si>
    <t>02 Buildings</t>
  </si>
  <si>
    <t>Building No. 5 &amp; 6 = G + 1st to 22nd Floor</t>
  </si>
  <si>
    <t>Building No. 6 = G + 1st to 22nd Floor</t>
  </si>
  <si>
    <t>Building No. 5 = G + 1st to 22nd Floor</t>
  </si>
  <si>
    <t>Residential</t>
  </si>
  <si>
    <t>Construction work is in process at the time of Visit.</t>
  </si>
  <si>
    <t>Gaurav Panchal</t>
  </si>
  <si>
    <t>Please check for High Noc.</t>
  </si>
  <si>
    <t>EE/BP/PMAY/A/MHADA/584/2023</t>
  </si>
  <si>
    <t>This CC is upto Plinth only</t>
  </si>
  <si>
    <t>EE/BP/PMAY/A/MHADA/32/2025</t>
  </si>
  <si>
    <t>Building No. 5 &amp; 6 = St + 1st to 22nd Floor</t>
  </si>
  <si>
    <t>Pg 5/76 of pdf</t>
  </si>
  <si>
    <t>Mr. Ravindra Vishwakarma</t>
  </si>
  <si>
    <t>Hibiscus Farmstays</t>
  </si>
  <si>
    <t>Open Plot</t>
  </si>
  <si>
    <t>Mumbai - Goa Hwy / NH 66</t>
  </si>
  <si>
    <t>Please provide the Legible Plans dated 08/01/2025, Fire NOC, EC, Airport NOC,    Highway Noc &amp; Sale Plan.</t>
  </si>
  <si>
    <t>Please provide legible Approved Plan, EC, Fire, Airport &amp; High Noc</t>
  </si>
  <si>
    <t>Name of the builder company as per New RERA</t>
  </si>
  <si>
    <t>Name of the builder company as per Old RERA</t>
  </si>
  <si>
    <t>Megaj Realtors Private Limited</t>
  </si>
  <si>
    <t>Mr. Yash Khedekar 7045559555</t>
  </si>
  <si>
    <t>Indian Oil Petrol Pump/Open Plot</t>
  </si>
  <si>
    <t>CC</t>
  </si>
  <si>
    <t>Mumbai - Goa Highway/ NH66</t>
  </si>
  <si>
    <t xml:space="preserve">(P5200007790), </t>
  </si>
  <si>
    <t>As per Old RERA Certificate, Builder name is Megaj Realtors Private Limited &amp; 
As per New RERA Certificate, Builder name is La Mer Homes LLP. Both RERA Certificate No. are same. Please check theses from your end.</t>
  </si>
  <si>
    <t>We are releasing Nil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</si>
</sst>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20"/>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0" fillId="0" borderId="38" xfId="0" applyBorder="1" applyAlignment="1">
      <alignment vertical="top" wrapText="1"/>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2" fontId="7" fillId="0" borderId="0" xfId="1" applyNumberFormat="1" applyFont="1"/>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7" fillId="0" borderId="0" xfId="1" applyFont="1"/>
    <xf numFmtId="0" fontId="32" fillId="0" borderId="0" xfId="1" applyFont="1"/>
    <xf numFmtId="20" fontId="7" fillId="0" borderId="0" xfId="1" applyNumberFormat="1" applyFont="1"/>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7"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5"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7" fillId="0" borderId="16"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15"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14" fontId="6" fillId="0" borderId="17" xfId="1" applyNumberFormat="1" applyFont="1" applyBorder="1" applyAlignment="1" applyProtection="1">
      <alignment horizontal="left" vertical="top" wrapText="1"/>
      <protection locked="0"/>
    </xf>
    <xf numFmtId="14" fontId="6" fillId="0" borderId="18" xfId="1" applyNumberFormat="1" applyFont="1" applyBorder="1" applyAlignment="1" applyProtection="1">
      <alignment horizontal="left" vertical="top" wrapText="1"/>
      <protection locked="0"/>
    </xf>
    <xf numFmtId="14" fontId="6" fillId="0" borderId="19" xfId="1" applyNumberFormat="1" applyFont="1" applyBorder="1" applyAlignment="1" applyProtection="1">
      <alignment horizontal="left" vertical="top" wrapText="1"/>
      <protection locked="0"/>
    </xf>
    <xf numFmtId="14" fontId="6" fillId="0" borderId="20"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9"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0" fillId="0" borderId="11" xfId="0" applyBorder="1" applyAlignment="1">
      <alignment horizontal="center"/>
    </xf>
    <xf numFmtId="0" fontId="12"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145678</xdr:colOff>
      <xdr:row>48</xdr:row>
      <xdr:rowOff>179294</xdr:rowOff>
    </xdr:from>
    <xdr:to>
      <xdr:col>12</xdr:col>
      <xdr:colOff>148590</xdr:colOff>
      <xdr:row>63</xdr:row>
      <xdr:rowOff>197311</xdr:rowOff>
    </xdr:to>
    <xdr:pic>
      <xdr:nvPicPr>
        <xdr:cNvPr id="3" name="Picture 2">
          <a:extLst>
            <a:ext uri="{FF2B5EF4-FFF2-40B4-BE49-F238E27FC236}">
              <a16:creationId xmlns:a16="http://schemas.microsoft.com/office/drawing/2014/main" xmlns="" id="{07D602F0-FEC5-4E4D-A6E9-27CD86A7867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54590" y="10074088"/>
          <a:ext cx="3600000" cy="1710105"/>
        </a:xfrm>
        <a:prstGeom prst="rect">
          <a:avLst/>
        </a:prstGeom>
      </xdr:spPr>
    </xdr:pic>
    <xdr:clientData/>
  </xdr:twoCellAnchor>
  <xdr:twoCellAnchor editAs="oneCell">
    <xdr:from>
      <xdr:col>12</xdr:col>
      <xdr:colOff>268943</xdr:colOff>
      <xdr:row>48</xdr:row>
      <xdr:rowOff>212911</xdr:rowOff>
    </xdr:from>
    <xdr:to>
      <xdr:col>17</xdr:col>
      <xdr:colOff>36531</xdr:colOff>
      <xdr:row>51</xdr:row>
      <xdr:rowOff>176021</xdr:rowOff>
    </xdr:to>
    <xdr:pic>
      <xdr:nvPicPr>
        <xdr:cNvPr id="4" name="Picture 3">
          <a:extLst>
            <a:ext uri="{FF2B5EF4-FFF2-40B4-BE49-F238E27FC236}">
              <a16:creationId xmlns:a16="http://schemas.microsoft.com/office/drawing/2014/main" xmlns="" id="{0F8AD541-C6CF-4205-9EFA-616B591DC42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174943" y="10107705"/>
          <a:ext cx="3600000" cy="792345"/>
        </a:xfrm>
        <a:prstGeom prst="rect">
          <a:avLst/>
        </a:prstGeom>
      </xdr:spPr>
    </xdr:pic>
    <xdr:clientData/>
  </xdr:twoCellAnchor>
  <xdr:twoCellAnchor editAs="oneCell">
    <xdr:from>
      <xdr:col>12</xdr:col>
      <xdr:colOff>400051</xdr:colOff>
      <xdr:row>52</xdr:row>
      <xdr:rowOff>122706</xdr:rowOff>
    </xdr:from>
    <xdr:to>
      <xdr:col>17</xdr:col>
      <xdr:colOff>174363</xdr:colOff>
      <xdr:row>70</xdr:row>
      <xdr:rowOff>20879</xdr:rowOff>
    </xdr:to>
    <xdr:pic>
      <xdr:nvPicPr>
        <xdr:cNvPr id="5" name="Picture 4">
          <a:extLst>
            <a:ext uri="{FF2B5EF4-FFF2-40B4-BE49-F238E27FC236}">
              <a16:creationId xmlns:a16="http://schemas.microsoft.com/office/drawing/2014/main" xmlns="" id="{DD18DF67-3EA1-4B9B-B4A2-2E8A03CF34B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315576" y="11190756"/>
          <a:ext cx="3603362" cy="1746023"/>
        </a:xfrm>
        <a:prstGeom prst="rect">
          <a:avLst/>
        </a:prstGeom>
      </xdr:spPr>
    </xdr:pic>
    <xdr:clientData/>
  </xdr:twoCellAnchor>
  <xdr:twoCellAnchor editAs="oneCell">
    <xdr:from>
      <xdr:col>8</xdr:col>
      <xdr:colOff>605117</xdr:colOff>
      <xdr:row>5</xdr:row>
      <xdr:rowOff>11206</xdr:rowOff>
    </xdr:from>
    <xdr:to>
      <xdr:col>13</xdr:col>
      <xdr:colOff>532411</xdr:colOff>
      <xdr:row>15</xdr:row>
      <xdr:rowOff>21037</xdr:rowOff>
    </xdr:to>
    <xdr:pic>
      <xdr:nvPicPr>
        <xdr:cNvPr id="22" name="Picture 21">
          <a:extLst>
            <a:ext uri="{FF2B5EF4-FFF2-40B4-BE49-F238E27FC236}">
              <a16:creationId xmlns:a16="http://schemas.microsoft.com/office/drawing/2014/main" xmlns="" id="{2765B977-0B37-4159-80B5-EE589BD4F47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914029" y="1400735"/>
          <a:ext cx="4320000" cy="2026890"/>
        </a:xfrm>
        <a:prstGeom prst="rect">
          <a:avLst/>
        </a:prstGeom>
      </xdr:spPr>
    </xdr:pic>
    <xdr:clientData/>
  </xdr:twoCellAnchor>
  <xdr:twoCellAnchor editAs="oneCell">
    <xdr:from>
      <xdr:col>8</xdr:col>
      <xdr:colOff>571500</xdr:colOff>
      <xdr:row>15</xdr:row>
      <xdr:rowOff>145677</xdr:rowOff>
    </xdr:from>
    <xdr:to>
      <xdr:col>13</xdr:col>
      <xdr:colOff>498794</xdr:colOff>
      <xdr:row>22</xdr:row>
      <xdr:rowOff>148332</xdr:rowOff>
    </xdr:to>
    <xdr:pic>
      <xdr:nvPicPr>
        <xdr:cNvPr id="23" name="Picture 22">
          <a:extLst>
            <a:ext uri="{FF2B5EF4-FFF2-40B4-BE49-F238E27FC236}">
              <a16:creationId xmlns:a16="http://schemas.microsoft.com/office/drawing/2014/main" xmlns="" id="{2CC49C5C-4204-41F7-AD6E-E4A90A7C8A16}"/>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880412" y="3552265"/>
          <a:ext cx="4320000" cy="2032601"/>
        </a:xfrm>
        <a:prstGeom prst="rect">
          <a:avLst/>
        </a:prstGeom>
      </xdr:spPr>
    </xdr:pic>
    <xdr:clientData/>
  </xdr:twoCellAnchor>
  <xdr:twoCellAnchor>
    <xdr:from>
      <xdr:col>0</xdr:col>
      <xdr:colOff>641207</xdr:colOff>
      <xdr:row>261</xdr:row>
      <xdr:rowOff>179294</xdr:rowOff>
    </xdr:from>
    <xdr:to>
      <xdr:col>7</xdr:col>
      <xdr:colOff>123266</xdr:colOff>
      <xdr:row>299</xdr:row>
      <xdr:rowOff>19704</xdr:rowOff>
    </xdr:to>
    <xdr:grpSp>
      <xdr:nvGrpSpPr>
        <xdr:cNvPr id="25" name="Group 24"/>
        <xdr:cNvGrpSpPr/>
      </xdr:nvGrpSpPr>
      <xdr:grpSpPr>
        <a:xfrm>
          <a:off x="641207" y="33802544"/>
          <a:ext cx="5063709" cy="7441360"/>
          <a:chOff x="641207" y="33592994"/>
          <a:chExt cx="5063709" cy="7441360"/>
        </a:xfrm>
      </xdr:grpSpPr>
      <xdr:grpSp>
        <xdr:nvGrpSpPr>
          <xdr:cNvPr id="2" name="Group 1"/>
          <xdr:cNvGrpSpPr/>
        </xdr:nvGrpSpPr>
        <xdr:grpSpPr>
          <a:xfrm>
            <a:off x="641207" y="33592994"/>
            <a:ext cx="5063709" cy="7441360"/>
            <a:chOff x="506736" y="33931412"/>
            <a:chExt cx="5062588" cy="7505233"/>
          </a:xfrm>
        </xdr:grpSpPr>
        <xdr:grpSp>
          <xdr:nvGrpSpPr>
            <xdr:cNvPr id="17" name="Group 16">
              <a:extLst>
                <a:ext uri="{FF2B5EF4-FFF2-40B4-BE49-F238E27FC236}">
                  <a16:creationId xmlns:a16="http://schemas.microsoft.com/office/drawing/2014/main" xmlns="" id="{8B6ED438-0115-4CA6-AA2F-76ABE4A3E9DB}"/>
                </a:ext>
              </a:extLst>
            </xdr:cNvPr>
            <xdr:cNvGrpSpPr/>
          </xdr:nvGrpSpPr>
          <xdr:grpSpPr>
            <a:xfrm>
              <a:off x="717177" y="33931412"/>
              <a:ext cx="4680000" cy="3120000"/>
              <a:chOff x="1089000" y="1625600"/>
              <a:chExt cx="4680000" cy="3120000"/>
            </a:xfrm>
          </xdr:grpSpPr>
          <xdr:pic>
            <xdr:nvPicPr>
              <xdr:cNvPr id="19" name="Picture 18">
                <a:extLst>
                  <a:ext uri="{FF2B5EF4-FFF2-40B4-BE49-F238E27FC236}">
                    <a16:creationId xmlns:a16="http://schemas.microsoft.com/office/drawing/2014/main" xmlns="" id="{7BEF0DA7-AB1F-49CE-AEE9-67A190CF212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089000" y="1625600"/>
                <a:ext cx="4680000" cy="3120000"/>
              </a:xfrm>
              <a:prstGeom prst="rect">
                <a:avLst/>
              </a:prstGeom>
              <a:ln>
                <a:solidFill>
                  <a:schemeClr val="tx1"/>
                </a:solidFill>
              </a:ln>
            </xdr:spPr>
          </xdr:pic>
          <xdr:sp macro="" textlink="">
            <xdr:nvSpPr>
              <xdr:cNvPr id="21" name="TextBox 22">
                <a:extLst>
                  <a:ext uri="{FF2B5EF4-FFF2-40B4-BE49-F238E27FC236}">
                    <a16:creationId xmlns:a16="http://schemas.microsoft.com/office/drawing/2014/main" xmlns="" id="{7719C314-0B7A-45B9-9AED-EB20D67AD28D}"/>
                  </a:ext>
                </a:extLst>
              </xdr:cNvPr>
              <xdr:cNvSpPr txBox="1"/>
            </xdr:nvSpPr>
            <xdr:spPr>
              <a:xfrm rot="20997715">
                <a:off x="2386322" y="2706186"/>
                <a:ext cx="129554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La Mer One</a:t>
                </a:r>
                <a:endParaRPr lang="en-IN" b="1">
                  <a:solidFill>
                    <a:srgbClr val="FFFF00"/>
                  </a:solidFill>
                </a:endParaRPr>
              </a:p>
            </xdr:txBody>
          </xdr:sp>
        </xdr:grpSp>
        <xdr:pic>
          <xdr:nvPicPr>
            <xdr:cNvPr id="18" name="Picture 17">
              <a:extLst>
                <a:ext uri="{FF2B5EF4-FFF2-40B4-BE49-F238E27FC236}">
                  <a16:creationId xmlns:a16="http://schemas.microsoft.com/office/drawing/2014/main" xmlns="" id="{CC9EBC4B-5B20-4CA1-92D8-CCEAFBD248CA}"/>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06736" y="37147805"/>
              <a:ext cx="5062588" cy="4288840"/>
            </a:xfrm>
            <a:prstGeom prst="rect">
              <a:avLst/>
            </a:prstGeom>
            <a:ln>
              <a:solidFill>
                <a:schemeClr val="tx1"/>
              </a:solidFill>
            </a:ln>
          </xdr:spPr>
        </xdr:pic>
      </xdr:grpSp>
      <xdr:sp macro="" textlink="">
        <xdr:nvSpPr>
          <xdr:cNvPr id="24" name="Freeform 23"/>
          <xdr:cNvSpPr/>
        </xdr:nvSpPr>
        <xdr:spPr>
          <a:xfrm>
            <a:off x="2276475" y="33870900"/>
            <a:ext cx="2600325" cy="2143125"/>
          </a:xfrm>
          <a:custGeom>
            <a:avLst/>
            <a:gdLst>
              <a:gd name="connsiteX0" fmla="*/ 47625 w 2600325"/>
              <a:gd name="connsiteY0" fmla="*/ 1181100 h 2143125"/>
              <a:gd name="connsiteX1" fmla="*/ 0 w 2600325"/>
              <a:gd name="connsiteY1" fmla="*/ 1609725 h 2143125"/>
              <a:gd name="connsiteX2" fmla="*/ 171450 w 2600325"/>
              <a:gd name="connsiteY2" fmla="*/ 2143125 h 2143125"/>
              <a:gd name="connsiteX3" fmla="*/ 1133475 w 2600325"/>
              <a:gd name="connsiteY3" fmla="*/ 1933575 h 2143125"/>
              <a:gd name="connsiteX4" fmla="*/ 1809750 w 2600325"/>
              <a:gd name="connsiteY4" fmla="*/ 1819275 h 2143125"/>
              <a:gd name="connsiteX5" fmla="*/ 2257425 w 2600325"/>
              <a:gd name="connsiteY5" fmla="*/ 1400175 h 2143125"/>
              <a:gd name="connsiteX6" fmla="*/ 2600325 w 2600325"/>
              <a:gd name="connsiteY6" fmla="*/ 1323975 h 2143125"/>
              <a:gd name="connsiteX7" fmla="*/ 2257425 w 2600325"/>
              <a:gd name="connsiteY7" fmla="*/ 57150 h 2143125"/>
              <a:gd name="connsiteX8" fmla="*/ 1514475 w 2600325"/>
              <a:gd name="connsiteY8" fmla="*/ 0 h 2143125"/>
              <a:gd name="connsiteX9" fmla="*/ 1524000 w 2600325"/>
              <a:gd name="connsiteY9" fmla="*/ 1019175 h 2143125"/>
              <a:gd name="connsiteX10" fmla="*/ 47625 w 2600325"/>
              <a:gd name="connsiteY10" fmla="*/ 1181100 h 21431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600325" h="2143125">
                <a:moveTo>
                  <a:pt x="47625" y="1181100"/>
                </a:moveTo>
                <a:lnTo>
                  <a:pt x="0" y="1609725"/>
                </a:lnTo>
                <a:lnTo>
                  <a:pt x="171450" y="2143125"/>
                </a:lnTo>
                <a:lnTo>
                  <a:pt x="1133475" y="1933575"/>
                </a:lnTo>
                <a:lnTo>
                  <a:pt x="1809750" y="1819275"/>
                </a:lnTo>
                <a:lnTo>
                  <a:pt x="2257425" y="1400175"/>
                </a:lnTo>
                <a:lnTo>
                  <a:pt x="2600325" y="1323975"/>
                </a:lnTo>
                <a:lnTo>
                  <a:pt x="2257425" y="57150"/>
                </a:lnTo>
                <a:lnTo>
                  <a:pt x="1514475" y="0"/>
                </a:lnTo>
                <a:lnTo>
                  <a:pt x="1524000" y="1019175"/>
                </a:lnTo>
                <a:lnTo>
                  <a:pt x="47625" y="118110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109056</xdr:colOff>
      <xdr:row>218</xdr:row>
      <xdr:rowOff>12886</xdr:rowOff>
    </xdr:from>
    <xdr:to>
      <xdr:col>7</xdr:col>
      <xdr:colOff>644842</xdr:colOff>
      <xdr:row>249</xdr:row>
      <xdr:rowOff>66674</xdr:rowOff>
    </xdr:to>
    <xdr:grpSp>
      <xdr:nvGrpSpPr>
        <xdr:cNvPr id="27" name="Group 26"/>
        <xdr:cNvGrpSpPr/>
      </xdr:nvGrpSpPr>
      <xdr:grpSpPr>
        <a:xfrm>
          <a:off x="109056" y="25044586"/>
          <a:ext cx="6117436" cy="6245038"/>
          <a:chOff x="109056" y="25196986"/>
          <a:chExt cx="6117436" cy="6245038"/>
        </a:xfrm>
      </xdr:grpSpPr>
      <xdr:grpSp>
        <xdr:nvGrpSpPr>
          <xdr:cNvPr id="6" name="Group 5">
            <a:extLst>
              <a:ext uri="{FF2B5EF4-FFF2-40B4-BE49-F238E27FC236}">
                <a16:creationId xmlns:a16="http://schemas.microsoft.com/office/drawing/2014/main" xmlns="" id="{FCA73F2E-95A7-4B70-8207-2D0AF474EE12}"/>
              </a:ext>
            </a:extLst>
          </xdr:cNvPr>
          <xdr:cNvGrpSpPr/>
        </xdr:nvGrpSpPr>
        <xdr:grpSpPr>
          <a:xfrm>
            <a:off x="109056" y="25196986"/>
            <a:ext cx="6112765" cy="6245038"/>
            <a:chOff x="176352" y="431019"/>
            <a:chExt cx="6404725" cy="6467297"/>
          </a:xfrm>
        </xdr:grpSpPr>
        <xdr:grpSp>
          <xdr:nvGrpSpPr>
            <xdr:cNvPr id="7" name="Group 6">
              <a:extLst>
                <a:ext uri="{FF2B5EF4-FFF2-40B4-BE49-F238E27FC236}">
                  <a16:creationId xmlns:a16="http://schemas.microsoft.com/office/drawing/2014/main" xmlns="" id="{BCF777C7-65DF-4239-9434-87AB7B6580EF}"/>
                </a:ext>
              </a:extLst>
            </xdr:cNvPr>
            <xdr:cNvGrpSpPr/>
          </xdr:nvGrpSpPr>
          <xdr:grpSpPr>
            <a:xfrm>
              <a:off x="176352" y="431019"/>
              <a:ext cx="6404725" cy="6467297"/>
              <a:chOff x="176352" y="431019"/>
              <a:chExt cx="6404725" cy="6467297"/>
            </a:xfrm>
          </xdr:grpSpPr>
          <xdr:pic>
            <xdr:nvPicPr>
              <xdr:cNvPr id="10" name="Picture 9">
                <a:extLst>
                  <a:ext uri="{FF2B5EF4-FFF2-40B4-BE49-F238E27FC236}">
                    <a16:creationId xmlns:a16="http://schemas.microsoft.com/office/drawing/2014/main" xmlns="" id="{D364B533-0C6C-49E1-A699-51A91745B71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6352" y="431019"/>
                <a:ext cx="3162058" cy="2373741"/>
              </a:xfrm>
              <a:prstGeom prst="rect">
                <a:avLst/>
              </a:prstGeom>
              <a:ln>
                <a:solidFill>
                  <a:schemeClr val="tx1"/>
                </a:solidFill>
              </a:ln>
            </xdr:spPr>
          </xdr:pic>
          <xdr:pic>
            <xdr:nvPicPr>
              <xdr:cNvPr id="11" name="Picture 10">
                <a:extLst>
                  <a:ext uri="{FF2B5EF4-FFF2-40B4-BE49-F238E27FC236}">
                    <a16:creationId xmlns:a16="http://schemas.microsoft.com/office/drawing/2014/main" xmlns="" id="{6790AC87-9377-4A9B-9281-AAFE58DC4A9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19019" y="431019"/>
                <a:ext cx="3162058" cy="2373741"/>
              </a:xfrm>
              <a:prstGeom prst="rect">
                <a:avLst/>
              </a:prstGeom>
              <a:ln>
                <a:solidFill>
                  <a:schemeClr val="tx1"/>
                </a:solidFill>
              </a:ln>
            </xdr:spPr>
          </xdr:pic>
          <xdr:pic>
            <xdr:nvPicPr>
              <xdr:cNvPr id="13" name="Picture 12">
                <a:extLst>
                  <a:ext uri="{FF2B5EF4-FFF2-40B4-BE49-F238E27FC236}">
                    <a16:creationId xmlns:a16="http://schemas.microsoft.com/office/drawing/2014/main" xmlns="" id="{EDB1D18D-BB06-4017-9CFE-6E3DD437D04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1846" y="2887859"/>
                <a:ext cx="3143368" cy="2359710"/>
              </a:xfrm>
              <a:prstGeom prst="rect">
                <a:avLst/>
              </a:prstGeom>
              <a:ln>
                <a:solidFill>
                  <a:schemeClr val="tx1"/>
                </a:solidFill>
              </a:ln>
            </xdr:spPr>
          </xdr:pic>
          <xdr:pic>
            <xdr:nvPicPr>
              <xdr:cNvPr id="14" name="Picture 13">
                <a:extLst>
                  <a:ext uri="{FF2B5EF4-FFF2-40B4-BE49-F238E27FC236}">
                    <a16:creationId xmlns:a16="http://schemas.microsoft.com/office/drawing/2014/main" xmlns="" id="{395EEF46-B429-49AE-984D-46B3F0221C02}"/>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84454" y="5348114"/>
                <a:ext cx="2065022" cy="1550202"/>
              </a:xfrm>
              <a:prstGeom prst="rect">
                <a:avLst/>
              </a:prstGeom>
              <a:ln>
                <a:solidFill>
                  <a:schemeClr val="tx1"/>
                </a:solidFill>
              </a:ln>
            </xdr:spPr>
          </xdr:pic>
          <xdr:pic>
            <xdr:nvPicPr>
              <xdr:cNvPr id="15" name="Picture 14">
                <a:extLst>
                  <a:ext uri="{FF2B5EF4-FFF2-40B4-BE49-F238E27FC236}">
                    <a16:creationId xmlns:a16="http://schemas.microsoft.com/office/drawing/2014/main" xmlns="" id="{49D2B5D4-1389-4127-8179-D9F2249FEAA3}"/>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340307" y="5338251"/>
                <a:ext cx="2065022" cy="1550203"/>
              </a:xfrm>
              <a:prstGeom prst="rect">
                <a:avLst/>
              </a:prstGeom>
              <a:ln>
                <a:solidFill>
                  <a:schemeClr val="tx1"/>
                </a:solidFill>
              </a:ln>
            </xdr:spPr>
          </xdr:pic>
          <xdr:pic>
            <xdr:nvPicPr>
              <xdr:cNvPr id="16" name="Picture 15">
                <a:extLst>
                  <a:ext uri="{FF2B5EF4-FFF2-40B4-BE49-F238E27FC236}">
                    <a16:creationId xmlns:a16="http://schemas.microsoft.com/office/drawing/2014/main" xmlns="" id="{54DF5ED5-3C20-4629-9178-7D6AF54D953C}"/>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496160" y="5338250"/>
                <a:ext cx="2065022" cy="1550202"/>
              </a:xfrm>
              <a:prstGeom prst="rect">
                <a:avLst/>
              </a:prstGeom>
              <a:ln>
                <a:solidFill>
                  <a:schemeClr val="tx1"/>
                </a:solidFill>
              </a:ln>
            </xdr:spPr>
          </xdr:pic>
        </xdr:grpSp>
        <xdr:sp macro="" textlink="">
          <xdr:nvSpPr>
            <xdr:cNvPr id="8" name="TextBox 16">
              <a:extLst>
                <a:ext uri="{FF2B5EF4-FFF2-40B4-BE49-F238E27FC236}">
                  <a16:creationId xmlns:a16="http://schemas.microsoft.com/office/drawing/2014/main" xmlns="" id="{114B54A6-A1A3-4C2B-A9E5-31A54C649682}"/>
                </a:ext>
              </a:extLst>
            </xdr:cNvPr>
            <xdr:cNvSpPr txBox="1"/>
          </xdr:nvSpPr>
          <xdr:spPr>
            <a:xfrm>
              <a:off x="885859" y="1497276"/>
              <a:ext cx="1642036" cy="3977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5</a:t>
              </a:r>
              <a:endParaRPr lang="en-IN" b="1">
                <a:solidFill>
                  <a:srgbClr val="FFFF00"/>
                </a:solidFill>
              </a:endParaRPr>
            </a:p>
          </xdr:txBody>
        </xdr:sp>
        <xdr:sp macro="" textlink="">
          <xdr:nvSpPr>
            <xdr:cNvPr id="9" name="TextBox 17">
              <a:extLst>
                <a:ext uri="{FF2B5EF4-FFF2-40B4-BE49-F238E27FC236}">
                  <a16:creationId xmlns:a16="http://schemas.microsoft.com/office/drawing/2014/main" xmlns="" id="{1EA3714A-63B6-4493-BF0F-4AC207CCF7A9}"/>
                </a:ext>
              </a:extLst>
            </xdr:cNvPr>
            <xdr:cNvSpPr txBox="1"/>
          </xdr:nvSpPr>
          <xdr:spPr>
            <a:xfrm>
              <a:off x="4273770" y="504019"/>
              <a:ext cx="1664244" cy="3977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6</a:t>
              </a:r>
              <a:endParaRPr lang="en-IN" b="1">
                <a:solidFill>
                  <a:srgbClr val="FFFF00"/>
                </a:solidFill>
              </a:endParaRPr>
            </a:p>
          </xdr:txBody>
        </xdr:sp>
      </xdr:grpSp>
      <xdr:pic>
        <xdr:nvPicPr>
          <xdr:cNvPr id="26" name="Picture 25" descr="https://vsjcllp.vsjadon.com/upload/insp-244285-84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185840" y="27565349"/>
            <a:ext cx="3040652" cy="22826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EBah65wENnTKUex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61"/>
  <sheetViews>
    <sheetView tabSelected="1" view="pageBreakPreview" zoomScaleNormal="100" zoomScaleSheetLayoutView="100" zoomScalePageLayoutView="85" workbookViewId="0">
      <selection activeCell="J74" sqref="J74"/>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35">
      <c r="A1" s="184" t="s">
        <v>379</v>
      </c>
      <c r="B1" s="184"/>
      <c r="C1" s="184"/>
      <c r="D1" s="184"/>
      <c r="E1" s="184"/>
      <c r="F1" s="184"/>
      <c r="G1" s="184"/>
      <c r="H1" s="184"/>
      <c r="I1" s="104" t="s">
        <v>426</v>
      </c>
    </row>
    <row r="2" spans="1:26" ht="16.5" customHeight="1" x14ac:dyDescent="0.25">
      <c r="A2" s="185" t="s">
        <v>0</v>
      </c>
      <c r="B2" s="185"/>
      <c r="C2" s="185"/>
      <c r="D2" s="185"/>
      <c r="E2" s="185"/>
      <c r="F2" s="185"/>
      <c r="G2" s="185"/>
      <c r="H2" s="185"/>
    </row>
    <row r="3" spans="1:26" x14ac:dyDescent="0.25">
      <c r="A3" s="175" t="s">
        <v>1</v>
      </c>
      <c r="B3" s="175"/>
      <c r="C3" s="175"/>
      <c r="D3" s="175"/>
      <c r="E3" s="175" t="str">
        <f ca="1">TEXT(TODAY(),"DD/MM/YYYY")</f>
        <v>03/10/2025</v>
      </c>
      <c r="F3" s="175"/>
      <c r="G3" s="175"/>
      <c r="H3" s="175"/>
      <c r="K3" s="56" t="s">
        <v>236</v>
      </c>
      <c r="L3" s="54" t="s">
        <v>234</v>
      </c>
      <c r="M3" s="54" t="s">
        <v>239</v>
      </c>
      <c r="N3" s="54" t="s">
        <v>391</v>
      </c>
      <c r="O3" s="54" t="s">
        <v>356</v>
      </c>
      <c r="P3" s="54" t="s">
        <v>382</v>
      </c>
    </row>
    <row r="4" spans="1:26" ht="15" customHeight="1" x14ac:dyDescent="0.25">
      <c r="A4" s="175" t="s">
        <v>233</v>
      </c>
      <c r="B4" s="175"/>
      <c r="C4" s="175"/>
      <c r="D4" s="175"/>
      <c r="E4" s="187" t="s">
        <v>234</v>
      </c>
      <c r="F4" s="187"/>
      <c r="G4" s="187"/>
      <c r="H4" s="187"/>
      <c r="K4" s="53" t="s">
        <v>235</v>
      </c>
      <c r="L4" s="54" t="s">
        <v>169</v>
      </c>
      <c r="M4" s="54" t="s">
        <v>244</v>
      </c>
      <c r="N4" s="54" t="s">
        <v>388</v>
      </c>
      <c r="O4" s="54" t="s">
        <v>341</v>
      </c>
      <c r="P4" s="54" t="s">
        <v>383</v>
      </c>
    </row>
    <row r="5" spans="1:26" ht="15" customHeight="1" x14ac:dyDescent="0.25">
      <c r="A5" s="175" t="s">
        <v>2</v>
      </c>
      <c r="B5" s="175"/>
      <c r="C5" s="175"/>
      <c r="D5" s="175"/>
      <c r="E5" s="187" t="s">
        <v>242</v>
      </c>
      <c r="F5" s="187"/>
      <c r="G5" s="187"/>
      <c r="H5" s="187"/>
      <c r="K5" s="53"/>
      <c r="L5" s="54" t="s">
        <v>241</v>
      </c>
      <c r="M5" s="54" t="s">
        <v>245</v>
      </c>
      <c r="N5" s="54" t="s">
        <v>247</v>
      </c>
      <c r="O5" s="54" t="s">
        <v>342</v>
      </c>
      <c r="P5" s="54"/>
    </row>
    <row r="6" spans="1:26" x14ac:dyDescent="0.25">
      <c r="A6" s="175" t="s">
        <v>3</v>
      </c>
      <c r="B6" s="175"/>
      <c r="C6" s="175"/>
      <c r="D6" s="175"/>
      <c r="E6" s="188">
        <v>45885</v>
      </c>
      <c r="F6" s="175"/>
      <c r="G6" s="175"/>
      <c r="H6" s="175"/>
      <c r="K6" s="53"/>
      <c r="L6" s="54" t="s">
        <v>242</v>
      </c>
      <c r="M6" s="54" t="s">
        <v>354</v>
      </c>
      <c r="N6" s="54"/>
      <c r="O6" s="54" t="s">
        <v>343</v>
      </c>
      <c r="P6" s="54"/>
    </row>
    <row r="7" spans="1:26" ht="16.5" customHeight="1" x14ac:dyDescent="0.25">
      <c r="A7" s="284" t="s">
        <v>428</v>
      </c>
      <c r="B7" s="284"/>
      <c r="C7" s="284"/>
      <c r="D7" s="284"/>
      <c r="E7" s="175" t="s">
        <v>429</v>
      </c>
      <c r="F7" s="175"/>
      <c r="G7" s="175"/>
      <c r="H7" s="175"/>
      <c r="K7" s="53"/>
      <c r="L7" s="54" t="s">
        <v>243</v>
      </c>
      <c r="M7" s="54"/>
      <c r="N7" s="54"/>
      <c r="O7" s="54" t="s">
        <v>343</v>
      </c>
      <c r="P7" s="54"/>
    </row>
    <row r="8" spans="1:26" ht="15" customHeight="1" x14ac:dyDescent="0.25">
      <c r="A8" s="175" t="s">
        <v>427</v>
      </c>
      <c r="B8" s="175"/>
      <c r="C8" s="175"/>
      <c r="D8" s="175"/>
      <c r="E8" s="175" t="s">
        <v>394</v>
      </c>
      <c r="F8" s="175"/>
      <c r="G8" s="175"/>
      <c r="H8" s="175"/>
      <c r="K8" s="53"/>
      <c r="L8" s="54"/>
      <c r="M8" s="54"/>
      <c r="N8" s="54"/>
      <c r="O8" s="54" t="s">
        <v>344</v>
      </c>
      <c r="P8" s="54"/>
    </row>
    <row r="9" spans="1:26" x14ac:dyDescent="0.25">
      <c r="A9" s="175" t="s">
        <v>4</v>
      </c>
      <c r="B9" s="175"/>
      <c r="C9" s="175"/>
      <c r="D9" s="175"/>
      <c r="E9" s="186" t="s">
        <v>395</v>
      </c>
      <c r="F9" s="186"/>
      <c r="G9" s="186"/>
      <c r="H9" s="186"/>
      <c r="K9" s="53"/>
      <c r="L9" s="54"/>
      <c r="M9" s="54"/>
      <c r="N9" s="54"/>
      <c r="O9" s="54" t="s">
        <v>345</v>
      </c>
      <c r="P9" s="54"/>
    </row>
    <row r="10" spans="1:26" x14ac:dyDescent="0.25">
      <c r="A10" s="175" t="s">
        <v>165</v>
      </c>
      <c r="B10" s="175"/>
      <c r="C10" s="175"/>
      <c r="D10" s="175"/>
      <c r="E10" s="175">
        <v>8286398268</v>
      </c>
      <c r="F10" s="175"/>
      <c r="G10" s="175"/>
      <c r="H10" s="175"/>
      <c r="K10" s="53"/>
      <c r="L10" s="54"/>
      <c r="M10" s="54"/>
      <c r="N10" s="54"/>
      <c r="O10" s="54" t="s">
        <v>346</v>
      </c>
      <c r="P10" s="54"/>
    </row>
    <row r="11" spans="1:26" x14ac:dyDescent="0.25">
      <c r="A11" s="175" t="s">
        <v>166</v>
      </c>
      <c r="B11" s="175"/>
      <c r="C11" s="175"/>
      <c r="D11" s="175"/>
      <c r="E11" s="175" t="s">
        <v>430</v>
      </c>
      <c r="F11" s="175"/>
      <c r="G11" s="175"/>
      <c r="H11" s="175"/>
      <c r="O11" s="54" t="s">
        <v>347</v>
      </c>
    </row>
    <row r="12" spans="1:26" x14ac:dyDescent="0.25">
      <c r="A12" s="175" t="s">
        <v>5</v>
      </c>
      <c r="B12" s="175"/>
      <c r="C12" s="175"/>
      <c r="D12" s="175"/>
      <c r="E12" s="175" t="s">
        <v>396</v>
      </c>
      <c r="F12" s="175"/>
      <c r="G12" s="175"/>
      <c r="H12" s="175"/>
    </row>
    <row r="13" spans="1:26" x14ac:dyDescent="0.25">
      <c r="A13" s="187" t="s">
        <v>170</v>
      </c>
      <c r="B13" s="187"/>
      <c r="C13" s="187"/>
      <c r="D13" s="187"/>
      <c r="E13" s="175" t="s">
        <v>26</v>
      </c>
      <c r="F13" s="175"/>
      <c r="G13" s="175"/>
      <c r="H13" s="175"/>
      <c r="S13" s="54" t="s">
        <v>179</v>
      </c>
      <c r="T13" s="54" t="s">
        <v>188</v>
      </c>
      <c r="U13" s="54" t="s">
        <v>171</v>
      </c>
      <c r="V13" s="54" t="s">
        <v>193</v>
      </c>
      <c r="W13" s="54" t="s">
        <v>211</v>
      </c>
      <c r="X13"/>
      <c r="Y13" t="s">
        <v>193</v>
      </c>
      <c r="Z13" t="e">
        <f ca="1">OFFSET($S$13,1,MATCH($G20,$S$13:$W$13,0)-1,15,1)</f>
        <v>#VALUE!</v>
      </c>
    </row>
    <row r="14" spans="1:26" x14ac:dyDescent="0.25">
      <c r="A14" s="285" t="s">
        <v>279</v>
      </c>
      <c r="B14" s="285"/>
      <c r="C14" s="285"/>
      <c r="D14" s="285"/>
      <c r="E14" s="189" t="s">
        <v>432</v>
      </c>
      <c r="F14" s="189"/>
      <c r="G14" s="189"/>
      <c r="H14" s="189"/>
      <c r="S14" s="54" t="s">
        <v>179</v>
      </c>
      <c r="T14" s="54" t="s">
        <v>186</v>
      </c>
      <c r="U14" s="54" t="s">
        <v>208</v>
      </c>
      <c r="V14" s="54" t="s">
        <v>194</v>
      </c>
      <c r="W14" s="54" t="s">
        <v>212</v>
      </c>
      <c r="X14"/>
      <c r="Y14"/>
      <c r="Z14"/>
    </row>
    <row r="15" spans="1:26" x14ac:dyDescent="0.25">
      <c r="A15" s="132" t="s">
        <v>6</v>
      </c>
      <c r="B15" s="132"/>
      <c r="C15" s="132"/>
      <c r="D15" s="132"/>
      <c r="E15" s="189" t="s">
        <v>393</v>
      </c>
      <c r="F15" s="187"/>
      <c r="G15" s="187"/>
      <c r="H15" s="187"/>
      <c r="I15" s="133" t="e">
        <f ca="1">OFFSET($D$5,1,MATCH($J13,$D$5:$H$5,0)-1,15,1)</f>
        <v>#N/A</v>
      </c>
      <c r="J15" s="134"/>
      <c r="K15" s="134"/>
      <c r="L15" s="134"/>
      <c r="M15" s="134"/>
      <c r="N15" s="134"/>
      <c r="O15" s="134"/>
      <c r="P15" s="134"/>
      <c r="S15" s="54" t="s">
        <v>180</v>
      </c>
      <c r="T15" s="54" t="s">
        <v>187</v>
      </c>
      <c r="U15" s="54" t="s">
        <v>209</v>
      </c>
      <c r="V15" s="54" t="s">
        <v>195</v>
      </c>
      <c r="W15" s="54" t="s">
        <v>225</v>
      </c>
      <c r="X15"/>
      <c r="Y15"/>
      <c r="Z15"/>
    </row>
    <row r="16" spans="1:26" ht="48.75" customHeight="1" x14ac:dyDescent="0.25">
      <c r="A16" s="121" t="s">
        <v>7</v>
      </c>
      <c r="B16" s="121"/>
      <c r="C16" s="121" t="str">
        <f>CONCATENATE((IF(OR(E9="",E9="NA"),"",E9)),", ",(IF(OR(A17="",A17="NA"),"",A17)),".",(IF(OR(C17="",C17="NA"),"",C17)),", near ",(IF(OR(C22="",C22="NA"),"",C22)),", ",(IF(OR(C19="",C19="NA"),"",C19)),", ",(IF(OR(C18="",C18="NA"),"",C18)),", ",(IF(OR(G19="",G19="NA"),"",G19)),", ",(IF(OR(C20="",C20="NA"),"",C20)),", ",(IF(OR(C21="",C21="NA"),"",C21)),", ",(IF(OR(G20="",G20="NA"),"",G20))," - ",(IF(OR(G21="",G21="NA"),"",G21)),".")</f>
        <v>La Mer One, FP No.80 &amp; Gut No. 82/3, 82/5/A, 82/5/B, 82/6, 82/7, near Indian Oil Petrol Pump Palaspa, Mumbai - Goa Highway/ NH66, Palaspe, Palaspe, Panvel, Panvel, Raigad - 420221.</v>
      </c>
      <c r="D16" s="121"/>
      <c r="E16" s="121"/>
      <c r="F16" s="121"/>
      <c r="G16" s="121"/>
      <c r="H16" s="121"/>
      <c r="S16" s="54" t="s">
        <v>181</v>
      </c>
      <c r="T16" s="54" t="s">
        <v>189</v>
      </c>
      <c r="U16" s="54" t="s">
        <v>210</v>
      </c>
      <c r="V16" s="54" t="s">
        <v>196</v>
      </c>
      <c r="W16" s="54" t="s">
        <v>213</v>
      </c>
      <c r="X16"/>
      <c r="Y16"/>
      <c r="Z16"/>
    </row>
    <row r="17" spans="1:26" x14ac:dyDescent="0.25">
      <c r="A17" s="189" t="s">
        <v>397</v>
      </c>
      <c r="B17" s="189"/>
      <c r="C17" s="189" t="s">
        <v>398</v>
      </c>
      <c r="D17" s="189"/>
      <c r="E17" s="189"/>
      <c r="F17" s="189"/>
      <c r="G17" s="189"/>
      <c r="H17" s="189"/>
      <c r="S17" s="54" t="s">
        <v>182</v>
      </c>
      <c r="T17" s="54" t="s">
        <v>190</v>
      </c>
      <c r="U17" s="54" t="s">
        <v>171</v>
      </c>
      <c r="V17" s="54" t="s">
        <v>197</v>
      </c>
      <c r="W17" s="54" t="s">
        <v>214</v>
      </c>
      <c r="X17"/>
      <c r="Y17"/>
      <c r="Z17"/>
    </row>
    <row r="18" spans="1:26" ht="15.75" customHeight="1" x14ac:dyDescent="0.25">
      <c r="A18" s="190" t="s">
        <v>162</v>
      </c>
      <c r="B18" s="190"/>
      <c r="C18" s="190" t="s">
        <v>399</v>
      </c>
      <c r="D18" s="190"/>
      <c r="E18" s="190"/>
      <c r="F18" s="190"/>
      <c r="G18" s="190"/>
      <c r="H18" s="190"/>
      <c r="S18" s="54" t="s">
        <v>183</v>
      </c>
      <c r="T18" s="54" t="s">
        <v>188</v>
      </c>
      <c r="U18" s="54"/>
      <c r="V18" s="54" t="s">
        <v>198</v>
      </c>
      <c r="W18" s="54" t="s">
        <v>215</v>
      </c>
      <c r="X18"/>
      <c r="Y18"/>
      <c r="Z18"/>
    </row>
    <row r="19" spans="1:26" x14ac:dyDescent="0.25">
      <c r="A19" s="121" t="s">
        <v>8</v>
      </c>
      <c r="B19" s="121"/>
      <c r="C19" s="190" t="s">
        <v>433</v>
      </c>
      <c r="D19" s="190"/>
      <c r="E19" s="121" t="s">
        <v>66</v>
      </c>
      <c r="F19" s="121"/>
      <c r="G19" s="190" t="s">
        <v>399</v>
      </c>
      <c r="H19" s="190"/>
      <c r="S19" s="54" t="s">
        <v>184</v>
      </c>
      <c r="T19" s="54" t="s">
        <v>191</v>
      </c>
      <c r="U19" s="54"/>
      <c r="V19" s="54" t="s">
        <v>199</v>
      </c>
      <c r="W19" s="54" t="s">
        <v>216</v>
      </c>
      <c r="X19"/>
      <c r="Y19"/>
      <c r="Z19"/>
    </row>
    <row r="20" spans="1:26" x14ac:dyDescent="0.25">
      <c r="A20" s="132" t="s">
        <v>10</v>
      </c>
      <c r="B20" s="132"/>
      <c r="C20" s="190" t="s">
        <v>195</v>
      </c>
      <c r="D20" s="190"/>
      <c r="E20" s="121" t="s">
        <v>9</v>
      </c>
      <c r="F20" s="121"/>
      <c r="G20" s="191" t="s">
        <v>193</v>
      </c>
      <c r="H20" s="191"/>
      <c r="S20" s="54" t="s">
        <v>185</v>
      </c>
      <c r="T20" s="54" t="s">
        <v>192</v>
      </c>
      <c r="U20" s="54"/>
      <c r="V20" s="54" t="s">
        <v>200</v>
      </c>
      <c r="W20" s="54" t="s">
        <v>217</v>
      </c>
      <c r="X20"/>
      <c r="Y20"/>
      <c r="Z20"/>
    </row>
    <row r="21" spans="1:26" x14ac:dyDescent="0.25">
      <c r="A21" s="132" t="s">
        <v>67</v>
      </c>
      <c r="B21" s="132"/>
      <c r="C21" s="189" t="s">
        <v>195</v>
      </c>
      <c r="D21" s="189"/>
      <c r="E21" s="121" t="s">
        <v>11</v>
      </c>
      <c r="F21" s="121"/>
      <c r="G21" s="190">
        <v>420221</v>
      </c>
      <c r="H21" s="190"/>
      <c r="S21" s="54"/>
      <c r="T21" s="54"/>
      <c r="U21" s="54"/>
      <c r="V21" s="54" t="s">
        <v>201</v>
      </c>
      <c r="W21" s="54" t="s">
        <v>218</v>
      </c>
      <c r="X21"/>
      <c r="Y21"/>
      <c r="Z21"/>
    </row>
    <row r="22" spans="1:26" ht="32.25" customHeight="1" x14ac:dyDescent="0.25">
      <c r="A22" s="132" t="s">
        <v>117</v>
      </c>
      <c r="B22" s="132"/>
      <c r="C22" s="190" t="s">
        <v>400</v>
      </c>
      <c r="D22" s="190"/>
      <c r="E22" s="121" t="s">
        <v>12</v>
      </c>
      <c r="F22" s="121"/>
      <c r="G22" s="189" t="s">
        <v>401</v>
      </c>
      <c r="H22" s="189"/>
      <c r="S22" s="54"/>
      <c r="T22" s="54"/>
      <c r="U22" s="54"/>
      <c r="V22" s="54" t="s">
        <v>202</v>
      </c>
      <c r="W22" s="54" t="s">
        <v>219</v>
      </c>
      <c r="X22"/>
      <c r="Y22"/>
      <c r="Z22"/>
    </row>
    <row r="23" spans="1:26" ht="15" customHeight="1" x14ac:dyDescent="0.25">
      <c r="A23" s="121" t="s">
        <v>69</v>
      </c>
      <c r="B23" s="121"/>
      <c r="C23" s="121"/>
      <c r="D23" s="121"/>
      <c r="E23" s="175" t="s">
        <v>13</v>
      </c>
      <c r="F23" s="175"/>
      <c r="G23" s="175"/>
      <c r="H23" s="175"/>
      <c r="S23" s="54"/>
      <c r="T23" s="54"/>
      <c r="U23" s="54"/>
      <c r="V23" s="54" t="s">
        <v>203</v>
      </c>
      <c r="W23" s="54" t="s">
        <v>220</v>
      </c>
      <c r="X23"/>
      <c r="Y23"/>
      <c r="Z23"/>
    </row>
    <row r="24" spans="1:26" ht="18.75" customHeight="1" x14ac:dyDescent="0.25">
      <c r="A24" s="121"/>
      <c r="B24" s="121"/>
      <c r="C24" s="121"/>
      <c r="D24" s="121"/>
      <c r="E24" s="175"/>
      <c r="F24" s="175"/>
      <c r="G24" s="175"/>
      <c r="H24" s="175"/>
      <c r="S24" s="54"/>
      <c r="T24" s="54"/>
      <c r="U24" s="54"/>
      <c r="V24" s="54" t="s">
        <v>204</v>
      </c>
      <c r="W24" s="54" t="s">
        <v>221</v>
      </c>
      <c r="X24"/>
      <c r="Y24"/>
      <c r="Z24"/>
    </row>
    <row r="25" spans="1:26" ht="15" customHeight="1" x14ac:dyDescent="0.25">
      <c r="A25" s="121" t="s">
        <v>14</v>
      </c>
      <c r="B25" s="121"/>
      <c r="C25" s="121"/>
      <c r="D25" s="121"/>
      <c r="E25" s="190" t="s">
        <v>15</v>
      </c>
      <c r="F25" s="190"/>
      <c r="G25" s="190"/>
      <c r="H25" s="190"/>
      <c r="S25" s="54"/>
      <c r="T25" s="54"/>
      <c r="U25" s="54"/>
      <c r="V25" s="54" t="s">
        <v>205</v>
      </c>
      <c r="W25" s="54" t="s">
        <v>222</v>
      </c>
      <c r="X25"/>
      <c r="Y25"/>
      <c r="Z25"/>
    </row>
    <row r="26" spans="1:26" ht="15" customHeight="1" x14ac:dyDescent="0.25">
      <c r="A26" s="132" t="s">
        <v>16</v>
      </c>
      <c r="B26" s="132"/>
      <c r="C26" s="132"/>
      <c r="D26" s="132"/>
      <c r="E26" s="190" t="str">
        <f>IF(AND(G20="Mumbai"),"Upper Class","Middle Class")</f>
        <v>Middle Class</v>
      </c>
      <c r="F26" s="190"/>
      <c r="G26" s="190"/>
      <c r="H26" s="190"/>
      <c r="S26" s="54"/>
      <c r="T26" s="54"/>
      <c r="U26" s="54"/>
      <c r="V26" s="54" t="s">
        <v>206</v>
      </c>
      <c r="W26" s="54" t="s">
        <v>223</v>
      </c>
      <c r="X26"/>
      <c r="Y26"/>
      <c r="Z26"/>
    </row>
    <row r="27" spans="1:26" x14ac:dyDescent="0.25">
      <c r="A27" s="132" t="s">
        <v>17</v>
      </c>
      <c r="B27" s="132"/>
      <c r="C27" s="132"/>
      <c r="D27" s="132"/>
      <c r="E27" s="190" t="s">
        <v>18</v>
      </c>
      <c r="F27" s="190"/>
      <c r="G27" s="190"/>
      <c r="H27" s="190"/>
      <c r="S27" s="54"/>
      <c r="T27" s="54"/>
      <c r="U27" s="54"/>
      <c r="V27" s="54" t="s">
        <v>207</v>
      </c>
      <c r="W27" s="54" t="s">
        <v>224</v>
      </c>
      <c r="X27"/>
      <c r="Y27"/>
      <c r="Z27"/>
    </row>
    <row r="28" spans="1:26" ht="15.75" customHeight="1" x14ac:dyDescent="0.25">
      <c r="A28" s="132" t="s">
        <v>19</v>
      </c>
      <c r="B28" s="132"/>
      <c r="C28" s="132"/>
      <c r="D28" s="132"/>
      <c r="E28" s="190" t="str">
        <f>IF(AND(G20="Mumbai"),"Developed","Developing")</f>
        <v>Developing</v>
      </c>
      <c r="F28" s="190"/>
      <c r="G28" s="190"/>
      <c r="H28" s="190"/>
    </row>
    <row r="29" spans="1:26" x14ac:dyDescent="0.25">
      <c r="A29" s="132" t="s">
        <v>20</v>
      </c>
      <c r="B29" s="132"/>
      <c r="C29" s="132"/>
      <c r="D29" s="132"/>
      <c r="E29" s="190" t="s">
        <v>21</v>
      </c>
      <c r="F29" s="190"/>
      <c r="G29" s="190"/>
      <c r="H29" s="190"/>
    </row>
    <row r="30" spans="1:26" ht="15.75" customHeight="1" x14ac:dyDescent="0.25">
      <c r="A30" s="132" t="s">
        <v>74</v>
      </c>
      <c r="B30" s="132"/>
      <c r="C30" s="132"/>
      <c r="D30" s="132"/>
      <c r="E30" s="190" t="s">
        <v>75</v>
      </c>
      <c r="F30" s="190"/>
      <c r="G30" s="190"/>
      <c r="H30" s="190"/>
    </row>
    <row r="31" spans="1:26" ht="15" customHeight="1" x14ac:dyDescent="0.25">
      <c r="A31" s="132" t="s">
        <v>28</v>
      </c>
      <c r="B31" s="132"/>
      <c r="C31" s="132"/>
      <c r="D31" s="132"/>
      <c r="E31" s="190" t="s">
        <v>412</v>
      </c>
      <c r="F31" s="190"/>
      <c r="G31" s="190"/>
      <c r="H31" s="190"/>
      <c r="I31" s="21" t="b">
        <f>IF(AND(ISNUMBER(SEARCH("Flat",D68)),ISNUMBER(SEARCH("Shop",D68)),ISNUMBER(SEARCH("Office",D68))),"Residential + Commercial",IF(AND(ISNUMBER(SEARCH("Flat",D68)),ISNUMBER(SEARCH("Shop",D68))),"Residential + Commercial",IF(AND(ISNUMBER(SEARCH("Flat",D68)),ISNUMBER(SEARCH("Office",D68))),"Residential + Commercial",IF(AND(ISNUMBER(SEARCH("Shop",D68)),ISNUMBER(SEARCH("Office",D68))),"Commercial",IF(ISNUMBER(SEARCH("Shop",D68)),"Commercial",IF(ISNUMBER(SEARCH("Office",D68)),"Commercial",IF(ISNUMBER(SEARCH("Flat",D68)),"Residential")))))))</f>
        <v>0</v>
      </c>
    </row>
    <row r="32" spans="1:26" ht="15.75" customHeight="1" x14ac:dyDescent="0.25">
      <c r="A32" s="132" t="s">
        <v>86</v>
      </c>
      <c r="B32" s="132"/>
      <c r="C32" s="132"/>
      <c r="D32" s="132"/>
      <c r="E32" s="190" t="s">
        <v>29</v>
      </c>
      <c r="F32" s="190"/>
      <c r="G32" s="190"/>
      <c r="H32" s="190"/>
    </row>
    <row r="33" spans="1:19" s="22" customFormat="1" x14ac:dyDescent="0.25">
      <c r="A33" s="200" t="s">
        <v>87</v>
      </c>
      <c r="B33" s="200"/>
      <c r="C33" s="197" t="s">
        <v>172</v>
      </c>
      <c r="D33" s="198"/>
      <c r="E33" s="199"/>
      <c r="F33" s="197" t="s">
        <v>27</v>
      </c>
      <c r="G33" s="198"/>
      <c r="H33" s="199"/>
      <c r="S33" s="22" t="e">
        <f ca="1">OFFSET($S$13,1,MATCH($G20,$S$13:$W$13,0)-1,15,1)</f>
        <v>#VALUE!</v>
      </c>
    </row>
    <row r="34" spans="1:19" s="22" customFormat="1" x14ac:dyDescent="0.25">
      <c r="A34" s="193" t="s">
        <v>22</v>
      </c>
      <c r="B34" s="193" t="s">
        <v>26</v>
      </c>
      <c r="C34" s="194" t="s">
        <v>404</v>
      </c>
      <c r="D34" s="195"/>
      <c r="E34" s="196"/>
      <c r="F34" s="194" t="s">
        <v>423</v>
      </c>
      <c r="G34" s="195"/>
      <c r="H34" s="196"/>
    </row>
    <row r="35" spans="1:19" x14ac:dyDescent="0.25">
      <c r="A35" s="193" t="s">
        <v>23</v>
      </c>
      <c r="B35" s="193" t="s">
        <v>26</v>
      </c>
      <c r="C35" s="194" t="s">
        <v>404</v>
      </c>
      <c r="D35" s="195"/>
      <c r="E35" s="196"/>
      <c r="F35" s="194" t="s">
        <v>424</v>
      </c>
      <c r="G35" s="195"/>
      <c r="H35" s="196"/>
    </row>
    <row r="36" spans="1:19" s="22" customFormat="1" x14ac:dyDescent="0.25">
      <c r="A36" s="193" t="s">
        <v>25</v>
      </c>
      <c r="B36" s="193" t="s">
        <v>26</v>
      </c>
      <c r="C36" s="194" t="s">
        <v>404</v>
      </c>
      <c r="D36" s="195"/>
      <c r="E36" s="196"/>
      <c r="F36" s="194" t="s">
        <v>431</v>
      </c>
      <c r="G36" s="195"/>
      <c r="H36" s="196"/>
    </row>
    <row r="37" spans="1:19" x14ac:dyDescent="0.25">
      <c r="A37" s="193" t="s">
        <v>24</v>
      </c>
      <c r="B37" s="193" t="s">
        <v>26</v>
      </c>
      <c r="C37" s="194" t="s">
        <v>404</v>
      </c>
      <c r="D37" s="195"/>
      <c r="E37" s="196"/>
      <c r="F37" s="194" t="s">
        <v>422</v>
      </c>
      <c r="G37" s="195"/>
      <c r="H37" s="196"/>
    </row>
    <row r="38" spans="1:19" x14ac:dyDescent="0.25">
      <c r="A38" s="132" t="s">
        <v>280</v>
      </c>
      <c r="B38" s="132"/>
      <c r="C38" s="132"/>
      <c r="D38" s="132"/>
      <c r="E38" s="132"/>
      <c r="F38" s="132"/>
      <c r="G38" s="132"/>
      <c r="H38" s="132"/>
      <c r="K38" s="105"/>
      <c r="L38" s="105"/>
    </row>
    <row r="39" spans="1:19" ht="15.75" customHeight="1" x14ac:dyDescent="0.25">
      <c r="A39" s="132" t="s">
        <v>163</v>
      </c>
      <c r="B39" s="132"/>
      <c r="C39" s="181" t="s">
        <v>402</v>
      </c>
      <c r="D39" s="181"/>
      <c r="E39" s="181"/>
      <c r="F39" s="181"/>
      <c r="G39" s="181"/>
      <c r="H39" s="181"/>
      <c r="L39" s="105"/>
    </row>
    <row r="40" spans="1:19" x14ac:dyDescent="0.25">
      <c r="A40" s="132" t="s">
        <v>161</v>
      </c>
      <c r="B40" s="132"/>
      <c r="C40" s="255" t="s">
        <v>403</v>
      </c>
      <c r="D40" s="190"/>
      <c r="E40" s="190"/>
      <c r="F40" s="190"/>
      <c r="G40" s="190"/>
      <c r="H40" s="190"/>
    </row>
    <row r="41" spans="1:19" x14ac:dyDescent="0.25">
      <c r="A41" s="181" t="s">
        <v>30</v>
      </c>
      <c r="B41" s="181"/>
      <c r="C41" s="181"/>
      <c r="D41" s="181"/>
      <c r="E41" s="181"/>
      <c r="F41" s="181"/>
      <c r="G41" s="181"/>
      <c r="H41" s="181"/>
    </row>
    <row r="42" spans="1:19" x14ac:dyDescent="0.25">
      <c r="A42" s="132" t="s">
        <v>31</v>
      </c>
      <c r="B42" s="132"/>
      <c r="C42" s="132"/>
      <c r="D42" s="132"/>
      <c r="E42" s="242" t="s">
        <v>26</v>
      </c>
      <c r="F42" s="242"/>
      <c r="G42" s="242"/>
      <c r="H42" s="242"/>
    </row>
    <row r="43" spans="1:19" hidden="1" x14ac:dyDescent="0.25">
      <c r="A43" s="132" t="s">
        <v>32</v>
      </c>
      <c r="B43" s="132"/>
      <c r="C43" s="132"/>
      <c r="D43" s="132"/>
      <c r="E43" s="192">
        <v>0</v>
      </c>
      <c r="F43" s="192"/>
      <c r="G43" s="192"/>
      <c r="H43" s="192"/>
    </row>
    <row r="44" spans="1:19" hidden="1" x14ac:dyDescent="0.25">
      <c r="A44" s="132" t="s">
        <v>33</v>
      </c>
      <c r="B44" s="132"/>
      <c r="C44" s="132"/>
      <c r="D44" s="132"/>
      <c r="E44" s="192" t="e">
        <f>E46/E42-E43</f>
        <v>#VALUE!</v>
      </c>
      <c r="F44" s="192"/>
      <c r="G44" s="192"/>
      <c r="H44" s="192"/>
    </row>
    <row r="45" spans="1:19" hidden="1" x14ac:dyDescent="0.25">
      <c r="A45" s="132" t="s">
        <v>34</v>
      </c>
      <c r="B45" s="132"/>
      <c r="C45" s="132"/>
      <c r="D45" s="132"/>
      <c r="E45" s="192" t="e">
        <f>E43+E44</f>
        <v>#VALUE!</v>
      </c>
      <c r="F45" s="192"/>
      <c r="G45" s="192"/>
      <c r="H45" s="192"/>
    </row>
    <row r="46" spans="1:19" hidden="1" x14ac:dyDescent="0.25">
      <c r="A46" s="132" t="s">
        <v>85</v>
      </c>
      <c r="B46" s="132"/>
      <c r="C46" s="132"/>
      <c r="D46" s="132"/>
      <c r="E46" s="213">
        <v>0</v>
      </c>
      <c r="F46" s="213"/>
      <c r="G46" s="213"/>
      <c r="H46" s="213"/>
    </row>
    <row r="47" spans="1:19" x14ac:dyDescent="0.25">
      <c r="A47" s="175" t="s">
        <v>35</v>
      </c>
      <c r="B47" s="175"/>
      <c r="C47" s="175"/>
      <c r="D47" s="175"/>
      <c r="E47" s="187" t="s">
        <v>408</v>
      </c>
      <c r="F47" s="187"/>
      <c r="G47" s="187"/>
      <c r="H47" s="187"/>
    </row>
    <row r="48" spans="1:19" x14ac:dyDescent="0.25">
      <c r="A48" s="181" t="s">
        <v>36</v>
      </c>
      <c r="B48" s="181"/>
      <c r="C48" s="181"/>
      <c r="D48" s="181"/>
      <c r="E48" s="181"/>
      <c r="F48" s="181"/>
      <c r="G48" s="181"/>
      <c r="H48" s="181"/>
    </row>
    <row r="49" spans="1:24" ht="33.75" customHeight="1" x14ac:dyDescent="0.25">
      <c r="A49" s="110" t="s">
        <v>150</v>
      </c>
      <c r="B49" s="111"/>
      <c r="C49" s="218" t="s">
        <v>256</v>
      </c>
      <c r="D49" s="219"/>
      <c r="E49" s="219"/>
      <c r="F49" s="219"/>
      <c r="G49" s="219"/>
      <c r="H49" s="220"/>
      <c r="R49" t="s">
        <v>253</v>
      </c>
      <c r="S49" s="57" t="s">
        <v>171</v>
      </c>
      <c r="T49" s="57" t="s">
        <v>179</v>
      </c>
      <c r="U49" s="57" t="s">
        <v>193</v>
      </c>
      <c r="V49" s="57" t="s">
        <v>188</v>
      </c>
    </row>
    <row r="50" spans="1:24" ht="15.75" customHeight="1" x14ac:dyDescent="0.25">
      <c r="A50" s="110" t="s">
        <v>37</v>
      </c>
      <c r="B50" s="111"/>
      <c r="C50" s="110" t="s">
        <v>404</v>
      </c>
      <c r="D50" s="214"/>
      <c r="E50" s="111"/>
      <c r="F50" s="18" t="s">
        <v>38</v>
      </c>
      <c r="G50" s="229" t="s">
        <v>26</v>
      </c>
      <c r="H50" s="230"/>
      <c r="R50"/>
      <c r="S50" s="57" t="s">
        <v>254</v>
      </c>
      <c r="T50" s="57" t="s">
        <v>259</v>
      </c>
      <c r="U50" s="57" t="s">
        <v>270</v>
      </c>
      <c r="V50" s="57" t="s">
        <v>275</v>
      </c>
    </row>
    <row r="51" spans="1:24" x14ac:dyDescent="0.25">
      <c r="A51" s="110" t="s">
        <v>39</v>
      </c>
      <c r="B51" s="111"/>
      <c r="C51" s="110" t="str">
        <f>C50</f>
        <v>Not Provided</v>
      </c>
      <c r="D51" s="214"/>
      <c r="E51" s="111"/>
      <c r="F51" s="18" t="s">
        <v>38</v>
      </c>
      <c r="G51" s="229" t="str">
        <f>G50</f>
        <v>NA</v>
      </c>
      <c r="H51" s="230"/>
      <c r="R51"/>
      <c r="S51" s="57" t="s">
        <v>255</v>
      </c>
      <c r="T51" s="57" t="s">
        <v>357</v>
      </c>
      <c r="U51" s="57" t="s">
        <v>268</v>
      </c>
      <c r="V51" s="57" t="s">
        <v>276</v>
      </c>
    </row>
    <row r="52" spans="1:24" s="23" customFormat="1" ht="15.75" customHeight="1" x14ac:dyDescent="0.25">
      <c r="A52" s="234" t="s">
        <v>154</v>
      </c>
      <c r="B52" s="235"/>
      <c r="C52" s="234" t="s">
        <v>416</v>
      </c>
      <c r="D52" s="240"/>
      <c r="E52" s="235"/>
      <c r="F52" s="211" t="s">
        <v>38</v>
      </c>
      <c r="G52" s="266">
        <v>45562</v>
      </c>
      <c r="H52" s="267"/>
      <c r="I52" s="22" t="str">
        <f ca="1">IF(G52&gt;EDATE(E3,-48),"NO REMARK","CC REMARK FOR CC")</f>
        <v>NO REMARK</v>
      </c>
      <c r="J52" s="79"/>
      <c r="R52"/>
      <c r="S52" s="57" t="s">
        <v>256</v>
      </c>
      <c r="T52" s="57" t="s">
        <v>261</v>
      </c>
      <c r="U52" s="57" t="s">
        <v>258</v>
      </c>
      <c r="V52" s="57" t="s">
        <v>277</v>
      </c>
    </row>
    <row r="53" spans="1:24" s="23" customFormat="1" ht="10.5" customHeight="1" x14ac:dyDescent="0.25">
      <c r="A53" s="236"/>
      <c r="B53" s="237"/>
      <c r="C53" s="238"/>
      <c r="D53" s="241"/>
      <c r="E53" s="239"/>
      <c r="F53" s="265"/>
      <c r="G53" s="268"/>
      <c r="H53" s="269"/>
      <c r="R53"/>
      <c r="S53" s="57" t="s">
        <v>257</v>
      </c>
      <c r="T53" s="57" t="s">
        <v>264</v>
      </c>
      <c r="U53" s="57" t="s">
        <v>271</v>
      </c>
      <c r="V53" s="75" t="s">
        <v>349</v>
      </c>
    </row>
    <row r="54" spans="1:24" s="23" customFormat="1" x14ac:dyDescent="0.25">
      <c r="A54" s="238"/>
      <c r="B54" s="239"/>
      <c r="C54" s="110" t="s">
        <v>417</v>
      </c>
      <c r="D54" s="214"/>
      <c r="E54" s="214"/>
      <c r="F54" s="214"/>
      <c r="G54" s="214"/>
      <c r="H54" s="111"/>
      <c r="R54"/>
      <c r="S54" s="57"/>
      <c r="T54" s="57"/>
      <c r="U54" s="57" t="s">
        <v>256</v>
      </c>
      <c r="V54" s="75"/>
    </row>
    <row r="55" spans="1:24" s="23" customFormat="1" hidden="1" x14ac:dyDescent="0.25">
      <c r="A55" s="146" t="s">
        <v>281</v>
      </c>
      <c r="B55" s="147"/>
      <c r="C55" s="110">
        <f>C53</f>
        <v>0</v>
      </c>
      <c r="D55" s="214"/>
      <c r="E55" s="111"/>
      <c r="F55" s="18" t="s">
        <v>38</v>
      </c>
      <c r="G55" s="229"/>
      <c r="H55" s="230"/>
      <c r="K55" s="80">
        <f>EDATE(G52,-48)</f>
        <v>44101</v>
      </c>
      <c r="L55" s="23" t="str">
        <f ca="1">IF(G52&gt;EDATE(E3,-48),"NO REMARK","CC REMARK FOR CC")</f>
        <v>NO REMARK</v>
      </c>
      <c r="R55"/>
      <c r="S55" s="57" t="s">
        <v>256</v>
      </c>
      <c r="T55" s="57" t="s">
        <v>261</v>
      </c>
      <c r="U55" s="57" t="s">
        <v>258</v>
      </c>
      <c r="V55" s="57" t="s">
        <v>277</v>
      </c>
    </row>
    <row r="56" spans="1:24" s="23" customFormat="1" ht="32.25" hidden="1" customHeight="1" x14ac:dyDescent="0.25">
      <c r="A56" s="148"/>
      <c r="B56" s="149"/>
      <c r="C56" s="231"/>
      <c r="D56" s="232"/>
      <c r="E56" s="232"/>
      <c r="F56" s="232"/>
      <c r="G56" s="232"/>
      <c r="H56" s="233"/>
      <c r="R56"/>
      <c r="S56" s="57" t="s">
        <v>258</v>
      </c>
      <c r="T56" s="57" t="s">
        <v>262</v>
      </c>
      <c r="U56" s="57" t="s">
        <v>272</v>
      </c>
      <c r="V56" s="76"/>
      <c r="W56" s="21"/>
      <c r="X56" s="21"/>
    </row>
    <row r="57" spans="1:24" s="23" customFormat="1" ht="34.5" hidden="1" customHeight="1" x14ac:dyDescent="0.25">
      <c r="A57" s="146" t="s">
        <v>282</v>
      </c>
      <c r="B57" s="147"/>
      <c r="C57" s="110">
        <f>C56</f>
        <v>0</v>
      </c>
      <c r="D57" s="214"/>
      <c r="E57" s="111"/>
      <c r="F57" s="18" t="s">
        <v>38</v>
      </c>
      <c r="G57" s="229">
        <f>G56</f>
        <v>0</v>
      </c>
      <c r="H57" s="230"/>
      <c r="R57"/>
      <c r="S57" s="76"/>
      <c r="T57" s="57" t="s">
        <v>263</v>
      </c>
      <c r="U57" s="57" t="s">
        <v>273</v>
      </c>
      <c r="V57" s="76"/>
      <c r="W57" s="21"/>
      <c r="X57" s="21"/>
    </row>
    <row r="58" spans="1:24" s="23" customFormat="1" ht="41.25" hidden="1" customHeight="1" x14ac:dyDescent="0.25">
      <c r="A58" s="148"/>
      <c r="B58" s="149"/>
      <c r="C58" s="110"/>
      <c r="D58" s="214"/>
      <c r="E58" s="214"/>
      <c r="F58" s="214"/>
      <c r="G58" s="214"/>
      <c r="H58" s="111"/>
      <c r="R58"/>
      <c r="S58" s="76"/>
      <c r="T58" s="57" t="s">
        <v>265</v>
      </c>
      <c r="U58" s="57" t="s">
        <v>274</v>
      </c>
      <c r="V58" s="76"/>
      <c r="W58" s="21"/>
      <c r="X58" s="21"/>
    </row>
    <row r="59" spans="1:24" s="23" customFormat="1" ht="15.75" hidden="1" customHeight="1" x14ac:dyDescent="0.25">
      <c r="A59" s="146" t="s">
        <v>352</v>
      </c>
      <c r="B59" s="147"/>
      <c r="C59" s="223"/>
      <c r="D59" s="224"/>
      <c r="E59" s="225"/>
      <c r="F59" s="18" t="s">
        <v>38</v>
      </c>
      <c r="G59" s="229"/>
      <c r="H59" s="230"/>
      <c r="R59"/>
      <c r="S59" s="76"/>
      <c r="T59" s="57" t="s">
        <v>266</v>
      </c>
      <c r="U59" s="76" t="s">
        <v>296</v>
      </c>
      <c r="V59" s="76"/>
      <c r="W59" s="21"/>
      <c r="X59" s="21"/>
    </row>
    <row r="60" spans="1:24" s="23" customFormat="1" ht="33.75" hidden="1" customHeight="1" x14ac:dyDescent="0.25">
      <c r="A60" s="221"/>
      <c r="B60" s="222"/>
      <c r="C60" s="226"/>
      <c r="D60" s="227"/>
      <c r="E60" s="228"/>
      <c r="F60" s="18" t="s">
        <v>353</v>
      </c>
      <c r="G60" s="229"/>
      <c r="H60" s="230"/>
      <c r="R60"/>
      <c r="S60" s="76"/>
      <c r="T60" s="57" t="s">
        <v>267</v>
      </c>
      <c r="U60" s="76"/>
      <c r="V60" s="76"/>
      <c r="W60" s="21"/>
      <c r="X60" s="21"/>
    </row>
    <row r="61" spans="1:24" s="23" customFormat="1" ht="33.75" hidden="1" customHeight="1" x14ac:dyDescent="0.25">
      <c r="A61" s="148"/>
      <c r="B61" s="149"/>
      <c r="C61" s="110" t="s">
        <v>375</v>
      </c>
      <c r="D61" s="214"/>
      <c r="E61" s="214"/>
      <c r="F61" s="214"/>
      <c r="G61" s="214"/>
      <c r="H61" s="111"/>
      <c r="R61"/>
      <c r="S61" s="76"/>
      <c r="T61" s="57"/>
      <c r="U61" s="76"/>
      <c r="V61" s="76"/>
      <c r="W61" s="21"/>
      <c r="X61" s="21"/>
    </row>
    <row r="62" spans="1:24" s="23" customFormat="1" ht="15.75" customHeight="1" x14ac:dyDescent="0.25">
      <c r="A62" s="234" t="s">
        <v>154</v>
      </c>
      <c r="B62" s="235"/>
      <c r="C62" s="234" t="s">
        <v>418</v>
      </c>
      <c r="D62" s="240"/>
      <c r="E62" s="235"/>
      <c r="F62" s="211" t="s">
        <v>38</v>
      </c>
      <c r="G62" s="266">
        <v>45673</v>
      </c>
      <c r="H62" s="267"/>
      <c r="I62" s="22" t="e">
        <f>IF(G62&gt;EDATE(E13,-48),"NO REMARK","CC REMARK FOR CC")</f>
        <v>#VALUE!</v>
      </c>
      <c r="J62" s="79"/>
      <c r="R62"/>
      <c r="S62" s="57" t="s">
        <v>256</v>
      </c>
      <c r="T62" s="57" t="s">
        <v>261</v>
      </c>
      <c r="U62" s="57" t="s">
        <v>258</v>
      </c>
      <c r="V62" s="57" t="s">
        <v>277</v>
      </c>
    </row>
    <row r="63" spans="1:24" s="23" customFormat="1" ht="9" customHeight="1" x14ac:dyDescent="0.25">
      <c r="A63" s="236"/>
      <c r="B63" s="237"/>
      <c r="C63" s="238"/>
      <c r="D63" s="241"/>
      <c r="E63" s="239"/>
      <c r="F63" s="265"/>
      <c r="G63" s="268"/>
      <c r="H63" s="269"/>
      <c r="R63"/>
      <c r="S63" s="57" t="s">
        <v>257</v>
      </c>
      <c r="T63" s="57" t="s">
        <v>264</v>
      </c>
      <c r="U63" s="57" t="s">
        <v>271</v>
      </c>
      <c r="V63" s="75" t="s">
        <v>349</v>
      </c>
    </row>
    <row r="64" spans="1:24" s="23" customFormat="1" x14ac:dyDescent="0.25">
      <c r="A64" s="238"/>
      <c r="B64" s="239"/>
      <c r="C64" s="110" t="s">
        <v>419</v>
      </c>
      <c r="D64" s="214"/>
      <c r="E64" s="214"/>
      <c r="F64" s="214"/>
      <c r="G64" s="214"/>
      <c r="H64" s="111"/>
      <c r="I64" s="103" t="s">
        <v>420</v>
      </c>
      <c r="R64"/>
      <c r="S64" s="57"/>
      <c r="T64" s="57"/>
      <c r="U64" s="57" t="s">
        <v>256</v>
      </c>
      <c r="V64" s="75"/>
    </row>
    <row r="65" spans="1:22" x14ac:dyDescent="0.25">
      <c r="A65" s="138" t="s">
        <v>40</v>
      </c>
      <c r="B65" s="139"/>
      <c r="C65" s="138" t="s">
        <v>99</v>
      </c>
      <c r="D65" s="140"/>
      <c r="E65" s="139"/>
      <c r="F65" s="45" t="s">
        <v>38</v>
      </c>
      <c r="G65" s="144" t="s">
        <v>26</v>
      </c>
      <c r="H65" s="145"/>
      <c r="R65"/>
      <c r="S65" s="76"/>
      <c r="T65" s="57" t="s">
        <v>269</v>
      </c>
      <c r="U65" s="76"/>
      <c r="V65" s="76"/>
    </row>
    <row r="66" spans="1:22" x14ac:dyDescent="0.25">
      <c r="A66" s="183" t="s">
        <v>42</v>
      </c>
      <c r="B66" s="183"/>
      <c r="C66" s="183"/>
      <c r="D66" s="183"/>
      <c r="E66" s="183"/>
      <c r="F66" s="183"/>
      <c r="G66" s="183"/>
      <c r="H66" s="183"/>
      <c r="S66" s="76"/>
      <c r="T66" s="57" t="s">
        <v>278</v>
      </c>
      <c r="U66" s="76"/>
      <c r="V66" s="76"/>
    </row>
    <row r="67" spans="1:22" x14ac:dyDescent="0.25">
      <c r="A67" s="121" t="s">
        <v>84</v>
      </c>
      <c r="B67" s="121"/>
      <c r="C67" s="121"/>
      <c r="D67" s="132" t="s">
        <v>26</v>
      </c>
      <c r="E67" s="132"/>
      <c r="F67" s="132"/>
      <c r="G67" s="132"/>
      <c r="H67" s="132"/>
      <c r="I67" s="100">
        <f>E46</f>
        <v>0</v>
      </c>
      <c r="R67"/>
    </row>
    <row r="68" spans="1:22" hidden="1" x14ac:dyDescent="0.25">
      <c r="A68" s="190" t="s">
        <v>43</v>
      </c>
      <c r="B68" s="175"/>
      <c r="C68" s="175"/>
      <c r="D68" s="143" t="s">
        <v>26</v>
      </c>
      <c r="E68" s="143"/>
      <c r="F68" s="143"/>
      <c r="G68" s="143"/>
      <c r="H68" s="143"/>
      <c r="I68" s="24"/>
      <c r="R68"/>
    </row>
    <row r="69" spans="1:22" x14ac:dyDescent="0.25">
      <c r="A69" s="215" t="s">
        <v>44</v>
      </c>
      <c r="B69" s="216"/>
      <c r="C69" s="217"/>
      <c r="D69" s="201" t="s">
        <v>26</v>
      </c>
      <c r="E69" s="202"/>
      <c r="F69" s="202"/>
      <c r="G69" s="202"/>
      <c r="H69" s="202"/>
      <c r="J69" s="215" t="s">
        <v>44</v>
      </c>
      <c r="K69" s="216"/>
      <c r="L69" s="217"/>
      <c r="M69" s="201" t="s">
        <v>409</v>
      </c>
      <c r="N69" s="202"/>
      <c r="O69" s="202"/>
      <c r="P69" s="202"/>
      <c r="Q69" s="202"/>
      <c r="R69"/>
    </row>
    <row r="70" spans="1:22" ht="15.75" customHeight="1" x14ac:dyDescent="0.25">
      <c r="A70" s="215" t="s">
        <v>82</v>
      </c>
      <c r="B70" s="216"/>
      <c r="C70" s="216"/>
      <c r="D70" s="201" t="s">
        <v>411</v>
      </c>
      <c r="E70" s="202"/>
      <c r="F70" s="202"/>
      <c r="G70" s="202"/>
      <c r="H70" s="202"/>
      <c r="R70"/>
    </row>
    <row r="71" spans="1:22" ht="15.75" customHeight="1" x14ac:dyDescent="0.25">
      <c r="A71" s="272"/>
      <c r="B71" s="273"/>
      <c r="C71" s="273"/>
      <c r="D71" s="189" t="s">
        <v>410</v>
      </c>
      <c r="E71" s="187"/>
      <c r="F71" s="187"/>
      <c r="G71" s="187"/>
      <c r="H71" s="187"/>
      <c r="R71"/>
    </row>
    <row r="72" spans="1:22" ht="15.75" hidden="1" customHeight="1" x14ac:dyDescent="0.25">
      <c r="A72" s="274"/>
      <c r="B72" s="275"/>
      <c r="C72" s="275"/>
      <c r="D72" s="112" t="s">
        <v>167</v>
      </c>
      <c r="E72" s="113"/>
      <c r="F72" s="113"/>
      <c r="G72" s="113"/>
      <c r="H72" s="114"/>
      <c r="S72"/>
    </row>
    <row r="73" spans="1:22" ht="15.75" customHeight="1" x14ac:dyDescent="0.25">
      <c r="A73" s="132" t="s">
        <v>41</v>
      </c>
      <c r="B73" s="132"/>
      <c r="C73" s="132"/>
      <c r="D73" s="270" t="s">
        <v>405</v>
      </c>
      <c r="E73" s="270"/>
      <c r="F73" s="270"/>
      <c r="G73" s="270"/>
      <c r="H73" s="270"/>
      <c r="J73" s="25"/>
      <c r="K73" s="24"/>
      <c r="N73" s="24"/>
      <c r="S73"/>
    </row>
    <row r="74" spans="1:22" ht="15.75" customHeight="1" x14ac:dyDescent="0.25">
      <c r="A74" s="132" t="s">
        <v>80</v>
      </c>
      <c r="B74" s="132"/>
      <c r="C74" s="132"/>
      <c r="D74" s="271" t="str">
        <f>(IF(G65="NA","60 Years After Completion",IF(G65&lt;&gt;"NA",""&amp;60-ROUNDDOWN((E3-G65)/360,0)&amp;" Years"," ")))</f>
        <v>60 Years After Completion</v>
      </c>
      <c r="E74" s="271"/>
      <c r="F74" s="271"/>
      <c r="G74" s="271"/>
      <c r="H74" s="271"/>
      <c r="N74" s="24"/>
      <c r="S74"/>
    </row>
    <row r="75" spans="1:22" ht="15.75" customHeight="1" x14ac:dyDescent="0.25">
      <c r="A75" s="132" t="s">
        <v>81</v>
      </c>
      <c r="B75" s="132"/>
      <c r="C75" s="132"/>
      <c r="D75" s="121" t="s">
        <v>21</v>
      </c>
      <c r="E75" s="121"/>
      <c r="F75" s="121"/>
      <c r="G75" s="121"/>
      <c r="H75" s="121"/>
      <c r="J75" s="26"/>
      <c r="K75" s="26"/>
      <c r="S75"/>
    </row>
    <row r="76" spans="1:22" ht="32.25" customHeight="1" x14ac:dyDescent="0.25">
      <c r="A76" s="187" t="s">
        <v>407</v>
      </c>
      <c r="B76" s="187"/>
      <c r="C76" s="187"/>
      <c r="D76" s="190" t="s">
        <v>406</v>
      </c>
      <c r="E76" s="121"/>
      <c r="F76" s="121"/>
      <c r="G76" s="121"/>
      <c r="H76" s="121"/>
      <c r="S76"/>
    </row>
    <row r="77" spans="1:22" x14ac:dyDescent="0.25">
      <c r="A77" s="121" t="s">
        <v>146</v>
      </c>
      <c r="B77" s="121"/>
      <c r="C77" s="121"/>
      <c r="D77" s="121" t="s">
        <v>26</v>
      </c>
      <c r="E77" s="121"/>
      <c r="F77" s="121"/>
      <c r="G77" s="121"/>
      <c r="H77" s="121"/>
      <c r="I77" s="27"/>
      <c r="J77" s="27"/>
      <c r="K77" s="27"/>
      <c r="L77" s="27"/>
      <c r="M77" s="27"/>
      <c r="N77" s="27"/>
    </row>
    <row r="78" spans="1:22" ht="15.75" customHeight="1" x14ac:dyDescent="0.25">
      <c r="A78" s="212" t="s">
        <v>79</v>
      </c>
      <c r="B78" s="212"/>
      <c r="C78" s="212"/>
      <c r="D78" s="122" t="str">
        <f ca="1">(IF(G84&gt;95%,"Nothing",IF(G84&gt;0%,"Cement, Aggregate, Steel, etc",IF(G84=0%,"Work not yet Started"))))</f>
        <v>Cement, Aggregate, Steel, etc</v>
      </c>
      <c r="E78" s="122"/>
      <c r="F78" s="122"/>
      <c r="G78" s="122"/>
      <c r="H78" s="122"/>
      <c r="J78" s="26"/>
      <c r="S78"/>
    </row>
    <row r="79" spans="1:22" ht="33.75" customHeight="1" thickBot="1" x14ac:dyDescent="0.3">
      <c r="A79" s="211" t="s">
        <v>112</v>
      </c>
      <c r="B79" s="211"/>
      <c r="C79" s="211"/>
      <c r="D79" s="122" t="str">
        <f ca="1">(IF(D78="Nothing","Yes",IF(D78="Cement, Aggregate, Steel, etc","Under Construction",IF(D78="Work not yet Started","Work not yet Started"))))</f>
        <v>Under Construction</v>
      </c>
      <c r="E79" s="122"/>
      <c r="F79" s="122" t="str">
        <f ca="1">(IF(D78="Nothing","Yes",IF(D78="Cement, Aggregate, Steel, etc","Under Construction",IF(D78="Work not yet Started","Work not yet Started"))))</f>
        <v>Under Construction</v>
      </c>
      <c r="G79" s="122"/>
      <c r="H79" s="122"/>
      <c r="S79"/>
    </row>
    <row r="80" spans="1:22" ht="15.75" customHeight="1" x14ac:dyDescent="0.25">
      <c r="A80" s="204" t="s">
        <v>136</v>
      </c>
      <c r="B80" s="205"/>
      <c r="C80" s="206" t="str">
        <f>D70</f>
        <v>Building No. 5 = G + 1st to 22nd Floor</v>
      </c>
      <c r="D80" s="207"/>
      <c r="E80" s="207"/>
      <c r="F80" s="207"/>
      <c r="G80" s="207"/>
      <c r="H80" s="208"/>
      <c r="I80" s="49" t="str">
        <f ca="1">IF(D93=100%,"All work Completed. Possession granted to the Building.",IF(D92=100%,"All work Completed, Waiting for OC",I81&amp;""&amp;I82&amp;""&amp;J81&amp;""&amp;J80&amp;" "&amp;J82))</f>
        <v xml:space="preserve">Excavation Completed, Plinth work is process </v>
      </c>
      <c r="J80" s="50" t="str">
        <f ca="1">(IF(C86=(D81+F81+H81),"",IF(C86&gt;0,", RCC upto "&amp;C86&amp;" Slab","")))&amp;(IF(C87=H81,"",IF(C87&gt;0,", Brickwork upto "&amp;C87&amp;" Floor","")))&amp;(IF(C88=H81,"",IF(C88&gt;0,", Internal Plaster upto "&amp;C88&amp;" Floor","")))&amp;(IF(C89=H81,"",IF(C89&gt;0,", External Plaster upto "&amp;C89&amp;" Floor","")))&amp;(IF(C90=H81,"",IF(C90&gt;0,", Flooring upto "&amp;C90&amp;" Floor","")))&amp;(IF(C91=H81,"",IF(C91&gt;0,", Painting upto "&amp;C91&amp;" Floor","")))&amp;(IF(C92=H81,"",IF(C92&gt;0,", Finishing upto "&amp;C92&amp;" Floor","")))&amp;(IF(C93=H81,"",IF(C93&gt;0,", Possession upto "&amp;C93&amp;" Floor","")))</f>
        <v/>
      </c>
      <c r="S80"/>
    </row>
    <row r="81" spans="1:19" x14ac:dyDescent="0.25">
      <c r="A81" s="16" t="s">
        <v>138</v>
      </c>
      <c r="B81" s="47">
        <f>IF(AND(ISNUMBER(SEARCH("1B",C80))),1,IF(AND(ISNUMBER(SEARCH("2B",C80))),2,IF(AND(ISNUMBER(SEARCH("3B",C80))),3,IF(AND(ISNUMBER(SEARCH("4B",C80))),4,IF(ISNUMBER(SEARCH("5B",C80)),5,0)))))</f>
        <v>0</v>
      </c>
      <c r="C81" s="47" t="s">
        <v>65</v>
      </c>
      <c r="D81" s="47">
        <v>1</v>
      </c>
      <c r="E81" s="47" t="s">
        <v>64</v>
      </c>
      <c r="F81" s="102">
        <v>0</v>
      </c>
      <c r="G81" s="48" t="s">
        <v>73</v>
      </c>
      <c r="H81" s="17">
        <f ca="1">--TRIM(RIGHT(SUBSTITUTE(LEFT(C80,_xlfn.AGGREGATE(16,6,FIND({0,1,2,3,4,5,6,7,8,9},C80,ROW(INDIRECT("1:"&amp;LEN(C80)))),1))," ",REPT(" ",LEN(C80))),LEN(C80)))</f>
        <v>22</v>
      </c>
      <c r="I81" s="51" t="str">
        <f ca="1">IF(D84=100%,"Excavation","")&amp;IF(D85=100%,", Plinth","")&amp;IF(D86=100%,", RCC Slab","")&amp;IF(D87=100%,", Brickwork","")&amp;IF(D88=100%,", Internal Plaster","")&amp;IF(D89=100%,", External Plaster","")&amp;IF(D90=100%,", Flooring","")&amp;IF(D91=100%,", Painting","")&amp;IF(D92=100%,", Building common Amenities","")</f>
        <v>Excavation</v>
      </c>
      <c r="J81" s="52" t="str">
        <f ca="1">(IF(C84=0,"Work not yet Started.",IF(D84=25%,"Piling work in process",IF(D84=50%,"Excavation work in process",IF(D84=100%,"","0")))))&amp;(IF(C85=0%,"",IF(C85=J86,", Footing work is process",IF(C85=J87,", Footing work Completed",IF(C85=J88,", 1st Basement Completed",IF(C85=J89,", 1st &amp; 2nd Basement Completed",IF(C85=J90,", 1st to 3rd Basement Completed",IF(C85=J91,", 1st to 4th Basement Completed",IF(C85=J92,", Plinth work is process",IF(C85=J93,"","0"))))))))))</f>
        <v>, Plinth work is process</v>
      </c>
      <c r="S81"/>
    </row>
    <row r="82" spans="1:19" x14ac:dyDescent="0.25">
      <c r="A82" s="203" t="s">
        <v>83</v>
      </c>
      <c r="B82" s="186"/>
      <c r="C82" s="209" t="str">
        <f ca="1">I80</f>
        <v xml:space="preserve">Excavation Completed, Plinth work is process </v>
      </c>
      <c r="D82" s="209"/>
      <c r="E82" s="209"/>
      <c r="F82" s="209"/>
      <c r="G82" s="209"/>
      <c r="H82" s="210"/>
      <c r="I82" s="51" t="str">
        <f ca="1">IF(I81&lt;&gt;""," Completed","")</f>
        <v xml:space="preserve"> Completed</v>
      </c>
      <c r="J82" s="52" t="str">
        <f ca="1">IF(J80&lt;&gt;"","Completed","")</f>
        <v/>
      </c>
      <c r="S82"/>
    </row>
    <row r="83" spans="1:19" ht="15.75" customHeight="1" x14ac:dyDescent="0.25">
      <c r="A83" s="108" t="s">
        <v>45</v>
      </c>
      <c r="B83" s="109"/>
      <c r="C83" s="43" t="s">
        <v>135</v>
      </c>
      <c r="D83" s="43" t="s">
        <v>76</v>
      </c>
      <c r="E83" s="109" t="s">
        <v>78</v>
      </c>
      <c r="F83" s="109"/>
      <c r="G83" s="109" t="s">
        <v>77</v>
      </c>
      <c r="H83" s="123"/>
      <c r="I83" s="13" t="s">
        <v>137</v>
      </c>
      <c r="J83" s="28">
        <f ca="1">H81*25%</f>
        <v>5.5</v>
      </c>
      <c r="S83"/>
    </row>
    <row r="84" spans="1:19" x14ac:dyDescent="0.25">
      <c r="A84" s="108" t="s">
        <v>124</v>
      </c>
      <c r="B84" s="109"/>
      <c r="C84" s="98">
        <f ca="1">J85</f>
        <v>22</v>
      </c>
      <c r="D84" s="19">
        <f ca="1">((100/H81)*C84)/100</f>
        <v>1.0000000000000002</v>
      </c>
      <c r="E84" s="248">
        <f ca="1">(((C85/H81*10)+(40/(D81+F81+H81)*C86)+(7.5/(H81)*C87)+(7.5/(H81)*C88)+(10/H81*C89)+(10/H81*C90)+(5/H81*C91)+(5/H81*C92)+(5/H81*C93))/100)</f>
        <v>7.4999999999999997E-2</v>
      </c>
      <c r="F84" s="262"/>
      <c r="G84" s="248">
        <f ca="1">((((C84/H81)*20)+((C85/H81)*25)+(30/(H81+F81+D81)*C86)+(5/H81*C87)+(5/H81*C88)+(5/H81*C89)+(5/H81*C90)+(0/H81*C91)+(0/H81*C92)+(5/H81*C93))/100)</f>
        <v>0.38750000000000001</v>
      </c>
      <c r="H84" s="249"/>
      <c r="I84" s="13" t="s">
        <v>94</v>
      </c>
      <c r="J84" s="29">
        <f ca="1">H81*50%</f>
        <v>11</v>
      </c>
    </row>
    <row r="85" spans="1:19" x14ac:dyDescent="0.25">
      <c r="A85" s="108" t="s">
        <v>46</v>
      </c>
      <c r="B85" s="109"/>
      <c r="C85" s="101">
        <f ca="1">J92</f>
        <v>16.5</v>
      </c>
      <c r="D85" s="19">
        <f ca="1">((100/H81)*C85)/100</f>
        <v>0.75</v>
      </c>
      <c r="E85" s="250"/>
      <c r="F85" s="263"/>
      <c r="G85" s="250"/>
      <c r="H85" s="251"/>
      <c r="I85" s="13" t="s">
        <v>95</v>
      </c>
      <c r="J85" s="29">
        <f ca="1">H81</f>
        <v>22</v>
      </c>
      <c r="L85" s="96"/>
      <c r="S85"/>
    </row>
    <row r="86" spans="1:19" ht="15.75" customHeight="1" x14ac:dyDescent="0.25">
      <c r="A86" s="108" t="s">
        <v>125</v>
      </c>
      <c r="B86" s="109"/>
      <c r="C86" s="43">
        <v>0</v>
      </c>
      <c r="D86" s="19">
        <f ca="1">((100/(D81+F81+H81))*C86)/100</f>
        <v>0</v>
      </c>
      <c r="E86" s="250"/>
      <c r="F86" s="263"/>
      <c r="G86" s="250"/>
      <c r="H86" s="251"/>
      <c r="I86" s="13" t="s">
        <v>96</v>
      </c>
      <c r="J86" s="30">
        <f ca="1">(IF(B81&gt;1,(H81/(B81+2)),H81/4))</f>
        <v>5.5</v>
      </c>
      <c r="S86"/>
    </row>
    <row r="87" spans="1:19" ht="15.75" customHeight="1" x14ac:dyDescent="0.25">
      <c r="A87" s="108" t="s">
        <v>132</v>
      </c>
      <c r="B87" s="109" t="s">
        <v>126</v>
      </c>
      <c r="C87" s="43">
        <v>0</v>
      </c>
      <c r="D87" s="19">
        <f ca="1">((100/H81)*C87)/100</f>
        <v>0</v>
      </c>
      <c r="E87" s="250"/>
      <c r="F87" s="263"/>
      <c r="G87" s="250"/>
      <c r="H87" s="251"/>
      <c r="I87" s="13" t="s">
        <v>97</v>
      </c>
      <c r="J87" s="30">
        <f ca="1">(IF(B81&gt;1,(H81/(B81+2)+J86),H81/4+J86))</f>
        <v>11</v>
      </c>
    </row>
    <row r="88" spans="1:19" ht="15.75" customHeight="1" x14ac:dyDescent="0.25">
      <c r="A88" s="108" t="s">
        <v>133</v>
      </c>
      <c r="B88" s="109" t="s">
        <v>126</v>
      </c>
      <c r="C88" s="43">
        <v>0</v>
      </c>
      <c r="D88" s="19">
        <f ca="1">((100/H81)*C88)/100</f>
        <v>0</v>
      </c>
      <c r="E88" s="250"/>
      <c r="F88" s="263"/>
      <c r="G88" s="250"/>
      <c r="H88" s="251"/>
      <c r="I88" s="13" t="s">
        <v>144</v>
      </c>
      <c r="J88" s="30">
        <f>(IF(B81&gt;1,(H81/(B81+2)+J87),0))</f>
        <v>0</v>
      </c>
    </row>
    <row r="89" spans="1:19" ht="15" customHeight="1" x14ac:dyDescent="0.25">
      <c r="A89" s="108" t="s">
        <v>131</v>
      </c>
      <c r="B89" s="109" t="s">
        <v>128</v>
      </c>
      <c r="C89" s="43">
        <v>0</v>
      </c>
      <c r="D89" s="19">
        <f ca="1">((100/(H81))*C89)/100</f>
        <v>0</v>
      </c>
      <c r="E89" s="250"/>
      <c r="F89" s="263"/>
      <c r="G89" s="250"/>
      <c r="H89" s="251"/>
      <c r="I89" s="13" t="s">
        <v>139</v>
      </c>
      <c r="J89" s="30">
        <f>(IF(B81&gt;2,(H81/(B81+2)+J88),0))</f>
        <v>0</v>
      </c>
    </row>
    <row r="90" spans="1:19" ht="15.75" customHeight="1" x14ac:dyDescent="0.25">
      <c r="A90" s="108" t="s">
        <v>127</v>
      </c>
      <c r="B90" s="109" t="s">
        <v>127</v>
      </c>
      <c r="C90" s="43">
        <v>0</v>
      </c>
      <c r="D90" s="19">
        <f ca="1">((100/H81)*C90)/100</f>
        <v>0</v>
      </c>
      <c r="E90" s="250"/>
      <c r="F90" s="263"/>
      <c r="G90" s="250"/>
      <c r="H90" s="251"/>
      <c r="I90" s="13" t="s">
        <v>140</v>
      </c>
      <c r="J90" s="31">
        <f>(IF(B81&gt;3,(H81/(B81+2)+J89),0))</f>
        <v>0</v>
      </c>
    </row>
    <row r="91" spans="1:19" ht="15.75" customHeight="1" x14ac:dyDescent="0.25">
      <c r="A91" s="108" t="s">
        <v>134</v>
      </c>
      <c r="B91" s="109"/>
      <c r="C91" s="43">
        <v>0</v>
      </c>
      <c r="D91" s="19">
        <f ca="1">((100/H81)*C91)/100</f>
        <v>0</v>
      </c>
      <c r="E91" s="250"/>
      <c r="F91" s="263"/>
      <c r="G91" s="250"/>
      <c r="H91" s="251"/>
      <c r="I91" s="13" t="s">
        <v>141</v>
      </c>
      <c r="J91" s="30">
        <f>(IF(B81&gt;4,(H81/(B81+2)+J90),0))</f>
        <v>0</v>
      </c>
    </row>
    <row r="92" spans="1:19" ht="15.75" customHeight="1" x14ac:dyDescent="0.25">
      <c r="A92" s="108" t="s">
        <v>129</v>
      </c>
      <c r="B92" s="109" t="s">
        <v>129</v>
      </c>
      <c r="C92" s="43">
        <v>0</v>
      </c>
      <c r="D92" s="19">
        <f ca="1">((100/(H81))*C92)/100</f>
        <v>0</v>
      </c>
      <c r="E92" s="250"/>
      <c r="F92" s="263"/>
      <c r="G92" s="250"/>
      <c r="H92" s="251"/>
      <c r="I92" s="13" t="s">
        <v>145</v>
      </c>
      <c r="J92" s="30">
        <f ca="1">(IF(B81=1,(H81/(B81+3)+J87),IF(B81=0,(H81/4+J87),IF(B81&gt;1,0))))</f>
        <v>16.5</v>
      </c>
    </row>
    <row r="93" spans="1:19" ht="16.5" thickBot="1" x14ac:dyDescent="0.3">
      <c r="A93" s="124" t="s">
        <v>130</v>
      </c>
      <c r="B93" s="125"/>
      <c r="C93" s="44">
        <v>0</v>
      </c>
      <c r="D93" s="20">
        <f ca="1">((100/(H81))*C93)/100</f>
        <v>0</v>
      </c>
      <c r="E93" s="252"/>
      <c r="F93" s="264"/>
      <c r="G93" s="252"/>
      <c r="H93" s="253"/>
      <c r="I93" s="15" t="s">
        <v>98</v>
      </c>
      <c r="J93" s="32">
        <f ca="1">(IF(B81&gt;1.5,(H81/(B81+2)+J87+MAX(0,J88-J87)+MAX(0,J89-J88)+MAX(0,J90-J89)+MAX(0,J91-J90)+MAX(0,J92-J91)),IF(B81=1,(H81/(B81+3)+J92),IF(B81=0,H81/4+J92))))</f>
        <v>22</v>
      </c>
    </row>
    <row r="94" spans="1:19" ht="15.75" customHeight="1" x14ac:dyDescent="0.25">
      <c r="A94" s="204" t="s">
        <v>136</v>
      </c>
      <c r="B94" s="205"/>
      <c r="C94" s="206" t="str">
        <f>D71</f>
        <v>Building No. 6 = G + 1st to 22nd Floor</v>
      </c>
      <c r="D94" s="207"/>
      <c r="E94" s="207"/>
      <c r="F94" s="207"/>
      <c r="G94" s="207"/>
      <c r="H94" s="208"/>
      <c r="I94" s="49" t="str">
        <f ca="1">IF(D107=100%,"All work Completed. Possession granted to the Building.",IF(D106=100%,"All work Completed, Waiting for OC",I95&amp;""&amp;I96&amp;""&amp;J95&amp;""&amp;J94&amp;" "&amp;J96))</f>
        <v xml:space="preserve">Excavation Completed </v>
      </c>
      <c r="J94" s="50" t="str">
        <f ca="1">(IF(C100=(D95+F95+H95),"",IF(C100&gt;0,", RCC upto "&amp;C100&amp;" Slab","")))&amp;(IF(C101=H95,"",IF(C101&gt;0,", Brickwork upto "&amp;C101&amp;" Floor","")))&amp;(IF(C102=H95,"",IF(C102&gt;0,", Internal Plaster upto "&amp;C102&amp;" Floor","")))&amp;(IF(C103=H95,"",IF(C103&gt;0,", External Plaster upto "&amp;C103&amp;" Floor","")))&amp;(IF(C104=H95,"",IF(C104&gt;0,", Flooring upto "&amp;C104&amp;" Floor","")))&amp;(IF(C105=H95,"",IF(C105&gt;0,", Painting upto "&amp;C105&amp;" Floor","")))&amp;(IF(C106=H95,"",IF(C106&gt;0,", Finishing upto "&amp;C106&amp;" Floor","")))&amp;(IF(C107=H95,"",IF(C107&gt;0,", Possession upto "&amp;C107&amp;" Floor","")))</f>
        <v/>
      </c>
      <c r="S94"/>
    </row>
    <row r="95" spans="1:19" x14ac:dyDescent="0.25">
      <c r="A95" s="16" t="s">
        <v>138</v>
      </c>
      <c r="B95" s="47">
        <f>IF(AND(ISNUMBER(SEARCH("1B",C94))),1,IF(AND(ISNUMBER(SEARCH("2B",C94))),2,IF(AND(ISNUMBER(SEARCH("3B",C94))),3,IF(AND(ISNUMBER(SEARCH("4B",C94))),4,IF(ISNUMBER(SEARCH("5B",C94)),5,0)))))</f>
        <v>0</v>
      </c>
      <c r="C95" s="47" t="s">
        <v>65</v>
      </c>
      <c r="D95" s="47">
        <v>1</v>
      </c>
      <c r="E95" s="47" t="s">
        <v>64</v>
      </c>
      <c r="F95" s="102">
        <v>0</v>
      </c>
      <c r="G95" s="48" t="s">
        <v>73</v>
      </c>
      <c r="H95" s="17">
        <f ca="1">--TRIM(RIGHT(SUBSTITUTE(LEFT(C94,_xlfn.AGGREGATE(16,6,FIND({0,1,2,3,4,5,6,7,8,9},C94,ROW(INDIRECT("1:"&amp;LEN(C94)))),1))," ",REPT(" ",LEN(C94))),LEN(C94)))</f>
        <v>22</v>
      </c>
      <c r="I95" s="51" t="str">
        <f ca="1">IF(D98=100%,"Excavation","")&amp;IF(D99=100%,", Plinth","")&amp;IF(D100=100%,", RCC Slab","")&amp;IF(D101=100%,", Brickwork","")&amp;IF(D102=100%,", Internal Plaster","")&amp;IF(D103=100%,", External Plaster","")&amp;IF(D104=100%,", Flooring","")&amp;IF(D105=100%,", Painting","")&amp;IF(D106=100%,", Building common Amenities","")</f>
        <v>Excavation</v>
      </c>
      <c r="J95" s="52" t="str">
        <f ca="1">(IF(C98=0,"Work not yet Started.",IF(D98=25%,"Piling work in process",IF(D98=50%,"Excavation work in process",IF(D98=100%,"","0")))))&amp;(IF(C99=0%,"",IF(C99=J100,", Footing work is process",IF(C99=J101,", Footing work Completed",IF(C99=J102,", 1st Basement Completed",IF(C99=J103,", 1st &amp; 2nd Basement Completed",IF(C99=J104,", 1st to 3rd Basement Completed",IF(C99=J105,", 1st to 4th Basement Completed",IF(C99=J106,", Plinth work is process",IF(C99=J107,"","0"))))))))))</f>
        <v/>
      </c>
      <c r="S95"/>
    </row>
    <row r="96" spans="1:19" x14ac:dyDescent="0.25">
      <c r="A96" s="203" t="s">
        <v>83</v>
      </c>
      <c r="B96" s="186"/>
      <c r="C96" s="209" t="str">
        <f ca="1">I94</f>
        <v xml:space="preserve">Excavation Completed </v>
      </c>
      <c r="D96" s="209"/>
      <c r="E96" s="209"/>
      <c r="F96" s="209"/>
      <c r="G96" s="209"/>
      <c r="H96" s="210"/>
      <c r="I96" s="51" t="str">
        <f ca="1">IF(I95&lt;&gt;""," Completed","")</f>
        <v xml:space="preserve"> Completed</v>
      </c>
      <c r="J96" s="52" t="str">
        <f ca="1">IF(J94&lt;&gt;"","Completed","")</f>
        <v/>
      </c>
      <c r="S96"/>
    </row>
    <row r="97" spans="1:19" ht="15.75" customHeight="1" x14ac:dyDescent="0.25">
      <c r="A97" s="108" t="s">
        <v>45</v>
      </c>
      <c r="B97" s="109"/>
      <c r="C97" s="43" t="s">
        <v>135</v>
      </c>
      <c r="D97" s="43" t="s">
        <v>76</v>
      </c>
      <c r="E97" s="109" t="s">
        <v>78</v>
      </c>
      <c r="F97" s="109"/>
      <c r="G97" s="109" t="s">
        <v>77</v>
      </c>
      <c r="H97" s="123"/>
      <c r="I97" s="13" t="s">
        <v>137</v>
      </c>
      <c r="J97" s="28">
        <f ca="1">H95*25%</f>
        <v>5.5</v>
      </c>
      <c r="S97"/>
    </row>
    <row r="98" spans="1:19" x14ac:dyDescent="0.25">
      <c r="A98" s="108" t="s">
        <v>124</v>
      </c>
      <c r="B98" s="109"/>
      <c r="C98" s="98">
        <f ca="1">J99</f>
        <v>22</v>
      </c>
      <c r="D98" s="19">
        <f ca="1">((100/H95)*C98)/100</f>
        <v>1.0000000000000002</v>
      </c>
      <c r="E98" s="248">
        <f ca="1">(((C99/H95*10)+(40/(D95+F95+H95)*C100)+(7.5/(H95)*C101)+(7.5/(H95)*C102)+(10/H95*C103)+(10/H95*C104)+(5/H95*C105)+(5/H95*C106)+(5/H95*C107))/100)</f>
        <v>0</v>
      </c>
      <c r="F98" s="262"/>
      <c r="G98" s="248">
        <f ca="1">((((C98/H95)*20)+((C99/H95)*25)+(30/(H95+F95+D95)*C100)+(5/H95*C101)+(5/H95*C102)+(5/H95*C103)+(5/H95*C104)+(0/H95*C105)+(0/H95*C106)+(5/H95*C107))/100)</f>
        <v>0.2</v>
      </c>
      <c r="H98" s="249"/>
      <c r="I98" s="13" t="s">
        <v>94</v>
      </c>
      <c r="J98" s="29">
        <f ca="1">H95*50%</f>
        <v>11</v>
      </c>
    </row>
    <row r="99" spans="1:19" x14ac:dyDescent="0.25">
      <c r="A99" s="108" t="s">
        <v>46</v>
      </c>
      <c r="B99" s="109"/>
      <c r="C99" s="43">
        <v>0</v>
      </c>
      <c r="D99" s="19">
        <f ca="1">((100/H95)*C99)/100</f>
        <v>0</v>
      </c>
      <c r="E99" s="250"/>
      <c r="F99" s="263"/>
      <c r="G99" s="250"/>
      <c r="H99" s="251"/>
      <c r="I99" s="13" t="s">
        <v>95</v>
      </c>
      <c r="J99" s="29">
        <f ca="1">H95</f>
        <v>22</v>
      </c>
      <c r="S99"/>
    </row>
    <row r="100" spans="1:19" ht="15.75" customHeight="1" x14ac:dyDescent="0.25">
      <c r="A100" s="108" t="s">
        <v>125</v>
      </c>
      <c r="B100" s="109"/>
      <c r="C100" s="43">
        <v>0</v>
      </c>
      <c r="D100" s="19">
        <f ca="1">((100/(D95+F95+H95))*C100)/100</f>
        <v>0</v>
      </c>
      <c r="E100" s="250"/>
      <c r="F100" s="263"/>
      <c r="G100" s="250"/>
      <c r="H100" s="251"/>
      <c r="I100" s="13" t="s">
        <v>96</v>
      </c>
      <c r="J100" s="30">
        <f ca="1">(IF(B95&gt;1,(H95/(B95+2)),H95/4))</f>
        <v>5.5</v>
      </c>
      <c r="S100"/>
    </row>
    <row r="101" spans="1:19" ht="15.75" customHeight="1" x14ac:dyDescent="0.25">
      <c r="A101" s="108" t="s">
        <v>132</v>
      </c>
      <c r="B101" s="109" t="s">
        <v>126</v>
      </c>
      <c r="C101" s="43">
        <v>0</v>
      </c>
      <c r="D101" s="19">
        <f ca="1">((100/H95)*C101)/100</f>
        <v>0</v>
      </c>
      <c r="E101" s="250"/>
      <c r="F101" s="263"/>
      <c r="G101" s="250"/>
      <c r="H101" s="251"/>
      <c r="I101" s="13" t="s">
        <v>97</v>
      </c>
      <c r="J101" s="30">
        <f ca="1">(IF(B95&gt;1,(H95/(B95+2)+J100),H95/4+J100))</f>
        <v>11</v>
      </c>
    </row>
    <row r="102" spans="1:19" ht="15.75" customHeight="1" x14ac:dyDescent="0.25">
      <c r="A102" s="108" t="s">
        <v>133</v>
      </c>
      <c r="B102" s="109" t="s">
        <v>126</v>
      </c>
      <c r="C102" s="43">
        <v>0</v>
      </c>
      <c r="D102" s="19">
        <f ca="1">((100/H95)*C102)/100</f>
        <v>0</v>
      </c>
      <c r="E102" s="250"/>
      <c r="F102" s="263"/>
      <c r="G102" s="250"/>
      <c r="H102" s="251"/>
      <c r="I102" s="13" t="s">
        <v>144</v>
      </c>
      <c r="J102" s="30">
        <f>(IF(B95&gt;1,(H95/(B95+2)+J101),0))</f>
        <v>0</v>
      </c>
    </row>
    <row r="103" spans="1:19" ht="15" customHeight="1" x14ac:dyDescent="0.25">
      <c r="A103" s="108" t="s">
        <v>131</v>
      </c>
      <c r="B103" s="109" t="s">
        <v>128</v>
      </c>
      <c r="C103" s="43">
        <v>0</v>
      </c>
      <c r="D103" s="19">
        <f ca="1">((100/(H95))*C103)/100</f>
        <v>0</v>
      </c>
      <c r="E103" s="250"/>
      <c r="F103" s="263"/>
      <c r="G103" s="250"/>
      <c r="H103" s="251"/>
      <c r="I103" s="13" t="s">
        <v>139</v>
      </c>
      <c r="J103" s="30">
        <f>(IF(B95&gt;2,(H95/(B95+2)+J102),0))</f>
        <v>0</v>
      </c>
    </row>
    <row r="104" spans="1:19" ht="15.75" customHeight="1" x14ac:dyDescent="0.25">
      <c r="A104" s="108" t="s">
        <v>127</v>
      </c>
      <c r="B104" s="109" t="s">
        <v>127</v>
      </c>
      <c r="C104" s="43">
        <v>0</v>
      </c>
      <c r="D104" s="19">
        <f ca="1">((100/H95)*C104)/100</f>
        <v>0</v>
      </c>
      <c r="E104" s="250"/>
      <c r="F104" s="263"/>
      <c r="G104" s="250"/>
      <c r="H104" s="251"/>
      <c r="I104" s="13" t="s">
        <v>140</v>
      </c>
      <c r="J104" s="31">
        <f>(IF(B95&gt;3,(H95/(B95+2)+J103),0))</f>
        <v>0</v>
      </c>
    </row>
    <row r="105" spans="1:19" ht="15.75" customHeight="1" x14ac:dyDescent="0.25">
      <c r="A105" s="108" t="s">
        <v>134</v>
      </c>
      <c r="B105" s="109"/>
      <c r="C105" s="43">
        <v>0</v>
      </c>
      <c r="D105" s="19">
        <f ca="1">((100/H95)*C105)/100</f>
        <v>0</v>
      </c>
      <c r="E105" s="250"/>
      <c r="F105" s="263"/>
      <c r="G105" s="250"/>
      <c r="H105" s="251"/>
      <c r="I105" s="13" t="s">
        <v>141</v>
      </c>
      <c r="J105" s="30">
        <f>(IF(B95&gt;4,(H95/(B95+2)+J104),0))</f>
        <v>0</v>
      </c>
    </row>
    <row r="106" spans="1:19" ht="15.75" customHeight="1" x14ac:dyDescent="0.25">
      <c r="A106" s="108" t="s">
        <v>129</v>
      </c>
      <c r="B106" s="109" t="s">
        <v>129</v>
      </c>
      <c r="C106" s="43">
        <v>0</v>
      </c>
      <c r="D106" s="19">
        <f ca="1">((100/(H95))*C106)/100</f>
        <v>0</v>
      </c>
      <c r="E106" s="250"/>
      <c r="F106" s="263"/>
      <c r="G106" s="250"/>
      <c r="H106" s="251"/>
      <c r="I106" s="13" t="s">
        <v>145</v>
      </c>
      <c r="J106" s="30">
        <f ca="1">(IF(B95=1,(H95/(B95+3)+J101),IF(B95=0,(H95/4+J101),IF(B95&gt;1,0))))</f>
        <v>16.5</v>
      </c>
    </row>
    <row r="107" spans="1:19" ht="16.5" thickBot="1" x14ac:dyDescent="0.3">
      <c r="A107" s="124" t="s">
        <v>130</v>
      </c>
      <c r="B107" s="125"/>
      <c r="C107" s="44">
        <v>0</v>
      </c>
      <c r="D107" s="20">
        <f ca="1">((100/(H95))*C107)/100</f>
        <v>0</v>
      </c>
      <c r="E107" s="252"/>
      <c r="F107" s="264"/>
      <c r="G107" s="252"/>
      <c r="H107" s="253"/>
      <c r="I107" s="15" t="s">
        <v>98</v>
      </c>
      <c r="J107" s="32">
        <f ca="1">(IF(B95&gt;1.5,(H95/(B95+2)+J101+MAX(0,J102-J101)+MAX(0,J103-J102)+MAX(0,J104-J103)+MAX(0,J105-J104)+MAX(0,J106-J105)),IF(B95=1,(H95/(B95+3)+J106),IF(B95=0,H95/4+J106))))</f>
        <v>22</v>
      </c>
    </row>
    <row r="108" spans="1:19" ht="15.75" hidden="1" customHeight="1" x14ac:dyDescent="0.25">
      <c r="A108" s="204" t="s">
        <v>136</v>
      </c>
      <c r="B108" s="205"/>
      <c r="C108" s="206" t="str">
        <f>D72</f>
        <v>C Wing = 1B + G + 1st to 20th Floor</v>
      </c>
      <c r="D108" s="207"/>
      <c r="E108" s="207"/>
      <c r="F108" s="207"/>
      <c r="G108" s="207"/>
      <c r="H108" s="208"/>
      <c r="I108" s="49" t="str">
        <f ca="1">IF(D121=100%,"All work Completed. Possession granted to the Building.",IF(D120=100%,"All work Completed, Waiting for OC",I109&amp;""&amp;I110&amp;""&amp;J109&amp;""&amp;J108&amp;" "&amp;J110))</f>
        <v xml:space="preserve">Excavation, Plinth Completed </v>
      </c>
      <c r="J108" s="50" t="str">
        <f ca="1">(IF(C114=(D109+F109+H109),"",IF(C114&gt;0,", RCC upto "&amp;C114&amp;" Slab","")))&amp;(IF(C115=H109,"",IF(C115&gt;0,", Brickwork upto "&amp;C115&amp;" Floor","")))&amp;(IF(C116=H109,"",IF(C116&gt;0,", Internal Plaster upto "&amp;C116&amp;" Floor","")))&amp;(IF(C117=H109,"",IF(C117&gt;0,", External Plaster upto "&amp;C117&amp;" Floor","")))&amp;(IF(C118=H109,"",IF(C118&gt;0,", Flooring upto "&amp;C118&amp;" Floor","")))&amp;(IF(C119=H109,"",IF(C119&gt;0,", Painting upto "&amp;C119&amp;" Floor","")))&amp;(IF(C120=H109,"",IF(C120&gt;0,", Finishing upto "&amp;C120&amp;" Floor","")))&amp;(IF(C121=H109,"",IF(C121&gt;0,", Possession upto "&amp;C121&amp;" Floor","")))</f>
        <v/>
      </c>
      <c r="S108"/>
    </row>
    <row r="109" spans="1:19" hidden="1" x14ac:dyDescent="0.25">
      <c r="A109" s="16" t="s">
        <v>138</v>
      </c>
      <c r="B109" s="47">
        <f>IF(AND(ISNUMBER(SEARCH("1B",C108))),1,IF(AND(ISNUMBER(SEARCH("2B",C108))),2,IF(AND(ISNUMBER(SEARCH("3B",C108))),3,IF(AND(ISNUMBER(SEARCH("4B",C108))),4,IF(ISNUMBER(SEARCH("5B",C108)),5,0)))))</f>
        <v>1</v>
      </c>
      <c r="C109" s="47" t="s">
        <v>65</v>
      </c>
      <c r="D109" s="47">
        <v>1</v>
      </c>
      <c r="E109" s="47" t="s">
        <v>64</v>
      </c>
      <c r="F109" s="14">
        <v>0</v>
      </c>
      <c r="G109" s="48" t="s">
        <v>73</v>
      </c>
      <c r="H109" s="17">
        <f ca="1">--TRIM(RIGHT(SUBSTITUTE(LEFT(C108,_xlfn.AGGREGATE(16,6,FIND({0,1,2,3,4,5,6,7,8,9},C108,ROW(INDIRECT("1:"&amp;LEN(C108)))),1))," ",REPT(" ",LEN(C108))),LEN(C108)))</f>
        <v>20</v>
      </c>
      <c r="I109" s="51" t="str">
        <f ca="1">IF(D112=100%,"Excavation","")&amp;IF(D113=100%,", Plinth","")&amp;IF(D114=100%,", RCC Slab","")&amp;IF(D115=100%,", Brickwork","")&amp;IF(D116=100%,", Internal Plaster","")&amp;IF(D117=100%,", External Plaster","")&amp;IF(D118=100%,", Flooring","")&amp;IF(D119=100%,", Painting","")&amp;IF(D120=100%,", Building common Amenities","")</f>
        <v>Excavation, Plinth</v>
      </c>
      <c r="J109" s="52"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c>
      <c r="S109"/>
    </row>
    <row r="110" spans="1:19" hidden="1" x14ac:dyDescent="0.25">
      <c r="A110" s="203" t="s">
        <v>83</v>
      </c>
      <c r="B110" s="186"/>
      <c r="C110" s="209" t="str">
        <f ca="1">I108</f>
        <v xml:space="preserve">Excavation, Plinth Completed </v>
      </c>
      <c r="D110" s="209"/>
      <c r="E110" s="209"/>
      <c r="F110" s="209"/>
      <c r="G110" s="209"/>
      <c r="H110" s="210"/>
      <c r="I110" s="51" t="str">
        <f ca="1">IF(I109&lt;&gt;""," Completed","")</f>
        <v xml:space="preserve"> Completed</v>
      </c>
      <c r="J110" s="52" t="str">
        <f ca="1">IF(J108&lt;&gt;"","Completed","")</f>
        <v/>
      </c>
      <c r="S110"/>
    </row>
    <row r="111" spans="1:19" ht="15.75" hidden="1" customHeight="1" x14ac:dyDescent="0.25">
      <c r="A111" s="108" t="s">
        <v>45</v>
      </c>
      <c r="B111" s="109"/>
      <c r="C111" s="43" t="s">
        <v>135</v>
      </c>
      <c r="D111" s="43" t="s">
        <v>76</v>
      </c>
      <c r="E111" s="109" t="s">
        <v>78</v>
      </c>
      <c r="F111" s="109"/>
      <c r="G111" s="109" t="s">
        <v>77</v>
      </c>
      <c r="H111" s="123"/>
      <c r="I111" s="13" t="s">
        <v>137</v>
      </c>
      <c r="J111" s="28">
        <f ca="1">H109*25%</f>
        <v>5</v>
      </c>
      <c r="S111"/>
    </row>
    <row r="112" spans="1:19" hidden="1" x14ac:dyDescent="0.25">
      <c r="A112" s="108" t="s">
        <v>124</v>
      </c>
      <c r="B112" s="109"/>
      <c r="C112" s="60">
        <f ca="1">J113</f>
        <v>20</v>
      </c>
      <c r="D112" s="19">
        <f ca="1">((100/H109)*C112)/100</f>
        <v>1</v>
      </c>
      <c r="E112" s="248">
        <f ca="1">(((C113/H109*10)+(40/(D109+F109+H109)*C114)+(7.5/(H109)*C115)+(7.5/(H109)*C116)+(10/H109*C117)+(10/H109*C118)+(5/H109*C119)+(5/H109*C120)+(5/H109*C121))/100)</f>
        <v>0.1</v>
      </c>
      <c r="F112" s="262"/>
      <c r="G112" s="248">
        <f ca="1">((((C112/H109)*20)+((C113/H109)*25)+(30/(H109+F109+D109)*C114)+(5/H109*C115)+(5/H109*C116)+(5/H109*C117)+(5/H109*C118)+(0/H109*C119)+(0/H109*C120)+(5/H109*C121))/100)</f>
        <v>0.45</v>
      </c>
      <c r="H112" s="249"/>
      <c r="I112" s="13" t="s">
        <v>94</v>
      </c>
      <c r="J112" s="29">
        <f ca="1">H109*50%</f>
        <v>10</v>
      </c>
    </row>
    <row r="113" spans="1:22" hidden="1" x14ac:dyDescent="0.25">
      <c r="A113" s="108" t="s">
        <v>46</v>
      </c>
      <c r="B113" s="109"/>
      <c r="C113" s="43">
        <f ca="1">J121</f>
        <v>20</v>
      </c>
      <c r="D113" s="19">
        <f ca="1">((100/H109)*C113)/100</f>
        <v>1</v>
      </c>
      <c r="E113" s="250"/>
      <c r="F113" s="263"/>
      <c r="G113" s="250"/>
      <c r="H113" s="251"/>
      <c r="I113" s="13" t="s">
        <v>95</v>
      </c>
      <c r="J113" s="29">
        <f ca="1">H109</f>
        <v>20</v>
      </c>
      <c r="S113"/>
    </row>
    <row r="114" spans="1:22" ht="15.75" hidden="1" customHeight="1" x14ac:dyDescent="0.25">
      <c r="A114" s="108" t="s">
        <v>125</v>
      </c>
      <c r="B114" s="109"/>
      <c r="C114" s="43">
        <v>0</v>
      </c>
      <c r="D114" s="19">
        <f ca="1">((100/(D109+F109+H109))*C114)/100</f>
        <v>0</v>
      </c>
      <c r="E114" s="250"/>
      <c r="F114" s="263"/>
      <c r="G114" s="250"/>
      <c r="H114" s="251"/>
      <c r="I114" s="13" t="s">
        <v>96</v>
      </c>
      <c r="J114" s="30">
        <f ca="1">(IF(B109&gt;1,(H109/(B109+2)),H109/4))</f>
        <v>5</v>
      </c>
      <c r="S114"/>
    </row>
    <row r="115" spans="1:22" ht="15.75" hidden="1" customHeight="1" x14ac:dyDescent="0.25">
      <c r="A115" s="108" t="s">
        <v>132</v>
      </c>
      <c r="B115" s="109" t="s">
        <v>126</v>
      </c>
      <c r="C115" s="43">
        <v>0</v>
      </c>
      <c r="D115" s="19">
        <f ca="1">((100/H109)*C115)/100</f>
        <v>0</v>
      </c>
      <c r="E115" s="250"/>
      <c r="F115" s="263"/>
      <c r="G115" s="250"/>
      <c r="H115" s="251"/>
      <c r="I115" s="13" t="s">
        <v>97</v>
      </c>
      <c r="J115" s="30">
        <f ca="1">(IF(B109&gt;1,(H109/(B109+2)+J114),H109/4+J114))</f>
        <v>10</v>
      </c>
    </row>
    <row r="116" spans="1:22" ht="15.75" hidden="1" customHeight="1" x14ac:dyDescent="0.25">
      <c r="A116" s="108" t="s">
        <v>133</v>
      </c>
      <c r="B116" s="109" t="s">
        <v>126</v>
      </c>
      <c r="C116" s="43">
        <v>0</v>
      </c>
      <c r="D116" s="19">
        <f ca="1">((100/H109)*C116)/100</f>
        <v>0</v>
      </c>
      <c r="E116" s="250"/>
      <c r="F116" s="263"/>
      <c r="G116" s="250"/>
      <c r="H116" s="251"/>
      <c r="I116" s="13" t="s">
        <v>144</v>
      </c>
      <c r="J116" s="30">
        <f>(IF(B109&gt;1,(H109/(B109+2)+J115),0))</f>
        <v>0</v>
      </c>
    </row>
    <row r="117" spans="1:22" ht="15" hidden="1" customHeight="1" x14ac:dyDescent="0.25">
      <c r="A117" s="108" t="s">
        <v>131</v>
      </c>
      <c r="B117" s="109" t="s">
        <v>128</v>
      </c>
      <c r="C117" s="43">
        <v>0</v>
      </c>
      <c r="D117" s="19">
        <f ca="1">((100/(H109))*C117)/100</f>
        <v>0</v>
      </c>
      <c r="E117" s="250"/>
      <c r="F117" s="263"/>
      <c r="G117" s="250"/>
      <c r="H117" s="251"/>
      <c r="I117" s="13" t="s">
        <v>139</v>
      </c>
      <c r="J117" s="30">
        <f>(IF(B109&gt;2,(H109/(B109+2)+J116),0))</f>
        <v>0</v>
      </c>
    </row>
    <row r="118" spans="1:22" ht="15.75" hidden="1" customHeight="1" x14ac:dyDescent="0.25">
      <c r="A118" s="108" t="s">
        <v>127</v>
      </c>
      <c r="B118" s="109" t="s">
        <v>127</v>
      </c>
      <c r="C118" s="43">
        <v>0</v>
      </c>
      <c r="D118" s="19">
        <f ca="1">((100/H109)*C118)/100</f>
        <v>0</v>
      </c>
      <c r="E118" s="250"/>
      <c r="F118" s="263"/>
      <c r="G118" s="250"/>
      <c r="H118" s="251"/>
      <c r="I118" s="13" t="s">
        <v>140</v>
      </c>
      <c r="J118" s="31">
        <f>(IF(B109&gt;3,(H109/(B109+2)+J117),0))</f>
        <v>0</v>
      </c>
    </row>
    <row r="119" spans="1:22" ht="15.75" hidden="1" customHeight="1" x14ac:dyDescent="0.25">
      <c r="A119" s="108" t="s">
        <v>134</v>
      </c>
      <c r="B119" s="109"/>
      <c r="C119" s="43">
        <v>0</v>
      </c>
      <c r="D119" s="19">
        <f ca="1">((100/H109)*C119)/100</f>
        <v>0</v>
      </c>
      <c r="E119" s="250"/>
      <c r="F119" s="263"/>
      <c r="G119" s="250"/>
      <c r="H119" s="251"/>
      <c r="I119" s="13" t="s">
        <v>141</v>
      </c>
      <c r="J119" s="30">
        <f>(IF(B109&gt;4,(H109/(B109+2)+J118),0))</f>
        <v>0</v>
      </c>
    </row>
    <row r="120" spans="1:22" ht="15.75" hidden="1" customHeight="1" x14ac:dyDescent="0.25">
      <c r="A120" s="108" t="s">
        <v>129</v>
      </c>
      <c r="B120" s="109" t="s">
        <v>129</v>
      </c>
      <c r="C120" s="43">
        <v>0</v>
      </c>
      <c r="D120" s="19">
        <f ca="1">((100/(H109))*C120)/100</f>
        <v>0</v>
      </c>
      <c r="E120" s="250"/>
      <c r="F120" s="263"/>
      <c r="G120" s="250"/>
      <c r="H120" s="251"/>
      <c r="I120" s="13" t="s">
        <v>145</v>
      </c>
      <c r="J120" s="30">
        <f ca="1">(IF(B109=1,(H109/(B109+3)+J115),IF(B109=0,(H109/4+J115),IF(B109&gt;1,0))))</f>
        <v>15</v>
      </c>
    </row>
    <row r="121" spans="1:22" ht="16.5" hidden="1" thickBot="1" x14ac:dyDescent="0.3">
      <c r="A121" s="124" t="s">
        <v>130</v>
      </c>
      <c r="B121" s="125"/>
      <c r="C121" s="44">
        <v>0</v>
      </c>
      <c r="D121" s="20">
        <f ca="1">((100/(H109))*C121)/100</f>
        <v>0</v>
      </c>
      <c r="E121" s="252"/>
      <c r="F121" s="264"/>
      <c r="G121" s="252"/>
      <c r="H121" s="253"/>
      <c r="I121" s="15" t="s">
        <v>98</v>
      </c>
      <c r="J121" s="32">
        <f ca="1">(IF(B109&gt;1.5,(H109/(B109+2)+J115+MAX(0,J116-J115)+MAX(0,J117-J116)+MAX(0,J118-J117)+MAX(0,J119-J118)+MAX(0,J120-J119)),IF(B109=1,(H109/(B109+3)+J120),IF(B109=0,H109/4+J120))))</f>
        <v>20</v>
      </c>
    </row>
    <row r="122" spans="1:22" hidden="1" x14ac:dyDescent="0.25">
      <c r="A122" s="162" t="s">
        <v>156</v>
      </c>
      <c r="B122" s="162"/>
      <c r="C122" s="162"/>
      <c r="D122" s="162"/>
      <c r="E122" s="162"/>
      <c r="F122" s="174" t="s">
        <v>160</v>
      </c>
      <c r="G122" s="174"/>
      <c r="H122" s="174"/>
      <c r="R122" t="s">
        <v>253</v>
      </c>
      <c r="S122" t="s">
        <v>171</v>
      </c>
      <c r="T122" t="s">
        <v>179</v>
      </c>
      <c r="U122" t="s">
        <v>193</v>
      </c>
      <c r="V122" t="s">
        <v>188</v>
      </c>
    </row>
    <row r="123" spans="1:22" hidden="1" x14ac:dyDescent="0.25">
      <c r="A123" s="132" t="s">
        <v>158</v>
      </c>
      <c r="B123" s="132"/>
      <c r="C123" s="132"/>
      <c r="D123" s="132"/>
      <c r="E123" s="132"/>
      <c r="F123" s="135"/>
      <c r="G123" s="135"/>
      <c r="H123" s="135"/>
      <c r="R123"/>
      <c r="S123">
        <v>800000</v>
      </c>
      <c r="T123">
        <v>150000</v>
      </c>
      <c r="U123">
        <v>100000</v>
      </c>
      <c r="V123">
        <v>100000</v>
      </c>
    </row>
    <row r="124" spans="1:22" hidden="1" x14ac:dyDescent="0.25">
      <c r="A124" s="132" t="s">
        <v>157</v>
      </c>
      <c r="B124" s="132"/>
      <c r="C124" s="132"/>
      <c r="D124" s="132"/>
      <c r="E124" s="132"/>
      <c r="F124" s="135"/>
      <c r="G124" s="135"/>
      <c r="H124" s="135"/>
      <c r="R124"/>
      <c r="S124">
        <v>900000</v>
      </c>
      <c r="T124">
        <v>200000</v>
      </c>
      <c r="U124">
        <v>150000</v>
      </c>
      <c r="V124">
        <v>150000</v>
      </c>
    </row>
    <row r="125" spans="1:22" hidden="1" x14ac:dyDescent="0.25">
      <c r="A125" s="132" t="s">
        <v>159</v>
      </c>
      <c r="B125" s="132"/>
      <c r="C125" s="132"/>
      <c r="D125" s="132"/>
      <c r="E125" s="132"/>
      <c r="F125" s="135"/>
      <c r="G125" s="135"/>
      <c r="H125" s="135"/>
      <c r="R125"/>
      <c r="S125">
        <v>1000000</v>
      </c>
      <c r="T125">
        <v>250000</v>
      </c>
      <c r="U125">
        <v>200000</v>
      </c>
      <c r="V125">
        <v>200000</v>
      </c>
    </row>
    <row r="126" spans="1:22" s="33" customFormat="1" hidden="1" x14ac:dyDescent="0.25">
      <c r="A126" s="132" t="s">
        <v>174</v>
      </c>
      <c r="B126" s="132"/>
      <c r="C126" s="132"/>
      <c r="D126" s="132"/>
      <c r="E126" s="132"/>
      <c r="F126" s="135"/>
      <c r="G126" s="135"/>
      <c r="H126" s="135"/>
      <c r="R126"/>
      <c r="S126">
        <v>1100000</v>
      </c>
      <c r="T126">
        <v>300000</v>
      </c>
      <c r="U126">
        <v>250000</v>
      </c>
      <c r="V126" s="23">
        <v>250000</v>
      </c>
    </row>
    <row r="127" spans="1:22" s="33" customFormat="1" hidden="1" x14ac:dyDescent="0.25">
      <c r="A127" s="132" t="s">
        <v>88</v>
      </c>
      <c r="B127" s="132"/>
      <c r="C127" s="132"/>
      <c r="D127" s="132"/>
      <c r="E127" s="132"/>
      <c r="F127" s="135"/>
      <c r="G127" s="135"/>
      <c r="H127" s="135"/>
      <c r="R127"/>
      <c r="S127">
        <v>1200000</v>
      </c>
      <c r="T127">
        <v>350000</v>
      </c>
      <c r="U127">
        <v>300000</v>
      </c>
      <c r="V127">
        <v>300000</v>
      </c>
    </row>
    <row r="128" spans="1:22" s="33" customFormat="1" hidden="1" x14ac:dyDescent="0.25">
      <c r="A128" s="132" t="s">
        <v>89</v>
      </c>
      <c r="B128" s="132"/>
      <c r="C128" s="132"/>
      <c r="D128" s="132"/>
      <c r="E128" s="132"/>
      <c r="F128" s="135"/>
      <c r="G128" s="135"/>
      <c r="H128" s="135"/>
      <c r="R128"/>
      <c r="S128">
        <v>1300000</v>
      </c>
      <c r="T128">
        <v>400000</v>
      </c>
      <c r="U128">
        <v>350000</v>
      </c>
      <c r="V128" s="23">
        <v>400000</v>
      </c>
    </row>
    <row r="129" spans="1:22" s="33" customFormat="1" hidden="1" x14ac:dyDescent="0.25">
      <c r="A129" s="132" t="s">
        <v>90</v>
      </c>
      <c r="B129" s="132"/>
      <c r="C129" s="132"/>
      <c r="D129" s="132"/>
      <c r="E129" s="132"/>
      <c r="F129" s="135"/>
      <c r="G129" s="135"/>
      <c r="H129" s="135"/>
      <c r="R129"/>
      <c r="S129">
        <v>1400000</v>
      </c>
      <c r="T129">
        <v>500000</v>
      </c>
      <c r="U129">
        <v>400000</v>
      </c>
      <c r="V129"/>
    </row>
    <row r="130" spans="1:22" s="33" customFormat="1" hidden="1" x14ac:dyDescent="0.25">
      <c r="A130" s="132" t="s">
        <v>91</v>
      </c>
      <c r="B130" s="132"/>
      <c r="C130" s="132"/>
      <c r="D130" s="132"/>
      <c r="E130" s="132"/>
      <c r="F130" s="135"/>
      <c r="G130" s="135"/>
      <c r="H130" s="135"/>
      <c r="R130"/>
      <c r="S130">
        <v>1500000</v>
      </c>
      <c r="T130">
        <v>600000</v>
      </c>
      <c r="U130">
        <v>500000</v>
      </c>
      <c r="V130" s="23"/>
    </row>
    <row r="131" spans="1:22" s="33" customFormat="1" hidden="1" x14ac:dyDescent="0.25">
      <c r="A131" s="132" t="s">
        <v>92</v>
      </c>
      <c r="B131" s="132"/>
      <c r="C131" s="132"/>
      <c r="D131" s="132"/>
      <c r="E131" s="132"/>
      <c r="F131" s="135"/>
      <c r="G131" s="135"/>
      <c r="H131" s="135"/>
      <c r="R131"/>
      <c r="S131">
        <v>1600000</v>
      </c>
      <c r="T131">
        <v>700000</v>
      </c>
      <c r="U131">
        <v>600000</v>
      </c>
      <c r="V131"/>
    </row>
    <row r="132" spans="1:22" s="33" customFormat="1" hidden="1" x14ac:dyDescent="0.25">
      <c r="A132" s="132" t="s">
        <v>93</v>
      </c>
      <c r="B132" s="132"/>
      <c r="C132" s="132"/>
      <c r="D132" s="132"/>
      <c r="E132" s="132"/>
      <c r="F132" s="135"/>
      <c r="G132" s="135"/>
      <c r="H132" s="135"/>
      <c r="R132"/>
      <c r="S132">
        <v>1700000</v>
      </c>
      <c r="T132">
        <v>800000</v>
      </c>
      <c r="U132"/>
      <c r="V132" s="23"/>
    </row>
    <row r="133" spans="1:22" hidden="1" x14ac:dyDescent="0.25">
      <c r="A133" s="132" t="s">
        <v>392</v>
      </c>
      <c r="B133" s="132"/>
      <c r="C133" s="132"/>
      <c r="D133" s="132"/>
      <c r="E133" s="132"/>
      <c r="F133" s="180">
        <v>600000</v>
      </c>
      <c r="G133" s="180"/>
      <c r="H133" s="180"/>
      <c r="R133"/>
      <c r="S133">
        <v>1800000</v>
      </c>
      <c r="T133">
        <v>900000</v>
      </c>
      <c r="U133"/>
    </row>
    <row r="134" spans="1:22" s="34" customFormat="1" hidden="1" x14ac:dyDescent="0.25">
      <c r="A134" s="181" t="s">
        <v>47</v>
      </c>
      <c r="B134" s="181"/>
      <c r="C134" s="181"/>
      <c r="D134" s="181"/>
      <c r="E134" s="181"/>
      <c r="F134" s="135">
        <f>F123*0.8</f>
        <v>0</v>
      </c>
      <c r="G134" s="135"/>
      <c r="H134" s="135"/>
      <c r="R134" s="21"/>
      <c r="S134" s="21"/>
      <c r="T134">
        <v>1000000</v>
      </c>
      <c r="U134"/>
      <c r="V134" s="21"/>
    </row>
    <row r="135" spans="1:22" s="35" customFormat="1" ht="15.75" hidden="1" customHeight="1" x14ac:dyDescent="0.25">
      <c r="A135" s="179" t="s">
        <v>68</v>
      </c>
      <c r="B135" s="179"/>
      <c r="C135" s="179"/>
      <c r="D135" s="179"/>
      <c r="E135" s="179"/>
      <c r="F135" s="179"/>
      <c r="G135" s="179"/>
      <c r="H135" s="179"/>
      <c r="R135"/>
      <c r="S135" s="21"/>
      <c r="T135"/>
      <c r="U135"/>
      <c r="V135" s="21"/>
    </row>
    <row r="136" spans="1:22" s="35" customFormat="1" ht="15.75" hidden="1" customHeight="1" x14ac:dyDescent="0.25">
      <c r="A136" s="137" t="s">
        <v>48</v>
      </c>
      <c r="B136" s="137"/>
      <c r="C136" s="142" t="s">
        <v>71</v>
      </c>
      <c r="D136" s="142"/>
      <c r="E136" s="126" t="s">
        <v>49</v>
      </c>
      <c r="F136" s="126"/>
      <c r="G136" s="137" t="s">
        <v>50</v>
      </c>
      <c r="H136" s="137"/>
      <c r="R136"/>
      <c r="S136" s="21"/>
      <c r="T136"/>
      <c r="U136" s="21"/>
      <c r="V136" s="21"/>
    </row>
    <row r="137" spans="1:22" s="35" customFormat="1" hidden="1" x14ac:dyDescent="0.25">
      <c r="A137" s="141"/>
      <c r="B137" s="141"/>
      <c r="C137" s="244"/>
      <c r="D137" s="244"/>
      <c r="E137" s="245"/>
      <c r="F137" s="245"/>
      <c r="G137" s="155"/>
      <c r="H137" s="155"/>
      <c r="R137"/>
      <c r="S137" s="21"/>
      <c r="T137"/>
      <c r="U137" s="21"/>
      <c r="V137" s="21"/>
    </row>
    <row r="138" spans="1:22" s="35" customFormat="1" hidden="1" x14ac:dyDescent="0.25">
      <c r="A138" s="141"/>
      <c r="B138" s="141"/>
      <c r="C138" s="244"/>
      <c r="D138" s="244"/>
      <c r="E138" s="245"/>
      <c r="F138" s="245"/>
      <c r="G138" s="155"/>
      <c r="H138" s="155"/>
      <c r="R138"/>
      <c r="S138" s="21"/>
      <c r="T138"/>
      <c r="U138" s="21"/>
      <c r="V138" s="21"/>
    </row>
    <row r="139" spans="1:22" s="35" customFormat="1" hidden="1" x14ac:dyDescent="0.25">
      <c r="A139" s="179" t="s">
        <v>149</v>
      </c>
      <c r="B139" s="179"/>
      <c r="C139" s="142"/>
      <c r="D139" s="142"/>
      <c r="E139" s="126"/>
      <c r="F139" s="126"/>
      <c r="G139" s="137"/>
      <c r="H139" s="137"/>
      <c r="R139"/>
      <c r="S139" s="21"/>
      <c r="T139"/>
      <c r="U139" s="21"/>
      <c r="V139" s="21"/>
    </row>
    <row r="140" spans="1:22" s="35" customFormat="1" hidden="1" x14ac:dyDescent="0.25">
      <c r="A140" s="179" t="s">
        <v>63</v>
      </c>
      <c r="B140" s="179"/>
      <c r="C140" s="179"/>
      <c r="D140" s="179"/>
      <c r="E140" s="179"/>
      <c r="F140" s="179"/>
      <c r="G140" s="179"/>
      <c r="H140" s="179"/>
      <c r="T140"/>
    </row>
    <row r="141" spans="1:22" s="35" customFormat="1" ht="15.75" hidden="1" customHeight="1" x14ac:dyDescent="0.25">
      <c r="A141" s="137" t="s">
        <v>48</v>
      </c>
      <c r="B141" s="137"/>
      <c r="C141" s="142" t="s">
        <v>71</v>
      </c>
      <c r="D141" s="142"/>
      <c r="E141" s="126" t="s">
        <v>49</v>
      </c>
      <c r="F141" s="126"/>
      <c r="G141" s="137" t="s">
        <v>50</v>
      </c>
      <c r="H141" s="137"/>
      <c r="T141"/>
    </row>
    <row r="142" spans="1:22" s="35" customFormat="1" hidden="1" x14ac:dyDescent="0.25">
      <c r="A142" s="141"/>
      <c r="B142" s="141"/>
      <c r="C142" s="244"/>
      <c r="D142" s="244"/>
      <c r="E142" s="245"/>
      <c r="F142" s="245"/>
      <c r="G142" s="155"/>
      <c r="H142" s="155"/>
      <c r="T142"/>
    </row>
    <row r="143" spans="1:22" s="35" customFormat="1" hidden="1" x14ac:dyDescent="0.25">
      <c r="A143" s="141"/>
      <c r="B143" s="141"/>
      <c r="C143" s="244"/>
      <c r="D143" s="244"/>
      <c r="E143" s="245"/>
      <c r="F143" s="245"/>
      <c r="G143" s="155"/>
      <c r="H143" s="155"/>
      <c r="T143"/>
    </row>
    <row r="144" spans="1:22" s="35" customFormat="1" ht="16.5" hidden="1" thickBot="1" x14ac:dyDescent="0.3">
      <c r="A144" s="258" t="s">
        <v>149</v>
      </c>
      <c r="B144" s="258"/>
      <c r="C144" s="156"/>
      <c r="D144" s="156"/>
      <c r="E144" s="259"/>
      <c r="F144" s="259"/>
      <c r="G144" s="260"/>
      <c r="H144" s="260"/>
      <c r="T144"/>
    </row>
    <row r="145" spans="1:20" s="35" customFormat="1" ht="16.5" hidden="1" thickBot="1" x14ac:dyDescent="0.3">
      <c r="A145" s="160" t="s">
        <v>164</v>
      </c>
      <c r="B145" s="161"/>
      <c r="C145" s="261">
        <f>C139+C144</f>
        <v>0</v>
      </c>
      <c r="D145" s="261"/>
      <c r="E145" s="254">
        <f>E139+E144</f>
        <v>0</v>
      </c>
      <c r="F145" s="254"/>
      <c r="G145" s="256">
        <f>G139+G144</f>
        <v>0</v>
      </c>
      <c r="H145" s="257"/>
      <c r="T145"/>
    </row>
    <row r="146" spans="1:20" s="34" customFormat="1" hidden="1" x14ac:dyDescent="0.25">
      <c r="A146" s="127" t="s">
        <v>355</v>
      </c>
      <c r="B146" s="127"/>
      <c r="C146" s="127"/>
      <c r="D146" s="127"/>
      <c r="E146" s="127"/>
      <c r="F146" s="127"/>
      <c r="G146" s="127"/>
      <c r="H146" s="127"/>
      <c r="T146" s="35"/>
    </row>
    <row r="147" spans="1:20" hidden="1" x14ac:dyDescent="0.25">
      <c r="A147" s="136" t="s">
        <v>173</v>
      </c>
      <c r="B147" s="136"/>
      <c r="C147" s="136"/>
      <c r="D147" s="136"/>
      <c r="E147" s="136"/>
      <c r="F147" s="136"/>
      <c r="G147" s="136"/>
      <c r="H147" s="136"/>
      <c r="T147" s="35"/>
    </row>
    <row r="148" spans="1:20" ht="47.25" hidden="1" customHeight="1" x14ac:dyDescent="0.25">
      <c r="A148" s="130" t="s">
        <v>115</v>
      </c>
      <c r="B148" s="153" t="s">
        <v>175</v>
      </c>
      <c r="C148" s="130" t="s">
        <v>51</v>
      </c>
      <c r="D148" s="153" t="s">
        <v>232</v>
      </c>
      <c r="E148" s="246" t="s">
        <v>155</v>
      </c>
      <c r="F148" s="130" t="s">
        <v>52</v>
      </c>
      <c r="G148" s="163" t="s">
        <v>53</v>
      </c>
      <c r="H148" s="65" t="s">
        <v>147</v>
      </c>
      <c r="T148" s="35"/>
    </row>
    <row r="149" spans="1:20" s="37" customFormat="1" hidden="1" x14ac:dyDescent="0.25">
      <c r="A149" s="131"/>
      <c r="B149" s="154"/>
      <c r="C149" s="131"/>
      <c r="D149" s="154"/>
      <c r="E149" s="247"/>
      <c r="F149" s="131"/>
      <c r="G149" s="164"/>
      <c r="H149" s="55">
        <v>0.45</v>
      </c>
      <c r="T149" s="35"/>
    </row>
    <row r="150" spans="1:20" s="37" customFormat="1" hidden="1" x14ac:dyDescent="0.25">
      <c r="A150" s="118" t="s">
        <v>113</v>
      </c>
      <c r="B150" s="119"/>
      <c r="C150" s="119"/>
      <c r="D150" s="119"/>
      <c r="E150" s="119"/>
      <c r="F150" s="119"/>
      <c r="G150" s="119"/>
      <c r="H150" s="120"/>
      <c r="J150" s="36"/>
      <c r="T150" s="35"/>
    </row>
    <row r="151" spans="1:20" s="37" customFormat="1" ht="15.75" hidden="1" customHeight="1" x14ac:dyDescent="0.25">
      <c r="A151" s="116">
        <v>1</v>
      </c>
      <c r="B151" s="117"/>
      <c r="C151" s="42"/>
      <c r="D151" s="42">
        <v>0</v>
      </c>
      <c r="E151" s="42">
        <v>0</v>
      </c>
      <c r="F151" s="42">
        <f>D151+(IF(E151&lt;201,E151,IF(E151&lt;301,E151/2,E151/3)))</f>
        <v>0</v>
      </c>
      <c r="G151" s="42">
        <v>0</v>
      </c>
      <c r="H151" s="42">
        <f>(F151+(IF(G151&lt;101,G151,IF(G151&lt;201,G151/2,IF(G151&lt;=301,G151/3,G151/4)))))*(($H$149)+1)</f>
        <v>0</v>
      </c>
      <c r="I151" s="36"/>
      <c r="L151" s="243"/>
      <c r="M151" s="243"/>
      <c r="N151" s="36"/>
      <c r="T151" s="35"/>
    </row>
    <row r="152" spans="1:20" s="37" customFormat="1" ht="15.75" hidden="1" customHeight="1" x14ac:dyDescent="0.25">
      <c r="A152" s="116">
        <f>A151+1</f>
        <v>2</v>
      </c>
      <c r="B152" s="117"/>
      <c r="C152" s="42"/>
      <c r="D152" s="42"/>
      <c r="E152" s="42">
        <v>0</v>
      </c>
      <c r="F152" s="42">
        <f>D152+(IF(E152&lt;201,E152,IF(E152&lt;301,E152/2,E152/3)))</f>
        <v>0</v>
      </c>
      <c r="G152" s="42">
        <v>0</v>
      </c>
      <c r="H152" s="42">
        <f>(F152+(IF(G152&lt;101,G152,IF(G152&lt;201,G152/2,IF(G152&lt;=301,G152/3,G152/4)))))*(($H$149)+1)</f>
        <v>0</v>
      </c>
      <c r="I152" s="36"/>
      <c r="L152" s="243"/>
      <c r="M152" s="243"/>
      <c r="N152" s="36"/>
      <c r="T152" s="34"/>
    </row>
    <row r="153" spans="1:20" s="37" customFormat="1" ht="15.75" hidden="1" customHeight="1" x14ac:dyDescent="0.25">
      <c r="A153" s="116">
        <f>A152+1</f>
        <v>3</v>
      </c>
      <c r="B153" s="117"/>
      <c r="C153" s="42"/>
      <c r="D153" s="42"/>
      <c r="E153" s="42">
        <v>0</v>
      </c>
      <c r="F153" s="42">
        <f>D153+(IF(E153&lt;201,E153,IF(E153&lt;301,E153/2,E153/3)))</f>
        <v>0</v>
      </c>
      <c r="G153" s="42">
        <v>0</v>
      </c>
      <c r="H153" s="42">
        <f>(F153+(IF(G153&lt;101,G153,IF(G153&lt;201,G153/2,IF(G153&lt;=301,G153/3,G153/4)))))*(($H$149)+1)</f>
        <v>0</v>
      </c>
      <c r="I153" s="36"/>
      <c r="L153" s="243"/>
      <c r="M153" s="243"/>
      <c r="N153" s="36"/>
      <c r="T153" s="21"/>
    </row>
    <row r="154" spans="1:20" s="37" customFormat="1" ht="15.75" hidden="1" customHeight="1" x14ac:dyDescent="0.25">
      <c r="A154" s="116">
        <f>A153+1</f>
        <v>4</v>
      </c>
      <c r="B154" s="117"/>
      <c r="C154" s="42"/>
      <c r="D154" s="42"/>
      <c r="E154" s="42">
        <v>0</v>
      </c>
      <c r="F154" s="42">
        <f>D154+(IF(E154&lt;201,E154,IF(E154&lt;301,E154/2,E154/3)))</f>
        <v>0</v>
      </c>
      <c r="G154" s="42">
        <v>0</v>
      </c>
      <c r="H154" s="42">
        <f>(F154+(IF(G154&lt;101,G154,IF(G154&lt;201,G154/2,IF(G154&lt;=301,G154/3,G154/4)))))*(($H$149)+1)</f>
        <v>0</v>
      </c>
      <c r="I154" s="36"/>
      <c r="L154" s="243"/>
      <c r="M154" s="243"/>
      <c r="N154" s="36"/>
      <c r="T154" s="21"/>
    </row>
    <row r="155" spans="1:20" s="37" customFormat="1" hidden="1" x14ac:dyDescent="0.25">
      <c r="A155" s="116"/>
      <c r="B155" s="150"/>
      <c r="C155" s="150"/>
      <c r="D155" s="150"/>
      <c r="E155" s="150"/>
      <c r="F155" s="150"/>
      <c r="G155" s="150"/>
      <c r="H155" s="117"/>
      <c r="I155" s="36"/>
      <c r="N155" s="36"/>
    </row>
    <row r="156" spans="1:20" ht="47.25" hidden="1" customHeight="1" x14ac:dyDescent="0.25">
      <c r="A156" s="128" t="s">
        <v>116</v>
      </c>
      <c r="B156" s="153" t="s">
        <v>176</v>
      </c>
      <c r="C156" s="130" t="s">
        <v>51</v>
      </c>
      <c r="D156" s="153" t="s">
        <v>376</v>
      </c>
      <c r="E156" s="153" t="s">
        <v>231</v>
      </c>
      <c r="F156" s="130" t="s">
        <v>52</v>
      </c>
      <c r="G156" s="163" t="s">
        <v>53</v>
      </c>
      <c r="H156" s="64" t="s">
        <v>147</v>
      </c>
      <c r="I156" s="36"/>
      <c r="T156" s="37"/>
    </row>
    <row r="157" spans="1:20" s="37" customFormat="1" hidden="1" x14ac:dyDescent="0.25">
      <c r="A157" s="129"/>
      <c r="B157" s="154"/>
      <c r="C157" s="131"/>
      <c r="D157" s="154"/>
      <c r="E157" s="154"/>
      <c r="F157" s="131"/>
      <c r="G157" s="164"/>
      <c r="H157" s="55">
        <v>0.45</v>
      </c>
      <c r="I157" s="36"/>
    </row>
    <row r="158" spans="1:20" s="37" customFormat="1" hidden="1" x14ac:dyDescent="0.25">
      <c r="A158" s="118" t="s">
        <v>113</v>
      </c>
      <c r="B158" s="119"/>
      <c r="C158" s="119"/>
      <c r="D158" s="119"/>
      <c r="E158" s="119"/>
      <c r="F158" s="119"/>
      <c r="G158" s="119"/>
      <c r="H158" s="120"/>
      <c r="J158" s="36"/>
    </row>
    <row r="159" spans="1:20" s="37" customFormat="1" ht="15.75" hidden="1" customHeight="1" x14ac:dyDescent="0.25">
      <c r="A159" s="116">
        <v>1</v>
      </c>
      <c r="B159" s="117"/>
      <c r="C159" s="42"/>
      <c r="D159" s="42"/>
      <c r="E159" s="42">
        <v>0</v>
      </c>
      <c r="F159" s="42">
        <f>D159+E159</f>
        <v>0</v>
      </c>
      <c r="G159" s="42">
        <v>0</v>
      </c>
      <c r="H159" s="42">
        <f>F159*(($H$157)+1)+(IF(G159&lt;101,G159,IF(G159&lt;201,G159/2,IF(G159&lt;=301,G159/3,G159/4))))</f>
        <v>0</v>
      </c>
      <c r="I159" s="36"/>
      <c r="L159" s="243"/>
      <c r="M159" s="243"/>
      <c r="N159" s="36"/>
    </row>
    <row r="160" spans="1:20" s="37" customFormat="1" ht="15.75" hidden="1" customHeight="1" x14ac:dyDescent="0.25">
      <c r="A160" s="116">
        <f>A159+1</f>
        <v>2</v>
      </c>
      <c r="B160" s="117"/>
      <c r="C160" s="42"/>
      <c r="D160" s="42"/>
      <c r="E160" s="42">
        <v>0</v>
      </c>
      <c r="F160" s="42">
        <f>D160+E160</f>
        <v>0</v>
      </c>
      <c r="G160" s="42">
        <v>0</v>
      </c>
      <c r="H160" s="42">
        <f>F160*(($H$157)+1)+(IF(G160&lt;101,G160,IF(G160&lt;201,G160/2,IF(G160&lt;=301,G160/3,G160/4))))</f>
        <v>0</v>
      </c>
      <c r="I160" s="36"/>
      <c r="L160" s="243"/>
      <c r="M160" s="243"/>
      <c r="N160" s="36"/>
    </row>
    <row r="161" spans="1:20" s="37" customFormat="1" ht="15.75" hidden="1" customHeight="1" x14ac:dyDescent="0.25">
      <c r="A161" s="116">
        <f>A160+1</f>
        <v>3</v>
      </c>
      <c r="B161" s="117"/>
      <c r="C161" s="42"/>
      <c r="D161" s="42"/>
      <c r="E161" s="42">
        <v>0</v>
      </c>
      <c r="F161" s="42">
        <f>D161+E161</f>
        <v>0</v>
      </c>
      <c r="G161" s="42">
        <v>0</v>
      </c>
      <c r="H161" s="42">
        <f>F161*(($H$157)+1)+(IF(G161&lt;101,G161,IF(G161&lt;201,G161/2,IF(G161&lt;=301,G161/3,G161/4))))</f>
        <v>0</v>
      </c>
      <c r="I161" s="36"/>
      <c r="L161" s="243"/>
      <c r="M161" s="243"/>
      <c r="N161" s="36"/>
    </row>
    <row r="162" spans="1:20" s="37" customFormat="1" ht="15.75" hidden="1" customHeight="1" x14ac:dyDescent="0.25">
      <c r="A162" s="116">
        <f>A161+1</f>
        <v>4</v>
      </c>
      <c r="B162" s="117"/>
      <c r="C162" s="42"/>
      <c r="D162" s="42"/>
      <c r="E162" s="42">
        <v>0</v>
      </c>
      <c r="F162" s="42">
        <f>D162+E162</f>
        <v>0</v>
      </c>
      <c r="G162" s="42">
        <v>0</v>
      </c>
      <c r="H162" s="42">
        <f>F162*(($H$157)+1)+(IF(G162&lt;101,G162,IF(G162&lt;201,G162/2,IF(G162&lt;=301,G162/3,G162/4))))</f>
        <v>0</v>
      </c>
      <c r="I162" s="36"/>
      <c r="L162" s="243"/>
      <c r="M162" s="243"/>
      <c r="N162" s="36"/>
      <c r="T162" s="21"/>
    </row>
    <row r="163" spans="1:20" s="37" customFormat="1" hidden="1" x14ac:dyDescent="0.25">
      <c r="A163" s="182" t="s">
        <v>114</v>
      </c>
      <c r="B163" s="182"/>
      <c r="C163" s="182"/>
      <c r="D163" s="182"/>
      <c r="E163" s="182"/>
      <c r="F163" s="182"/>
      <c r="G163" s="182"/>
      <c r="H163" s="182"/>
      <c r="I163" s="36"/>
      <c r="L163" s="243"/>
      <c r="M163" s="243"/>
    </row>
    <row r="164" spans="1:20" s="37" customFormat="1" hidden="1" x14ac:dyDescent="0.25">
      <c r="A164" s="152">
        <f>LEFT(A163,SUM(LEN(A163)-LEN(SUBSTITUTE(A163,{"0","1","2","3","4","5","6","7","8","9"},""))))*100+1</f>
        <v>201</v>
      </c>
      <c r="B164" s="152"/>
      <c r="C164" s="42"/>
      <c r="D164" s="42"/>
      <c r="E164" s="42">
        <v>0</v>
      </c>
      <c r="F164" s="42">
        <f>D164+E164</f>
        <v>0</v>
      </c>
      <c r="G164" s="42">
        <v>0</v>
      </c>
      <c r="H164" s="42">
        <f>F164*(($H$157)+1)+(IF(G164&lt;101,G164,IF(G164&lt;201,G164/2,IF(G164&lt;=301,G164/3,G164/4))))</f>
        <v>0</v>
      </c>
      <c r="I164" s="36"/>
      <c r="N164" s="36"/>
    </row>
    <row r="165" spans="1:20" s="37" customFormat="1" hidden="1" x14ac:dyDescent="0.25">
      <c r="A165" s="152">
        <f>A164+1</f>
        <v>202</v>
      </c>
      <c r="B165" s="152"/>
      <c r="C165" s="42"/>
      <c r="D165" s="42"/>
      <c r="E165" s="42">
        <v>0</v>
      </c>
      <c r="F165" s="42">
        <f>D165+E165</f>
        <v>0</v>
      </c>
      <c r="G165" s="42">
        <v>0</v>
      </c>
      <c r="H165" s="42">
        <f>F165*(($H$157)+1)+(IF(G165&lt;101,G165,IF(G165&lt;201,G165/2,IF(G165&lt;=301,G165/3,G165/4))))</f>
        <v>0</v>
      </c>
      <c r="I165" s="36"/>
      <c r="N165" s="36"/>
    </row>
    <row r="166" spans="1:20" s="37" customFormat="1" hidden="1" x14ac:dyDescent="0.25">
      <c r="A166" s="152">
        <f>A165+1</f>
        <v>203</v>
      </c>
      <c r="B166" s="152"/>
      <c r="C166" s="42"/>
      <c r="D166" s="42"/>
      <c r="E166" s="42">
        <v>0</v>
      </c>
      <c r="F166" s="42">
        <f>D166+E166</f>
        <v>0</v>
      </c>
      <c r="G166" s="42">
        <v>0</v>
      </c>
      <c r="H166" s="42">
        <f>F166*(($H$157)+1)+(IF(G166&lt;101,G166,IF(G166&lt;201,G166/2,IF(G166&lt;=301,G166/3,G166/4))))</f>
        <v>0</v>
      </c>
      <c r="I166" s="36"/>
      <c r="N166" s="36"/>
    </row>
    <row r="167" spans="1:20" s="37" customFormat="1" hidden="1" x14ac:dyDescent="0.25">
      <c r="A167" s="152">
        <f>A166+1</f>
        <v>204</v>
      </c>
      <c r="B167" s="152"/>
      <c r="C167" s="42"/>
      <c r="D167" s="42"/>
      <c r="E167" s="42">
        <v>0</v>
      </c>
      <c r="F167" s="42">
        <f>D167+E167</f>
        <v>0</v>
      </c>
      <c r="G167" s="42">
        <v>0</v>
      </c>
      <c r="H167" s="42">
        <f>F167*(($H$157)+1)+(IF(G167&lt;101,G167,IF(G167&lt;201,G167/2,IF(G167&lt;=301,G167/3,G167/4))))</f>
        <v>0</v>
      </c>
      <c r="I167" s="36"/>
      <c r="N167" s="36"/>
    </row>
    <row r="168" spans="1:20" s="37" customFormat="1" hidden="1" x14ac:dyDescent="0.25">
      <c r="A168" s="152">
        <f>A167+1</f>
        <v>205</v>
      </c>
      <c r="B168" s="152"/>
      <c r="C168" s="42"/>
      <c r="D168" s="42"/>
      <c r="E168" s="42">
        <v>0</v>
      </c>
      <c r="F168" s="42">
        <f>D168+E168</f>
        <v>0</v>
      </c>
      <c r="G168" s="42">
        <v>0</v>
      </c>
      <c r="H168" s="42">
        <f>F168*(($H$157)+1)+(IF(G168&lt;101,G168,IF(G168&lt;201,G168/2,IF(G168&lt;=301,G168/3,G168/4))))</f>
        <v>0</v>
      </c>
      <c r="I168" s="36"/>
      <c r="N168" s="36"/>
    </row>
    <row r="169" spans="1:20" s="37" customFormat="1" ht="15.75" hidden="1" customHeight="1" x14ac:dyDescent="0.25">
      <c r="A169" s="118" t="s">
        <v>148</v>
      </c>
      <c r="B169" s="119"/>
      <c r="C169" s="119"/>
      <c r="D169" s="119"/>
      <c r="E169" s="119"/>
      <c r="F169" s="119"/>
      <c r="G169" s="119"/>
      <c r="H169" s="120"/>
      <c r="I169" s="36"/>
    </row>
    <row r="170" spans="1:20" s="37" customFormat="1" ht="15.75" hidden="1" customHeight="1" x14ac:dyDescent="0.25">
      <c r="A170" s="116"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10^ROW(INDIRECT("1:"&amp;LEN((LEFT(A169,SUM(LEN(A169)-LEN(SUBSTITUTE(A169,{"0","1","2"},""))))))))/10))*100+1&amp;""&amp;"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",LEN(A169))),LEN(A169)))))))/10))*100+1</f>
        <v>301 ,.., 1501</v>
      </c>
      <c r="B170" s="117"/>
      <c r="C170" s="42"/>
      <c r="D170" s="42"/>
      <c r="E170" s="42">
        <v>0</v>
      </c>
      <c r="F170" s="42">
        <f>D170+E170</f>
        <v>0</v>
      </c>
      <c r="G170" s="42">
        <v>0</v>
      </c>
      <c r="H170" s="42">
        <f>F170*(($H$157)+1)+(IF(G170&lt;101,G170,IF(G170&lt;201,G170/2,IF(G170&lt;=301,G170/3,G170/4))))</f>
        <v>0</v>
      </c>
      <c r="I170" s="36"/>
    </row>
    <row r="171" spans="1:20" s="37" customFormat="1" ht="15.75" hidden="1" customHeight="1" x14ac:dyDescent="0.25">
      <c r="A171" s="116"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302 ,.., 1502</v>
      </c>
      <c r="B171" s="117"/>
      <c r="C171" s="42"/>
      <c r="D171" s="42"/>
      <c r="E171" s="42">
        <v>0</v>
      </c>
      <c r="F171" s="42">
        <f>D171+E171</f>
        <v>0</v>
      </c>
      <c r="G171" s="42">
        <v>0</v>
      </c>
      <c r="H171" s="42">
        <f>F171*(($H$157)+1)+(IF(G171&lt;101,G171,IF(G171&lt;201,G171/2,IF(G171&lt;=301,G171/3,G171/4))))</f>
        <v>0</v>
      </c>
      <c r="I171" s="36"/>
    </row>
    <row r="172" spans="1:20" s="37" customFormat="1" ht="15.75" hidden="1" customHeight="1" x14ac:dyDescent="0.25">
      <c r="A172" s="116"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303 ,.., 1503</v>
      </c>
      <c r="B172" s="117"/>
      <c r="C172" s="42"/>
      <c r="D172" s="42"/>
      <c r="E172" s="42">
        <v>0</v>
      </c>
      <c r="F172" s="42">
        <f>D172+E172</f>
        <v>0</v>
      </c>
      <c r="G172" s="42">
        <v>0</v>
      </c>
      <c r="H172" s="42">
        <f>F172*(($H$157)+1)+(IF(G172&lt;101,G172,IF(G172&lt;201,G172/2,IF(G172&lt;=301,G172/3,G172/4))))</f>
        <v>0</v>
      </c>
      <c r="I172" s="36"/>
    </row>
    <row r="173" spans="1:20" s="37" customFormat="1" ht="15.75" hidden="1" customHeight="1" x14ac:dyDescent="0.25">
      <c r="A173" s="116"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304 ,.., 1504</v>
      </c>
      <c r="B173" s="117"/>
      <c r="C173" s="42"/>
      <c r="D173" s="42"/>
      <c r="E173" s="42">
        <v>0</v>
      </c>
      <c r="F173" s="42">
        <f>D173+E173</f>
        <v>0</v>
      </c>
      <c r="G173" s="42">
        <v>0</v>
      </c>
      <c r="H173" s="42">
        <f>F173*(($H$157)+1)+(IF(G173&lt;101,G173,IF(G173&lt;201,G173/2,IF(G173&lt;=301,G173/3,G173/4))))</f>
        <v>0</v>
      </c>
      <c r="I173" s="36"/>
    </row>
    <row r="174" spans="1:20" s="37" customFormat="1" ht="15.75" hidden="1" customHeight="1" x14ac:dyDescent="0.25">
      <c r="A174" s="116"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305 ,.., 1505</v>
      </c>
      <c r="B174" s="117"/>
      <c r="C174" s="42"/>
      <c r="D174" s="42"/>
      <c r="E174" s="42">
        <v>0</v>
      </c>
      <c r="F174" s="42">
        <f>D174+E174</f>
        <v>0</v>
      </c>
      <c r="G174" s="42">
        <v>0</v>
      </c>
      <c r="H174" s="42">
        <f>F174*(($H$157)+1)+(IF(G174&lt;101,G174,IF(G174&lt;201,G174/2,IF(G174&lt;=301,G174/3,G174/4))))</f>
        <v>0</v>
      </c>
      <c r="I174" s="36"/>
    </row>
    <row r="175" spans="1:20" s="37" customFormat="1" hidden="1" x14ac:dyDescent="0.25">
      <c r="A175" s="118" t="s">
        <v>142</v>
      </c>
      <c r="B175" s="119"/>
      <c r="C175" s="119"/>
      <c r="D175" s="119"/>
      <c r="E175" s="119"/>
      <c r="F175" s="119"/>
      <c r="G175" s="119"/>
      <c r="H175" s="120"/>
      <c r="I175" s="36"/>
    </row>
    <row r="176" spans="1:20" s="37" customFormat="1" ht="15.75" hidden="1" customHeight="1" x14ac:dyDescent="0.25">
      <c r="A176" s="116"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10^ROW(INDIRECT("1:"&amp;LEN((LEFT(A175,SUM(LEN(A175)-LEN(SUBSTITUTE(A175,{"0","1","2"},""))))))))/10))*100+1&amp;""&amp;"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",LEN(A175))),LEN(A175)))))))/10))*100+1</f>
        <v>201 to 501</v>
      </c>
      <c r="B176" s="117"/>
      <c r="C176" s="42"/>
      <c r="D176" s="42"/>
      <c r="E176" s="42">
        <v>0</v>
      </c>
      <c r="F176" s="42">
        <f>D176+E176</f>
        <v>0</v>
      </c>
      <c r="G176" s="42">
        <v>0</v>
      </c>
      <c r="H176" s="42">
        <f>F176*(($H$157)+1)+(IF(G176&lt;101,G176,IF(G176&lt;201,G176/2,IF(G176&lt;=301,G176/3,G176/4))))</f>
        <v>0</v>
      </c>
      <c r="I176" s="36"/>
    </row>
    <row r="177" spans="1:20" s="37" customFormat="1" ht="15.75" hidden="1" customHeight="1" x14ac:dyDescent="0.25">
      <c r="A177" s="116"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202 to 502</v>
      </c>
      <c r="B177" s="117"/>
      <c r="C177" s="42"/>
      <c r="D177" s="42"/>
      <c r="E177" s="42">
        <v>0</v>
      </c>
      <c r="F177" s="42">
        <f>D177+E177</f>
        <v>0</v>
      </c>
      <c r="G177" s="42">
        <v>0</v>
      </c>
      <c r="H177" s="42">
        <f>F177*(($H$157)+1)+(IF(G177&lt;101,G177,IF(G177&lt;201,G177/2,IF(G177&lt;=301,G177/3,G177/4))))</f>
        <v>0</v>
      </c>
      <c r="I177" s="36"/>
    </row>
    <row r="178" spans="1:20" s="37" customFormat="1" ht="15.75" hidden="1" customHeight="1" x14ac:dyDescent="0.25">
      <c r="A178" s="116"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to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203 to 503</v>
      </c>
      <c r="B178" s="117"/>
      <c r="C178" s="42"/>
      <c r="D178" s="42"/>
      <c r="E178" s="42">
        <v>0</v>
      </c>
      <c r="F178" s="42">
        <f>D178+E178</f>
        <v>0</v>
      </c>
      <c r="G178" s="42">
        <v>0</v>
      </c>
      <c r="H178" s="42">
        <f>F178*(($H$157)+1)+(IF(G178&lt;101,G178,IF(G178&lt;201,G178/2,IF(G178&lt;=301,G178/3,G178/4))))</f>
        <v>0</v>
      </c>
      <c r="I178" s="36"/>
    </row>
    <row r="179" spans="1:20" s="37" customFormat="1" ht="15.75" hidden="1" customHeight="1" x14ac:dyDescent="0.25">
      <c r="A179" s="116"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to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204 to 504</v>
      </c>
      <c r="B179" s="117"/>
      <c r="C179" s="42"/>
      <c r="D179" s="42"/>
      <c r="E179" s="42">
        <v>0</v>
      </c>
      <c r="F179" s="42">
        <f>D179+E179</f>
        <v>0</v>
      </c>
      <c r="G179" s="42">
        <v>0</v>
      </c>
      <c r="H179" s="42">
        <f>F179*(($H$157)+1)+(IF(G179&lt;101,G179,IF(G179&lt;201,G179/2,IF(G179&lt;=301,G179/3,G179/4))))</f>
        <v>0</v>
      </c>
      <c r="I179" s="36"/>
    </row>
    <row r="180" spans="1:20" s="37" customFormat="1" ht="15.75" hidden="1" customHeight="1" x14ac:dyDescent="0.25">
      <c r="A180" s="116"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205 to 505</v>
      </c>
      <c r="B180" s="117"/>
      <c r="C180" s="42"/>
      <c r="D180" s="42"/>
      <c r="E180" s="42">
        <v>0</v>
      </c>
      <c r="F180" s="42">
        <f>D180+E180</f>
        <v>0</v>
      </c>
      <c r="G180" s="42">
        <v>0</v>
      </c>
      <c r="H180" s="42">
        <f>F180*(($H$157)+1)+(IF(G180&lt;101,G180,IF(G180&lt;201,G180/2,IF(G180&lt;=301,G180/3,G180/4))))</f>
        <v>0</v>
      </c>
      <c r="I180" s="36"/>
    </row>
    <row r="181" spans="1:20" s="37" customFormat="1" hidden="1" x14ac:dyDescent="0.25">
      <c r="A181" s="118" t="s">
        <v>143</v>
      </c>
      <c r="B181" s="119"/>
      <c r="C181" s="119"/>
      <c r="D181" s="119"/>
      <c r="E181" s="119"/>
      <c r="F181" s="119"/>
      <c r="G181" s="119"/>
      <c r="H181" s="120"/>
      <c r="I181" s="36"/>
    </row>
    <row r="182" spans="1:20" s="37" customFormat="1" ht="15.75" hidden="1" customHeight="1" x14ac:dyDescent="0.25">
      <c r="A182" s="116"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10^ROW(INDIRECT("1:"&amp;LEN((LEFT(A181,SUM(LEN(A181)-LEN(SUBSTITUTE(A181,{"0","1","2"},""))))))))/10))*100+1&amp;""&amp;"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",LEN(A181))),LEN(A181)))))))/10))*100+1</f>
        <v>201 &amp; 501</v>
      </c>
      <c r="B182" s="117"/>
      <c r="C182" s="42"/>
      <c r="D182" s="42"/>
      <c r="E182" s="42">
        <v>0</v>
      </c>
      <c r="F182" s="42">
        <f>D182+E182</f>
        <v>0</v>
      </c>
      <c r="G182" s="42">
        <v>0</v>
      </c>
      <c r="H182" s="42">
        <f>F182*(($H$157)+1)+(IF(G182&lt;101,G182,IF(G182&lt;201,G182/2,IF(G182&lt;=301,G182/3,G182/4))))</f>
        <v>0</v>
      </c>
      <c r="I182" s="36"/>
    </row>
    <row r="183" spans="1:20" s="37" customFormat="1" ht="15.75" hidden="1" customHeight="1" x14ac:dyDescent="0.25">
      <c r="A183" s="116"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202 &amp; 502</v>
      </c>
      <c r="B183" s="117"/>
      <c r="C183" s="42"/>
      <c r="D183" s="42"/>
      <c r="E183" s="42">
        <v>0</v>
      </c>
      <c r="F183" s="42">
        <f>D183+E183</f>
        <v>0</v>
      </c>
      <c r="G183" s="42">
        <v>0</v>
      </c>
      <c r="H183" s="42">
        <f>F183*(($H$157)+1)+(IF(G183&lt;101,G183,IF(G183&lt;201,G183/2,IF(G183&lt;=301,G183/3,G183/4))))</f>
        <v>0</v>
      </c>
      <c r="I183" s="36"/>
    </row>
    <row r="184" spans="1:20" s="37" customFormat="1" ht="15.75" hidden="1" customHeight="1" x14ac:dyDescent="0.25">
      <c r="A184" s="116"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&amp;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203 &amp; 503</v>
      </c>
      <c r="B184" s="117"/>
      <c r="C184" s="42"/>
      <c r="D184" s="42"/>
      <c r="E184" s="42">
        <v>0</v>
      </c>
      <c r="F184" s="42">
        <f>D184+E184</f>
        <v>0</v>
      </c>
      <c r="G184" s="42">
        <v>0</v>
      </c>
      <c r="H184" s="42">
        <f>F184*(($H$157)+1)+(IF(G184&lt;101,G184,IF(G184&lt;201,G184/2,IF(G184&lt;=301,G184/3,G184/4))))</f>
        <v>0</v>
      </c>
      <c r="I184" s="36"/>
    </row>
    <row r="185" spans="1:20" s="37" customFormat="1" ht="15.75" hidden="1" customHeight="1" x14ac:dyDescent="0.25">
      <c r="A185" s="116"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&amp;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204 &amp; 504</v>
      </c>
      <c r="B185" s="117"/>
      <c r="C185" s="42"/>
      <c r="D185" s="42"/>
      <c r="E185" s="42">
        <v>0</v>
      </c>
      <c r="F185" s="42">
        <f>D185+E185</f>
        <v>0</v>
      </c>
      <c r="G185" s="42">
        <v>0</v>
      </c>
      <c r="H185" s="42">
        <f>F185*(($H$157)+1)+(IF(G185&lt;101,G185,IF(G185&lt;201,G185/2,IF(G185&lt;=301,G185/3,G185/4))))</f>
        <v>0</v>
      </c>
      <c r="I185" s="36"/>
    </row>
    <row r="186" spans="1:20" s="37" customFormat="1" ht="15.75" hidden="1" customHeight="1" x14ac:dyDescent="0.25">
      <c r="A186" s="116"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205 &amp; 505</v>
      </c>
      <c r="B186" s="117"/>
      <c r="C186" s="42"/>
      <c r="D186" s="42"/>
      <c r="E186" s="42">
        <v>0</v>
      </c>
      <c r="F186" s="42">
        <f>D186+E186</f>
        <v>0</v>
      </c>
      <c r="G186" s="42">
        <v>0</v>
      </c>
      <c r="H186" s="42">
        <f>F186*(($H$157)+1)+(IF(G186&lt;101,G186,IF(G186&lt;201,G186/2,IF(G186&lt;=301,G186/3,G186/4))))</f>
        <v>0</v>
      </c>
      <c r="I186" s="36"/>
    </row>
    <row r="187" spans="1:20" s="35" customFormat="1" x14ac:dyDescent="0.25">
      <c r="A187" s="115" t="s">
        <v>61</v>
      </c>
      <c r="B187" s="115"/>
      <c r="C187" s="115"/>
      <c r="D187" s="115"/>
      <c r="E187" s="115"/>
      <c r="F187" s="115"/>
      <c r="G187" s="115"/>
      <c r="H187" s="115"/>
      <c r="T187" s="37"/>
    </row>
    <row r="188" spans="1:20" s="35" customFormat="1" x14ac:dyDescent="0.25">
      <c r="A188" s="106" t="s">
        <v>152</v>
      </c>
      <c r="B188" s="165" t="s">
        <v>436</v>
      </c>
      <c r="C188" s="166"/>
      <c r="D188" s="166"/>
      <c r="E188" s="166"/>
      <c r="F188" s="166"/>
      <c r="G188" s="166"/>
      <c r="H188" s="167"/>
      <c r="T188" s="107"/>
    </row>
    <row r="189" spans="1:20" s="35" customFormat="1" x14ac:dyDescent="0.25">
      <c r="A189" s="46" t="s">
        <v>152</v>
      </c>
      <c r="B189" s="165" t="s">
        <v>413</v>
      </c>
      <c r="C189" s="166"/>
      <c r="D189" s="166"/>
      <c r="E189" s="166"/>
      <c r="F189" s="166"/>
      <c r="G189" s="166"/>
      <c r="H189" s="167"/>
      <c r="T189" s="37"/>
    </row>
    <row r="190" spans="1:20" s="35" customFormat="1" hidden="1" x14ac:dyDescent="0.25">
      <c r="A190" s="46" t="s">
        <v>152</v>
      </c>
      <c r="B190" s="168" t="str">
        <f>(IF(H156="Saleable area Loading :","We have considered Saleable area of Flats as per our Calculation.","We considered Saleable area of Flat as per Builder area Sheet."))</f>
        <v>We have considered Saleable area of Flats as per our Calculation.</v>
      </c>
      <c r="C190" s="169"/>
      <c r="D190" s="169"/>
      <c r="E190" s="169"/>
      <c r="F190" s="169"/>
      <c r="G190" s="169"/>
      <c r="H190" s="170"/>
      <c r="T190" s="37"/>
    </row>
    <row r="191" spans="1:20" s="35" customFormat="1" hidden="1" x14ac:dyDescent="0.25">
      <c r="A191" s="46" t="s">
        <v>152</v>
      </c>
      <c r="B191" s="157" t="str">
        <f>(IF(H148="Saleable area Loading :","We have considered Saleable area of Commercial as per our Calculation.","We considered Saleable area of Commercial as per Builder area Sheet."))</f>
        <v>We have considered Saleable area of Commercial as per our Calculation.</v>
      </c>
      <c r="C191" s="158"/>
      <c r="D191" s="158"/>
      <c r="E191" s="158"/>
      <c r="F191" s="158"/>
      <c r="G191" s="158"/>
      <c r="H191" s="159"/>
      <c r="T191" s="37"/>
    </row>
    <row r="192" spans="1:20" s="35" customFormat="1" hidden="1" x14ac:dyDescent="0.25">
      <c r="A192" s="46" t="s">
        <v>152</v>
      </c>
      <c r="B192" s="171" t="s">
        <v>118</v>
      </c>
      <c r="C192" s="172"/>
      <c r="D192" s="172"/>
      <c r="E192" s="172"/>
      <c r="F192" s="172"/>
      <c r="G192" s="172"/>
      <c r="H192" s="173"/>
      <c r="T192" s="37"/>
    </row>
    <row r="193" spans="1:20" s="35" customFormat="1" ht="33.75" hidden="1" customHeight="1" x14ac:dyDescent="0.25">
      <c r="A193" s="46" t="s">
        <v>152</v>
      </c>
      <c r="B193" s="157" t="s">
        <v>119</v>
      </c>
      <c r="C193" s="158"/>
      <c r="D193" s="158"/>
      <c r="E193" s="158"/>
      <c r="F193" s="158"/>
      <c r="G193" s="158"/>
      <c r="H193" s="159"/>
      <c r="T193" s="37"/>
    </row>
    <row r="194" spans="1:20" s="35" customFormat="1" hidden="1" x14ac:dyDescent="0.25">
      <c r="A194" s="46" t="s">
        <v>152</v>
      </c>
      <c r="B194" s="171" t="s">
        <v>151</v>
      </c>
      <c r="C194" s="172"/>
      <c r="D194" s="172"/>
      <c r="E194" s="172"/>
      <c r="F194" s="172"/>
      <c r="G194" s="172"/>
      <c r="H194" s="173"/>
    </row>
    <row r="195" spans="1:20" s="35" customFormat="1" hidden="1" x14ac:dyDescent="0.25">
      <c r="A195" s="46" t="s">
        <v>152</v>
      </c>
      <c r="B195" s="171" t="s">
        <v>120</v>
      </c>
      <c r="C195" s="172"/>
      <c r="D195" s="172"/>
      <c r="E195" s="172"/>
      <c r="F195" s="172"/>
      <c r="G195" s="172"/>
      <c r="H195" s="173"/>
    </row>
    <row r="196" spans="1:20" s="35" customFormat="1" ht="34.5" hidden="1" customHeight="1" x14ac:dyDescent="0.25">
      <c r="A196" s="46" t="s">
        <v>152</v>
      </c>
      <c r="B196" s="157" t="s">
        <v>153</v>
      </c>
      <c r="C196" s="158"/>
      <c r="D196" s="158"/>
      <c r="E196" s="158"/>
      <c r="F196" s="158"/>
      <c r="G196" s="158"/>
      <c r="H196" s="159"/>
    </row>
    <row r="197" spans="1:20" s="35" customFormat="1" hidden="1" x14ac:dyDescent="0.25">
      <c r="A197" s="46" t="s">
        <v>152</v>
      </c>
      <c r="B197" s="171" t="s">
        <v>121</v>
      </c>
      <c r="C197" s="172"/>
      <c r="D197" s="172"/>
      <c r="E197" s="172"/>
      <c r="F197" s="172"/>
      <c r="G197" s="172"/>
      <c r="H197" s="173"/>
    </row>
    <row r="198" spans="1:20" s="35" customFormat="1" ht="32.25" hidden="1" customHeight="1" x14ac:dyDescent="0.25">
      <c r="A198" s="46" t="s">
        <v>152</v>
      </c>
      <c r="B198" s="157" t="s">
        <v>177</v>
      </c>
      <c r="C198" s="158"/>
      <c r="D198" s="158"/>
      <c r="E198" s="158"/>
      <c r="F198" s="158"/>
      <c r="G198" s="158"/>
      <c r="H198" s="159"/>
    </row>
    <row r="199" spans="1:20" s="35" customFormat="1" ht="35.25" customHeight="1" x14ac:dyDescent="0.25">
      <c r="A199" s="106" t="s">
        <v>152</v>
      </c>
      <c r="B199" s="157" t="s">
        <v>425</v>
      </c>
      <c r="C199" s="158"/>
      <c r="D199" s="158"/>
      <c r="E199" s="158"/>
      <c r="F199" s="158"/>
      <c r="G199" s="158"/>
      <c r="H199" s="159"/>
    </row>
    <row r="200" spans="1:20" s="35" customFormat="1" ht="49.5" customHeight="1" x14ac:dyDescent="0.25">
      <c r="A200" s="99" t="s">
        <v>152</v>
      </c>
      <c r="B200" s="157" t="s">
        <v>435</v>
      </c>
      <c r="C200" s="158"/>
      <c r="D200" s="158"/>
      <c r="E200" s="158"/>
      <c r="F200" s="158"/>
      <c r="G200" s="158"/>
      <c r="H200" s="159"/>
    </row>
    <row r="201" spans="1:20" s="35" customFormat="1" hidden="1" x14ac:dyDescent="0.25">
      <c r="A201" s="46" t="s">
        <v>152</v>
      </c>
      <c r="B201" s="157" t="s">
        <v>415</v>
      </c>
      <c r="C201" s="158"/>
      <c r="D201" s="158"/>
      <c r="E201" s="158"/>
      <c r="F201" s="158"/>
      <c r="G201" s="158"/>
      <c r="H201" s="159"/>
    </row>
    <row r="202" spans="1:20" s="35" customFormat="1" hidden="1" x14ac:dyDescent="0.25">
      <c r="A202" s="46" t="s">
        <v>152</v>
      </c>
      <c r="B202" s="157" t="s">
        <v>350</v>
      </c>
      <c r="C202" s="158"/>
      <c r="D202" s="158"/>
      <c r="E202" s="158"/>
      <c r="F202" s="158"/>
      <c r="G202" s="158"/>
      <c r="H202" s="159"/>
    </row>
    <row r="203" spans="1:20" s="35" customFormat="1" hidden="1" x14ac:dyDescent="0.25">
      <c r="A203" s="46" t="s">
        <v>152</v>
      </c>
      <c r="B203" s="157" t="str">
        <f ca="1">IF(G52&gt;EDATE(E3,-48),"NO REMARK FOR CC","REMARK FOR CC")</f>
        <v>NO REMARK FOR CC</v>
      </c>
      <c r="C203" s="158"/>
      <c r="D203" s="158"/>
      <c r="E203" s="158"/>
      <c r="F203" s="158"/>
      <c r="G203" s="158"/>
      <c r="H203" s="159"/>
    </row>
    <row r="204" spans="1:20" s="35" customFormat="1" ht="81.75" hidden="1" customHeight="1" x14ac:dyDescent="0.25">
      <c r="A204" s="46" t="s">
        <v>152</v>
      </c>
      <c r="B204" s="157" t="s">
        <v>351</v>
      </c>
      <c r="C204" s="158"/>
      <c r="D204" s="158"/>
      <c r="E204" s="158"/>
      <c r="F204" s="158"/>
      <c r="G204" s="158"/>
      <c r="H204" s="159"/>
    </row>
    <row r="205" spans="1:20" x14ac:dyDescent="0.25">
      <c r="A205" s="183" t="s">
        <v>54</v>
      </c>
      <c r="B205" s="183"/>
      <c r="C205" s="183"/>
      <c r="D205" s="183"/>
      <c r="E205" s="183"/>
      <c r="F205" s="183"/>
      <c r="G205" s="183"/>
      <c r="H205" s="183"/>
      <c r="J205" s="21" t="s">
        <v>434</v>
      </c>
      <c r="T205" s="35"/>
    </row>
    <row r="206" spans="1:20" x14ac:dyDescent="0.25">
      <c r="A206" s="132" t="s">
        <v>55</v>
      </c>
      <c r="B206" s="132"/>
      <c r="C206" s="132"/>
      <c r="D206" s="132"/>
      <c r="E206" s="132"/>
      <c r="F206" s="132"/>
      <c r="G206" s="132"/>
      <c r="H206" s="132"/>
      <c r="T206" s="35"/>
    </row>
    <row r="207" spans="1:20" ht="15.75" customHeight="1" x14ac:dyDescent="0.25">
      <c r="A207" s="151" t="s">
        <v>56</v>
      </c>
      <c r="B207" s="151"/>
      <c r="C207" s="151"/>
      <c r="D207" s="151"/>
      <c r="E207" s="151"/>
      <c r="F207" s="151"/>
      <c r="G207" s="151"/>
      <c r="H207" s="151"/>
      <c r="T207" s="35"/>
    </row>
    <row r="208" spans="1:20" x14ac:dyDescent="0.25">
      <c r="A208" s="132" t="s">
        <v>57</v>
      </c>
      <c r="B208" s="132"/>
      <c r="C208" s="132"/>
      <c r="D208" s="132"/>
      <c r="E208" s="132"/>
      <c r="F208" s="132"/>
      <c r="G208" s="132"/>
      <c r="H208" s="132"/>
      <c r="T208" s="35"/>
    </row>
    <row r="209" spans="1:20" x14ac:dyDescent="0.25">
      <c r="A209" s="132" t="s">
        <v>58</v>
      </c>
      <c r="B209" s="132"/>
      <c r="C209" s="132"/>
      <c r="D209" s="132"/>
      <c r="E209" s="132"/>
      <c r="F209" s="132"/>
      <c r="G209" s="132"/>
      <c r="H209" s="132"/>
      <c r="T209" s="35"/>
    </row>
    <row r="210" spans="1:20" x14ac:dyDescent="0.25">
      <c r="A210" s="132" t="s">
        <v>122</v>
      </c>
      <c r="B210" s="132"/>
      <c r="C210" s="132"/>
      <c r="D210" s="132"/>
      <c r="E210" s="132"/>
      <c r="F210" s="132"/>
      <c r="G210" s="132"/>
      <c r="H210" s="132"/>
      <c r="T210" s="35"/>
    </row>
    <row r="211" spans="1:20" ht="33.950000000000003" customHeight="1" x14ac:dyDescent="0.25">
      <c r="A211" s="121" t="s">
        <v>123</v>
      </c>
      <c r="B211" s="121"/>
      <c r="C211" s="121"/>
      <c r="D211" s="121"/>
      <c r="E211" s="121"/>
      <c r="F211" s="121"/>
      <c r="G211" s="121"/>
      <c r="H211" s="121"/>
    </row>
    <row r="212" spans="1:20" x14ac:dyDescent="0.25">
      <c r="A212" s="177" t="s">
        <v>70</v>
      </c>
      <c r="B212" s="177"/>
      <c r="C212" s="177" t="s">
        <v>421</v>
      </c>
      <c r="D212" s="177"/>
      <c r="E212" s="177" t="s">
        <v>100</v>
      </c>
      <c r="F212" s="177"/>
      <c r="G212" s="178" t="s">
        <v>414</v>
      </c>
      <c r="H212" s="178"/>
    </row>
    <row r="213" spans="1:20" x14ac:dyDescent="0.25">
      <c r="A213" s="176" t="s">
        <v>72</v>
      </c>
      <c r="B213" s="176"/>
      <c r="C213" s="176"/>
      <c r="D213" s="176"/>
      <c r="E213" s="176"/>
      <c r="F213" s="176"/>
      <c r="G213" s="176"/>
      <c r="H213" s="176"/>
    </row>
    <row r="214" spans="1:20" x14ac:dyDescent="0.25">
      <c r="A214" s="176"/>
      <c r="B214" s="176"/>
      <c r="C214" s="176"/>
      <c r="D214" s="176"/>
      <c r="E214" s="176"/>
      <c r="F214" s="176"/>
      <c r="G214" s="176"/>
      <c r="H214" s="176"/>
    </row>
    <row r="215" spans="1:20" x14ac:dyDescent="0.25">
      <c r="A215" s="176"/>
      <c r="B215" s="176"/>
      <c r="C215" s="176"/>
      <c r="D215" s="176"/>
      <c r="E215" s="176"/>
      <c r="F215" s="176"/>
      <c r="G215" s="176"/>
      <c r="H215" s="176"/>
    </row>
    <row r="216" spans="1:20" x14ac:dyDescent="0.25">
      <c r="A216" s="176"/>
      <c r="B216" s="176"/>
      <c r="C216" s="176"/>
      <c r="D216" s="176"/>
      <c r="E216" s="176"/>
      <c r="F216" s="176"/>
      <c r="G216" s="176"/>
      <c r="H216" s="176"/>
    </row>
    <row r="217" spans="1:20" x14ac:dyDescent="0.25">
      <c r="A217" s="38" t="s">
        <v>59</v>
      </c>
      <c r="B217" s="39"/>
      <c r="C217" s="39"/>
      <c r="D217" s="38" t="str">
        <f>E9</f>
        <v>La Mer One</v>
      </c>
      <c r="F217" s="39"/>
      <c r="G217" s="39"/>
      <c r="H217" s="39"/>
    </row>
    <row r="218" spans="1:20" x14ac:dyDescent="0.25">
      <c r="A218" s="39"/>
      <c r="B218" s="39"/>
      <c r="C218" s="39"/>
      <c r="D218" s="39"/>
      <c r="E218" s="39"/>
      <c r="F218" s="39"/>
      <c r="G218" s="39"/>
      <c r="H218" s="39"/>
    </row>
    <row r="219" spans="1:20" x14ac:dyDescent="0.25">
      <c r="A219" s="39"/>
      <c r="B219" s="39"/>
      <c r="C219" s="39"/>
      <c r="D219" s="39"/>
      <c r="E219" s="39"/>
      <c r="F219" s="39"/>
      <c r="G219" s="39"/>
      <c r="H219" s="39"/>
    </row>
    <row r="220" spans="1:20" ht="15" customHeight="1" x14ac:dyDescent="0.25"/>
    <row r="261" spans="1:1" x14ac:dyDescent="0.25">
      <c r="A261" s="41" t="s">
        <v>60</v>
      </c>
    </row>
  </sheetData>
  <mergeCells count="375">
    <mergeCell ref="G60:H60"/>
    <mergeCell ref="A83:B83"/>
    <mergeCell ref="D74:H74"/>
    <mergeCell ref="A70:C72"/>
    <mergeCell ref="J69:L69"/>
    <mergeCell ref="M69:Q69"/>
    <mergeCell ref="B199:H199"/>
    <mergeCell ref="B188:H188"/>
    <mergeCell ref="B200:H200"/>
    <mergeCell ref="A62:B64"/>
    <mergeCell ref="C62:E63"/>
    <mergeCell ref="F62:F63"/>
    <mergeCell ref="G62:H63"/>
    <mergeCell ref="C64:H64"/>
    <mergeCell ref="A105:B105"/>
    <mergeCell ref="A170:B170"/>
    <mergeCell ref="A86:B86"/>
    <mergeCell ref="E84:F93"/>
    <mergeCell ref="G84:H93"/>
    <mergeCell ref="A103:B103"/>
    <mergeCell ref="G97:H97"/>
    <mergeCell ref="A67:C67"/>
    <mergeCell ref="A73:C73"/>
    <mergeCell ref="A74:C74"/>
    <mergeCell ref="D73:H73"/>
    <mergeCell ref="A68:C68"/>
    <mergeCell ref="B204:H204"/>
    <mergeCell ref="A121:B121"/>
    <mergeCell ref="C148:C149"/>
    <mergeCell ref="B156:B157"/>
    <mergeCell ref="B191:H191"/>
    <mergeCell ref="A97:B97"/>
    <mergeCell ref="E97:F97"/>
    <mergeCell ref="E98:F107"/>
    <mergeCell ref="A108:B108"/>
    <mergeCell ref="C108:H108"/>
    <mergeCell ref="A110:B110"/>
    <mergeCell ref="C110:H110"/>
    <mergeCell ref="A111:B111"/>
    <mergeCell ref="E111:F111"/>
    <mergeCell ref="G111:H111"/>
    <mergeCell ref="A112:B112"/>
    <mergeCell ref="E112:F121"/>
    <mergeCell ref="G112:H121"/>
    <mergeCell ref="A113:B113"/>
    <mergeCell ref="A114:B114"/>
    <mergeCell ref="A115:B115"/>
    <mergeCell ref="A117:B117"/>
    <mergeCell ref="A118:B118"/>
    <mergeCell ref="A120:B120"/>
    <mergeCell ref="B201:H201"/>
    <mergeCell ref="A127:E127"/>
    <mergeCell ref="A144:B144"/>
    <mergeCell ref="E144:F144"/>
    <mergeCell ref="A132:E132"/>
    <mergeCell ref="G144:H144"/>
    <mergeCell ref="C138:D138"/>
    <mergeCell ref="E138:F138"/>
    <mergeCell ref="G138:H138"/>
    <mergeCell ref="A139:B139"/>
    <mergeCell ref="C139:D139"/>
    <mergeCell ref="E139:F139"/>
    <mergeCell ref="G139:H139"/>
    <mergeCell ref="A143:B143"/>
    <mergeCell ref="C143:D143"/>
    <mergeCell ref="E143:F143"/>
    <mergeCell ref="B197:H197"/>
    <mergeCell ref="B195:H195"/>
    <mergeCell ref="A151:B151"/>
    <mergeCell ref="C145:D145"/>
    <mergeCell ref="B194:H194"/>
    <mergeCell ref="A178:B178"/>
    <mergeCell ref="A167:B167"/>
    <mergeCell ref="D148:D149"/>
    <mergeCell ref="L163:M163"/>
    <mergeCell ref="A168:B168"/>
    <mergeCell ref="A165:B165"/>
    <mergeCell ref="A166:B166"/>
    <mergeCell ref="A176:B176"/>
    <mergeCell ref="A40:B40"/>
    <mergeCell ref="C40:H40"/>
    <mergeCell ref="F148:F149"/>
    <mergeCell ref="C137:D137"/>
    <mergeCell ref="E137:F137"/>
    <mergeCell ref="B148:B149"/>
    <mergeCell ref="A148:A149"/>
    <mergeCell ref="C156:C157"/>
    <mergeCell ref="G156:G157"/>
    <mergeCell ref="L162:M162"/>
    <mergeCell ref="L159:M159"/>
    <mergeCell ref="A160:B160"/>
    <mergeCell ref="G145:H145"/>
    <mergeCell ref="L160:M160"/>
    <mergeCell ref="A161:B161"/>
    <mergeCell ref="L161:M161"/>
    <mergeCell ref="A116:B116"/>
    <mergeCell ref="A119:B119"/>
    <mergeCell ref="C54:H54"/>
    <mergeCell ref="A38:H38"/>
    <mergeCell ref="L154:M154"/>
    <mergeCell ref="L153:M153"/>
    <mergeCell ref="L152:M152"/>
    <mergeCell ref="L151:M151"/>
    <mergeCell ref="A91:B91"/>
    <mergeCell ref="C142:D142"/>
    <mergeCell ref="E142:F142"/>
    <mergeCell ref="G142:H142"/>
    <mergeCell ref="A123:E123"/>
    <mergeCell ref="A94:B94"/>
    <mergeCell ref="C94:H94"/>
    <mergeCell ref="A150:H150"/>
    <mergeCell ref="E148:E149"/>
    <mergeCell ref="A98:B98"/>
    <mergeCell ref="C96:H96"/>
    <mergeCell ref="A99:B99"/>
    <mergeCell ref="A100:B100"/>
    <mergeCell ref="G98:H107"/>
    <mergeCell ref="A101:B101"/>
    <mergeCell ref="F124:H124"/>
    <mergeCell ref="A124:E124"/>
    <mergeCell ref="E145:F145"/>
    <mergeCell ref="A96:B96"/>
    <mergeCell ref="G55:H55"/>
    <mergeCell ref="A57:B58"/>
    <mergeCell ref="E42:H42"/>
    <mergeCell ref="A41:H41"/>
    <mergeCell ref="A46:D46"/>
    <mergeCell ref="A47:D47"/>
    <mergeCell ref="A44:D44"/>
    <mergeCell ref="E44:H44"/>
    <mergeCell ref="E45:H45"/>
    <mergeCell ref="F52:F53"/>
    <mergeCell ref="G52:H53"/>
    <mergeCell ref="E46:H46"/>
    <mergeCell ref="E47:H47"/>
    <mergeCell ref="C58:H58"/>
    <mergeCell ref="A48:H48"/>
    <mergeCell ref="D69:H69"/>
    <mergeCell ref="A69:C69"/>
    <mergeCell ref="A45:D45"/>
    <mergeCell ref="A49:B49"/>
    <mergeCell ref="C49:H49"/>
    <mergeCell ref="A59:B61"/>
    <mergeCell ref="C61:H61"/>
    <mergeCell ref="C59:E60"/>
    <mergeCell ref="C51:E51"/>
    <mergeCell ref="C50:E50"/>
    <mergeCell ref="G50:H50"/>
    <mergeCell ref="A51:B51"/>
    <mergeCell ref="G57:H57"/>
    <mergeCell ref="G59:H59"/>
    <mergeCell ref="G51:H51"/>
    <mergeCell ref="C56:H56"/>
    <mergeCell ref="A52:B54"/>
    <mergeCell ref="C55:E55"/>
    <mergeCell ref="C52:E53"/>
    <mergeCell ref="C57:E57"/>
    <mergeCell ref="D70:H70"/>
    <mergeCell ref="D71:H71"/>
    <mergeCell ref="A66:H66"/>
    <mergeCell ref="A82:B82"/>
    <mergeCell ref="A80:B80"/>
    <mergeCell ref="C80:H80"/>
    <mergeCell ref="A75:C75"/>
    <mergeCell ref="D75:H75"/>
    <mergeCell ref="C82:H82"/>
    <mergeCell ref="A76:C76"/>
    <mergeCell ref="D76:H76"/>
    <mergeCell ref="A79:C79"/>
    <mergeCell ref="D79:H79"/>
    <mergeCell ref="A78:C78"/>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F37:H37"/>
    <mergeCell ref="A39:B39"/>
    <mergeCell ref="C39:H39"/>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30:E130"/>
    <mergeCell ref="A213:H216"/>
    <mergeCell ref="A212:B212"/>
    <mergeCell ref="E212:F212"/>
    <mergeCell ref="C212:D212"/>
    <mergeCell ref="G212:H212"/>
    <mergeCell ref="A135:H135"/>
    <mergeCell ref="A133:E133"/>
    <mergeCell ref="F133:H133"/>
    <mergeCell ref="A134:E134"/>
    <mergeCell ref="F134:H134"/>
    <mergeCell ref="A163:H163"/>
    <mergeCell ref="A142:B142"/>
    <mergeCell ref="A172:B172"/>
    <mergeCell ref="A137:B137"/>
    <mergeCell ref="A208:H208"/>
    <mergeCell ref="A140:H140"/>
    <mergeCell ref="A211:H211"/>
    <mergeCell ref="A209:H209"/>
    <mergeCell ref="A205:H205"/>
    <mergeCell ref="G141:H141"/>
    <mergeCell ref="G143:H143"/>
    <mergeCell ref="B198:H198"/>
    <mergeCell ref="A145:B145"/>
    <mergeCell ref="A106:B106"/>
    <mergeCell ref="A125:E125"/>
    <mergeCell ref="A122:E122"/>
    <mergeCell ref="F126:H126"/>
    <mergeCell ref="A174:B174"/>
    <mergeCell ref="A126:E126"/>
    <mergeCell ref="A162:B162"/>
    <mergeCell ref="B196:H196"/>
    <mergeCell ref="G148:G149"/>
    <mergeCell ref="A177:B177"/>
    <mergeCell ref="A185:B185"/>
    <mergeCell ref="B189:H189"/>
    <mergeCell ref="B190:H190"/>
    <mergeCell ref="B192:H192"/>
    <mergeCell ref="F122:H122"/>
    <mergeCell ref="F127:H127"/>
    <mergeCell ref="A159:B159"/>
    <mergeCell ref="A154:B154"/>
    <mergeCell ref="A153:B153"/>
    <mergeCell ref="F128:H128"/>
    <mergeCell ref="A210:H210"/>
    <mergeCell ref="A207:H207"/>
    <mergeCell ref="A164:B164"/>
    <mergeCell ref="A141:B141"/>
    <mergeCell ref="D156:D157"/>
    <mergeCell ref="E156:E157"/>
    <mergeCell ref="A102:B102"/>
    <mergeCell ref="A104:B104"/>
    <mergeCell ref="F123:H123"/>
    <mergeCell ref="G137:H137"/>
    <mergeCell ref="A107:B107"/>
    <mergeCell ref="F129:H129"/>
    <mergeCell ref="C136:D136"/>
    <mergeCell ref="C144:D144"/>
    <mergeCell ref="A158:H158"/>
    <mergeCell ref="A173:B173"/>
    <mergeCell ref="B193:H193"/>
    <mergeCell ref="A182:B182"/>
    <mergeCell ref="A183:B183"/>
    <mergeCell ref="A186:B186"/>
    <mergeCell ref="B203:H203"/>
    <mergeCell ref="B202:H202"/>
    <mergeCell ref="F125:H125"/>
    <mergeCell ref="A129:E129"/>
    <mergeCell ref="A206:H206"/>
    <mergeCell ref="A128:E128"/>
    <mergeCell ref="A90:B90"/>
    <mergeCell ref="I15:P15"/>
    <mergeCell ref="F132:H132"/>
    <mergeCell ref="F130:H130"/>
    <mergeCell ref="A171:B171"/>
    <mergeCell ref="A147:H147"/>
    <mergeCell ref="G136:H136"/>
    <mergeCell ref="A131:E131"/>
    <mergeCell ref="A152:B152"/>
    <mergeCell ref="A65:B65"/>
    <mergeCell ref="C65:E65"/>
    <mergeCell ref="D67:H67"/>
    <mergeCell ref="F131:H131"/>
    <mergeCell ref="E136:F136"/>
    <mergeCell ref="A136:B136"/>
    <mergeCell ref="A138:B138"/>
    <mergeCell ref="C141:D141"/>
    <mergeCell ref="D77:H77"/>
    <mergeCell ref="D68:H68"/>
    <mergeCell ref="G65:H65"/>
    <mergeCell ref="A55:B56"/>
    <mergeCell ref="A155:H155"/>
    <mergeCell ref="A89:B89"/>
    <mergeCell ref="A50:B50"/>
    <mergeCell ref="D72:H72"/>
    <mergeCell ref="A187:H187"/>
    <mergeCell ref="A179:B179"/>
    <mergeCell ref="A180:B180"/>
    <mergeCell ref="A175:H175"/>
    <mergeCell ref="A169:H169"/>
    <mergeCell ref="A184:B184"/>
    <mergeCell ref="A181:H181"/>
    <mergeCell ref="A77:C77"/>
    <mergeCell ref="D78:H78"/>
    <mergeCell ref="A84:B84"/>
    <mergeCell ref="G83:H83"/>
    <mergeCell ref="A92:B92"/>
    <mergeCell ref="A93:B93"/>
    <mergeCell ref="A88:B88"/>
    <mergeCell ref="A87:B87"/>
    <mergeCell ref="E83:F83"/>
    <mergeCell ref="A85:B85"/>
    <mergeCell ref="E141:F141"/>
    <mergeCell ref="A146:H146"/>
    <mergeCell ref="A156:A157"/>
    <mergeCell ref="F156:F157"/>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8:E149">
      <formula1>"Attached Loft area,Attached Otla area,Attached Mezzanine area"</formula1>
    </dataValidation>
    <dataValidation type="list" allowBlank="1" showInputMessage="1" showErrorMessage="1" sqref="G212:H212">
      <formula1>"Kunal Kadam,Pranita Mhatre,Shruti Fule,Pooja Kawale,Gaurav Panchal,Shruti Tathare, Dipti Gothawade,Saurav Panse, Sachin Sawant"</formula1>
    </dataValidation>
    <dataValidation type="list" allowBlank="1" showInputMessage="1" showErrorMessage="1" sqref="F122:H122">
      <formula1>"On Saleable Area,On Builtup Area,On Carpet Area,On Plot Area"</formula1>
    </dataValidation>
    <dataValidation type="list" allowBlank="1" showInputMessage="1" showErrorMessage="1" sqref="F133:H133">
      <formula1>OFFSET($S$122,1,MATCH($G20,$S$122:$W$122,0)-1,15,1)</formula1>
    </dataValidation>
    <dataValidation type="list" allowBlank="1" showInputMessage="1" showErrorMessage="1" sqref="B148:B149">
      <formula1>"Shop No. (Sale Plan),Sale / Rehab,Sale / Mhada"</formula1>
    </dataValidation>
    <dataValidation type="list" allowBlank="1" showInputMessage="1" showErrorMessage="1" sqref="B156:B15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6:E157">
      <formula1>"Fungible area,Balcony Area,Chajja Area,Cornice Area,AP Area,WS Area"</formula1>
    </dataValidation>
    <dataValidation type="list" allowBlank="1" showInputMessage="1" showErrorMessage="1" sqref="H149 H15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8 H156">
      <formula1>"Saleable area Loading :,Builder Saleable Area"</formula1>
    </dataValidation>
    <dataValidation type="list" allowBlank="1" showInputMessage="1" showErrorMessage="1" sqref="D148:D149">
      <formula1>"Carpet area,RERA Carpet area"</formula1>
    </dataValidation>
    <dataValidation type="list" allowBlank="1" showInputMessage="1" showErrorMessage="1" sqref="D156:D157">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
&amp;R&amp;"Times New Roman,Bold"&amp;12&amp;P</oddFooter>
  </headerFooter>
  <rowBreaks count="2" manualBreakCount="2">
    <brk id="216" max="16383" man="1"/>
    <brk id="26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6" t="s">
        <v>101</v>
      </c>
      <c r="C3" s="276"/>
      <c r="D3" s="276"/>
      <c r="E3" s="276"/>
      <c r="F3" s="276"/>
      <c r="G3" s="276"/>
      <c r="H3" s="276"/>
    </row>
    <row r="4" spans="1:9" x14ac:dyDescent="0.25">
      <c r="A4" s="2"/>
      <c r="B4" s="3" t="s">
        <v>102</v>
      </c>
      <c r="C4" s="3" t="s">
        <v>103</v>
      </c>
      <c r="D4" s="3" t="s">
        <v>62</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9</v>
      </c>
      <c r="D4" s="54" t="s">
        <v>178</v>
      </c>
      <c r="E4" s="54" t="s">
        <v>188</v>
      </c>
      <c r="F4" s="54" t="s">
        <v>171</v>
      </c>
      <c r="G4" s="54" t="s">
        <v>193</v>
      </c>
      <c r="H4" s="54" t="s">
        <v>211</v>
      </c>
      <c r="J4" t="s">
        <v>193</v>
      </c>
      <c r="K4" t="s">
        <v>209</v>
      </c>
    </row>
    <row r="5" spans="2:11" x14ac:dyDescent="0.25">
      <c r="B5" s="53"/>
      <c r="C5" s="53"/>
      <c r="D5" s="54" t="s">
        <v>179</v>
      </c>
      <c r="E5" s="54" t="s">
        <v>186</v>
      </c>
      <c r="F5" s="54" t="s">
        <v>208</v>
      </c>
      <c r="G5" s="54" t="s">
        <v>194</v>
      </c>
      <c r="H5" s="54" t="s">
        <v>212</v>
      </c>
    </row>
    <row r="6" spans="2:11" x14ac:dyDescent="0.25">
      <c r="B6" s="53"/>
      <c r="C6" s="53"/>
      <c r="D6" s="54" t="s">
        <v>180</v>
      </c>
      <c r="E6" s="54" t="s">
        <v>187</v>
      </c>
      <c r="F6" s="54" t="s">
        <v>209</v>
      </c>
      <c r="G6" s="54" t="s">
        <v>195</v>
      </c>
      <c r="H6" s="54" t="s">
        <v>225</v>
      </c>
    </row>
    <row r="7" spans="2:11" x14ac:dyDescent="0.25">
      <c r="B7" s="53"/>
      <c r="C7" s="53"/>
      <c r="D7" s="54" t="s">
        <v>181</v>
      </c>
      <c r="E7" s="54" t="s">
        <v>189</v>
      </c>
      <c r="F7" s="54" t="s">
        <v>210</v>
      </c>
      <c r="G7" s="54" t="s">
        <v>196</v>
      </c>
      <c r="H7" s="54" t="s">
        <v>213</v>
      </c>
    </row>
    <row r="8" spans="2:11" x14ac:dyDescent="0.25">
      <c r="B8" s="53"/>
      <c r="C8" s="53"/>
      <c r="D8" s="54" t="s">
        <v>182</v>
      </c>
      <c r="E8" s="54" t="s">
        <v>190</v>
      </c>
      <c r="F8" s="54"/>
      <c r="G8" s="54" t="s">
        <v>197</v>
      </c>
      <c r="H8" s="54" t="s">
        <v>214</v>
      </c>
    </row>
    <row r="9" spans="2:11" x14ac:dyDescent="0.25">
      <c r="B9" s="53"/>
      <c r="C9" s="53"/>
      <c r="D9" s="54" t="s">
        <v>183</v>
      </c>
      <c r="E9" s="54" t="s">
        <v>188</v>
      </c>
      <c r="F9" s="54"/>
      <c r="G9" s="54" t="s">
        <v>198</v>
      </c>
      <c r="H9" s="54" t="s">
        <v>215</v>
      </c>
    </row>
    <row r="10" spans="2:11" x14ac:dyDescent="0.25">
      <c r="B10" s="53"/>
      <c r="C10" s="53"/>
      <c r="D10" s="54" t="s">
        <v>184</v>
      </c>
      <c r="E10" s="54" t="s">
        <v>191</v>
      </c>
      <c r="F10" s="54"/>
      <c r="G10" s="54" t="s">
        <v>199</v>
      </c>
      <c r="H10" s="54" t="s">
        <v>216</v>
      </c>
    </row>
    <row r="11" spans="2:11" x14ac:dyDescent="0.25">
      <c r="B11" s="53"/>
      <c r="C11" s="53"/>
      <c r="D11" s="54" t="s">
        <v>185</v>
      </c>
      <c r="E11" s="54" t="s">
        <v>192</v>
      </c>
      <c r="F11" s="54"/>
      <c r="G11" s="54" t="s">
        <v>200</v>
      </c>
      <c r="H11" s="54" t="s">
        <v>217</v>
      </c>
    </row>
    <row r="12" spans="2:11" x14ac:dyDescent="0.25">
      <c r="B12" s="53"/>
      <c r="C12" s="53"/>
      <c r="D12" s="54"/>
      <c r="E12" s="54"/>
      <c r="F12" s="54"/>
      <c r="G12" s="54" t="s">
        <v>201</v>
      </c>
      <c r="H12" s="54" t="s">
        <v>218</v>
      </c>
    </row>
    <row r="13" spans="2:11" x14ac:dyDescent="0.25">
      <c r="B13" s="53"/>
      <c r="C13" s="53"/>
      <c r="D13" s="54"/>
      <c r="E13" s="54"/>
      <c r="F13" s="54"/>
      <c r="G13" s="54" t="s">
        <v>202</v>
      </c>
      <c r="H13" s="54" t="s">
        <v>219</v>
      </c>
    </row>
    <row r="14" spans="2:11" x14ac:dyDescent="0.25">
      <c r="B14" s="53"/>
      <c r="C14" s="53"/>
      <c r="D14" s="54"/>
      <c r="E14" s="54"/>
      <c r="F14" s="54"/>
      <c r="G14" s="54" t="s">
        <v>203</v>
      </c>
      <c r="H14" s="54" t="s">
        <v>220</v>
      </c>
    </row>
    <row r="15" spans="2:11" x14ac:dyDescent="0.25">
      <c r="B15" s="53"/>
      <c r="C15" s="53"/>
      <c r="D15" s="54"/>
      <c r="E15" s="54"/>
      <c r="F15" s="54"/>
      <c r="G15" s="54" t="s">
        <v>204</v>
      </c>
      <c r="H15" s="54" t="s">
        <v>221</v>
      </c>
    </row>
    <row r="16" spans="2:11" x14ac:dyDescent="0.25">
      <c r="B16" s="53"/>
      <c r="C16" s="53"/>
      <c r="D16" s="54"/>
      <c r="E16" s="54"/>
      <c r="F16" s="54"/>
      <c r="G16" s="54" t="s">
        <v>205</v>
      </c>
      <c r="H16" s="54" t="s">
        <v>222</v>
      </c>
    </row>
    <row r="17" spans="2:8" x14ac:dyDescent="0.25">
      <c r="B17" s="53"/>
      <c r="C17" s="53"/>
      <c r="D17" s="54"/>
      <c r="E17" s="54"/>
      <c r="F17" s="54"/>
      <c r="G17" s="54" t="s">
        <v>206</v>
      </c>
      <c r="H17" s="54" t="s">
        <v>223</v>
      </c>
    </row>
    <row r="18" spans="2:8" x14ac:dyDescent="0.25">
      <c r="B18" s="53"/>
      <c r="C18" s="53"/>
      <c r="D18" s="54"/>
      <c r="E18" s="54"/>
      <c r="F18" s="54"/>
      <c r="G18" s="54" t="s">
        <v>207</v>
      </c>
      <c r="H18" s="54"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6" t="s">
        <v>236</v>
      </c>
      <c r="D34" s="54" t="s">
        <v>234</v>
      </c>
      <c r="E34" s="54" t="s">
        <v>239</v>
      </c>
      <c r="F34" s="54" t="s">
        <v>237</v>
      </c>
      <c r="G34" s="54" t="s">
        <v>238</v>
      </c>
      <c r="H34" s="54" t="s">
        <v>240</v>
      </c>
      <c r="J34" t="s">
        <v>193</v>
      </c>
      <c r="K34" t="s">
        <v>209</v>
      </c>
    </row>
    <row r="35" spans="3:11" x14ac:dyDescent="0.25">
      <c r="C35" s="53" t="s">
        <v>235</v>
      </c>
      <c r="D35" s="54" t="s">
        <v>169</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171</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55"/>
  <sheetViews>
    <sheetView topLeftCell="A43" zoomScale="115" zoomScaleNormal="115" workbookViewId="0">
      <selection activeCell="C48" sqref="C48"/>
    </sheetView>
  </sheetViews>
  <sheetFormatPr defaultRowHeight="15" x14ac:dyDescent="0.25"/>
  <cols>
    <col min="2" max="2" width="3" bestFit="1" customWidth="1"/>
    <col min="3" max="3" width="155.28515625" customWidth="1"/>
  </cols>
  <sheetData>
    <row r="2" spans="2:3" ht="15" customHeight="1" x14ac:dyDescent="0.25">
      <c r="B2" s="57">
        <v>1</v>
      </c>
      <c r="C2" s="59" t="s">
        <v>283</v>
      </c>
    </row>
    <row r="3" spans="2:3" x14ac:dyDescent="0.25">
      <c r="B3" s="57">
        <v>2</v>
      </c>
      <c r="C3" s="58" t="s">
        <v>284</v>
      </c>
    </row>
    <row r="4" spans="2:3" x14ac:dyDescent="0.25">
      <c r="B4" s="57">
        <v>3</v>
      </c>
      <c r="C4" s="57" t="s">
        <v>285</v>
      </c>
    </row>
    <row r="5" spans="2:3" x14ac:dyDescent="0.25">
      <c r="B5" s="57">
        <v>4</v>
      </c>
      <c r="C5" s="58" t="s">
        <v>286</v>
      </c>
    </row>
    <row r="6" spans="2:3" x14ac:dyDescent="0.25">
      <c r="B6" s="57">
        <v>5</v>
      </c>
      <c r="C6" s="57" t="s">
        <v>287</v>
      </c>
    </row>
    <row r="7" spans="2:3" ht="30" x14ac:dyDescent="0.25">
      <c r="B7" s="57">
        <v>6</v>
      </c>
      <c r="C7" s="58" t="s">
        <v>288</v>
      </c>
    </row>
    <row r="8" spans="2:3" ht="75" x14ac:dyDescent="0.25">
      <c r="B8" s="57">
        <v>7</v>
      </c>
      <c r="C8" s="58" t="s">
        <v>289</v>
      </c>
    </row>
    <row r="9" spans="2:3" x14ac:dyDescent="0.25">
      <c r="B9" s="57">
        <v>8</v>
      </c>
      <c r="C9" s="57" t="s">
        <v>290</v>
      </c>
    </row>
    <row r="10" spans="2:3" x14ac:dyDescent="0.25">
      <c r="B10" s="57">
        <v>9</v>
      </c>
      <c r="C10" s="57" t="s">
        <v>291</v>
      </c>
    </row>
    <row r="11" spans="2:3" x14ac:dyDescent="0.25">
      <c r="B11" s="57">
        <v>10</v>
      </c>
      <c r="C11" s="57" t="s">
        <v>292</v>
      </c>
    </row>
    <row r="12" spans="2:3" x14ac:dyDescent="0.25">
      <c r="B12" s="57">
        <v>11</v>
      </c>
      <c r="C12" s="57" t="s">
        <v>293</v>
      </c>
    </row>
    <row r="13" spans="2:3" x14ac:dyDescent="0.25">
      <c r="B13" s="57">
        <v>12</v>
      </c>
      <c r="C13" s="57" t="s">
        <v>294</v>
      </c>
    </row>
    <row r="14" spans="2:3" x14ac:dyDescent="0.25">
      <c r="B14" s="57">
        <v>13</v>
      </c>
      <c r="C14" s="57" t="s">
        <v>295</v>
      </c>
    </row>
    <row r="15" spans="2:3" x14ac:dyDescent="0.25">
      <c r="B15" s="57">
        <v>14</v>
      </c>
      <c r="C15" s="57" t="s">
        <v>285</v>
      </c>
    </row>
    <row r="16" spans="2:3" x14ac:dyDescent="0.25">
      <c r="B16" s="57">
        <v>15</v>
      </c>
      <c r="C16" s="57" t="s">
        <v>297</v>
      </c>
    </row>
    <row r="17" spans="2:3" x14ac:dyDescent="0.25">
      <c r="B17" s="78">
        <v>16</v>
      </c>
      <c r="C17" s="63" t="s">
        <v>298</v>
      </c>
    </row>
    <row r="18" spans="2:3" x14ac:dyDescent="0.25">
      <c r="B18" s="62">
        <v>17</v>
      </c>
      <c r="C18" s="63" t="s">
        <v>299</v>
      </c>
    </row>
    <row r="19" spans="2:3" x14ac:dyDescent="0.25">
      <c r="B19" s="61">
        <v>18</v>
      </c>
      <c r="C19" s="57" t="s">
        <v>300</v>
      </c>
    </row>
    <row r="20" spans="2:3" x14ac:dyDescent="0.25">
      <c r="B20" s="62">
        <v>19</v>
      </c>
      <c r="C20" s="57" t="s">
        <v>336</v>
      </c>
    </row>
    <row r="21" spans="2:3" x14ac:dyDescent="0.25">
      <c r="B21" s="57">
        <v>20</v>
      </c>
      <c r="C21" s="57" t="s">
        <v>301</v>
      </c>
    </row>
    <row r="22" spans="2:3" x14ac:dyDescent="0.25">
      <c r="B22" s="62">
        <v>21</v>
      </c>
      <c r="C22" s="57" t="s">
        <v>300</v>
      </c>
    </row>
    <row r="23" spans="2:3" s="73" customFormat="1" ht="29.25" customHeight="1" x14ac:dyDescent="0.25">
      <c r="B23" s="72">
        <v>22</v>
      </c>
      <c r="C23" s="59" t="s">
        <v>328</v>
      </c>
    </row>
    <row r="24" spans="2:3" s="73" customFormat="1" ht="30.75" customHeight="1" x14ac:dyDescent="0.25">
      <c r="B24" s="74">
        <v>23</v>
      </c>
      <c r="C24" s="59" t="s">
        <v>329</v>
      </c>
    </row>
    <row r="25" spans="2:3" x14ac:dyDescent="0.25">
      <c r="B25" s="57">
        <v>24</v>
      </c>
      <c r="C25" s="57" t="s">
        <v>332</v>
      </c>
    </row>
    <row r="26" spans="2:3" x14ac:dyDescent="0.25">
      <c r="B26" s="62">
        <v>25</v>
      </c>
      <c r="C26" s="57" t="s">
        <v>330</v>
      </c>
    </row>
    <row r="27" spans="2:3" x14ac:dyDescent="0.25">
      <c r="B27" s="74">
        <v>26</v>
      </c>
      <c r="C27" s="57" t="s">
        <v>331</v>
      </c>
    </row>
    <row r="28" spans="2:3" x14ac:dyDescent="0.25">
      <c r="B28" s="62">
        <v>27</v>
      </c>
      <c r="C28" s="57" t="s">
        <v>333</v>
      </c>
    </row>
    <row r="29" spans="2:3" ht="60" x14ac:dyDescent="0.25">
      <c r="B29" s="77">
        <v>28</v>
      </c>
      <c r="C29" s="58" t="s">
        <v>334</v>
      </c>
    </row>
    <row r="30" spans="2:3" x14ac:dyDescent="0.25">
      <c r="B30" s="74">
        <v>29</v>
      </c>
      <c r="C30" s="57" t="s">
        <v>335</v>
      </c>
    </row>
    <row r="31" spans="2:3" ht="30" x14ac:dyDescent="0.25">
      <c r="B31" s="74">
        <v>30</v>
      </c>
      <c r="C31" s="58" t="s">
        <v>337</v>
      </c>
    </row>
    <row r="32" spans="2:3" x14ac:dyDescent="0.25">
      <c r="B32" s="74">
        <v>31</v>
      </c>
      <c r="C32" s="57" t="s">
        <v>338</v>
      </c>
    </row>
    <row r="33" spans="2:4" x14ac:dyDescent="0.25">
      <c r="B33" s="74">
        <v>32</v>
      </c>
      <c r="C33" s="57" t="s">
        <v>339</v>
      </c>
    </row>
    <row r="34" spans="2:4" ht="36.75" customHeight="1" x14ac:dyDescent="0.25">
      <c r="B34" s="74">
        <v>33</v>
      </c>
      <c r="C34" s="63" t="s">
        <v>340</v>
      </c>
    </row>
    <row r="35" spans="2:4" x14ac:dyDescent="0.25">
      <c r="B35" s="72">
        <v>34</v>
      </c>
      <c r="C35" s="57" t="s">
        <v>348</v>
      </c>
    </row>
    <row r="36" spans="2:4" ht="60" x14ac:dyDescent="0.25">
      <c r="B36" s="72">
        <v>35</v>
      </c>
      <c r="C36" s="58" t="s">
        <v>351</v>
      </c>
    </row>
    <row r="37" spans="2:4" x14ac:dyDescent="0.25">
      <c r="B37" s="57">
        <v>36</v>
      </c>
      <c r="C37" s="58" t="s">
        <v>362</v>
      </c>
    </row>
    <row r="38" spans="2:4" x14ac:dyDescent="0.25">
      <c r="B38" s="57">
        <f t="shared" ref="B38:B44" si="0">B37+1</f>
        <v>37</v>
      </c>
      <c r="C38" s="57" t="s">
        <v>358</v>
      </c>
    </row>
    <row r="39" spans="2:4" x14ac:dyDescent="0.25">
      <c r="B39" s="57">
        <f t="shared" si="0"/>
        <v>38</v>
      </c>
      <c r="C39" s="57" t="s">
        <v>359</v>
      </c>
    </row>
    <row r="40" spans="2:4" x14ac:dyDescent="0.25">
      <c r="B40" s="57">
        <f t="shared" si="0"/>
        <v>39</v>
      </c>
      <c r="C40" s="57" t="s">
        <v>360</v>
      </c>
    </row>
    <row r="41" spans="2:4" x14ac:dyDescent="0.25">
      <c r="B41" s="57">
        <f t="shared" si="0"/>
        <v>40</v>
      </c>
      <c r="C41" s="57" t="s">
        <v>361</v>
      </c>
    </row>
    <row r="42" spans="2:4" ht="30.75" thickBot="1" x14ac:dyDescent="0.3">
      <c r="B42" s="81">
        <f t="shared" si="0"/>
        <v>41</v>
      </c>
      <c r="C42" s="82" t="s">
        <v>363</v>
      </c>
    </row>
    <row r="43" spans="2:4" ht="30" x14ac:dyDescent="0.25">
      <c r="B43" s="85">
        <f t="shared" si="0"/>
        <v>42</v>
      </c>
      <c r="C43" s="90" t="s">
        <v>368</v>
      </c>
      <c r="D43" t="s">
        <v>369</v>
      </c>
    </row>
    <row r="44" spans="2:4" ht="15.75" thickBot="1" x14ac:dyDescent="0.3">
      <c r="B44" s="87">
        <f t="shared" si="0"/>
        <v>43</v>
      </c>
      <c r="C44" s="89" t="s">
        <v>364</v>
      </c>
    </row>
    <row r="45" spans="2:4" ht="15.75" thickBot="1" x14ac:dyDescent="0.3">
      <c r="B45" s="83">
        <f t="shared" ref="B45:B54" si="1">B44+1</f>
        <v>44</v>
      </c>
      <c r="C45" s="84" t="s">
        <v>365</v>
      </c>
    </row>
    <row r="46" spans="2:4" ht="30" x14ac:dyDescent="0.25">
      <c r="B46" s="85">
        <f t="shared" si="1"/>
        <v>45</v>
      </c>
      <c r="C46" s="86" t="s">
        <v>366</v>
      </c>
    </row>
    <row r="47" spans="2:4" ht="15.75" thickBot="1" x14ac:dyDescent="0.3">
      <c r="B47" s="87">
        <f t="shared" si="1"/>
        <v>46</v>
      </c>
      <c r="C47" s="88" t="s">
        <v>367</v>
      </c>
    </row>
    <row r="48" spans="2:4" x14ac:dyDescent="0.25">
      <c r="B48" s="91">
        <f t="shared" si="1"/>
        <v>47</v>
      </c>
      <c r="C48" s="92" t="s">
        <v>370</v>
      </c>
    </row>
    <row r="49" spans="2:6" x14ac:dyDescent="0.25">
      <c r="B49" s="91">
        <f t="shared" si="1"/>
        <v>48</v>
      </c>
      <c r="C49" s="92" t="s">
        <v>371</v>
      </c>
    </row>
    <row r="50" spans="2:6" x14ac:dyDescent="0.25">
      <c r="B50" s="91">
        <f t="shared" si="1"/>
        <v>49</v>
      </c>
      <c r="C50" s="92" t="s">
        <v>373</v>
      </c>
      <c r="D50" t="s">
        <v>372</v>
      </c>
    </row>
    <row r="51" spans="2:6" ht="30" x14ac:dyDescent="0.25">
      <c r="B51" s="93">
        <f t="shared" si="1"/>
        <v>50</v>
      </c>
      <c r="C51" s="94" t="s">
        <v>374</v>
      </c>
    </row>
    <row r="52" spans="2:6" x14ac:dyDescent="0.25">
      <c r="B52" s="93">
        <f t="shared" si="1"/>
        <v>51</v>
      </c>
      <c r="C52" s="95" t="s">
        <v>377</v>
      </c>
      <c r="D52" t="s">
        <v>378</v>
      </c>
    </row>
    <row r="53" spans="2:6" x14ac:dyDescent="0.25">
      <c r="B53" s="93">
        <f t="shared" si="1"/>
        <v>52</v>
      </c>
      <c r="C53" s="95" t="s">
        <v>380</v>
      </c>
      <c r="D53" t="s">
        <v>381</v>
      </c>
    </row>
    <row r="54" spans="2:6" ht="45" x14ac:dyDescent="0.25">
      <c r="B54" s="93">
        <f t="shared" si="1"/>
        <v>53</v>
      </c>
      <c r="C54" s="63" t="s">
        <v>385</v>
      </c>
      <c r="D54" t="s">
        <v>384</v>
      </c>
    </row>
    <row r="55" spans="2:6" ht="30" x14ac:dyDescent="0.25">
      <c r="B55">
        <v>54</v>
      </c>
      <c r="C55" s="97" t="s">
        <v>386</v>
      </c>
      <c r="D55" s="277" t="s">
        <v>387</v>
      </c>
      <c r="E55" s="278"/>
      <c r="F55" s="278"/>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6" t="s">
        <v>302</v>
      </c>
      <c r="C2" s="279"/>
      <c r="D2" s="279"/>
    </row>
    <row r="3" spans="1:12" x14ac:dyDescent="0.25">
      <c r="D3" s="67"/>
      <c r="E3" s="67"/>
      <c r="F3" s="67"/>
      <c r="G3" s="67"/>
      <c r="H3" s="67"/>
      <c r="I3" s="67"/>
    </row>
    <row r="4" spans="1:12" x14ac:dyDescent="0.25">
      <c r="A4" s="66" t="s">
        <v>62</v>
      </c>
      <c r="B4" s="68" t="s">
        <v>303</v>
      </c>
      <c r="C4" s="280" t="s">
        <v>304</v>
      </c>
      <c r="D4" s="280"/>
      <c r="E4" s="280"/>
      <c r="F4" s="68"/>
      <c r="G4" s="281" t="s">
        <v>305</v>
      </c>
      <c r="H4" s="281"/>
      <c r="I4" s="281"/>
      <c r="J4" s="282" t="s">
        <v>306</v>
      </c>
      <c r="K4" s="282"/>
      <c r="L4" s="282"/>
    </row>
    <row r="5" spans="1:12" x14ac:dyDescent="0.25">
      <c r="A5" s="66"/>
      <c r="B5" s="68"/>
      <c r="C5" s="68" t="s">
        <v>307</v>
      </c>
      <c r="D5" s="68" t="s">
        <v>308</v>
      </c>
      <c r="E5" s="68" t="s">
        <v>309</v>
      </c>
      <c r="F5" s="68"/>
      <c r="G5" s="68" t="s">
        <v>307</v>
      </c>
      <c r="H5" s="68" t="s">
        <v>308</v>
      </c>
      <c r="I5" s="68" t="s">
        <v>309</v>
      </c>
      <c r="J5" s="68" t="s">
        <v>307</v>
      </c>
      <c r="K5" s="68" t="s">
        <v>308</v>
      </c>
      <c r="L5" s="68" t="s">
        <v>309</v>
      </c>
    </row>
    <row r="6" spans="1:12" x14ac:dyDescent="0.25">
      <c r="B6" s="54" t="s">
        <v>310</v>
      </c>
      <c r="C6" s="54"/>
      <c r="D6" s="54"/>
      <c r="E6" s="54">
        <f>C6*D6</f>
        <v>0</v>
      </c>
      <c r="F6" s="54" t="s">
        <v>327</v>
      </c>
      <c r="G6" s="54"/>
      <c r="H6" s="54"/>
      <c r="I6" s="54">
        <f>G6*H6</f>
        <v>0</v>
      </c>
      <c r="J6" s="54"/>
      <c r="K6" s="54"/>
      <c r="L6" s="54">
        <f>J6*K6</f>
        <v>0</v>
      </c>
    </row>
    <row r="7" spans="1:12" x14ac:dyDescent="0.25">
      <c r="B7" s="54"/>
      <c r="C7" s="54"/>
      <c r="D7" s="54"/>
      <c r="E7" s="54">
        <f t="shared" ref="E7:E41" si="0">C7*D7</f>
        <v>0</v>
      </c>
      <c r="F7" s="54" t="s">
        <v>327</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311</v>
      </c>
      <c r="G9" s="54"/>
      <c r="H9" s="54"/>
      <c r="I9" s="54">
        <f t="shared" si="1"/>
        <v>0</v>
      </c>
      <c r="J9" s="54"/>
      <c r="K9" s="54"/>
      <c r="L9" s="54">
        <f t="shared" si="2"/>
        <v>0</v>
      </c>
    </row>
    <row r="10" spans="1:12" x14ac:dyDescent="0.25">
      <c r="B10" s="54" t="s">
        <v>312</v>
      </c>
      <c r="C10" s="54"/>
      <c r="D10" s="54"/>
      <c r="E10" s="54">
        <f t="shared" si="0"/>
        <v>0</v>
      </c>
      <c r="F10" s="54" t="s">
        <v>311</v>
      </c>
      <c r="G10" s="54"/>
      <c r="H10" s="54"/>
      <c r="I10" s="54">
        <f t="shared" si="1"/>
        <v>0</v>
      </c>
      <c r="J10" s="54"/>
      <c r="K10" s="54"/>
      <c r="L10" s="54">
        <f t="shared" si="2"/>
        <v>0</v>
      </c>
    </row>
    <row r="11" spans="1:12" x14ac:dyDescent="0.25">
      <c r="B11" s="54"/>
      <c r="C11" s="54"/>
      <c r="D11" s="54"/>
      <c r="E11" s="54">
        <f t="shared" si="0"/>
        <v>0</v>
      </c>
      <c r="F11" s="54" t="s">
        <v>313</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314</v>
      </c>
      <c r="C14" s="54"/>
      <c r="D14" s="54"/>
      <c r="E14" s="54">
        <f t="shared" si="0"/>
        <v>0</v>
      </c>
      <c r="F14" s="54" t="s">
        <v>311</v>
      </c>
      <c r="G14" s="54"/>
      <c r="H14" s="54"/>
      <c r="I14" s="54">
        <f t="shared" si="1"/>
        <v>0</v>
      </c>
      <c r="J14" s="54"/>
      <c r="K14" s="54"/>
      <c r="L14" s="54">
        <f t="shared" si="2"/>
        <v>0</v>
      </c>
    </row>
    <row r="15" spans="1:12" x14ac:dyDescent="0.25">
      <c r="B15" s="54"/>
      <c r="C15" s="54"/>
      <c r="D15" s="54"/>
      <c r="E15" s="54">
        <f t="shared" si="0"/>
        <v>0</v>
      </c>
      <c r="F15" s="54" t="s">
        <v>313</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315</v>
      </c>
      <c r="C18" s="54"/>
      <c r="D18" s="54"/>
      <c r="E18" s="54">
        <f t="shared" si="0"/>
        <v>0</v>
      </c>
      <c r="F18" s="54" t="s">
        <v>311</v>
      </c>
      <c r="G18" s="54"/>
      <c r="H18" s="54"/>
      <c r="I18" s="54">
        <f t="shared" si="1"/>
        <v>0</v>
      </c>
      <c r="J18" s="54"/>
      <c r="K18" s="54"/>
      <c r="L18" s="54">
        <f t="shared" si="2"/>
        <v>0</v>
      </c>
    </row>
    <row r="19" spans="2:12" x14ac:dyDescent="0.25">
      <c r="B19" s="54"/>
      <c r="C19" s="54"/>
      <c r="D19" s="54"/>
      <c r="E19" s="54">
        <f t="shared" si="0"/>
        <v>0</v>
      </c>
      <c r="F19" s="54" t="s">
        <v>313</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316</v>
      </c>
      <c r="C21" s="54"/>
      <c r="D21" s="54"/>
      <c r="E21" s="54">
        <f t="shared" si="0"/>
        <v>0</v>
      </c>
      <c r="F21" s="54" t="s">
        <v>311</v>
      </c>
      <c r="G21" s="54"/>
      <c r="H21" s="54"/>
      <c r="I21" s="54">
        <f t="shared" si="1"/>
        <v>0</v>
      </c>
      <c r="J21" s="54"/>
      <c r="K21" s="54"/>
      <c r="L21" s="54">
        <f t="shared" si="2"/>
        <v>0</v>
      </c>
    </row>
    <row r="22" spans="2:12" x14ac:dyDescent="0.25">
      <c r="B22" s="54"/>
      <c r="C22" s="54"/>
      <c r="D22" s="54"/>
      <c r="E22" s="54">
        <f t="shared" si="0"/>
        <v>0</v>
      </c>
      <c r="F22" s="54" t="s">
        <v>313</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317</v>
      </c>
      <c r="C24" s="54"/>
      <c r="D24" s="54"/>
      <c r="E24" s="54">
        <f t="shared" si="0"/>
        <v>0</v>
      </c>
      <c r="F24" s="54" t="s">
        <v>318</v>
      </c>
      <c r="G24" s="54"/>
      <c r="H24" s="54"/>
      <c r="I24" s="54">
        <f t="shared" si="1"/>
        <v>0</v>
      </c>
      <c r="J24" s="54"/>
      <c r="K24" s="54"/>
      <c r="L24" s="54">
        <f t="shared" si="2"/>
        <v>0</v>
      </c>
    </row>
    <row r="25" spans="2:12" x14ac:dyDescent="0.25">
      <c r="B25" s="54"/>
      <c r="C25" s="54"/>
      <c r="D25" s="54"/>
      <c r="E25" s="54">
        <f>C25*D25</f>
        <v>0</v>
      </c>
      <c r="F25" s="54" t="s">
        <v>318</v>
      </c>
      <c r="G25" s="54"/>
      <c r="H25" s="54"/>
      <c r="I25" s="54">
        <f>G25*H25</f>
        <v>0</v>
      </c>
      <c r="J25" s="54"/>
      <c r="K25" s="54"/>
      <c r="L25" s="54">
        <f>J25*K25</f>
        <v>0</v>
      </c>
    </row>
    <row r="26" spans="2:12" x14ac:dyDescent="0.25">
      <c r="B26" s="54"/>
      <c r="C26" s="54"/>
      <c r="D26" s="54"/>
      <c r="E26" s="54">
        <f>C26*D26</f>
        <v>0</v>
      </c>
      <c r="F26" s="54" t="s">
        <v>318</v>
      </c>
      <c r="G26" s="54"/>
      <c r="H26" s="54"/>
      <c r="I26" s="54">
        <f>G26*H26</f>
        <v>0</v>
      </c>
      <c r="J26" s="54"/>
      <c r="K26" s="54"/>
      <c r="L26" s="54">
        <f>J26*K26</f>
        <v>0</v>
      </c>
    </row>
    <row r="27" spans="2:12" x14ac:dyDescent="0.25">
      <c r="B27" s="54"/>
      <c r="C27" s="54"/>
      <c r="D27" s="54"/>
      <c r="E27" s="54">
        <f>C27*D27</f>
        <v>0</v>
      </c>
      <c r="F27" s="54" t="s">
        <v>318</v>
      </c>
      <c r="G27" s="54"/>
      <c r="H27" s="54"/>
      <c r="I27" s="54">
        <f>G27*H27</f>
        <v>0</v>
      </c>
      <c r="J27" s="54"/>
      <c r="K27" s="54"/>
      <c r="L27" s="54">
        <f>J27*K27</f>
        <v>0</v>
      </c>
    </row>
    <row r="28" spans="2:12" x14ac:dyDescent="0.25">
      <c r="B28" s="54" t="s">
        <v>319</v>
      </c>
      <c r="C28" s="54"/>
      <c r="D28" s="54"/>
      <c r="E28" s="54">
        <f t="shared" si="0"/>
        <v>0</v>
      </c>
      <c r="F28" s="54" t="s">
        <v>318</v>
      </c>
      <c r="G28" s="54"/>
      <c r="H28" s="54"/>
      <c r="I28" s="54">
        <f t="shared" si="1"/>
        <v>0</v>
      </c>
      <c r="J28" s="54"/>
      <c r="K28" s="54"/>
      <c r="L28" s="54">
        <f t="shared" si="2"/>
        <v>0</v>
      </c>
    </row>
    <row r="29" spans="2:12" x14ac:dyDescent="0.25">
      <c r="B29" s="54" t="s">
        <v>320</v>
      </c>
      <c r="C29" s="54"/>
      <c r="D29" s="54"/>
      <c r="E29" s="54">
        <f t="shared" si="0"/>
        <v>0</v>
      </c>
      <c r="F29" s="54" t="s">
        <v>318</v>
      </c>
      <c r="G29" s="54"/>
      <c r="H29" s="54"/>
      <c r="I29" s="54">
        <f t="shared" si="1"/>
        <v>0</v>
      </c>
      <c r="J29" s="54"/>
      <c r="K29" s="54"/>
      <c r="L29" s="54">
        <f t="shared" si="2"/>
        <v>0</v>
      </c>
    </row>
    <row r="30" spans="2:12" x14ac:dyDescent="0.25">
      <c r="B30" s="54" t="s">
        <v>324</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321</v>
      </c>
      <c r="C33" s="54"/>
      <c r="D33" s="54"/>
      <c r="E33" s="54">
        <f t="shared" si="0"/>
        <v>0</v>
      </c>
      <c r="F33" s="54"/>
      <c r="G33" s="54"/>
      <c r="H33" s="54"/>
      <c r="I33" s="54">
        <f t="shared" si="1"/>
        <v>0</v>
      </c>
      <c r="J33" s="54"/>
      <c r="K33" s="54"/>
      <c r="L33" s="54">
        <f t="shared" si="2"/>
        <v>0</v>
      </c>
    </row>
    <row r="34" spans="2:12" x14ac:dyDescent="0.25">
      <c r="B34" s="54" t="s">
        <v>325</v>
      </c>
      <c r="C34" s="54"/>
      <c r="D34" s="54"/>
      <c r="E34" s="54">
        <f t="shared" si="0"/>
        <v>0</v>
      </c>
      <c r="F34" s="54"/>
      <c r="G34" s="54"/>
      <c r="H34" s="54"/>
      <c r="I34" s="54">
        <f t="shared" si="1"/>
        <v>0</v>
      </c>
      <c r="J34" s="54"/>
      <c r="K34" s="54"/>
      <c r="L34" s="54">
        <f t="shared" si="2"/>
        <v>0</v>
      </c>
    </row>
    <row r="35" spans="2:12" x14ac:dyDescent="0.25">
      <c r="B35" s="54" t="s">
        <v>322</v>
      </c>
      <c r="C35" s="54"/>
      <c r="D35" s="54"/>
      <c r="E35" s="54">
        <f t="shared" si="0"/>
        <v>0</v>
      </c>
      <c r="F35" s="54"/>
      <c r="G35" s="54"/>
      <c r="H35" s="54"/>
      <c r="I35" s="54">
        <f t="shared" si="1"/>
        <v>0</v>
      </c>
      <c r="J35" s="54"/>
      <c r="K35" s="54"/>
      <c r="L35" s="54">
        <f t="shared" si="2"/>
        <v>0</v>
      </c>
    </row>
    <row r="36" spans="2:12" x14ac:dyDescent="0.25">
      <c r="B36" s="54" t="s">
        <v>323</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326</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149</v>
      </c>
      <c r="C42" s="54"/>
      <c r="D42" s="54">
        <f>E42*10.764</f>
        <v>0</v>
      </c>
      <c r="E42" s="71">
        <f>SUM(E6:E41)</f>
        <v>0</v>
      </c>
      <c r="F42" s="54"/>
      <c r="G42" s="54"/>
      <c r="H42" s="54">
        <f>I42*10.764</f>
        <v>0</v>
      </c>
      <c r="I42" s="70">
        <f>SUM(I6:I41)</f>
        <v>0</v>
      </c>
      <c r="J42" s="54"/>
      <c r="K42" s="54">
        <f>L42*10.764</f>
        <v>0</v>
      </c>
      <c r="L42" s="69">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A3" sqref="A3:XFD16"/>
    </sheetView>
  </sheetViews>
  <sheetFormatPr defaultRowHeight="15" x14ac:dyDescent="0.25"/>
  <cols>
    <col min="1" max="8" width="11.5703125" customWidth="1"/>
    <col min="9" max="10" width="21.28515625" customWidth="1"/>
  </cols>
  <sheetData>
    <row r="2" spans="1:10" ht="15.75" thickBot="1" x14ac:dyDescent="0.3">
      <c r="A2" s="283" t="s">
        <v>390</v>
      </c>
      <c r="B2" s="283"/>
      <c r="C2" s="283"/>
      <c r="D2" s="283"/>
      <c r="E2" s="283"/>
      <c r="F2" s="283"/>
      <c r="G2" s="283"/>
      <c r="H2" s="283"/>
    </row>
    <row r="3" spans="1:10" ht="15.75" x14ac:dyDescent="0.25">
      <c r="A3" s="204" t="s">
        <v>136</v>
      </c>
      <c r="B3" s="205"/>
      <c r="C3" s="206" t="s">
        <v>389</v>
      </c>
      <c r="D3" s="207"/>
      <c r="E3" s="207"/>
      <c r="F3" s="207"/>
      <c r="G3" s="207"/>
      <c r="H3" s="208"/>
      <c r="I3" s="49" t="str">
        <f ca="1">IF(D16=100%,"All work Completed. Possession granted to the Building.",IF(D15=100%,"All work Completed, Waiting for OC",I4&amp;""&amp;I5&amp;""&amp;J4&amp;""&amp;J3&amp;" "&amp;J5))</f>
        <v xml:space="preserve">Excavation, Plinth, RCC Slab, Brickwork Completed </v>
      </c>
      <c r="J3" s="50" t="str">
        <f ca="1">(IF(C9=(D4+F4+H4),"",IF(C9&gt;0,", RCC upto "&amp;C9&amp;" Slab","")))&amp;(IF(C10=H4,"",IF(C10&gt;0,", Brickwork upto "&amp;C10&amp;" Floor","")))&amp;(IF(C11=H4,"",IF(C11&gt;0,", Internal Plaster upto "&amp;C11&amp;" Floor","")))&amp;(IF(C12=H4,"",IF(C12&gt;0,", External Plaster upto "&amp;C12&amp;" Floor","")))&amp;(IF(C13=H4,"",IF(C13&gt;0,", Flooring upto "&amp;C13&amp;" Floor","")))&amp;(IF(C14=H4,"",IF(C14&gt;0,", Painting upto "&amp;C14&amp;" Floor","")))&amp;(IF(C15=H4,"",IF(C15&gt;0,", Finishing upto "&amp;C15&amp;" Floor","")))&amp;(IF(C16=H4,"",IF(C16&gt;0,", Possession upto "&amp;C16&amp;" Floor","")))</f>
        <v/>
      </c>
    </row>
    <row r="4" spans="1:10" ht="15.75" x14ac:dyDescent="0.25">
      <c r="A4" s="16" t="s">
        <v>138</v>
      </c>
      <c r="B4" s="47">
        <f>IF(AND(ISNUMBER(SEARCH("1B",C3))),1,IF(AND(ISNUMBER(SEARCH("2B",C3))),2,IF(AND(ISNUMBER(SEARCH("3B",C3))),3,IF(AND(ISNUMBER(SEARCH("4B",C3))),4,IF(ISNUMBER(SEARCH("5B",C3)),5,0)))))</f>
        <v>0</v>
      </c>
      <c r="C4" s="47" t="s">
        <v>65</v>
      </c>
      <c r="D4" s="47">
        <v>1</v>
      </c>
      <c r="E4" s="47" t="s">
        <v>64</v>
      </c>
      <c r="F4" s="14">
        <v>0</v>
      </c>
      <c r="G4" s="48" t="s">
        <v>73</v>
      </c>
      <c r="H4" s="17">
        <f ca="1">--TRIM(RIGHT(SUBSTITUTE(LEFT(C3,_xlfn.AGGREGATE(16,6,FIND({0,1,2,3,4,5,6,7,8,9},C3,ROW(INDIRECT("1:"&amp;LEN(C3)))),1))," ",REPT(" ",LEN(C3))),LEN(C3)))</f>
        <v>20</v>
      </c>
      <c r="I4" s="51" t="str">
        <f ca="1">IF(D7=100%,"Excavation","")&amp;IF(D8=100%,", Plinth","")&amp;IF(D9=100%,", RCC Slab","")&amp;IF(D10=100%,", Brickwork","")&amp;IF(D11=100%,", Internal Plaster","")&amp;IF(D12=100%,", External Plaster","")&amp;IF(D13=100%,", Flooring","")&amp;IF(D14=100%,", Painting","")&amp;IF(D15=100%,", Building common Amenities","")</f>
        <v>Excavation, Plinth, RCC Slab, Brickwork</v>
      </c>
      <c r="J4" s="52" t="str">
        <f ca="1">(IF(C7=0,"Work not yet Started.",IF(D7=25%,"Piling work in process",IF(D7=50%,"Excavation work in process",IF(D7=100%,"","0")))))&amp;(IF(C8=0%,"",IF(C8=J9,", Footing work is process",IF(C8=J10,", Footing work Completed",IF(C8=J11,", 1st Basement Completed",IF(C8=J12,", 1st &amp; 2nd Basement Completed",IF(C8=J13,", 1st to 3rd Basement Completed",IF(C8=J14,", 1st to 4th Basement Completed",IF(C8=J15,", Plinth work is process",IF(C8=J16,"","0"))))))))))</f>
        <v/>
      </c>
    </row>
    <row r="5" spans="1:10" ht="15.75" x14ac:dyDescent="0.25">
      <c r="A5" s="203" t="s">
        <v>83</v>
      </c>
      <c r="B5" s="186"/>
      <c r="C5" s="209" t="str">
        <f ca="1">I3</f>
        <v xml:space="preserve">Excavation, Plinth, RCC Slab, Brickwork Completed </v>
      </c>
      <c r="D5" s="209"/>
      <c r="E5" s="209"/>
      <c r="F5" s="209"/>
      <c r="G5" s="209"/>
      <c r="H5" s="210"/>
      <c r="I5" s="51" t="str">
        <f ca="1">IF(I4&lt;&gt;""," Completed","")</f>
        <v xml:space="preserve"> Completed</v>
      </c>
      <c r="J5" s="52" t="str">
        <f ca="1">IF(J3&lt;&gt;"","Completed","")</f>
        <v/>
      </c>
    </row>
    <row r="6" spans="1:10" ht="31.5" x14ac:dyDescent="0.25">
      <c r="A6" s="108" t="s">
        <v>45</v>
      </c>
      <c r="B6" s="109"/>
      <c r="C6" s="43" t="s">
        <v>135</v>
      </c>
      <c r="D6" s="43" t="s">
        <v>76</v>
      </c>
      <c r="E6" s="109" t="s">
        <v>78</v>
      </c>
      <c r="F6" s="109"/>
      <c r="G6" s="109" t="s">
        <v>77</v>
      </c>
      <c r="H6" s="123"/>
      <c r="I6" s="13" t="s">
        <v>137</v>
      </c>
      <c r="J6" s="28">
        <f ca="1">H4*25%</f>
        <v>5</v>
      </c>
    </row>
    <row r="7" spans="1:10" ht="15.75" x14ac:dyDescent="0.25">
      <c r="A7" s="108" t="s">
        <v>124</v>
      </c>
      <c r="B7" s="109"/>
      <c r="C7" s="60">
        <f ca="1">J8</f>
        <v>20</v>
      </c>
      <c r="D7" s="19">
        <f ca="1">((100/H4)*C7)/100</f>
        <v>1</v>
      </c>
      <c r="E7" s="248">
        <f ca="1">(((C8/H4*20)+(30/(D4+F4+H4)*C9)+(15/(H4)*C10)+(5/(H4)*C11)+(5/H4*C12)+(10/H4*C13)+(5/H4*C14)+(5/H4*C15)+(5/H4*C16))/100)</f>
        <v>0.65</v>
      </c>
      <c r="F7" s="262"/>
      <c r="G7" s="248">
        <f ca="1">((((C7/H4)*10)+((C8/H4)*30)+(25/(H4+F4+D4)*C9)+(15/H4*C10)+(5/H4*C11)+(5/H4*C12)+(5/H4*C13)+(0/H4*C14)+(0/H4*C15)+(5/H4*C16))/100)</f>
        <v>0.8</v>
      </c>
      <c r="H7" s="249"/>
      <c r="I7" s="13" t="s">
        <v>94</v>
      </c>
      <c r="J7" s="29">
        <f ca="1">H4*50%</f>
        <v>10</v>
      </c>
    </row>
    <row r="8" spans="1:10" ht="15.75" x14ac:dyDescent="0.25">
      <c r="A8" s="108" t="s">
        <v>46</v>
      </c>
      <c r="B8" s="109"/>
      <c r="C8" s="43">
        <v>20</v>
      </c>
      <c r="D8" s="19">
        <f ca="1">((100/H4)*C8)/100</f>
        <v>1</v>
      </c>
      <c r="E8" s="250"/>
      <c r="F8" s="263"/>
      <c r="G8" s="250"/>
      <c r="H8" s="251"/>
      <c r="I8" s="13" t="s">
        <v>95</v>
      </c>
      <c r="J8" s="29">
        <f ca="1">H4</f>
        <v>20</v>
      </c>
    </row>
    <row r="9" spans="1:10" ht="15.75" x14ac:dyDescent="0.25">
      <c r="A9" s="108" t="s">
        <v>125</v>
      </c>
      <c r="B9" s="109"/>
      <c r="C9" s="43">
        <v>21</v>
      </c>
      <c r="D9" s="19">
        <f ca="1">((100/(D4+F4+H4))*C9)/100</f>
        <v>1</v>
      </c>
      <c r="E9" s="250"/>
      <c r="F9" s="263"/>
      <c r="G9" s="250"/>
      <c r="H9" s="251"/>
      <c r="I9" s="13" t="s">
        <v>96</v>
      </c>
      <c r="J9" s="30">
        <f ca="1">(IF(B4&gt;1,(H4/(B4+2)),H4/4))</f>
        <v>5</v>
      </c>
    </row>
    <row r="10" spans="1:10" ht="15.75" x14ac:dyDescent="0.25">
      <c r="A10" s="108" t="s">
        <v>132</v>
      </c>
      <c r="B10" s="109" t="s">
        <v>126</v>
      </c>
      <c r="C10" s="43">
        <v>20</v>
      </c>
      <c r="D10" s="19">
        <f ca="1">((100/H4)*C10)/100</f>
        <v>1</v>
      </c>
      <c r="E10" s="250"/>
      <c r="F10" s="263"/>
      <c r="G10" s="250"/>
      <c r="H10" s="251"/>
      <c r="I10" s="13" t="s">
        <v>97</v>
      </c>
      <c r="J10" s="30">
        <f ca="1">(IF(B4&gt;1,(H4/(B4+2)+J9),H4/4+J9))</f>
        <v>10</v>
      </c>
    </row>
    <row r="11" spans="1:10" ht="15.75" x14ac:dyDescent="0.25">
      <c r="A11" s="108" t="s">
        <v>133</v>
      </c>
      <c r="B11" s="109" t="s">
        <v>126</v>
      </c>
      <c r="C11" s="43">
        <v>0</v>
      </c>
      <c r="D11" s="19">
        <f ca="1">((100/H4)*C11)/100</f>
        <v>0</v>
      </c>
      <c r="E11" s="250"/>
      <c r="F11" s="263"/>
      <c r="G11" s="250"/>
      <c r="H11" s="251"/>
      <c r="I11" s="13" t="s">
        <v>144</v>
      </c>
      <c r="J11" s="30">
        <f>(IF(B4&gt;1,(H4/(B4+2)+J10),0))</f>
        <v>0</v>
      </c>
    </row>
    <row r="12" spans="1:10" ht="15.75" x14ac:dyDescent="0.25">
      <c r="A12" s="108" t="s">
        <v>131</v>
      </c>
      <c r="B12" s="109" t="s">
        <v>128</v>
      </c>
      <c r="C12" s="43">
        <v>0</v>
      </c>
      <c r="D12" s="19">
        <f ca="1">((100/(H4))*C12)/100</f>
        <v>0</v>
      </c>
      <c r="E12" s="250"/>
      <c r="F12" s="263"/>
      <c r="G12" s="250"/>
      <c r="H12" s="251"/>
      <c r="I12" s="13" t="s">
        <v>139</v>
      </c>
      <c r="J12" s="30">
        <f>(IF(B4&gt;2,(H4/(B4+2)+J11),0))</f>
        <v>0</v>
      </c>
    </row>
    <row r="13" spans="1:10" ht="15.75" x14ac:dyDescent="0.25">
      <c r="A13" s="108" t="s">
        <v>127</v>
      </c>
      <c r="B13" s="109" t="s">
        <v>127</v>
      </c>
      <c r="C13" s="43">
        <v>0</v>
      </c>
      <c r="D13" s="19">
        <f ca="1">((100/H4)*C13)/100</f>
        <v>0</v>
      </c>
      <c r="E13" s="250"/>
      <c r="F13" s="263"/>
      <c r="G13" s="250"/>
      <c r="H13" s="251"/>
      <c r="I13" s="13" t="s">
        <v>140</v>
      </c>
      <c r="J13" s="31">
        <f>(IF(B4&gt;3,(H4/(B4+2)+J12),0))</f>
        <v>0</v>
      </c>
    </row>
    <row r="14" spans="1:10" ht="15.75" x14ac:dyDescent="0.25">
      <c r="A14" s="108" t="s">
        <v>134</v>
      </c>
      <c r="B14" s="109"/>
      <c r="C14" s="43">
        <v>0</v>
      </c>
      <c r="D14" s="19">
        <f ca="1">((100/H4)*C14)/100</f>
        <v>0</v>
      </c>
      <c r="E14" s="250"/>
      <c r="F14" s="263"/>
      <c r="G14" s="250"/>
      <c r="H14" s="251"/>
      <c r="I14" s="13" t="s">
        <v>141</v>
      </c>
      <c r="J14" s="30">
        <f>(IF(B4&gt;4,(H4/(B4+2)+J13),0))</f>
        <v>0</v>
      </c>
    </row>
    <row r="15" spans="1:10" ht="15.75" x14ac:dyDescent="0.25">
      <c r="A15" s="108" t="s">
        <v>129</v>
      </c>
      <c r="B15" s="109" t="s">
        <v>129</v>
      </c>
      <c r="C15" s="43">
        <v>0</v>
      </c>
      <c r="D15" s="19">
        <f ca="1">((100/(H4))*C15)/100</f>
        <v>0</v>
      </c>
      <c r="E15" s="250"/>
      <c r="F15" s="263"/>
      <c r="G15" s="250"/>
      <c r="H15" s="251"/>
      <c r="I15" s="13" t="s">
        <v>145</v>
      </c>
      <c r="J15" s="30">
        <f ca="1">(IF(B4=1,(H4/(B4+3)+J10),IF(B4=0,(H4/4+J10),IF(B4&gt;1,0))))</f>
        <v>15</v>
      </c>
    </row>
    <row r="16" spans="1:10" ht="16.5" thickBot="1" x14ac:dyDescent="0.3">
      <c r="A16" s="124" t="s">
        <v>130</v>
      </c>
      <c r="B16" s="125"/>
      <c r="C16" s="44">
        <v>0</v>
      </c>
      <c r="D16" s="20">
        <f ca="1">((100/(H4))*C16)/100</f>
        <v>0</v>
      </c>
      <c r="E16" s="252"/>
      <c r="F16" s="264"/>
      <c r="G16" s="252"/>
      <c r="H16" s="253"/>
      <c r="I16" s="15" t="s">
        <v>98</v>
      </c>
      <c r="J16" s="32">
        <f ca="1">(IF(B4&gt;1.5,(H4/(B4+2)+J10+MAX(0,J11-J10)+MAX(0,J12-J11)+MAX(0,J13-J12)+MAX(0,J14-J13)+MAX(0,J15-J14)),IF(B4=1,(H4/(B4+3)+J15),IF(B4=0,H4/4+J15))))</f>
        <v>20</v>
      </c>
    </row>
  </sheetData>
  <mergeCells count="20">
    <mergeCell ref="A15:B15"/>
    <mergeCell ref="A16:B16"/>
    <mergeCell ref="A2:H2"/>
    <mergeCell ref="A7:B7"/>
    <mergeCell ref="E7:F16"/>
    <mergeCell ref="G7:H16"/>
    <mergeCell ref="A8:B8"/>
    <mergeCell ref="A9:B9"/>
    <mergeCell ref="A10:B10"/>
    <mergeCell ref="A11:B11"/>
    <mergeCell ref="A12:B12"/>
    <mergeCell ref="A13:B13"/>
    <mergeCell ref="A14:B14"/>
    <mergeCell ref="A3:B3"/>
    <mergeCell ref="C3:H3"/>
    <mergeCell ref="A5:B5"/>
    <mergeCell ref="C5:H5"/>
    <mergeCell ref="A6:B6"/>
    <mergeCell ref="E6:F6"/>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valuation</vt:lpstr>
      <vt:lpstr>Research</vt:lpstr>
      <vt:lpstr>Remarks</vt:lpstr>
      <vt:lpstr>Area Calculation</vt:lpstr>
      <vt:lpstr>Construction Table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2025-10-03T12:56:48Z</cp:lastPrinted>
  <dcterms:created xsi:type="dcterms:W3CDTF">2019-07-16T09:29:46Z</dcterms:created>
  <dcterms:modified xsi:type="dcterms:W3CDTF">2025-10-03T12:56:50Z</dcterms:modified>
</cp:coreProperties>
</file>