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Update\Aug 2025\18035 - Arkade Pearl 1 and 2 - P\New folder\"/>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Report!$A$1:$H$462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6" i="1" l="1"/>
  <c r="H250" i="1" l="1"/>
  <c r="D251" i="1"/>
  <c r="F251" i="1" s="1"/>
  <c r="H251" i="1" s="1"/>
  <c r="D250" i="1"/>
  <c r="F250" i="1" s="1"/>
  <c r="A250" i="1"/>
  <c r="A251" i="1" s="1"/>
  <c r="D249" i="1"/>
  <c r="F249" i="1" s="1"/>
  <c r="H249" i="1" s="1"/>
  <c r="A249" i="1"/>
  <c r="D248" i="1"/>
  <c r="F248" i="1" s="1"/>
  <c r="H248" i="1" s="1"/>
  <c r="D238" i="1" l="1"/>
  <c r="D233" i="1"/>
  <c r="F233" i="1" s="1"/>
  <c r="H233" i="1" s="1"/>
  <c r="E155" i="1"/>
  <c r="D221" i="1"/>
  <c r="D62" i="1"/>
  <c r="D283" i="1"/>
  <c r="F283" i="1" s="1"/>
  <c r="H283" i="1" s="1"/>
  <c r="D282" i="1"/>
  <c r="F282" i="1" s="1"/>
  <c r="H282" i="1" s="1"/>
  <c r="A282" i="1"/>
  <c r="A283" i="1" s="1"/>
  <c r="D281" i="1"/>
  <c r="F281" i="1" s="1"/>
  <c r="H281" i="1" s="1"/>
  <c r="A281" i="1"/>
  <c r="D280" i="1"/>
  <c r="F280" i="1" s="1"/>
  <c r="H280" i="1" s="1"/>
  <c r="D275" i="1"/>
  <c r="F275" i="1" s="1"/>
  <c r="H275" i="1" s="1"/>
  <c r="D278" i="1"/>
  <c r="F278" i="1" s="1"/>
  <c r="H278" i="1" s="1"/>
  <c r="D277" i="1"/>
  <c r="F277" i="1" s="1"/>
  <c r="H277" i="1" s="1"/>
  <c r="D276" i="1"/>
  <c r="F276" i="1" s="1"/>
  <c r="H276" i="1" s="1"/>
  <c r="A276" i="1"/>
  <c r="A277" i="1" s="1"/>
  <c r="A278" i="1" s="1"/>
  <c r="D273" i="1"/>
  <c r="F273" i="1" s="1"/>
  <c r="H273" i="1" s="1"/>
  <c r="D272" i="1"/>
  <c r="F272" i="1" s="1"/>
  <c r="H272" i="1" s="1"/>
  <c r="D271" i="1"/>
  <c r="F271" i="1" s="1"/>
  <c r="H271" i="1" s="1"/>
  <c r="A271" i="1"/>
  <c r="A272" i="1" s="1"/>
  <c r="A273" i="1" s="1"/>
  <c r="D270" i="1"/>
  <c r="F270" i="1" s="1"/>
  <c r="H270" i="1" s="1"/>
  <c r="D265" i="1"/>
  <c r="F265" i="1" s="1"/>
  <c r="H265" i="1" s="1"/>
  <c r="D268" i="1"/>
  <c r="F268" i="1" s="1"/>
  <c r="H268" i="1" s="1"/>
  <c r="D267" i="1"/>
  <c r="F267" i="1" s="1"/>
  <c r="H267" i="1" s="1"/>
  <c r="D266" i="1"/>
  <c r="F266" i="1" s="1"/>
  <c r="H266" i="1" s="1"/>
  <c r="A266" i="1"/>
  <c r="A267" i="1" s="1"/>
  <c r="A268" i="1" s="1"/>
  <c r="D263" i="1"/>
  <c r="D262" i="1"/>
  <c r="F262" i="1" s="1"/>
  <c r="H262" i="1" s="1"/>
  <c r="D261" i="1"/>
  <c r="F261" i="1" s="1"/>
  <c r="H261" i="1" s="1"/>
  <c r="D260" i="1"/>
  <c r="I178" i="1"/>
  <c r="D256" i="1"/>
  <c r="F256" i="1" s="1"/>
  <c r="H256" i="1" s="1"/>
  <c r="D253" i="1"/>
  <c r="F253" i="1" s="1"/>
  <c r="H253" i="1" s="1"/>
  <c r="D255" i="1"/>
  <c r="F255" i="1" s="1"/>
  <c r="H255" i="1" s="1"/>
  <c r="D254" i="1"/>
  <c r="F254" i="1" s="1"/>
  <c r="H254" i="1" s="1"/>
  <c r="A254" i="1"/>
  <c r="A255" i="1" s="1"/>
  <c r="A256" i="1" s="1"/>
  <c r="D246" i="1"/>
  <c r="F246" i="1"/>
  <c r="H246" i="1" s="1"/>
  <c r="D245" i="1"/>
  <c r="F245" i="1" s="1"/>
  <c r="H245" i="1" s="1"/>
  <c r="D244" i="1"/>
  <c r="F244" i="1" s="1"/>
  <c r="H244" i="1" s="1"/>
  <c r="A244" i="1"/>
  <c r="A245" i="1" s="1"/>
  <c r="A246" i="1" s="1"/>
  <c r="D243" i="1"/>
  <c r="F243" i="1" s="1"/>
  <c r="H243" i="1" s="1"/>
  <c r="D241" i="1"/>
  <c r="F241" i="1" s="1"/>
  <c r="H241" i="1" s="1"/>
  <c r="D240" i="1"/>
  <c r="F240" i="1" s="1"/>
  <c r="H240" i="1" s="1"/>
  <c r="D239" i="1"/>
  <c r="F239" i="1" s="1"/>
  <c r="H239" i="1" s="1"/>
  <c r="A239" i="1"/>
  <c r="A240" i="1" s="1"/>
  <c r="A241" i="1" s="1"/>
  <c r="F238" i="1"/>
  <c r="H238" i="1" s="1"/>
  <c r="D236" i="1"/>
  <c r="F236" i="1" s="1"/>
  <c r="H236" i="1" s="1"/>
  <c r="D235" i="1"/>
  <c r="F235" i="1" s="1"/>
  <c r="H235" i="1" s="1"/>
  <c r="D234" i="1"/>
  <c r="F234" i="1" s="1"/>
  <c r="H234" i="1" s="1"/>
  <c r="A234" i="1"/>
  <c r="A235" i="1" s="1"/>
  <c r="A236" i="1" s="1"/>
  <c r="D230" i="1"/>
  <c r="F230" i="1" s="1"/>
  <c r="H230" i="1" s="1"/>
  <c r="D229" i="1"/>
  <c r="F229" i="1" s="1"/>
  <c r="H229" i="1" s="1"/>
  <c r="D223" i="1"/>
  <c r="D222" i="1"/>
  <c r="D219" i="1"/>
  <c r="F219" i="1" s="1"/>
  <c r="H219" i="1" s="1"/>
  <c r="D218" i="1"/>
  <c r="F218" i="1" s="1"/>
  <c r="H218" i="1" s="1"/>
  <c r="A218" i="1"/>
  <c r="A219" i="1" s="1"/>
  <c r="D217" i="1"/>
  <c r="F217" i="1" s="1"/>
  <c r="H217" i="1" s="1"/>
  <c r="D215" i="1"/>
  <c r="D214" i="1"/>
  <c r="D211" i="1"/>
  <c r="D210" i="1"/>
  <c r="D209" i="1"/>
  <c r="D185" i="1"/>
  <c r="F185" i="1" s="1"/>
  <c r="H185" i="1" s="1"/>
  <c r="D184" i="1"/>
  <c r="F184" i="1" s="1"/>
  <c r="H184" i="1" s="1"/>
  <c r="D183" i="1"/>
  <c r="F183" i="1" s="1"/>
  <c r="H183" i="1" s="1"/>
  <c r="A183" i="1"/>
  <c r="A184" i="1" s="1"/>
  <c r="A185" i="1" s="1"/>
  <c r="D182" i="1"/>
  <c r="F182" i="1" s="1"/>
  <c r="H182" i="1" s="1"/>
  <c r="D207" i="1"/>
  <c r="D206" i="1"/>
  <c r="J155" i="1" l="1"/>
  <c r="C118" i="1" l="1"/>
  <c r="D194" i="1"/>
  <c r="F194" i="1" s="1"/>
  <c r="H194" i="1" s="1"/>
  <c r="D195" i="1"/>
  <c r="F195" i="1" s="1"/>
  <c r="H195" i="1" s="1"/>
  <c r="D193" i="1"/>
  <c r="F193" i="1" s="1"/>
  <c r="H193" i="1" s="1"/>
  <c r="I193" i="1" s="1"/>
  <c r="A193" i="1"/>
  <c r="A194" i="1" s="1"/>
  <c r="A195" i="1" s="1"/>
  <c r="D192" i="1"/>
  <c r="F192" i="1" s="1"/>
  <c r="H192" i="1" s="1"/>
  <c r="D200" i="1"/>
  <c r="F200" i="1" s="1"/>
  <c r="H200" i="1" s="1"/>
  <c r="D199" i="1"/>
  <c r="F199" i="1" s="1"/>
  <c r="H199" i="1" s="1"/>
  <c r="D198" i="1"/>
  <c r="F198" i="1" s="1"/>
  <c r="H198" i="1" s="1"/>
  <c r="D197" i="1"/>
  <c r="F197" i="1" s="1"/>
  <c r="H197" i="1" s="1"/>
  <c r="D190" i="1"/>
  <c r="F190" i="1" s="1"/>
  <c r="H190" i="1" s="1"/>
  <c r="D189" i="1"/>
  <c r="F189" i="1" s="1"/>
  <c r="H189" i="1" s="1"/>
  <c r="D188" i="1"/>
  <c r="F188" i="1" s="1"/>
  <c r="H188" i="1" s="1"/>
  <c r="D187" i="1"/>
  <c r="F187" i="1" s="1"/>
  <c r="H187" i="1" s="1"/>
  <c r="A188" i="1"/>
  <c r="A189" i="1" s="1"/>
  <c r="A190" i="1" s="1"/>
  <c r="D180" i="1"/>
  <c r="D179" i="1"/>
  <c r="D178" i="1"/>
  <c r="D177" i="1"/>
  <c r="A198" i="1"/>
  <c r="A199" i="1" s="1"/>
  <c r="A200" i="1" s="1"/>
  <c r="J200" i="1" l="1"/>
  <c r="I200" i="1"/>
  <c r="F180" i="1"/>
  <c r="H180" i="1" s="1"/>
  <c r="F179" i="1"/>
  <c r="H179" i="1" s="1"/>
  <c r="F178" i="1"/>
  <c r="H178" i="1" s="1"/>
  <c r="A178" i="1"/>
  <c r="A179" i="1" s="1"/>
  <c r="A180" i="1" s="1"/>
  <c r="F177" i="1"/>
  <c r="F263" i="1"/>
  <c r="H263" i="1" s="1"/>
  <c r="A261" i="1"/>
  <c r="A262" i="1" s="1"/>
  <c r="A263" i="1" s="1"/>
  <c r="D231" i="1"/>
  <c r="F231" i="1" s="1"/>
  <c r="H231" i="1" s="1"/>
  <c r="D228" i="1"/>
  <c r="F223" i="1"/>
  <c r="H223" i="1" s="1"/>
  <c r="F222" i="1"/>
  <c r="H222" i="1" s="1"/>
  <c r="F221" i="1"/>
  <c r="H221" i="1" s="1"/>
  <c r="A222" i="1"/>
  <c r="A223" i="1" s="1"/>
  <c r="F215" i="1"/>
  <c r="H215" i="1" s="1"/>
  <c r="F214" i="1"/>
  <c r="H214" i="1" s="1"/>
  <c r="D213" i="1"/>
  <c r="F213" i="1" s="1"/>
  <c r="H213" i="1" s="1"/>
  <c r="A214" i="1"/>
  <c r="A215" i="1" s="1"/>
  <c r="F211" i="1"/>
  <c r="H211" i="1" s="1"/>
  <c r="F210" i="1"/>
  <c r="H210" i="1" s="1"/>
  <c r="A210" i="1"/>
  <c r="A211" i="1" s="1"/>
  <c r="F209" i="1"/>
  <c r="H209" i="1" s="1"/>
  <c r="D205" i="1"/>
  <c r="A229" i="1"/>
  <c r="A230" i="1" s="1"/>
  <c r="A231" i="1" s="1"/>
  <c r="E154" i="1" l="1"/>
  <c r="C154" i="1"/>
  <c r="F228" i="1"/>
  <c r="F260" i="1"/>
  <c r="H177" i="1"/>
  <c r="G154" i="1" s="1"/>
  <c r="H260" i="1" l="1"/>
  <c r="G157" i="1" s="1"/>
  <c r="C157" i="1"/>
  <c r="E157" i="1"/>
  <c r="H228" i="1"/>
  <c r="G156" i="1" s="1"/>
  <c r="C156" i="1"/>
  <c r="E43" i="1"/>
  <c r="C104" i="1" l="1"/>
  <c r="C90" i="1"/>
  <c r="F165" i="1" l="1"/>
  <c r="H165" i="1" s="1"/>
  <c r="E31" i="1" l="1"/>
  <c r="E26" i="1"/>
  <c r="F205" i="1" l="1"/>
  <c r="H205" i="1" l="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I42" i="7" l="1"/>
  <c r="H42" i="7" s="1"/>
  <c r="L42" i="7"/>
  <c r="K42" i="7" s="1"/>
  <c r="E42" i="7"/>
  <c r="D42" i="7" s="1"/>
  <c r="D44" i="7" s="1"/>
  <c r="E44" i="7" l="1"/>
  <c r="B310" i="1"/>
  <c r="F166" i="1" l="1"/>
  <c r="H166" i="1" s="1"/>
  <c r="F167" i="1"/>
  <c r="H167" i="1" s="1"/>
  <c r="F168" i="1"/>
  <c r="H168" i="1" s="1"/>
  <c r="G56" i="1" l="1"/>
  <c r="C56" i="1"/>
  <c r="S33" i="1" l="1"/>
  <c r="F11" i="5" l="1"/>
  <c r="G11" i="5" s="1"/>
  <c r="F10" i="5"/>
  <c r="G10" i="5" s="1"/>
  <c r="F9" i="5"/>
  <c r="G9" i="5" s="1"/>
  <c r="F8" i="5"/>
  <c r="G8" i="5" s="1"/>
  <c r="F7" i="5"/>
  <c r="G7" i="5" s="1"/>
  <c r="F6" i="5"/>
  <c r="G6" i="5" s="1"/>
  <c r="F5" i="5"/>
  <c r="G5" i="5" s="1"/>
  <c r="G12" i="5" s="1"/>
  <c r="D336" i="1"/>
  <c r="B311" i="1"/>
  <c r="F307" i="1"/>
  <c r="H307" i="1" s="1"/>
  <c r="F306" i="1"/>
  <c r="H306" i="1" s="1"/>
  <c r="F305" i="1"/>
  <c r="H305" i="1" s="1"/>
  <c r="F304" i="1"/>
  <c r="H304" i="1" s="1"/>
  <c r="F303" i="1"/>
  <c r="H303" i="1" s="1"/>
  <c r="F301" i="1"/>
  <c r="H301" i="1" s="1"/>
  <c r="F300" i="1"/>
  <c r="H300" i="1" s="1"/>
  <c r="F299" i="1"/>
  <c r="H299" i="1" s="1"/>
  <c r="F298" i="1"/>
  <c r="H298" i="1" s="1"/>
  <c r="F297" i="1"/>
  <c r="H297" i="1" s="1"/>
  <c r="F295" i="1"/>
  <c r="H295" i="1" s="1"/>
  <c r="F294" i="1"/>
  <c r="H294" i="1" s="1"/>
  <c r="F293" i="1"/>
  <c r="H293" i="1" s="1"/>
  <c r="F292" i="1"/>
  <c r="H292" i="1" s="1"/>
  <c r="F291" i="1"/>
  <c r="H291" i="1" s="1"/>
  <c r="F289" i="1"/>
  <c r="H289" i="1" s="1"/>
  <c r="F288" i="1"/>
  <c r="H288" i="1" s="1"/>
  <c r="F287" i="1"/>
  <c r="H287" i="1" s="1"/>
  <c r="F286" i="1"/>
  <c r="H286" i="1" s="1"/>
  <c r="F285" i="1"/>
  <c r="H285" i="1" s="1"/>
  <c r="A285" i="1"/>
  <c r="A286" i="1" s="1"/>
  <c r="A287" i="1" s="1"/>
  <c r="A288" i="1" s="1"/>
  <c r="A289" i="1" s="1"/>
  <c r="F207" i="1"/>
  <c r="H207" i="1" s="1"/>
  <c r="F206" i="1"/>
  <c r="A206" i="1"/>
  <c r="A207" i="1" s="1"/>
  <c r="A166" i="1"/>
  <c r="A167" i="1" s="1"/>
  <c r="A168" i="1" s="1"/>
  <c r="F146" i="1"/>
  <c r="C76" i="1"/>
  <c r="B77" i="1" s="1"/>
  <c r="G51" i="1"/>
  <c r="C51" i="1"/>
  <c r="E44" i="1"/>
  <c r="E45" i="1" s="1"/>
  <c r="E28" i="1"/>
  <c r="C16" i="1"/>
  <c r="I15" i="1"/>
  <c r="Z13" i="1"/>
  <c r="E8" i="1"/>
  <c r="E3" i="1"/>
  <c r="D70" i="1" s="1"/>
  <c r="A303" i="1"/>
  <c r="H77" i="1"/>
  <c r="A291" i="1"/>
  <c r="A297" i="1"/>
  <c r="C155" i="1" l="1"/>
  <c r="C158" i="1" s="1"/>
  <c r="C159" i="1" s="1"/>
  <c r="H206" i="1"/>
  <c r="E158" i="1"/>
  <c r="E159" i="1" s="1"/>
  <c r="J76" i="1"/>
  <c r="J78" i="1" s="1"/>
  <c r="J79" i="1"/>
  <c r="J80" i="1"/>
  <c r="J81" i="1"/>
  <c r="C80" i="1" s="1"/>
  <c r="D84" i="1"/>
  <c r="D86" i="1"/>
  <c r="D85" i="1"/>
  <c r="D89" i="1"/>
  <c r="D83" i="1"/>
  <c r="D88" i="1"/>
  <c r="D82" i="1"/>
  <c r="D87" i="1"/>
  <c r="J82" i="1"/>
  <c r="A292" i="1"/>
  <c r="A304" i="1"/>
  <c r="A298" i="1"/>
  <c r="G155" i="1" l="1"/>
  <c r="G158" i="1" s="1"/>
  <c r="G159" i="1" s="1"/>
  <c r="D80" i="1"/>
  <c r="J86" i="1"/>
  <c r="J84" i="1"/>
  <c r="J85" i="1"/>
  <c r="J83" i="1"/>
  <c r="J88" i="1" s="1"/>
  <c r="J89" i="1" s="1"/>
  <c r="C81" i="1" s="1"/>
  <c r="J87" i="1"/>
  <c r="A293" i="1"/>
  <c r="A305" i="1"/>
  <c r="A299" i="1"/>
  <c r="B91" i="1" l="1"/>
  <c r="J77" i="1"/>
  <c r="E80" i="1"/>
  <c r="D81" i="1"/>
  <c r="G80" i="1"/>
  <c r="D74" i="1" s="1"/>
  <c r="A294" i="1"/>
  <c r="A306" i="1"/>
  <c r="H91" i="1"/>
  <c r="A300" i="1"/>
  <c r="B119" i="1" l="1"/>
  <c r="I77" i="1"/>
  <c r="I78" i="1" s="1"/>
  <c r="I76" i="1" s="1"/>
  <c r="C78" i="1" s="1"/>
  <c r="J93" i="1"/>
  <c r="D103" i="1"/>
  <c r="D97" i="1"/>
  <c r="J95" i="1"/>
  <c r="C94" i="1" s="1"/>
  <c r="D101" i="1"/>
  <c r="J90" i="1"/>
  <c r="J92" i="1" s="1"/>
  <c r="D98" i="1"/>
  <c r="D102" i="1"/>
  <c r="D96" i="1"/>
  <c r="D100" i="1"/>
  <c r="J94" i="1"/>
  <c r="D99" i="1"/>
  <c r="J96" i="1"/>
  <c r="J97" i="1" s="1"/>
  <c r="J102" i="1" s="1"/>
  <c r="J103" i="1" s="1"/>
  <c r="C95" i="1" s="1"/>
  <c r="J101" i="1"/>
  <c r="J100" i="1"/>
  <c r="J99" i="1"/>
  <c r="J98" i="1"/>
  <c r="F75" i="1"/>
  <c r="D75" i="1"/>
  <c r="A307" i="1"/>
  <c r="H119" i="1"/>
  <c r="A301" i="1"/>
  <c r="A295" i="1"/>
  <c r="J123" i="1" l="1"/>
  <c r="C122" i="1" s="1"/>
  <c r="D122" i="1" s="1"/>
  <c r="J121" i="1"/>
  <c r="J118" i="1"/>
  <c r="J120" i="1" s="1"/>
  <c r="D131" i="1"/>
  <c r="D130" i="1"/>
  <c r="D129" i="1"/>
  <c r="D128" i="1"/>
  <c r="D127" i="1"/>
  <c r="D126" i="1"/>
  <c r="D125" i="1"/>
  <c r="D124" i="1"/>
  <c r="J122" i="1"/>
  <c r="J129" i="1"/>
  <c r="J128" i="1"/>
  <c r="J127" i="1"/>
  <c r="J126" i="1"/>
  <c r="J124" i="1"/>
  <c r="B105" i="1"/>
  <c r="E94" i="1"/>
  <c r="D95" i="1"/>
  <c r="G94" i="1"/>
  <c r="D94" i="1"/>
  <c r="H105" i="1"/>
  <c r="J125" i="1" l="1"/>
  <c r="J130" i="1" s="1"/>
  <c r="J131" i="1" s="1"/>
  <c r="C123" i="1"/>
  <c r="E122" i="1" s="1"/>
  <c r="J107" i="1"/>
  <c r="D116" i="1"/>
  <c r="J109" i="1"/>
  <c r="C108" i="1" s="1"/>
  <c r="D108" i="1" s="1"/>
  <c r="D115" i="1"/>
  <c r="D114" i="1"/>
  <c r="J108" i="1"/>
  <c r="J104" i="1"/>
  <c r="J106" i="1" s="1"/>
  <c r="D112" i="1"/>
  <c r="D117" i="1"/>
  <c r="D111" i="1"/>
  <c r="D110" i="1"/>
  <c r="D113" i="1"/>
  <c r="I91" i="1"/>
  <c r="I92" i="1" s="1"/>
  <c r="J114" i="1"/>
  <c r="J112" i="1"/>
  <c r="J110" i="1"/>
  <c r="J115" i="1"/>
  <c r="J113" i="1"/>
  <c r="J91" i="1"/>
  <c r="J119" i="1" l="1"/>
  <c r="D123" i="1"/>
  <c r="I119" i="1" s="1"/>
  <c r="I120" i="1" s="1"/>
  <c r="G122" i="1"/>
  <c r="J111" i="1"/>
  <c r="J116" i="1" s="1"/>
  <c r="J117" i="1" s="1"/>
  <c r="C109" i="1" s="1"/>
  <c r="E108" i="1" s="1"/>
  <c r="I90" i="1"/>
  <c r="C92" i="1" s="1"/>
  <c r="I118" i="1" l="1"/>
  <c r="C120" i="1" s="1"/>
  <c r="G108" i="1"/>
  <c r="D109" i="1"/>
  <c r="I105" i="1" s="1"/>
  <c r="I106" i="1" s="1"/>
  <c r="J105" i="1"/>
  <c r="I104" i="1" l="1"/>
  <c r="C106"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38"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71"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<sst xmlns="http://schemas.openxmlformats.org/spreadsheetml/2006/main" count="834" uniqueCount="442">
  <si>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</si>
  <si>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</si>
  <si>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</si>
  <si>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</si>
  <si>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</si>
  <si>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</si>
  <si>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</si>
  <si>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</si>
  <si>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</si>
  <si>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</si>
  <si>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</si>
  <si>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</si>
  <si>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</si>
  <si>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</si>
  <si>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</si>
  <si>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</si>
  <si>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</si>
  <si>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</si>
  <si>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</si>
  <si>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</si>
  <si>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</si>
  <si>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</si>
  <si>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</si>
  <si>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</si>
  <si>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</si>
  <si>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</si>
  <si>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</si>
  <si>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</si>
  <si>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</si>
  <si>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</si>
  <si>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</si>
  <si>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</si>
  <si>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</si>
  <si>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</si>
  <si>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</si>
  <si>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</si>
  <si>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</si>
  <si>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</si>
  <si>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</si>
  <si>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Dated</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</si>
  <si>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</si>
  <si>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</si>
  <si>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</si>
  <si>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</si>
  <si>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</si>
  <si>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</si>
  <si>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</si>
  <si>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</si>
  <si>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</si>
  <si>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</si>
  <si>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</si>
  <si>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</si>
  <si>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</si>
  <si>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</si>
  <si>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</si>
  <si>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</si>
  <si>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</si>
  <si>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</si>
  <si>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</si>
  <si>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</si>
  <si>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</si>
  <si>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</si>
  <si>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</si>
  <si>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</si>
  <si>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</si>
  <si>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</si>
  <si>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</si>
  <si>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</si>
  <si>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</si>
  <si>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</si>
  <si>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</si>
  <si>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</si>
  <si>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</si>
  <si>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</si>
  <si>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</si>
  <si>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</si>
  <si>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</si>
  <si>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</si>
  <si>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</si>
  <si>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</si>
  <si>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</si>
  <si>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</si>
  <si>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</si>
  <si>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</si>
  <si>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</si>
  <si>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</si>
  <si>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</si>
  <si>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</si>
  <si>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</si>
  <si>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</si>
  <si>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</si>
  <si>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</si>
  <si>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</si>
  <si>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</si>
  <si>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</si>
  <si>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</si>
  <si>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</si>
  <si>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</si>
  <si>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</si>
  <si>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</si>
  <si>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</si>
  <si>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</si>
  <si>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</si>
  <si>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</si>
  <si>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</si>
  <si>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</si>
  <si>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</si>
  <si>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</si>
  <si>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</si>
  <si>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</si>
  <si>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</si>
  <si>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</si>
  <si>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</si>
  <si>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</si>
  <si>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</si>
  <si>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</si>
  <si>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</si>
  <si>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</si>
  <si>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</si>
  <si>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</si>
  <si>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</si>
  <si>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</si>
  <si>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</si>
  <si>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</si>
  <si>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</si>
  <si>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</si>
  <si>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</si>
  <si>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</si>
  <si>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</si>
  <si>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</si>
  <si>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</si>
  <si>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</si>
  <si>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</si>
  <si>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</si>
  <si>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</si>
  <si>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</si>
  <si>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</si>
  <si>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</si>
  <si>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</si>
  <si>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</si>
  <si>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</si>
  <si>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</si>
  <si>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</si>
  <si>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</si>
  <si>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</si>
  <si>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</si>
  <si>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</si>
  <si>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</si>
  <si>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</si>
  <si>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</si>
  <si>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</si>
  <si>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</si>
  <si>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</si>
  <si>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</si>
  <si>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</si>
  <si>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</si>
  <si>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</si>
  <si>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</si>
  <si>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</si>
  <si>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</si>
  <si>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</si>
  <si>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</si>
  <si>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</si>
  <si>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</si>
  <si>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</si>
  <si>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</si>
  <si>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</si>
  <si>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</si>
  <si>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</si>
  <si>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</si>
  <si>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</si>
  <si>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</si>
  <si>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</si>
  <si>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</si>
  <si>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</si>
  <si>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</si>
  <si>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</si>
  <si>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</si>
  <si>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</si>
  <si>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</si>
  <si>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</si>
  <si>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</si>
  <si>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</si>
  <si>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</si>
  <si>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</si>
  <si>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</si>
  <si>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</si>
  <si>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</si>
  <si>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</si>
  <si>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</si>
  <si>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</si>
  <si>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</si>
  <si>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</si>
  <si>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</si>
  <si>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</si>
  <si>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</si>
  <si>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</si>
  <si>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</si>
  <si>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</si>
  <si>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</si>
  <si>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</si>
  <si>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</si>
  <si>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</si>
  <si>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</si>
  <si>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</si>
  <si>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</si>
  <si>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</si>
  <si>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</si>
  <si>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</si>
  <si>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</si>
  <si>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</si>
  <si>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</si>
  <si>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</si>
  <si>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</si>
  <si>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</si>
  <si>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</si>
  <si>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</si>
  <si>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</si>
  <si>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</si>
  <si>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</si>
  <si>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</si>
  <si>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</si>
  <si>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</si>
  <si>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</si>
  <si>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</si>
  <si>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</si>
  <si>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</si>
  <si>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</si>
  <si>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</si>
  <si>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</si>
  <si>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</si>
  <si>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</si>
  <si>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</si>
  <si>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</si>
  <si>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</si>
  <si>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</si>
  <si>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</si>
  <si>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</si>
  <si>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</si>
  <si>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</si>
  <si>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</si>
  <si>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</si>
  <si>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</si>
  <si>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</si>
  <si>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</si>
  <si>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</si>
  <si>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</si>
  <si>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</si>
  <si>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</si>
  <si>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</si>
  <si>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</si>
  <si>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</si>
  <si>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</si>
  <si>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</si>
  <si>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</si>
  <si>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</si>
  <si>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</si>
  <si>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</si>
  <si>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</si>
  <si>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</si>
  <si>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</si>
  <si>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</si>
  <si>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</si>
  <si>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</si>
  <si>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</si>
  <si>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</si>
  <si>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</si>
  <si>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</si>
  <si>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</si>
  <si>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</si>
  <si>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</si>
  <si>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</si>
  <si>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</si>
  <si>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</si>
  <si>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</si>
  <si>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</si>
  <si>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</si>
  <si>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</si>
  <si>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</si>
  <si>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</si>
  <si>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</si>
  <si>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</si>
  <si>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</si>
  <si>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</si>
  <si>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</si>
  <si>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</si>
  <si>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</si>
  <si>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</si>
  <si>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</si>
  <si>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</si>
  <si>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</si>
  <si>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</si>
  <si>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</si>
  <si>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</si>
  <si>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</si>
  <si>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</si>
  <si>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</si>
  <si>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</si>
  <si>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</si>
  <si>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</si>
  <si>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</si>
  <si>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</si>
  <si>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</si>
  <si>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</si>
  <si>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</si>
  <si>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</si>
  <si>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</si>
  <si>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</si>
  <si>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</si>
  <si>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</si>
  <si>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</si>
  <si>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</si>
  <si>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</si>
  <si>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</si>
  <si>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</si>
  <si>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</si>
  <si>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</si>
  <si>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</si>
  <si>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</si>
  <si>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</si>
  <si>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</si>
  <si>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</si>
  <si>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</si>
  <si>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</si>
  <si>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</si>
  <si>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</si>
  <si>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</si>
  <si>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</si>
  <si>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</si>
  <si>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</si>
  <si>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</si>
  <si>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</si>
  <si>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</si>
  <si>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</si>
  <si>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</si>
  <si>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</si>
  <si>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</si>
  <si>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</si>
  <si>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</si>
  <si>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</si>
  <si>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</si>
  <si>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</si>
  <si>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</si>
  <si>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</si>
  <si>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</si>
  <si>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</si>
  <si>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</si>
  <si>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</si>
  <si>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</si>
  <si>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</si>
  <si>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Arkade Developers Limited</t>
  </si>
  <si>
    <t>Arkade Pearl 1 and 2</t>
  </si>
  <si>
    <t>Arkade Pearl 1 - P51800054195
Arkade Pearl 2 - P51800077017</t>
  </si>
  <si>
    <t>Vile Parle</t>
  </si>
  <si>
    <t>Vile Parle East</t>
  </si>
  <si>
    <t>Shahaji Raje Road</t>
  </si>
  <si>
    <t>Vishnu Prasad Society</t>
  </si>
  <si>
    <t>Parle Staff Colony</t>
  </si>
  <si>
    <t>19.107354,72.847915</t>
  </si>
  <si>
    <t>https://maps.app.goo.gl/xCYqVu33v8EeHj3x7</t>
  </si>
  <si>
    <t>1.5KM from Vile Parle East Railway Station</t>
  </si>
  <si>
    <t xml:space="preserve">Approved Floor plan No.  (For Building No.1)  </t>
  </si>
  <si>
    <t xml:space="preserve">Layout Approval No  (For Building No.1) </t>
  </si>
  <si>
    <t>As per RERA - 31/12/2026</t>
  </si>
  <si>
    <t>Kids Play Area, Fitness Centre, Banquet, Open Lawn Area, Hobby Area etc</t>
  </si>
  <si>
    <t>As per builder site</t>
  </si>
  <si>
    <t>https://arkadepearl.com/?utm_source=GoogleSearch&amp;utm_campaign=Brand_P&amp;utm_term={term}&amp;utm_medium=&amp;utm_device=c&amp;gad_source=1&amp;gclid=Cj0KCQjwz7C2BhDkARIsAA_SZKadGQZaimL1ksZuxkHa9K12JIoe36i6aIuQw7ZbX_qHeamAn1ajhiQaAkPNEALw_wcB</t>
  </si>
  <si>
    <t>JUHU/WEST/B/041618/298754</t>
  </si>
  <si>
    <t>P-2926/2019/(418 and Other)/K/E ward/VILE PARLE-CFO/1/New</t>
  </si>
  <si>
    <t>Wing A, B,C,D &amp; E. 4B + Gr + 1st to 8th upper residential
floors (Height of 26.40 mtrs)</t>
  </si>
  <si>
    <t>Shahaji Raje Marg</t>
  </si>
  <si>
    <t>Galaxy Exotica</t>
  </si>
  <si>
    <t>Unnati CHS</t>
  </si>
  <si>
    <t>CTS No.415</t>
  </si>
  <si>
    <t>CTS No.416/ CTS No.414</t>
  </si>
  <si>
    <t>CTS No.530</t>
  </si>
  <si>
    <t>CTS No.418B/ Shahaji Raje Marg</t>
  </si>
  <si>
    <t>Wing B</t>
  </si>
  <si>
    <t>Building No.1</t>
  </si>
  <si>
    <t>1st Floor For Residential</t>
  </si>
  <si>
    <t>2BHK</t>
  </si>
  <si>
    <t>RERA Carpet area</t>
  </si>
  <si>
    <t>7th &amp; 8th Floor</t>
  </si>
  <si>
    <t>Building No.1 Wing B</t>
  </si>
  <si>
    <t>Building No.1 Wing C</t>
  </si>
  <si>
    <t>Building No.1 Wing D</t>
  </si>
  <si>
    <t>1BHK</t>
  </si>
  <si>
    <t>3BHK</t>
  </si>
  <si>
    <t>Wing C</t>
  </si>
  <si>
    <t>3rd Floor</t>
  </si>
  <si>
    <t>Wing D</t>
  </si>
  <si>
    <t>8th Floor</t>
  </si>
  <si>
    <t>Building No.1(Wing B) = G + 1st to 8th Floor</t>
  </si>
  <si>
    <t>Building No.1(Wing D) = G + 1st to 8th Floor</t>
  </si>
  <si>
    <t xml:space="preserve">Building No.1(Wing A to D) = G + 1st to 8th Floor
</t>
  </si>
  <si>
    <t>Wing A</t>
  </si>
  <si>
    <t>We considered Gross carpet area = Net carpet.</t>
  </si>
  <si>
    <t>6th Floor</t>
  </si>
  <si>
    <t>Building No.1 Wing A</t>
  </si>
  <si>
    <t xml:space="preserve">Tushar Bhuwad </t>
  </si>
  <si>
    <t>Ground Floor For Entrance Lobby, Society Office, Fitness Centre, Meter Room &amp; Parking</t>
  </si>
  <si>
    <t>Ground Floor For Entrance Lobby, Fitness Centre &amp; Parking</t>
  </si>
  <si>
    <t>Ground Floor For Entrance Lobby, Meter Room &amp; Parking</t>
  </si>
  <si>
    <t>We have done APF Valuation for Building No.1 (Wing A to D) as currently they are registered on RERA site.</t>
  </si>
  <si>
    <t>Prachi Co-operative Housing Society</t>
  </si>
  <si>
    <t xml:space="preserve">Details of Residential in Building   </t>
  </si>
  <si>
    <t>04 Wings</t>
  </si>
  <si>
    <t>Mrs.Pradnya Chaughule  8657448485</t>
  </si>
  <si>
    <t>418/D &amp; Redevelopement of "Prachi CHS"</t>
  </si>
  <si>
    <t>Parle biscuits Company</t>
  </si>
  <si>
    <t>Commencement-CC No
Valid Up to:  
(For Building No.1)</t>
  </si>
  <si>
    <t>9.615M (AMSL)
37.78M (AMSL)</t>
  </si>
  <si>
    <r>
      <t xml:space="preserve">Proposed Amenities :                                                                                                                                                                                                                         </t>
    </r>
    <r>
      <rPr>
        <b/>
        <sz val="12"/>
        <color theme="1"/>
        <rFont val="Times New Roman"/>
        <family val="1"/>
      </rPr>
      <t xml:space="preserve">                                               </t>
    </r>
  </si>
  <si>
    <r>
      <t xml:space="preserve">Flat No.
</t>
    </r>
    <r>
      <rPr>
        <b/>
        <sz val="11"/>
        <color theme="1"/>
        <rFont val="Times New Roman"/>
        <family val="1"/>
      </rPr>
      <t>(Approved Plan)</t>
    </r>
  </si>
  <si>
    <t>We have refered  revised approved CC, Fire Noc, Aviation Noc from MCGM site.</t>
  </si>
  <si>
    <t>Arkade Pearl 1 = Building No.1 (Wing B to D)
Arkade Pearl 2 = Building No.1 (Wing A)</t>
  </si>
  <si>
    <t>Pit/Pump Room Level For Domestic Tank, Flushing Tank &amp; Pit Parking</t>
  </si>
  <si>
    <t>Pit/Pump Room Level For Pit Parking</t>
  </si>
  <si>
    <t>Mr. Tushar Bamane : 9920640464</t>
  </si>
  <si>
    <t>P-2926/2019/(418A And Other)/K/E Ward/VILE PARLE/FCC/2/Amend</t>
  </si>
  <si>
    <t>F.C.C. for residential building comprising of Wing A to E i.e. Wing A &amp; B comprising of Basement (Pt.) for Pump Room + Stilt (Pt.) for Parking, Meter Room, Entrance Lobby, Servant Toilet and Ground (Pt.) for Fitness Centre, Society Office + 1st to 8th upper floor for residential user (i.e ht. upto 27.55m + .22m bund wall/ Parapet wall) and Wing C &amp; D comprising of Stilt for Parking, Meter Room, Entrance Lobby, Servant Toilet + 1st to 8th upper floor for Residential user (i.e ht. upto 27.55m + .22m bund wall/ Parapet wall) and Wing E comprising of Stilt for Parking, Meter Room, Entrance Lobby, Servant Toilet + 1st to 8th upper floor for Residential user (i.e. ht. upto 27.55m AGL + 0.22m bund wall/ parapet wall) as per approved amended plan dtd 08.10.2024.</t>
  </si>
  <si>
    <t>Building No.1(Wing A, B &amp; C) = G + 1st to 8th Floor</t>
  </si>
  <si>
    <t>Pooja Kawale</t>
  </si>
  <si>
    <t>Construction work is in process at the time of Visit.</t>
  </si>
  <si>
    <t>P-2926/2019/(418A And Other)/K/E Ward/VILE PARLE</t>
  </si>
  <si>
    <t>3rd to 5th Floor</t>
  </si>
  <si>
    <t>4th to 7th Floor</t>
  </si>
  <si>
    <t>Flats - 120</t>
  </si>
  <si>
    <t>We have updated latest approved floor plans &amp; CC from MCGM site (On 22/08/2025).</t>
  </si>
  <si>
    <t>Approved area of building (Sq.Mt)
(Building No.1 = Wing A to D)</t>
  </si>
  <si>
    <t>Dated
Valid Upto 
Date</t>
  </si>
  <si>
    <t>31/01/2025
22/10/2025</t>
  </si>
  <si>
    <t xml:space="preserve">Airport Noc No
Site Elevation Height:
Permissible Top Elevation
</t>
  </si>
  <si>
    <t>2.5BHK</t>
  </si>
  <si>
    <t>Other Charges</t>
  </si>
  <si>
    <t>Adhoc Advance Maintenance</t>
  </si>
  <si>
    <t>Rate: 28K &amp; 15L Parking by shailesh Sir on 22/09/2025</t>
  </si>
  <si>
    <t>Rate : 29K 0n 26/09/2025</t>
  </si>
  <si>
    <t>4th &amp; 6th Floor</t>
  </si>
  <si>
    <t>5th Floor</t>
  </si>
  <si>
    <t>For C 503 Saleable loading changes from 50% to 60% on 26/09/2025</t>
  </si>
  <si>
    <t>Recommended Other charges of the Property have been revised on 18/09/2025, 22/09/2025 &amp; 26/09/2025.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</si>
</sst>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21">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26" fillId="0" borderId="20"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9" fontId="17" fillId="0" borderId="14"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18" xfId="0" applyBorder="1"/>
    <xf numFmtId="0" fontId="0" fillId="0" borderId="8" xfId="0" applyBorder="1"/>
    <xf numFmtId="0" fontId="0" fillId="0" borderId="1" xfId="0" applyBorder="1" applyAlignment="1">
      <alignment vertical="top" wrapText="1"/>
    </xf>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0" fillId="0" borderId="8" xfId="0" applyBorder="1" applyAlignment="1">
      <alignment vertical="top"/>
    </xf>
    <xf numFmtId="0" fontId="0" fillId="0" borderId="18" xfId="0" applyBorder="1" applyAlignment="1">
      <alignment horizontal="center" vertical="top"/>
    </xf>
    <xf numFmtId="0" fontId="12" fillId="0" borderId="0" xfId="1" applyFont="1" applyAlignment="1">
      <alignment wrapText="1"/>
    </xf>
    <xf numFmtId="0" fontId="0" fillId="0" borderId="0" xfId="0" applyAlignment="1">
      <alignment wrapText="1"/>
    </xf>
    <xf numFmtId="0" fontId="27" fillId="0" borderId="0" xfId="10"/>
    <xf numFmtId="1" fontId="7" fillId="0" borderId="1"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vertical="top" wrapText="1"/>
      <protection locked="0"/>
    </xf>
    <xf numFmtId="1" fontId="10" fillId="0" borderId="3" xfId="1" applyNumberFormat="1" applyFont="1" applyBorder="1" applyAlignment="1" applyProtection="1">
      <alignment horizontal="center" vertical="top" wrapText="1"/>
      <protection locked="0"/>
    </xf>
    <xf numFmtId="9" fontId="10" fillId="0" borderId="14" xfId="8" applyFont="1" applyFill="1" applyBorder="1" applyAlignment="1" applyProtection="1">
      <alignment horizontal="center" vertical="top" wrapText="1"/>
      <protection locked="0"/>
    </xf>
    <xf numFmtId="0" fontId="8" fillId="0" borderId="1" xfId="1" applyFont="1" applyBorder="1" applyAlignment="1" applyProtection="1">
      <alignment vertical="top"/>
      <protection locked="0"/>
    </xf>
    <xf numFmtId="0" fontId="7" fillId="0" borderId="4" xfId="1" applyFont="1" applyBorder="1" applyAlignment="1" applyProtection="1">
      <alignment horizontal="center" vertical="top"/>
      <protection locked="0"/>
    </xf>
    <xf numFmtId="0" fontId="7" fillId="0" borderId="1" xfId="1" applyFont="1" applyBorder="1" applyAlignment="1" applyProtection="1">
      <alignment horizontal="center" vertical="top"/>
      <protection locked="0"/>
    </xf>
    <xf numFmtId="0" fontId="7" fillId="0" borderId="5" xfId="1" applyFont="1" applyBorder="1" applyAlignment="1" applyProtection="1">
      <alignment horizontal="center" vertical="top"/>
      <protection locked="0"/>
    </xf>
    <xf numFmtId="0" fontId="25" fillId="2" borderId="13" xfId="0" applyFont="1" applyFill="1" applyBorder="1"/>
    <xf numFmtId="0" fontId="26" fillId="0" borderId="9" xfId="0" applyFont="1" applyBorder="1"/>
    <xf numFmtId="0" fontId="7"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7" fillId="0" borderId="3" xfId="1" applyFont="1" applyBorder="1" applyAlignment="1" applyProtection="1">
      <alignment horizontal="center" vertical="top" wrapText="1"/>
      <protection locked="0"/>
    </xf>
    <xf numFmtId="9" fontId="7" fillId="0" borderId="3"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7" fillId="0" borderId="0" xfId="1" applyNumberFormat="1" applyFont="1" applyAlignment="1">
      <alignment horizontal="left" vertical="center"/>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6" fillId="0" borderId="1"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1" fontId="10" fillId="0" borderId="8" xfId="0" applyNumberFormat="1" applyFont="1" applyBorder="1" applyAlignment="1" applyProtection="1">
      <alignment vertical="top" wrapText="1"/>
      <protection locked="0"/>
    </xf>
    <xf numFmtId="1" fontId="10" fillId="0" borderId="17"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1" fontId="8" fillId="0" borderId="8" xfId="1" applyNumberFormat="1" applyFont="1" applyBorder="1" applyAlignment="1" applyProtection="1">
      <alignment horizontal="center" vertical="center" wrapText="1"/>
      <protection locked="0"/>
    </xf>
    <xf numFmtId="1" fontId="8" fillId="0" borderId="17"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10" fillId="0" borderId="1"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0" fontId="7" fillId="0" borderId="1" xfId="1" applyFont="1" applyBorder="1" applyAlignment="1" applyProtection="1">
      <alignment horizontal="center" vertical="top" wrapText="1"/>
      <protection locked="0"/>
    </xf>
    <xf numFmtId="9" fontId="7" fillId="0" borderId="1" xfId="8" applyFont="1" applyFill="1" applyBorder="1" applyAlignment="1" applyProtection="1">
      <alignment horizontal="center" vertical="center" wrapText="1"/>
      <protection locked="0"/>
    </xf>
    <xf numFmtId="1" fontId="17" fillId="0" borderId="8" xfId="0" applyNumberFormat="1" applyFont="1" applyBorder="1" applyAlignment="1" applyProtection="1">
      <alignment vertical="top" wrapText="1"/>
      <protection locked="0"/>
    </xf>
    <xf numFmtId="1" fontId="17" fillId="0" borderId="17"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3" borderId="8" xfId="1" applyNumberFormat="1" applyFont="1" applyFill="1" applyBorder="1" applyAlignment="1" applyProtection="1">
      <alignment horizontal="center" vertical="center" wrapText="1"/>
      <protection locked="0"/>
    </xf>
    <xf numFmtId="1" fontId="8" fillId="3" borderId="17" xfId="1" applyNumberFormat="1" applyFont="1" applyFill="1" applyBorder="1" applyAlignment="1" applyProtection="1">
      <alignment horizontal="center" vertical="center" wrapText="1"/>
      <protection locked="0"/>
    </xf>
    <xf numFmtId="1" fontId="8" fillId="3" borderId="9" xfId="1" applyNumberFormat="1" applyFont="1" applyFill="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1" fontId="8" fillId="0" borderId="14" xfId="1" applyNumberFormat="1" applyFont="1" applyBorder="1" applyAlignment="1" applyProtection="1">
      <alignment horizontal="center" vertical="top" wrapText="1"/>
      <protection locked="0"/>
    </xf>
    <xf numFmtId="1" fontId="10" fillId="0" borderId="3" xfId="1" applyNumberFormat="1" applyFont="1" applyBorder="1" applyAlignment="1" applyProtection="1">
      <alignment horizontal="center" vertical="top" wrapText="1"/>
      <protection locked="0"/>
    </xf>
    <xf numFmtId="1" fontId="10" fillId="0" borderId="14" xfId="1" applyNumberFormat="1" applyFont="1" applyBorder="1" applyAlignment="1" applyProtection="1">
      <alignment horizontal="center" vertical="top" wrapText="1"/>
      <protection locked="0"/>
    </xf>
    <xf numFmtId="1" fontId="13" fillId="0" borderId="8" xfId="0" applyNumberFormat="1" applyFont="1" applyBorder="1" applyAlignment="1" applyProtection="1">
      <alignment vertical="top" wrapText="1"/>
      <protection locked="0"/>
    </xf>
    <xf numFmtId="1" fontId="13" fillId="0" borderId="17"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9" fontId="7" fillId="0" borderId="3" xfId="8" applyFont="1" applyFill="1" applyBorder="1" applyAlignment="1" applyProtection="1">
      <alignment horizontal="center" vertical="center" wrapText="1"/>
      <protection locked="0"/>
    </xf>
    <xf numFmtId="0" fontId="10" fillId="0" borderId="29" xfId="1" applyFont="1" applyBorder="1" applyAlignment="1" applyProtection="1">
      <alignment horizontal="left" vertical="top" wrapText="1"/>
      <protection locked="0"/>
    </xf>
    <xf numFmtId="0" fontId="10" fillId="0" borderId="19" xfId="1" applyFont="1" applyBorder="1" applyAlignment="1" applyProtection="1">
      <alignment horizontal="left" vertical="top" wrapText="1"/>
      <protection locked="0"/>
    </xf>
    <xf numFmtId="0" fontId="10" fillId="0" borderId="20"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4" xfId="1" applyNumberFormat="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9" fontId="7" fillId="0" borderId="7" xfId="8" applyFont="1" applyFill="1" applyBorder="1" applyAlignment="1" applyProtection="1">
      <alignment horizontal="center" vertical="center" wrapText="1"/>
      <protection locked="0"/>
    </xf>
    <xf numFmtId="9" fontId="7" fillId="0" borderId="5"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0" fontId="8" fillId="0" borderId="1" xfId="1" applyFont="1" applyBorder="1" applyAlignment="1" applyProtection="1">
      <alignment horizontal="center" vertical="top"/>
      <protection locked="0"/>
    </xf>
    <xf numFmtId="1" fontId="10" fillId="0" borderId="15" xfId="1" applyNumberFormat="1" applyFont="1" applyBorder="1" applyAlignment="1" applyProtection="1">
      <alignment horizontal="center" vertical="top" wrapText="1"/>
      <protection locked="0"/>
    </xf>
    <xf numFmtId="1" fontId="10" fillId="0" borderId="16"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8" fillId="0" borderId="14"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31" fillId="0" borderId="3" xfId="1" applyNumberFormat="1" applyFont="1" applyBorder="1" applyAlignment="1" applyProtection="1">
      <alignment horizontal="center" vertical="top" wrapText="1"/>
      <protection locked="0"/>
    </xf>
    <xf numFmtId="1" fontId="31" fillId="0" borderId="14" xfId="1" applyNumberFormat="1" applyFont="1" applyBorder="1" applyAlignment="1" applyProtection="1">
      <alignment horizontal="center" vertical="top" wrapText="1"/>
      <protection locked="0"/>
    </xf>
    <xf numFmtId="1" fontId="8" fillId="0" borderId="22" xfId="0" applyNumberFormat="1" applyFont="1" applyBorder="1" applyAlignment="1" applyProtection="1">
      <alignment horizontal="center" vertical="top" wrapText="1"/>
      <protection locked="0"/>
    </xf>
    <xf numFmtId="1" fontId="8" fillId="0" borderId="23" xfId="0" applyNumberFormat="1" applyFont="1" applyBorder="1" applyAlignment="1" applyProtection="1">
      <alignment horizontal="center" vertical="top" wrapText="1"/>
      <protection locked="0"/>
    </xf>
    <xf numFmtId="0" fontId="7" fillId="0" borderId="1"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0" fontId="10" fillId="0" borderId="14" xfId="1" applyFont="1" applyBorder="1" applyAlignment="1" applyProtection="1">
      <alignment horizontal="left" vertical="top" wrapText="1"/>
      <protection locked="0"/>
    </xf>
    <xf numFmtId="1" fontId="17" fillId="0" borderId="3" xfId="1" applyNumberFormat="1" applyFont="1" applyBorder="1" applyAlignment="1" applyProtection="1">
      <alignment horizontal="center" vertical="top" wrapText="1"/>
      <protection locked="0"/>
    </xf>
    <xf numFmtId="1" fontId="17" fillId="0" borderId="14" xfId="1"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14" fontId="8"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1"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12"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10" fillId="0" borderId="8" xfId="1" applyFont="1" applyBorder="1" applyAlignment="1" applyProtection="1">
      <alignment horizontal="left" vertical="top"/>
      <protection locked="0"/>
    </xf>
    <xf numFmtId="0" fontId="10" fillId="0" borderId="17"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1" fillId="0" borderId="1" xfId="1" applyFont="1" applyBorder="1" applyAlignment="1" applyProtection="1">
      <alignment horizontal="center" vertical="top" wrapText="1"/>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67" fontId="7" fillId="0" borderId="1" xfId="9" applyNumberFormat="1" applyFont="1" applyFill="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0" fontId="6" fillId="0" borderId="1" xfId="1" applyFont="1" applyBorder="1" applyAlignment="1" applyProtection="1">
      <alignment vertical="top"/>
      <protection locked="0"/>
    </xf>
    <xf numFmtId="0" fontId="8" fillId="0" borderId="1" xfId="1" applyFont="1" applyBorder="1" applyAlignment="1" applyProtection="1">
      <alignment vertical="top"/>
      <protection locked="0"/>
    </xf>
    <xf numFmtId="1" fontId="8" fillId="0" borderId="8" xfId="0" applyNumberFormat="1" applyFont="1" applyBorder="1" applyAlignment="1" applyProtection="1">
      <alignment vertical="top" wrapText="1"/>
      <protection locked="0"/>
    </xf>
    <xf numFmtId="1" fontId="8" fillId="0" borderId="17"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8" fillId="0" borderId="21" xfId="0" applyNumberFormat="1" applyFont="1" applyBorder="1" applyAlignment="1" applyProtection="1">
      <alignment horizontal="center" vertical="center" wrapText="1"/>
      <protection locked="0"/>
    </xf>
    <xf numFmtId="1" fontId="8" fillId="0" borderId="22" xfId="0" applyNumberFormat="1" applyFont="1" applyBorder="1" applyAlignment="1" applyProtection="1">
      <alignment horizontal="center" vertical="center" wrapText="1"/>
      <protection locked="0"/>
    </xf>
    <xf numFmtId="0" fontId="10" fillId="0" borderId="22" xfId="0" applyFont="1" applyBorder="1" applyAlignment="1" applyProtection="1">
      <alignment horizontal="center" vertical="center"/>
      <protection locked="0"/>
    </xf>
    <xf numFmtId="1" fontId="10" fillId="0" borderId="22"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left" vertical="top" wrapText="1"/>
      <protection locked="0"/>
    </xf>
    <xf numFmtId="0" fontId="7" fillId="0" borderId="18" xfId="1" applyFont="1" applyBorder="1" applyAlignment="1">
      <alignment horizontal="center"/>
    </xf>
    <xf numFmtId="0" fontId="7" fillId="0" borderId="0" xfId="1" applyFont="1" applyAlignment="1">
      <alignment horizontal="center"/>
    </xf>
    <xf numFmtId="14" fontId="7" fillId="0" borderId="1" xfId="1" applyNumberFormat="1" applyFont="1" applyBorder="1" applyAlignment="1" applyProtection="1">
      <alignment horizontal="left" vertical="top" wrapText="1"/>
      <protection locked="0"/>
    </xf>
    <xf numFmtId="0" fontId="15" fillId="0" borderId="1" xfId="1" applyFont="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0" fontId="7" fillId="0" borderId="1" xfId="1" applyFont="1" applyBorder="1" applyAlignment="1" applyProtection="1">
      <alignment horizontal="left"/>
      <protection locked="0"/>
    </xf>
    <xf numFmtId="0" fontId="10" fillId="0" borderId="1" xfId="0" applyFont="1" applyBorder="1" applyAlignment="1" applyProtection="1">
      <alignment horizontal="center" vertical="center"/>
      <protection locked="0"/>
    </xf>
    <xf numFmtId="0" fontId="10" fillId="0" borderId="4" xfId="1" applyFont="1" applyBorder="1" applyAlignment="1" applyProtection="1">
      <alignment horizontal="left" vertical="top"/>
      <protection locked="0"/>
    </xf>
    <xf numFmtId="0" fontId="10" fillId="0" borderId="24" xfId="1" applyFont="1" applyBorder="1" applyAlignment="1" applyProtection="1">
      <alignment horizontal="left" vertical="top" wrapText="1"/>
      <protection locked="0"/>
    </xf>
    <xf numFmtId="0" fontId="10" fillId="0" borderId="13" xfId="1" applyFont="1" applyBorder="1" applyAlignment="1" applyProtection="1">
      <alignment horizontal="left" vertical="top" wrapText="1"/>
      <protection locked="0"/>
    </xf>
    <xf numFmtId="0" fontId="10" fillId="0" borderId="25" xfId="1" applyFont="1" applyBorder="1" applyAlignment="1" applyProtection="1">
      <alignment horizontal="left" vertical="top" wrapText="1"/>
      <protection locked="0"/>
    </xf>
    <xf numFmtId="0" fontId="10" fillId="0" borderId="26" xfId="1" applyFont="1" applyBorder="1" applyAlignment="1" applyProtection="1">
      <alignment horizontal="left" vertical="top" wrapText="1"/>
      <protection locked="0"/>
    </xf>
    <xf numFmtId="0" fontId="10" fillId="0" borderId="27" xfId="1" applyFont="1" applyBorder="1" applyAlignment="1" applyProtection="1">
      <alignment horizontal="left" vertical="top" wrapText="1"/>
      <protection locked="0"/>
    </xf>
    <xf numFmtId="0" fontId="10" fillId="0" borderId="5"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6" fillId="0" borderId="3" xfId="1" applyFont="1" applyBorder="1" applyAlignment="1" applyProtection="1">
      <alignment horizontal="left" vertical="top" wrapText="1"/>
      <protection locked="0"/>
    </xf>
    <xf numFmtId="0" fontId="7" fillId="0" borderId="3" xfId="1" applyFont="1" applyBorder="1" applyAlignment="1" applyProtection="1">
      <alignment horizontal="center" vertical="top" wrapText="1"/>
      <protection locked="0"/>
    </xf>
    <xf numFmtId="0" fontId="10" fillId="0" borderId="1" xfId="1" applyFont="1" applyBorder="1" applyAlignment="1" applyProtection="1">
      <alignment horizontal="center" vertical="top"/>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2" fillId="0" borderId="3" xfId="1" applyFont="1" applyBorder="1" applyAlignment="1" applyProtection="1">
      <alignment horizontal="left"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8</xdr:col>
      <xdr:colOff>381000</xdr:colOff>
      <xdr:row>11</xdr:row>
      <xdr:rowOff>64157</xdr:rowOff>
    </xdr:from>
    <xdr:to>
      <xdr:col>16</xdr:col>
      <xdr:colOff>351458</xdr:colOff>
      <xdr:row>12</xdr:row>
      <xdr:rowOff>166894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700630" y="2631766"/>
          <a:ext cx="6737350" cy="500302"/>
        </a:xfrm>
        <a:prstGeom prst="rect">
          <a:avLst/>
        </a:prstGeom>
        <a:ln>
          <a:solidFill>
            <a:schemeClr val="tx1"/>
          </a:solidFill>
        </a:ln>
      </xdr:spPr>
    </xdr:pic>
    <xdr:clientData/>
  </xdr:twoCellAnchor>
  <xdr:twoCellAnchor editAs="oneCell">
    <xdr:from>
      <xdr:col>9</xdr:col>
      <xdr:colOff>97045</xdr:colOff>
      <xdr:row>54</xdr:row>
      <xdr:rowOff>222251</xdr:rowOff>
    </xdr:from>
    <xdr:to>
      <xdr:col>14</xdr:col>
      <xdr:colOff>21620</xdr:colOff>
      <xdr:row>71</xdr:row>
      <xdr:rowOff>178337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7939295" y="16954501"/>
          <a:ext cx="4128275" cy="3150136"/>
        </a:xfrm>
        <a:prstGeom prst="rect">
          <a:avLst/>
        </a:prstGeom>
        <a:ln>
          <a:solidFill>
            <a:schemeClr val="tx1"/>
          </a:solidFill>
        </a:ln>
      </xdr:spPr>
    </xdr:pic>
    <xdr:clientData/>
  </xdr:twoCellAnchor>
  <xdr:twoCellAnchor editAs="oneCell">
    <xdr:from>
      <xdr:col>11</xdr:col>
      <xdr:colOff>695325</xdr:colOff>
      <xdr:row>53</xdr:row>
      <xdr:rowOff>0</xdr:rowOff>
    </xdr:from>
    <xdr:to>
      <xdr:col>14</xdr:col>
      <xdr:colOff>780720</xdr:colOff>
      <xdr:row>57</xdr:row>
      <xdr:rowOff>158625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9639300" y="15897225"/>
          <a:ext cx="2638095" cy="1000000"/>
        </a:xfrm>
        <a:prstGeom prst="rect">
          <a:avLst/>
        </a:prstGeom>
        <a:ln>
          <a:solidFill>
            <a:schemeClr val="tx1"/>
          </a:solidFill>
        </a:ln>
      </xdr:spPr>
    </xdr:pic>
    <xdr:clientData/>
  </xdr:twoCellAnchor>
  <xdr:twoCellAnchor editAs="oneCell">
    <xdr:from>
      <xdr:col>8</xdr:col>
      <xdr:colOff>180975</xdr:colOff>
      <xdr:row>53</xdr:row>
      <xdr:rowOff>0</xdr:rowOff>
    </xdr:from>
    <xdr:to>
      <xdr:col>11</xdr:col>
      <xdr:colOff>432075</xdr:colOff>
      <xdr:row>54</xdr:row>
      <xdr:rowOff>109527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6496050" y="15763875"/>
          <a:ext cx="2880000" cy="538152"/>
        </a:xfrm>
        <a:prstGeom prst="rect">
          <a:avLst/>
        </a:prstGeom>
        <a:ln>
          <a:solidFill>
            <a:schemeClr val="tx1"/>
          </a:solidFill>
        </a:ln>
      </xdr:spPr>
    </xdr:pic>
    <xdr:clientData/>
  </xdr:twoCellAnchor>
  <xdr:twoCellAnchor editAs="oneCell">
    <xdr:from>
      <xdr:col>8</xdr:col>
      <xdr:colOff>228600</xdr:colOff>
      <xdr:row>53</xdr:row>
      <xdr:rowOff>409575</xdr:rowOff>
    </xdr:from>
    <xdr:to>
      <xdr:col>11</xdr:col>
      <xdr:colOff>479700</xdr:colOff>
      <xdr:row>57</xdr:row>
      <xdr:rowOff>119076</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6543675" y="14982825"/>
          <a:ext cx="2880000" cy="547702"/>
        </a:xfrm>
        <a:prstGeom prst="rect">
          <a:avLst/>
        </a:prstGeom>
        <a:ln>
          <a:solidFill>
            <a:schemeClr val="tx1"/>
          </a:solidFill>
        </a:ln>
      </xdr:spPr>
    </xdr:pic>
    <xdr:clientData/>
  </xdr:twoCellAnchor>
  <xdr:twoCellAnchor editAs="oneCell">
    <xdr:from>
      <xdr:col>13</xdr:col>
      <xdr:colOff>625475</xdr:colOff>
      <xdr:row>52</xdr:row>
      <xdr:rowOff>215900</xdr:rowOff>
    </xdr:from>
    <xdr:to>
      <xdr:col>17</xdr:col>
      <xdr:colOff>605725</xdr:colOff>
      <xdr:row>52</xdr:row>
      <xdr:rowOff>1858640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11795125" y="12706350"/>
          <a:ext cx="3187000" cy="1642740"/>
        </a:xfrm>
        <a:prstGeom prst="rect">
          <a:avLst/>
        </a:prstGeom>
        <a:ln>
          <a:solidFill>
            <a:schemeClr val="tx1"/>
          </a:solidFill>
        </a:ln>
      </xdr:spPr>
    </xdr:pic>
    <xdr:clientData/>
  </xdr:twoCellAnchor>
  <xdr:twoCellAnchor editAs="oneCell">
    <xdr:from>
      <xdr:col>8</xdr:col>
      <xdr:colOff>171450</xdr:colOff>
      <xdr:row>53</xdr:row>
      <xdr:rowOff>0</xdr:rowOff>
    </xdr:from>
    <xdr:to>
      <xdr:col>11</xdr:col>
      <xdr:colOff>602550</xdr:colOff>
      <xdr:row>54</xdr:row>
      <xdr:rowOff>369258</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6486525" y="14763750"/>
          <a:ext cx="3060000" cy="794709"/>
        </a:xfrm>
        <a:prstGeom prst="rect">
          <a:avLst/>
        </a:prstGeom>
        <a:ln>
          <a:solidFill>
            <a:schemeClr val="tx1"/>
          </a:solidFill>
        </a:ln>
      </xdr:spPr>
    </xdr:pic>
    <xdr:clientData/>
  </xdr:twoCellAnchor>
  <xdr:twoCellAnchor editAs="oneCell">
    <xdr:from>
      <xdr:col>18</xdr:col>
      <xdr:colOff>152400</xdr:colOff>
      <xdr:row>52</xdr:row>
      <xdr:rowOff>822325</xdr:rowOff>
    </xdr:from>
    <xdr:to>
      <xdr:col>21</xdr:col>
      <xdr:colOff>100400</xdr:colOff>
      <xdr:row>54</xdr:row>
      <xdr:rowOff>933</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xfrm>
          <a:off x="15151100" y="13312775"/>
          <a:ext cx="2094300" cy="1651933"/>
        </a:xfrm>
        <a:prstGeom prst="rect">
          <a:avLst/>
        </a:prstGeom>
        <a:ln>
          <a:solidFill>
            <a:schemeClr val="tx1"/>
          </a:solidFill>
        </a:ln>
      </xdr:spPr>
    </xdr:pic>
    <xdr:clientData/>
  </xdr:twoCellAnchor>
  <xdr:twoCellAnchor editAs="oneCell">
    <xdr:from>
      <xdr:col>13</xdr:col>
      <xdr:colOff>606425</xdr:colOff>
      <xdr:row>49</xdr:row>
      <xdr:rowOff>19051</xdr:rowOff>
    </xdr:from>
    <xdr:to>
      <xdr:col>20</xdr:col>
      <xdr:colOff>1025</xdr:colOff>
      <xdr:row>52</xdr:row>
      <xdr:rowOff>477253</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a:stretch>
          <a:fillRect/>
        </a:stretch>
      </xdr:blipFill>
      <xdr:spPr>
        <a:xfrm>
          <a:off x="11776075" y="11328401"/>
          <a:ext cx="4703200" cy="1886952"/>
        </a:xfrm>
        <a:prstGeom prst="rect">
          <a:avLst/>
        </a:prstGeom>
        <a:ln>
          <a:solidFill>
            <a:schemeClr val="tx1"/>
          </a:solidFill>
        </a:ln>
      </xdr:spPr>
    </xdr:pic>
    <xdr:clientData/>
  </xdr:twoCellAnchor>
  <xdr:twoCellAnchor>
    <xdr:from>
      <xdr:col>0</xdr:col>
      <xdr:colOff>228600</xdr:colOff>
      <xdr:row>422</xdr:row>
      <xdr:rowOff>47625</xdr:rowOff>
    </xdr:from>
    <xdr:to>
      <xdr:col>7</xdr:col>
      <xdr:colOff>406950</xdr:colOff>
      <xdr:row>459</xdr:row>
      <xdr:rowOff>26700</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228600" y="75053825"/>
          <a:ext cx="6033050" cy="7262525"/>
          <a:chOff x="638175" y="-647700"/>
          <a:chExt cx="5760000" cy="8646221"/>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a:xfrm>
            <a:off x="818175" y="-647700"/>
            <a:ext cx="5400000" cy="4281429"/>
          </a:xfrm>
          <a:prstGeom prst="rect">
            <a:avLst/>
          </a:prstGeom>
          <a:ln>
            <a:solidFill>
              <a:schemeClr val="tx1"/>
            </a:solidFill>
          </a:ln>
        </xdr:spPr>
      </xdr:pic>
      <xdr:grpSp>
        <xdr:nvGrpSpPr>
          <xdr:cNvPr id="13" name="Group 12">
            <a:extLst>
              <a:ext uri="{FF2B5EF4-FFF2-40B4-BE49-F238E27FC236}">
                <a16:creationId xmlns:a16="http://schemas.microsoft.com/office/drawing/2014/main" id="{00000000-0008-0000-0000-00000D000000}"/>
              </a:ext>
            </a:extLst>
          </xdr:cNvPr>
          <xdr:cNvGrpSpPr/>
        </xdr:nvGrpSpPr>
        <xdr:grpSpPr>
          <a:xfrm>
            <a:off x="638175" y="3771900"/>
            <a:ext cx="5760000" cy="4226621"/>
            <a:chOff x="638175" y="3771900"/>
            <a:chExt cx="5760000" cy="4226621"/>
          </a:xfrm>
        </xdr:grpSpPr>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11" cstate="screen">
              <a:extLst>
                <a:ext uri="{28A0092B-C50C-407E-A947-70E740481C1C}">
                  <a14:useLocalDpi xmlns:a14="http://schemas.microsoft.com/office/drawing/2010/main"/>
                </a:ext>
              </a:extLst>
            </a:blip>
            <a:srcRect/>
            <a:stretch/>
          </xdr:blipFill>
          <xdr:spPr>
            <a:xfrm>
              <a:off x="638175" y="3771900"/>
              <a:ext cx="5760000" cy="4226621"/>
            </a:xfrm>
            <a:prstGeom prst="rect">
              <a:avLst/>
            </a:prstGeom>
            <a:ln>
              <a:solidFill>
                <a:schemeClr val="tx1"/>
              </a:solidFill>
            </a:ln>
          </xdr:spPr>
        </xdr:pic>
        <xdr:sp macro="" textlink="">
          <xdr:nvSpPr>
            <xdr:cNvPr id="15" name="Rectangle 14">
              <a:extLst>
                <a:ext uri="{FF2B5EF4-FFF2-40B4-BE49-F238E27FC236}">
                  <a16:creationId xmlns:a16="http://schemas.microsoft.com/office/drawing/2014/main" id="{00000000-0008-0000-0000-00000F000000}"/>
                </a:ext>
              </a:extLst>
            </xdr:cNvPr>
            <xdr:cNvSpPr/>
          </xdr:nvSpPr>
          <xdr:spPr>
            <a:xfrm rot="1417657">
              <a:off x="2160603" y="4922228"/>
              <a:ext cx="1620374" cy="2279847"/>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xdr:from>
      <xdr:col>0</xdr:col>
      <xdr:colOff>419100</xdr:colOff>
      <xdr:row>379</xdr:row>
      <xdr:rowOff>85725</xdr:rowOff>
    </xdr:from>
    <xdr:to>
      <xdr:col>7</xdr:col>
      <xdr:colOff>252013</xdr:colOff>
      <xdr:row>400</xdr:row>
      <xdr:rowOff>63820</xdr:rowOff>
    </xdr:to>
    <xdr:grpSp>
      <xdr:nvGrpSpPr>
        <xdr:cNvPr id="16" name="Group 15">
          <a:extLst>
            <a:ext uri="{FF2B5EF4-FFF2-40B4-BE49-F238E27FC236}">
              <a16:creationId xmlns:a16="http://schemas.microsoft.com/office/drawing/2014/main" id="{00000000-0008-0000-0000-000010000000}"/>
            </a:ext>
          </a:extLst>
        </xdr:cNvPr>
        <xdr:cNvGrpSpPr/>
      </xdr:nvGrpSpPr>
      <xdr:grpSpPr>
        <a:xfrm>
          <a:off x="419100" y="66627375"/>
          <a:ext cx="5687613" cy="4111945"/>
          <a:chOff x="557612" y="574355"/>
          <a:chExt cx="5593572" cy="4320000"/>
        </a:xfrm>
      </xdr:grpSpPr>
      <xdr:grpSp>
        <xdr:nvGrpSpPr>
          <xdr:cNvPr id="21" name="Group 20">
            <a:extLst>
              <a:ext uri="{FF2B5EF4-FFF2-40B4-BE49-F238E27FC236}">
                <a16:creationId xmlns:a16="http://schemas.microsoft.com/office/drawing/2014/main" id="{00000000-0008-0000-0000-000015000000}"/>
              </a:ext>
            </a:extLst>
          </xdr:cNvPr>
          <xdr:cNvGrpSpPr/>
        </xdr:nvGrpSpPr>
        <xdr:grpSpPr>
          <a:xfrm>
            <a:off x="571184" y="574355"/>
            <a:ext cx="5580000" cy="4320000"/>
            <a:chOff x="0" y="0"/>
            <a:chExt cx="4822550" cy="4320000"/>
          </a:xfrm>
        </xdr:grpSpPr>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2"/>
            <a:stretch>
              <a:fillRect/>
            </a:stretch>
          </xdr:blipFill>
          <xdr:spPr>
            <a:xfrm>
              <a:off x="0" y="0"/>
              <a:ext cx="4822550" cy="4320000"/>
            </a:xfrm>
            <a:prstGeom prst="rect">
              <a:avLst/>
            </a:prstGeom>
            <a:ln>
              <a:solidFill>
                <a:schemeClr val="tx1"/>
              </a:solidFill>
            </a:ln>
          </xdr:spPr>
        </xdr:pic>
        <xdr:sp macro="" textlink="">
          <xdr:nvSpPr>
            <xdr:cNvPr id="31" name="Rectangle 30">
              <a:extLst>
                <a:ext uri="{FF2B5EF4-FFF2-40B4-BE49-F238E27FC236}">
                  <a16:creationId xmlns:a16="http://schemas.microsoft.com/office/drawing/2014/main" id="{00000000-0008-0000-0000-00001F000000}"/>
                </a:ext>
              </a:extLst>
            </xdr:cNvPr>
            <xdr:cNvSpPr/>
          </xdr:nvSpPr>
          <xdr:spPr>
            <a:xfrm>
              <a:off x="719139" y="376240"/>
              <a:ext cx="1485900" cy="8001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2" name="Rectangle 31">
              <a:extLst>
                <a:ext uri="{FF2B5EF4-FFF2-40B4-BE49-F238E27FC236}">
                  <a16:creationId xmlns:a16="http://schemas.microsoft.com/office/drawing/2014/main" id="{00000000-0008-0000-0000-000020000000}"/>
                </a:ext>
              </a:extLst>
            </xdr:cNvPr>
            <xdr:cNvSpPr/>
          </xdr:nvSpPr>
          <xdr:spPr>
            <a:xfrm>
              <a:off x="2205039" y="376240"/>
              <a:ext cx="1209675" cy="8001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3" name="Rectangle 32">
              <a:extLst>
                <a:ext uri="{FF2B5EF4-FFF2-40B4-BE49-F238E27FC236}">
                  <a16:creationId xmlns:a16="http://schemas.microsoft.com/office/drawing/2014/main" id="{00000000-0008-0000-0000-000021000000}"/>
                </a:ext>
              </a:extLst>
            </xdr:cNvPr>
            <xdr:cNvSpPr/>
          </xdr:nvSpPr>
          <xdr:spPr>
            <a:xfrm>
              <a:off x="2519364" y="1178926"/>
              <a:ext cx="895350" cy="98107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4" name="Rectangle 33">
              <a:extLst>
                <a:ext uri="{FF2B5EF4-FFF2-40B4-BE49-F238E27FC236}">
                  <a16:creationId xmlns:a16="http://schemas.microsoft.com/office/drawing/2014/main" id="{00000000-0008-0000-0000-000022000000}"/>
                </a:ext>
              </a:extLst>
            </xdr:cNvPr>
            <xdr:cNvSpPr/>
          </xdr:nvSpPr>
          <xdr:spPr>
            <a:xfrm rot="774160">
              <a:off x="2195513" y="2423024"/>
              <a:ext cx="1228725" cy="9334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5" name="Rectangle 34">
              <a:extLst>
                <a:ext uri="{FF2B5EF4-FFF2-40B4-BE49-F238E27FC236}">
                  <a16:creationId xmlns:a16="http://schemas.microsoft.com/office/drawing/2014/main" id="{00000000-0008-0000-0000-000023000000}"/>
                </a:ext>
              </a:extLst>
            </xdr:cNvPr>
            <xdr:cNvSpPr/>
          </xdr:nvSpPr>
          <xdr:spPr>
            <a:xfrm rot="774160">
              <a:off x="3557311" y="2031938"/>
              <a:ext cx="883310" cy="137709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6" name="Rectangle 35">
              <a:extLst>
                <a:ext uri="{FF2B5EF4-FFF2-40B4-BE49-F238E27FC236}">
                  <a16:creationId xmlns:a16="http://schemas.microsoft.com/office/drawing/2014/main" id="{00000000-0008-0000-0000-000024000000}"/>
                </a:ext>
              </a:extLst>
            </xdr:cNvPr>
            <xdr:cNvSpPr/>
          </xdr:nvSpPr>
          <xdr:spPr>
            <a:xfrm rot="810501">
              <a:off x="1041487" y="2369146"/>
              <a:ext cx="857250" cy="7026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7" name="TextBox 9">
              <a:extLst>
                <a:ext uri="{FF2B5EF4-FFF2-40B4-BE49-F238E27FC236}">
                  <a16:creationId xmlns:a16="http://schemas.microsoft.com/office/drawing/2014/main" id="{00000000-0008-0000-0000-000025000000}"/>
                </a:ext>
              </a:extLst>
            </xdr:cNvPr>
            <xdr:cNvSpPr txBox="1"/>
          </xdr:nvSpPr>
          <xdr:spPr>
            <a:xfrm>
              <a:off x="1168329" y="30231"/>
              <a:ext cx="777777"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b="1">
                  <a:solidFill>
                    <a:srgbClr val="FF0000"/>
                  </a:solidFill>
                </a:rPr>
                <a:t>WING A</a:t>
              </a:r>
              <a:endParaRPr lang="en-IN" sz="1400" b="1">
                <a:solidFill>
                  <a:srgbClr val="FF0000"/>
                </a:solidFill>
              </a:endParaRPr>
            </a:p>
          </xdr:txBody>
        </xdr:sp>
        <xdr:sp macro="" textlink="">
          <xdr:nvSpPr>
            <xdr:cNvPr id="38" name="TextBox 11">
              <a:extLst>
                <a:ext uri="{FF2B5EF4-FFF2-40B4-BE49-F238E27FC236}">
                  <a16:creationId xmlns:a16="http://schemas.microsoft.com/office/drawing/2014/main" id="{00000000-0008-0000-0000-000026000000}"/>
                </a:ext>
              </a:extLst>
            </xdr:cNvPr>
            <xdr:cNvSpPr txBox="1"/>
          </xdr:nvSpPr>
          <xdr:spPr>
            <a:xfrm>
              <a:off x="2513024" y="68043"/>
              <a:ext cx="769763"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b="1">
                  <a:solidFill>
                    <a:srgbClr val="FF0000"/>
                  </a:solidFill>
                </a:rPr>
                <a:t>WING B</a:t>
              </a:r>
              <a:endParaRPr lang="en-IN" sz="1400" b="1">
                <a:solidFill>
                  <a:srgbClr val="FF0000"/>
                </a:solidFill>
              </a:endParaRPr>
            </a:p>
          </xdr:txBody>
        </xdr:sp>
        <xdr:sp macro="" textlink="">
          <xdr:nvSpPr>
            <xdr:cNvPr id="39" name="TextBox 12">
              <a:extLst>
                <a:ext uri="{FF2B5EF4-FFF2-40B4-BE49-F238E27FC236}">
                  <a16:creationId xmlns:a16="http://schemas.microsoft.com/office/drawing/2014/main" id="{00000000-0008-0000-0000-000027000000}"/>
                </a:ext>
              </a:extLst>
            </xdr:cNvPr>
            <xdr:cNvSpPr txBox="1"/>
          </xdr:nvSpPr>
          <xdr:spPr>
            <a:xfrm>
              <a:off x="1821278" y="1610867"/>
              <a:ext cx="763351"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b="1">
                  <a:solidFill>
                    <a:srgbClr val="FF0000"/>
                  </a:solidFill>
                </a:rPr>
                <a:t>WING C</a:t>
              </a:r>
              <a:endParaRPr lang="en-IN" sz="1400" b="1">
                <a:solidFill>
                  <a:srgbClr val="FF0000"/>
                </a:solidFill>
              </a:endParaRPr>
            </a:p>
          </xdr:txBody>
        </xdr:sp>
        <xdr:sp macro="" textlink="">
          <xdr:nvSpPr>
            <xdr:cNvPr id="40" name="TextBox 13">
              <a:extLst>
                <a:ext uri="{FF2B5EF4-FFF2-40B4-BE49-F238E27FC236}">
                  <a16:creationId xmlns:a16="http://schemas.microsoft.com/office/drawing/2014/main" id="{00000000-0008-0000-0000-000028000000}"/>
                </a:ext>
              </a:extLst>
            </xdr:cNvPr>
            <xdr:cNvSpPr txBox="1"/>
          </xdr:nvSpPr>
          <xdr:spPr>
            <a:xfrm>
              <a:off x="3849629" y="1627437"/>
              <a:ext cx="782587"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b="1">
                  <a:solidFill>
                    <a:srgbClr val="FF0000"/>
                  </a:solidFill>
                </a:rPr>
                <a:t>WING D</a:t>
              </a:r>
              <a:endParaRPr lang="en-IN" sz="1400" b="1">
                <a:solidFill>
                  <a:srgbClr val="FF0000"/>
                </a:solidFill>
              </a:endParaRPr>
            </a:p>
          </xdr:txBody>
        </xdr:sp>
        <xdr:sp macro="" textlink="">
          <xdr:nvSpPr>
            <xdr:cNvPr id="41" name="TextBox 14">
              <a:extLst>
                <a:ext uri="{FF2B5EF4-FFF2-40B4-BE49-F238E27FC236}">
                  <a16:creationId xmlns:a16="http://schemas.microsoft.com/office/drawing/2014/main" id="{00000000-0008-0000-0000-000029000000}"/>
                </a:ext>
              </a:extLst>
            </xdr:cNvPr>
            <xdr:cNvSpPr txBox="1"/>
          </xdr:nvSpPr>
          <xdr:spPr>
            <a:xfrm rot="1050306">
              <a:off x="2301798" y="3375193"/>
              <a:ext cx="756938"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b="1">
                  <a:solidFill>
                    <a:srgbClr val="FF0000"/>
                  </a:solidFill>
                </a:rPr>
                <a:t>WING E</a:t>
              </a:r>
              <a:endParaRPr lang="en-IN" sz="1400" b="1">
                <a:solidFill>
                  <a:srgbClr val="FF0000"/>
                </a:solidFill>
              </a:endParaRPr>
            </a:p>
          </xdr:txBody>
        </xdr:sp>
        <xdr:sp macro="" textlink="">
          <xdr:nvSpPr>
            <xdr:cNvPr id="42" name="TextBox 15">
              <a:extLst>
                <a:ext uri="{FF2B5EF4-FFF2-40B4-BE49-F238E27FC236}">
                  <a16:creationId xmlns:a16="http://schemas.microsoft.com/office/drawing/2014/main" id="{00000000-0008-0000-0000-00002A000000}"/>
                </a:ext>
              </a:extLst>
            </xdr:cNvPr>
            <xdr:cNvSpPr txBox="1"/>
          </xdr:nvSpPr>
          <xdr:spPr>
            <a:xfrm rot="642920">
              <a:off x="853339" y="3025485"/>
              <a:ext cx="750526"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b="1">
                  <a:solidFill>
                    <a:srgbClr val="FF0000"/>
                  </a:solidFill>
                </a:rPr>
                <a:t>WING F</a:t>
              </a:r>
              <a:endParaRPr lang="en-IN" sz="1400" b="1">
                <a:solidFill>
                  <a:srgbClr val="FF0000"/>
                </a:solidFill>
              </a:endParaRPr>
            </a:p>
          </xdr:txBody>
        </xdr:sp>
      </xdr:grpSp>
      <xdr:sp macro="" textlink="">
        <xdr:nvSpPr>
          <xdr:cNvPr id="22" name="TextBox 2">
            <a:extLst>
              <a:ext uri="{FF2B5EF4-FFF2-40B4-BE49-F238E27FC236}">
                <a16:creationId xmlns:a16="http://schemas.microsoft.com/office/drawing/2014/main" id="{00000000-0008-0000-0000-000016000000}"/>
              </a:ext>
            </a:extLst>
          </xdr:cNvPr>
          <xdr:cNvSpPr txBox="1"/>
        </xdr:nvSpPr>
        <xdr:spPr>
          <a:xfrm>
            <a:off x="571183" y="580843"/>
            <a:ext cx="1199183" cy="276999"/>
          </a:xfrm>
          <a:prstGeom prst="rect">
            <a:avLst/>
          </a:prstGeom>
          <a:solidFill>
            <a:schemeClr val="accent4">
              <a:lumMod val="20000"/>
              <a:lumOff val="80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t>Arkade Pearl 2</a:t>
            </a:r>
            <a:endParaRPr lang="en-IN" sz="1200" b="1"/>
          </a:p>
        </xdr:txBody>
      </xdr:sp>
      <xdr:cxnSp macro="">
        <xdr:nvCxnSpPr>
          <xdr:cNvPr id="23" name="Straight Arrow Connector 22">
            <a:extLst>
              <a:ext uri="{FF2B5EF4-FFF2-40B4-BE49-F238E27FC236}">
                <a16:creationId xmlns:a16="http://schemas.microsoft.com/office/drawing/2014/main" id="{00000000-0008-0000-0000-000017000000}"/>
              </a:ext>
            </a:extLst>
          </xdr:cNvPr>
          <xdr:cNvCxnSpPr>
            <a:stCxn id="22" idx="2"/>
          </xdr:cNvCxnSpPr>
        </xdr:nvCxnSpPr>
        <xdr:spPr>
          <a:xfrm>
            <a:off x="1170775" y="857841"/>
            <a:ext cx="203479" cy="30645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4" name="TextBox 24">
            <a:extLst>
              <a:ext uri="{FF2B5EF4-FFF2-40B4-BE49-F238E27FC236}">
                <a16:creationId xmlns:a16="http://schemas.microsoft.com/office/drawing/2014/main" id="{00000000-0008-0000-0000-000018000000}"/>
              </a:ext>
            </a:extLst>
          </xdr:cNvPr>
          <xdr:cNvSpPr txBox="1"/>
        </xdr:nvSpPr>
        <xdr:spPr>
          <a:xfrm>
            <a:off x="4877329" y="600408"/>
            <a:ext cx="1261375" cy="289685"/>
          </a:xfrm>
          <a:prstGeom prst="rect">
            <a:avLst/>
          </a:prstGeom>
          <a:solidFill>
            <a:schemeClr val="accent4">
              <a:lumMod val="20000"/>
              <a:lumOff val="80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t>Arkade Pearl 1</a:t>
            </a:r>
            <a:endParaRPr lang="en-IN" sz="1200" b="1"/>
          </a:p>
        </xdr:txBody>
      </xdr:sp>
      <xdr:cxnSp macro="">
        <xdr:nvCxnSpPr>
          <xdr:cNvPr id="25" name="Straight Arrow Connector 24">
            <a:extLst>
              <a:ext uri="{FF2B5EF4-FFF2-40B4-BE49-F238E27FC236}">
                <a16:creationId xmlns:a16="http://schemas.microsoft.com/office/drawing/2014/main" id="{00000000-0008-0000-0000-000019000000}"/>
              </a:ext>
            </a:extLst>
          </xdr:cNvPr>
          <xdr:cNvCxnSpPr/>
        </xdr:nvCxnSpPr>
        <xdr:spPr>
          <a:xfrm flipH="1">
            <a:off x="5471160" y="899315"/>
            <a:ext cx="35923" cy="12876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Straight Arrow Connector 25">
            <a:extLst>
              <a:ext uri="{FF2B5EF4-FFF2-40B4-BE49-F238E27FC236}">
                <a16:creationId xmlns:a16="http://schemas.microsoft.com/office/drawing/2014/main" id="{00000000-0008-0000-0000-00001A000000}"/>
              </a:ext>
            </a:extLst>
          </xdr:cNvPr>
          <xdr:cNvCxnSpPr>
            <a:stCxn id="24" idx="2"/>
          </xdr:cNvCxnSpPr>
        </xdr:nvCxnSpPr>
        <xdr:spPr>
          <a:xfrm flipH="1">
            <a:off x="4550058" y="890093"/>
            <a:ext cx="957959" cy="98603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7" name="Straight Arrow Connector 26">
            <a:extLst>
              <a:ext uri="{FF2B5EF4-FFF2-40B4-BE49-F238E27FC236}">
                <a16:creationId xmlns:a16="http://schemas.microsoft.com/office/drawing/2014/main" id="{00000000-0008-0000-0000-00001B000000}"/>
              </a:ext>
            </a:extLst>
          </xdr:cNvPr>
          <xdr:cNvCxnSpPr>
            <a:stCxn id="24" idx="2"/>
          </xdr:cNvCxnSpPr>
        </xdr:nvCxnSpPr>
        <xdr:spPr>
          <a:xfrm flipH="1">
            <a:off x="4546376" y="890093"/>
            <a:ext cx="961641" cy="36355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8" name="TextBox 36">
            <a:extLst>
              <a:ext uri="{FF2B5EF4-FFF2-40B4-BE49-F238E27FC236}">
                <a16:creationId xmlns:a16="http://schemas.microsoft.com/office/drawing/2014/main" id="{00000000-0008-0000-0000-00001C000000}"/>
              </a:ext>
            </a:extLst>
          </xdr:cNvPr>
          <xdr:cNvSpPr txBox="1"/>
        </xdr:nvSpPr>
        <xdr:spPr>
          <a:xfrm>
            <a:off x="557612" y="4243419"/>
            <a:ext cx="2086059" cy="28968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0000"/>
                </a:solidFill>
              </a:rPr>
              <a:t>Building No.1(Wing A to E)</a:t>
            </a:r>
            <a:endParaRPr lang="en-IN" sz="1200" b="1">
              <a:solidFill>
                <a:srgbClr val="FF0000"/>
              </a:solidFill>
            </a:endParaRPr>
          </a:p>
        </xdr:txBody>
      </xdr:sp>
      <xdr:sp macro="" textlink="">
        <xdr:nvSpPr>
          <xdr:cNvPr id="29" name="TextBox 37">
            <a:extLst>
              <a:ext uri="{FF2B5EF4-FFF2-40B4-BE49-F238E27FC236}">
                <a16:creationId xmlns:a16="http://schemas.microsoft.com/office/drawing/2014/main" id="{00000000-0008-0000-0000-00001D000000}"/>
              </a:ext>
            </a:extLst>
          </xdr:cNvPr>
          <xdr:cNvSpPr txBox="1"/>
        </xdr:nvSpPr>
        <xdr:spPr>
          <a:xfrm>
            <a:off x="609627" y="4454186"/>
            <a:ext cx="1758528" cy="28968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0000"/>
                </a:solidFill>
              </a:rPr>
              <a:t>Building No.2(Wing F)</a:t>
            </a:r>
            <a:endParaRPr lang="en-IN" sz="1200" b="1">
              <a:solidFill>
                <a:srgbClr val="FF0000"/>
              </a:solidFill>
            </a:endParaRPr>
          </a:p>
        </xdr:txBody>
      </xdr:sp>
    </xdr:grpSp>
    <xdr:clientData/>
  </xdr:twoCellAnchor>
  <xdr:twoCellAnchor>
    <xdr:from>
      <xdr:col>2</xdr:col>
      <xdr:colOff>212482</xdr:colOff>
      <xdr:row>401</xdr:row>
      <xdr:rowOff>178806</xdr:rowOff>
    </xdr:from>
    <xdr:to>
      <xdr:col>5</xdr:col>
      <xdr:colOff>432988</xdr:colOff>
      <xdr:row>416</xdr:row>
      <xdr:rowOff>144510</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1850782" y="71051156"/>
          <a:ext cx="2887506" cy="2918454"/>
          <a:chOff x="1913094" y="5067986"/>
          <a:chExt cx="2763681" cy="2966079"/>
        </a:xfrm>
      </xdr:grpSpPr>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1913094" y="5067986"/>
            <a:ext cx="2763681" cy="2966079"/>
          </a:xfrm>
          <a:prstGeom prst="rect">
            <a:avLst/>
          </a:prstGeom>
          <a:ln>
            <a:solidFill>
              <a:schemeClr val="tx1"/>
            </a:solidFill>
          </a:ln>
        </xdr:spPr>
      </xdr:pic>
      <xdr:sp macro="" textlink="">
        <xdr:nvSpPr>
          <xdr:cNvPr id="19" name="Right Arrow 18">
            <a:extLst>
              <a:ext uri="{FF2B5EF4-FFF2-40B4-BE49-F238E27FC236}">
                <a16:creationId xmlns:a16="http://schemas.microsoft.com/office/drawing/2014/main" id="{00000000-0008-0000-0000-000013000000}"/>
              </a:ext>
            </a:extLst>
          </xdr:cNvPr>
          <xdr:cNvSpPr/>
        </xdr:nvSpPr>
        <xdr:spPr>
          <a:xfrm rot="18581440">
            <a:off x="2144458" y="7229475"/>
            <a:ext cx="243025" cy="22860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0" name="TextBox 40">
            <a:extLst>
              <a:ext uri="{FF2B5EF4-FFF2-40B4-BE49-F238E27FC236}">
                <a16:creationId xmlns:a16="http://schemas.microsoft.com/office/drawing/2014/main" id="{00000000-0008-0000-0000-000014000000}"/>
              </a:ext>
            </a:extLst>
          </xdr:cNvPr>
          <xdr:cNvSpPr txBox="1"/>
        </xdr:nvSpPr>
        <xdr:spPr>
          <a:xfrm>
            <a:off x="1946827" y="7423069"/>
            <a:ext cx="33374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N</a:t>
            </a:r>
            <a:endParaRPr lang="en-IN" b="1"/>
          </a:p>
        </xdr:txBody>
      </xdr:sp>
    </xdr:grpSp>
    <xdr:clientData/>
  </xdr:twoCellAnchor>
  <xdr:twoCellAnchor>
    <xdr:from>
      <xdr:col>0</xdr:col>
      <xdr:colOff>88900</xdr:colOff>
      <xdr:row>336</xdr:row>
      <xdr:rowOff>165100</xdr:rowOff>
    </xdr:from>
    <xdr:to>
      <xdr:col>7</xdr:col>
      <xdr:colOff>694107</xdr:colOff>
      <xdr:row>371</xdr:row>
      <xdr:rowOff>115799</xdr:rowOff>
    </xdr:to>
    <xdr:grpSp>
      <xdr:nvGrpSpPr>
        <xdr:cNvPr id="88" name="Group 87">
          <a:extLst>
            <a:ext uri="{FF2B5EF4-FFF2-40B4-BE49-F238E27FC236}">
              <a16:creationId xmlns:a16="http://schemas.microsoft.com/office/drawing/2014/main" id="{00000000-0008-0000-0000-000058000000}"/>
            </a:ext>
          </a:extLst>
        </xdr:cNvPr>
        <xdr:cNvGrpSpPr/>
      </xdr:nvGrpSpPr>
      <xdr:grpSpPr>
        <a:xfrm>
          <a:off x="88900" y="58248550"/>
          <a:ext cx="6459907" cy="6834099"/>
          <a:chOff x="88900" y="56762650"/>
          <a:chExt cx="6459907" cy="6834099"/>
        </a:xfrm>
      </xdr:grpSpPr>
      <xdr:pic>
        <xdr:nvPicPr>
          <xdr:cNvPr id="83" name="Picture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498944" y="60860749"/>
            <a:ext cx="2049863" cy="2736000"/>
          </a:xfrm>
          <a:prstGeom prst="rect">
            <a:avLst/>
          </a:prstGeom>
          <a:ln>
            <a:solidFill>
              <a:schemeClr val="tx1"/>
            </a:solidFill>
          </a:ln>
        </xdr:spPr>
      </xdr:pic>
      <xdr:pic>
        <xdr:nvPicPr>
          <xdr:cNvPr id="84" name="Picture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89317" y="56762650"/>
            <a:ext cx="2966907" cy="3960000"/>
          </a:xfrm>
          <a:prstGeom prst="rect">
            <a:avLst/>
          </a:prstGeom>
          <a:ln>
            <a:solidFill>
              <a:schemeClr val="tx1"/>
            </a:solidFill>
          </a:ln>
        </xdr:spPr>
      </xdr:pic>
      <xdr:pic>
        <xdr:nvPicPr>
          <xdr:cNvPr id="85" name="Picture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88900" y="60860749"/>
            <a:ext cx="2049863" cy="2736000"/>
          </a:xfrm>
          <a:prstGeom prst="rect">
            <a:avLst/>
          </a:prstGeom>
          <a:ln>
            <a:solidFill>
              <a:schemeClr val="tx1"/>
            </a:solidFill>
          </a:ln>
        </xdr:spPr>
      </xdr:pic>
      <xdr:pic>
        <xdr:nvPicPr>
          <xdr:cNvPr id="86" name="Picture 85">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2293922" y="60860749"/>
            <a:ext cx="2049863" cy="2736000"/>
          </a:xfrm>
          <a:prstGeom prst="rect">
            <a:avLst/>
          </a:prstGeom>
          <a:ln>
            <a:solidFill>
              <a:schemeClr val="tx1"/>
            </a:solidFill>
          </a:ln>
        </xdr:spPr>
      </xdr:pic>
      <xdr:pic>
        <xdr:nvPicPr>
          <xdr:cNvPr id="87" name="Picture 86">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3402033" y="56762650"/>
            <a:ext cx="2966907" cy="3960000"/>
          </a:xfrm>
          <a:prstGeom prst="rect">
            <a:avLst/>
          </a:prstGeom>
          <a:ln>
            <a:solidFill>
              <a:schemeClr val="tx1"/>
            </a:solidFill>
          </a:ln>
        </xdr:spPr>
      </xdr:pic>
    </xdr:grpSp>
    <xdr:clientData/>
  </xdr:twoCellAnchor>
  <xdr:twoCellAnchor editAs="oneCell">
    <xdr:from>
      <xdr:col>9</xdr:col>
      <xdr:colOff>755650</xdr:colOff>
      <xdr:row>136</xdr:row>
      <xdr:rowOff>101600</xdr:rowOff>
    </xdr:from>
    <xdr:to>
      <xdr:col>13</xdr:col>
      <xdr:colOff>668250</xdr:colOff>
      <xdr:row>158</xdr:row>
      <xdr:rowOff>68610</xdr:rowOff>
    </xdr:to>
    <xdr:pic>
      <xdr:nvPicPr>
        <xdr:cNvPr id="50" name="Picture 49"/>
        <xdr:cNvPicPr>
          <a:picLocks noChangeAspect="1"/>
        </xdr:cNvPicPr>
      </xdr:nvPicPr>
      <xdr:blipFill>
        <a:blip xmlns:r="http://schemas.openxmlformats.org/officeDocument/2006/relationships" r:embed="rId19"/>
        <a:stretch>
          <a:fillRect/>
        </a:stretch>
      </xdr:blipFill>
      <xdr:spPr>
        <a:xfrm>
          <a:off x="8597900" y="25977850"/>
          <a:ext cx="3240000" cy="2335560"/>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381001</xdr:colOff>
      <xdr:row>15</xdr:row>
      <xdr:rowOff>0</xdr:rowOff>
    </xdr:from>
    <xdr:to>
      <xdr:col>6</xdr:col>
      <xdr:colOff>385567</xdr:colOff>
      <xdr:row>33</xdr:row>
      <xdr:rowOff>171000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963707" y="2868706"/>
          <a:ext cx="640312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arkadepearl.com/?utm_source=GoogleSearch&amp;utm_campaign=Brand_P&amp;utm_term=%7bterm%7d&amp;utm_medium=&amp;utm_device=c&amp;gad_source=1&amp;gclid=Cj0KCQjwz7C2BhDkARIsAA_SZKadGQZaimL1ksZuxkHa9K12JIoe36i6aIuQw7ZbX_qHeamAn1ajhiQaAkPNEALw_wcB" TargetMode="External"/><Relationship Id="rId1" Type="http://schemas.openxmlformats.org/officeDocument/2006/relationships/hyperlink" Target="https://maps.app.goo.gl/xCYqVu33v8EeHj3x7"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421"/>
  <sheetViews>
    <sheetView tabSelected="1" view="pageBreakPreview" topLeftCell="B236" zoomScaleNormal="100" zoomScaleSheetLayoutView="100" zoomScalePageLayoutView="85" workbookViewId="0">
      <selection activeCell="J248" sqref="J248"/>
    </sheetView>
  </sheetViews>
  <sheetFormatPr defaultColWidth="9.1796875" defaultRowHeight="15.5" x14ac:dyDescent="0.3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8" width="11" style="37" customWidth="1"/>
    <col min="9" max="9" width="17.453125" style="18" customWidth="1"/>
    <col min="10" max="10" width="11.453125" style="18" customWidth="1"/>
    <col min="11" max="11" width="10.5429687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175" t="s">
        <v>163</v>
      </c>
      <c r="B1" s="175"/>
      <c r="C1" s="175"/>
      <c r="D1" s="175"/>
      <c r="E1" s="175"/>
      <c r="F1" s="175"/>
      <c r="G1" s="175"/>
      <c r="H1" s="175"/>
    </row>
    <row r="2" spans="1:26" ht="16.5" customHeight="1" x14ac:dyDescent="0.35">
      <c r="A2" s="130" t="s">
        <v>0</v>
      </c>
      <c r="B2" s="130"/>
      <c r="C2" s="130"/>
      <c r="D2" s="130"/>
      <c r="E2" s="130"/>
      <c r="F2" s="130"/>
      <c r="G2" s="130"/>
      <c r="H2" s="130"/>
    </row>
    <row r="3" spans="1:26" x14ac:dyDescent="0.35">
      <c r="A3" s="156" t="s">
        <v>1</v>
      </c>
      <c r="B3" s="156"/>
      <c r="C3" s="156"/>
      <c r="D3" s="156"/>
      <c r="E3" s="156" t="str">
        <f ca="1">TEXT(TODAY(),"DD/MM/YYYY")</f>
        <v>26/09/2025</v>
      </c>
      <c r="F3" s="156"/>
      <c r="G3" s="156"/>
      <c r="H3" s="156"/>
      <c r="K3" s="46" t="s">
        <v>237</v>
      </c>
      <c r="L3" s="44" t="s">
        <v>235</v>
      </c>
      <c r="M3" s="44" t="s">
        <v>240</v>
      </c>
      <c r="N3" s="44" t="s">
        <v>238</v>
      </c>
      <c r="O3" s="44" t="s">
        <v>342</v>
      </c>
      <c r="P3" s="44" t="s">
        <v>241</v>
      </c>
    </row>
    <row r="4" spans="1:26" ht="15" customHeight="1" x14ac:dyDescent="0.35">
      <c r="A4" s="156" t="s">
        <v>234</v>
      </c>
      <c r="B4" s="156"/>
      <c r="C4" s="156"/>
      <c r="D4" s="156"/>
      <c r="E4" s="169" t="s">
        <v>235</v>
      </c>
      <c r="F4" s="169"/>
      <c r="G4" s="169"/>
      <c r="H4" s="169"/>
      <c r="K4" s="43" t="s">
        <v>236</v>
      </c>
      <c r="L4" s="44" t="s">
        <v>169</v>
      </c>
      <c r="M4" s="44" t="s">
        <v>245</v>
      </c>
      <c r="N4" s="44" t="s">
        <v>247</v>
      </c>
      <c r="O4" s="44" t="s">
        <v>343</v>
      </c>
      <c r="P4" s="44"/>
    </row>
    <row r="5" spans="1:26" ht="15" customHeight="1" x14ac:dyDescent="0.35">
      <c r="A5" s="156" t="s">
        <v>2</v>
      </c>
      <c r="B5" s="156"/>
      <c r="C5" s="156"/>
      <c r="D5" s="156"/>
      <c r="E5" s="169" t="s">
        <v>169</v>
      </c>
      <c r="F5" s="169"/>
      <c r="G5" s="169"/>
      <c r="H5" s="169"/>
      <c r="K5" s="43"/>
      <c r="L5" s="44" t="s">
        <v>242</v>
      </c>
      <c r="M5" s="44" t="s">
        <v>246</v>
      </c>
      <c r="N5" s="44" t="s">
        <v>248</v>
      </c>
      <c r="O5" s="44" t="s">
        <v>344</v>
      </c>
      <c r="P5" s="44"/>
    </row>
    <row r="6" spans="1:26" x14ac:dyDescent="0.35">
      <c r="A6" s="156" t="s">
        <v>3</v>
      </c>
      <c r="B6" s="156"/>
      <c r="C6" s="156"/>
      <c r="D6" s="156"/>
      <c r="E6" s="177">
        <v>45890</v>
      </c>
      <c r="F6" s="156"/>
      <c r="G6" s="156"/>
      <c r="H6" s="156"/>
      <c r="K6" s="43"/>
      <c r="L6" s="44" t="s">
        <v>243</v>
      </c>
      <c r="M6" s="44"/>
      <c r="N6" s="44"/>
      <c r="O6" s="44" t="s">
        <v>345</v>
      </c>
      <c r="P6" s="44"/>
    </row>
    <row r="7" spans="1:26" ht="16.5" customHeight="1" x14ac:dyDescent="0.35">
      <c r="A7" s="156" t="s">
        <v>4</v>
      </c>
      <c r="B7" s="156"/>
      <c r="C7" s="156"/>
      <c r="D7" s="156"/>
      <c r="E7" s="156" t="s">
        <v>350</v>
      </c>
      <c r="F7" s="156"/>
      <c r="G7" s="156"/>
      <c r="H7" s="156"/>
      <c r="K7" s="43"/>
      <c r="L7" s="44" t="s">
        <v>244</v>
      </c>
      <c r="M7" s="44"/>
      <c r="N7" s="44"/>
      <c r="O7" s="44" t="s">
        <v>345</v>
      </c>
      <c r="P7" s="44"/>
    </row>
    <row r="8" spans="1:26" ht="15" customHeight="1" x14ac:dyDescent="0.35">
      <c r="A8" s="156" t="s">
        <v>5</v>
      </c>
      <c r="B8" s="156"/>
      <c r="C8" s="156"/>
      <c r="D8" s="156"/>
      <c r="E8" s="156" t="str">
        <f>E7</f>
        <v>Arkade Developers Limited</v>
      </c>
      <c r="F8" s="156"/>
      <c r="G8" s="156"/>
      <c r="H8" s="156"/>
      <c r="K8" s="43"/>
      <c r="L8" s="44"/>
      <c r="M8" s="44"/>
      <c r="N8" s="44"/>
      <c r="O8" s="44" t="s">
        <v>346</v>
      </c>
      <c r="P8" s="44"/>
    </row>
    <row r="9" spans="1:26" x14ac:dyDescent="0.35">
      <c r="A9" s="156" t="s">
        <v>6</v>
      </c>
      <c r="B9" s="156"/>
      <c r="C9" s="156"/>
      <c r="D9" s="156"/>
      <c r="E9" s="176" t="s">
        <v>351</v>
      </c>
      <c r="F9" s="176"/>
      <c r="G9" s="176"/>
      <c r="H9" s="176"/>
      <c r="K9" s="43"/>
      <c r="L9" s="44"/>
      <c r="M9" s="44"/>
      <c r="N9" s="44"/>
      <c r="O9" s="44" t="s">
        <v>347</v>
      </c>
      <c r="P9" s="44"/>
    </row>
    <row r="10" spans="1:26" x14ac:dyDescent="0.35">
      <c r="A10" s="169" t="s">
        <v>166</v>
      </c>
      <c r="B10" s="169"/>
      <c r="C10" s="169"/>
      <c r="D10" s="169"/>
      <c r="E10" s="169" t="s">
        <v>407</v>
      </c>
      <c r="F10" s="169"/>
      <c r="G10" s="169"/>
      <c r="H10" s="169"/>
      <c r="K10" s="43"/>
      <c r="L10" s="44"/>
      <c r="M10" s="44"/>
      <c r="N10" s="44"/>
      <c r="O10" s="44" t="s">
        <v>348</v>
      </c>
      <c r="P10" s="44"/>
    </row>
    <row r="11" spans="1:26" x14ac:dyDescent="0.35">
      <c r="A11" s="156" t="s">
        <v>167</v>
      </c>
      <c r="B11" s="156"/>
      <c r="C11" s="156"/>
      <c r="D11" s="156"/>
      <c r="E11" s="169" t="s">
        <v>418</v>
      </c>
      <c r="F11" s="169"/>
      <c r="G11" s="169"/>
      <c r="H11" s="169"/>
      <c r="O11" s="44" t="s">
        <v>349</v>
      </c>
    </row>
    <row r="12" spans="1:26" ht="31.5" customHeight="1" x14ac:dyDescent="0.35">
      <c r="A12" s="156" t="s">
        <v>7</v>
      </c>
      <c r="B12" s="156"/>
      <c r="C12" s="156"/>
      <c r="D12" s="156"/>
      <c r="E12" s="145" t="s">
        <v>415</v>
      </c>
      <c r="F12" s="145"/>
      <c r="G12" s="145"/>
      <c r="H12" s="145"/>
    </row>
    <row r="13" spans="1:26" x14ac:dyDescent="0.35">
      <c r="A13" s="156" t="s">
        <v>170</v>
      </c>
      <c r="B13" s="156"/>
      <c r="C13" s="156"/>
      <c r="D13" s="156"/>
      <c r="E13" s="145" t="s">
        <v>404</v>
      </c>
      <c r="F13" s="145"/>
      <c r="G13" s="145"/>
      <c r="H13" s="145"/>
      <c r="S13" s="44" t="s">
        <v>179</v>
      </c>
      <c r="T13" s="44" t="s">
        <v>188</v>
      </c>
      <c r="U13" s="44" t="s">
        <v>171</v>
      </c>
      <c r="V13" s="44" t="s">
        <v>193</v>
      </c>
      <c r="W13" s="44" t="s">
        <v>211</v>
      </c>
      <c r="X13"/>
      <c r="Y13" t="s">
        <v>193</v>
      </c>
      <c r="Z13" t="e">
        <f ca="1">OFFSET($S$13,1,MATCH($G20,$S$13:$W$13,0)-1,15,1)</f>
        <v>#VALUE!</v>
      </c>
    </row>
    <row r="14" spans="1:26" x14ac:dyDescent="0.35">
      <c r="A14" s="93" t="s">
        <v>280</v>
      </c>
      <c r="B14" s="93"/>
      <c r="C14" s="93"/>
      <c r="D14" s="93"/>
      <c r="E14" s="150" t="s">
        <v>226</v>
      </c>
      <c r="F14" s="150"/>
      <c r="G14" s="150"/>
      <c r="H14" s="150"/>
      <c r="S14" s="44" t="s">
        <v>179</v>
      </c>
      <c r="T14" s="44" t="s">
        <v>186</v>
      </c>
      <c r="U14" s="44" t="s">
        <v>208</v>
      </c>
      <c r="V14" s="44" t="s">
        <v>194</v>
      </c>
      <c r="W14" s="44" t="s">
        <v>212</v>
      </c>
      <c r="X14"/>
      <c r="Y14"/>
      <c r="Z14"/>
    </row>
    <row r="15" spans="1:26" ht="30.75" customHeight="1" x14ac:dyDescent="0.35">
      <c r="A15" s="93" t="s">
        <v>8</v>
      </c>
      <c r="B15" s="93"/>
      <c r="C15" s="93"/>
      <c r="D15" s="93"/>
      <c r="E15" s="150" t="s">
        <v>352</v>
      </c>
      <c r="F15" s="169"/>
      <c r="G15" s="169"/>
      <c r="H15" s="169"/>
      <c r="I15" s="195" t="e">
        <f ca="1">OFFSET($D$5,1,MATCH($J13,$D$5:$H$5,0)-1,15,1)</f>
        <v>#N/A</v>
      </c>
      <c r="J15" s="196"/>
      <c r="K15" s="196"/>
      <c r="L15" s="196"/>
      <c r="M15" s="196"/>
      <c r="N15" s="196"/>
      <c r="O15" s="196"/>
      <c r="P15" s="196"/>
      <c r="S15" s="44" t="s">
        <v>180</v>
      </c>
      <c r="T15" s="44" t="s">
        <v>187</v>
      </c>
      <c r="U15" s="44" t="s">
        <v>209</v>
      </c>
      <c r="V15" s="44" t="s">
        <v>195</v>
      </c>
      <c r="W15" s="44" t="s">
        <v>225</v>
      </c>
      <c r="X15"/>
      <c r="Y15"/>
      <c r="Z15"/>
    </row>
    <row r="16" spans="1:26" ht="48.75" customHeight="1" x14ac:dyDescent="0.35">
      <c r="A16" s="155" t="s">
        <v>9</v>
      </c>
      <c r="B16" s="155"/>
      <c r="C16" s="155" t="str">
        <f>CONCATENATE((IF(OR(E9="",E9="NA"),"",E9)),", ",(IF(OR(A17="",A17="NA"),"",A17)),".",(IF(OR(C17="",C17="NA"),"",C17)),", near ",(IF(OR(C22="",C22="NA"),"",C22)),", ",(IF(OR(C19="",C19="NA"),"",C19)),", ",(IF(OR(C18="",C18="NA"),"",C18)),", ",(IF(OR(G19="",G19="NA"),"",G19)),", ",(IF(OR(C20="",C20="NA"),"",C20)),", ",(IF(OR(C21="",C21="NA"),"",C21)),", ",(IF(OR(G20="",G20="NA"),"",G20))," - ",(IF(OR(G21="",G21="NA"),"",G21)),".")</f>
        <v>Arkade Pearl 1 and 2, CTS No.418/D &amp; Redevelopement of "Prachi CHS", near Parle Staff Colony, Shahaji Raje Road, Vishnu Prasad Society, Vile Parle, Vile Parle East, Mumbai, Mumbai - 400057.</v>
      </c>
      <c r="D16" s="155"/>
      <c r="E16" s="155"/>
      <c r="F16" s="155"/>
      <c r="G16" s="155"/>
      <c r="H16" s="155"/>
      <c r="S16" s="44" t="s">
        <v>181</v>
      </c>
      <c r="T16" s="44" t="s">
        <v>189</v>
      </c>
      <c r="U16" s="44" t="s">
        <v>210</v>
      </c>
      <c r="V16" s="44" t="s">
        <v>196</v>
      </c>
      <c r="W16" s="44" t="s">
        <v>213</v>
      </c>
      <c r="X16"/>
      <c r="Y16"/>
      <c r="Z16"/>
    </row>
    <row r="17" spans="1:26" x14ac:dyDescent="0.35">
      <c r="A17" s="150" t="s">
        <v>174</v>
      </c>
      <c r="B17" s="150"/>
      <c r="C17" s="150" t="s">
        <v>408</v>
      </c>
      <c r="D17" s="150"/>
      <c r="E17" s="150"/>
      <c r="F17" s="150"/>
      <c r="G17" s="150"/>
      <c r="H17" s="150"/>
      <c r="S17" s="44" t="s">
        <v>182</v>
      </c>
      <c r="T17" s="44" t="s">
        <v>190</v>
      </c>
      <c r="U17" s="44" t="s">
        <v>171</v>
      </c>
      <c r="V17" s="44" t="s">
        <v>197</v>
      </c>
      <c r="W17" s="44" t="s">
        <v>214</v>
      </c>
      <c r="X17"/>
      <c r="Y17"/>
      <c r="Z17"/>
    </row>
    <row r="18" spans="1:26" ht="15.75" customHeight="1" x14ac:dyDescent="0.35">
      <c r="A18" s="145" t="s">
        <v>161</v>
      </c>
      <c r="B18" s="145"/>
      <c r="C18" s="145" t="s">
        <v>356</v>
      </c>
      <c r="D18" s="145"/>
      <c r="E18" s="145"/>
      <c r="F18" s="145"/>
      <c r="G18" s="145"/>
      <c r="H18" s="145"/>
      <c r="S18" s="44" t="s">
        <v>183</v>
      </c>
      <c r="T18" s="44" t="s">
        <v>188</v>
      </c>
      <c r="U18" s="44"/>
      <c r="V18" s="44" t="s">
        <v>198</v>
      </c>
      <c r="W18" s="44" t="s">
        <v>215</v>
      </c>
      <c r="X18"/>
      <c r="Y18"/>
      <c r="Z18"/>
    </row>
    <row r="19" spans="1:26" ht="15.75" customHeight="1" x14ac:dyDescent="0.35">
      <c r="A19" s="155" t="s">
        <v>10</v>
      </c>
      <c r="B19" s="155"/>
      <c r="C19" s="156" t="s">
        <v>355</v>
      </c>
      <c r="D19" s="156"/>
      <c r="E19" s="155" t="s">
        <v>68</v>
      </c>
      <c r="F19" s="155"/>
      <c r="G19" s="145" t="s">
        <v>353</v>
      </c>
      <c r="H19" s="145"/>
      <c r="S19" s="44" t="s">
        <v>184</v>
      </c>
      <c r="T19" s="44" t="s">
        <v>191</v>
      </c>
      <c r="U19" s="44"/>
      <c r="V19" s="44" t="s">
        <v>199</v>
      </c>
      <c r="W19" s="44" t="s">
        <v>216</v>
      </c>
      <c r="X19"/>
      <c r="Y19"/>
      <c r="Z19"/>
    </row>
    <row r="20" spans="1:26" x14ac:dyDescent="0.35">
      <c r="A20" s="93" t="s">
        <v>12</v>
      </c>
      <c r="B20" s="93"/>
      <c r="C20" s="145" t="s">
        <v>354</v>
      </c>
      <c r="D20" s="145"/>
      <c r="E20" s="155" t="s">
        <v>11</v>
      </c>
      <c r="F20" s="155"/>
      <c r="G20" s="200" t="s">
        <v>171</v>
      </c>
      <c r="H20" s="200"/>
      <c r="S20" s="44" t="s">
        <v>185</v>
      </c>
      <c r="T20" s="44" t="s">
        <v>192</v>
      </c>
      <c r="U20" s="44"/>
      <c r="V20" s="44" t="s">
        <v>200</v>
      </c>
      <c r="W20" s="44" t="s">
        <v>217</v>
      </c>
      <c r="X20"/>
      <c r="Y20"/>
      <c r="Z20"/>
    </row>
    <row r="21" spans="1:26" x14ac:dyDescent="0.35">
      <c r="A21" s="93" t="s">
        <v>69</v>
      </c>
      <c r="B21" s="93"/>
      <c r="C21" s="150" t="s">
        <v>171</v>
      </c>
      <c r="D21" s="150"/>
      <c r="E21" s="155" t="s">
        <v>13</v>
      </c>
      <c r="F21" s="155"/>
      <c r="G21" s="145">
        <v>400057</v>
      </c>
      <c r="H21" s="145"/>
      <c r="S21" s="44"/>
      <c r="T21" s="44"/>
      <c r="U21" s="44"/>
      <c r="V21" s="44" t="s">
        <v>201</v>
      </c>
      <c r="W21" s="44" t="s">
        <v>218</v>
      </c>
      <c r="X21"/>
      <c r="Y21"/>
      <c r="Z21"/>
    </row>
    <row r="22" spans="1:26" ht="32.25" customHeight="1" x14ac:dyDescent="0.35">
      <c r="A22" s="93" t="s">
        <v>118</v>
      </c>
      <c r="B22" s="93"/>
      <c r="C22" s="145" t="s">
        <v>357</v>
      </c>
      <c r="D22" s="145"/>
      <c r="E22" s="155" t="s">
        <v>14</v>
      </c>
      <c r="F22" s="155"/>
      <c r="G22" s="150" t="s">
        <v>360</v>
      </c>
      <c r="H22" s="150"/>
      <c r="S22" s="44"/>
      <c r="T22" s="44"/>
      <c r="U22" s="44"/>
      <c r="V22" s="44" t="s">
        <v>202</v>
      </c>
      <c r="W22" s="44" t="s">
        <v>219</v>
      </c>
      <c r="X22"/>
      <c r="Y22"/>
      <c r="Z22"/>
    </row>
    <row r="23" spans="1:26" ht="15" customHeight="1" x14ac:dyDescent="0.35">
      <c r="A23" s="155" t="s">
        <v>71</v>
      </c>
      <c r="B23" s="155"/>
      <c r="C23" s="155"/>
      <c r="D23" s="155"/>
      <c r="E23" s="156" t="s">
        <v>15</v>
      </c>
      <c r="F23" s="156"/>
      <c r="G23" s="156"/>
      <c r="H23" s="156"/>
      <c r="S23" s="44"/>
      <c r="T23" s="44"/>
      <c r="U23" s="44"/>
      <c r="V23" s="44" t="s">
        <v>203</v>
      </c>
      <c r="W23" s="44" t="s">
        <v>220</v>
      </c>
      <c r="X23"/>
      <c r="Y23"/>
      <c r="Z23"/>
    </row>
    <row r="24" spans="1:26" ht="18.75" customHeight="1" x14ac:dyDescent="0.35">
      <c r="A24" s="155"/>
      <c r="B24" s="155"/>
      <c r="C24" s="155"/>
      <c r="D24" s="155"/>
      <c r="E24" s="156"/>
      <c r="F24" s="156"/>
      <c r="G24" s="156"/>
      <c r="H24" s="156"/>
      <c r="S24" s="44"/>
      <c r="T24" s="44"/>
      <c r="U24" s="44"/>
      <c r="V24" s="44" t="s">
        <v>204</v>
      </c>
      <c r="W24" s="44" t="s">
        <v>221</v>
      </c>
      <c r="X24"/>
      <c r="Y24"/>
      <c r="Z24"/>
    </row>
    <row r="25" spans="1:26" ht="15" customHeight="1" x14ac:dyDescent="0.35">
      <c r="A25" s="155" t="s">
        <v>16</v>
      </c>
      <c r="B25" s="155"/>
      <c r="C25" s="155"/>
      <c r="D25" s="155"/>
      <c r="E25" s="145" t="s">
        <v>17</v>
      </c>
      <c r="F25" s="145"/>
      <c r="G25" s="145"/>
      <c r="H25" s="145"/>
      <c r="S25" s="44"/>
      <c r="T25" s="44"/>
      <c r="U25" s="44"/>
      <c r="V25" s="44" t="s">
        <v>205</v>
      </c>
      <c r="W25" s="44" t="s">
        <v>222</v>
      </c>
      <c r="X25"/>
      <c r="Y25"/>
      <c r="Z25"/>
    </row>
    <row r="26" spans="1:26" ht="15" customHeight="1" x14ac:dyDescent="0.35">
      <c r="A26" s="93" t="s">
        <v>18</v>
      </c>
      <c r="B26" s="93"/>
      <c r="C26" s="93"/>
      <c r="D26" s="93"/>
      <c r="E26" s="145" t="str">
        <f>IF(AND(G20="Mumbai"),"Upper Class","Middle Class")</f>
        <v>Upper Class</v>
      </c>
      <c r="F26" s="145"/>
      <c r="G26" s="145"/>
      <c r="H26" s="145"/>
      <c r="S26" s="44"/>
      <c r="T26" s="44"/>
      <c r="U26" s="44"/>
      <c r="V26" s="44" t="s">
        <v>206</v>
      </c>
      <c r="W26" s="44" t="s">
        <v>223</v>
      </c>
      <c r="X26"/>
      <c r="Y26"/>
      <c r="Z26"/>
    </row>
    <row r="27" spans="1:26" x14ac:dyDescent="0.35">
      <c r="A27" s="93" t="s">
        <v>19</v>
      </c>
      <c r="B27" s="93"/>
      <c r="C27" s="93"/>
      <c r="D27" s="93"/>
      <c r="E27" s="145" t="s">
        <v>20</v>
      </c>
      <c r="F27" s="145"/>
      <c r="G27" s="145"/>
      <c r="H27" s="145"/>
      <c r="S27" s="44"/>
      <c r="T27" s="44"/>
      <c r="U27" s="44"/>
      <c r="V27" s="44" t="s">
        <v>207</v>
      </c>
      <c r="W27" s="44" t="s">
        <v>224</v>
      </c>
      <c r="X27"/>
      <c r="Y27"/>
      <c r="Z27"/>
    </row>
    <row r="28" spans="1:26" ht="15.75" customHeight="1" x14ac:dyDescent="0.35">
      <c r="A28" s="93" t="s">
        <v>21</v>
      </c>
      <c r="B28" s="93"/>
      <c r="C28" s="93"/>
      <c r="D28" s="93"/>
      <c r="E28" s="145" t="str">
        <f>IF(AND(G20="Mumbai"),"Developed","Developing")</f>
        <v>Developed</v>
      </c>
      <c r="F28" s="145"/>
      <c r="G28" s="145"/>
      <c r="H28" s="145"/>
    </row>
    <row r="29" spans="1:26" x14ac:dyDescent="0.35">
      <c r="A29" s="93" t="s">
        <v>22</v>
      </c>
      <c r="B29" s="93"/>
      <c r="C29" s="93"/>
      <c r="D29" s="93"/>
      <c r="E29" s="145" t="s">
        <v>23</v>
      </c>
      <c r="F29" s="145"/>
      <c r="G29" s="145"/>
      <c r="H29" s="145"/>
    </row>
    <row r="30" spans="1:26" ht="15.75" customHeight="1" x14ac:dyDescent="0.35">
      <c r="A30" s="93" t="s">
        <v>76</v>
      </c>
      <c r="B30" s="93"/>
      <c r="C30" s="93"/>
      <c r="D30" s="93"/>
      <c r="E30" s="145" t="s">
        <v>77</v>
      </c>
      <c r="F30" s="145"/>
      <c r="G30" s="145"/>
      <c r="H30" s="145"/>
    </row>
    <row r="31" spans="1:26" ht="15" customHeight="1" x14ac:dyDescent="0.35">
      <c r="A31" s="93" t="s">
        <v>30</v>
      </c>
      <c r="B31" s="93"/>
      <c r="C31" s="93"/>
      <c r="D31" s="93"/>
      <c r="E31" s="145"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45"/>
      <c r="G31" s="145"/>
      <c r="H31" s="145"/>
    </row>
    <row r="32" spans="1:26" ht="15.75" customHeight="1" x14ac:dyDescent="0.35">
      <c r="A32" s="93" t="s">
        <v>87</v>
      </c>
      <c r="B32" s="93"/>
      <c r="C32" s="93"/>
      <c r="D32" s="93"/>
      <c r="E32" s="145" t="s">
        <v>31</v>
      </c>
      <c r="F32" s="145"/>
      <c r="G32" s="145"/>
      <c r="H32" s="145"/>
    </row>
    <row r="33" spans="1:19" s="19" customFormat="1" x14ac:dyDescent="0.35">
      <c r="A33" s="174" t="s">
        <v>88</v>
      </c>
      <c r="B33" s="174"/>
      <c r="C33" s="173" t="s">
        <v>172</v>
      </c>
      <c r="D33" s="173"/>
      <c r="E33" s="173"/>
      <c r="F33" s="173" t="s">
        <v>29</v>
      </c>
      <c r="G33" s="173"/>
      <c r="H33" s="173"/>
      <c r="S33" s="19" t="e">
        <f ca="1">OFFSET($S$13,1,MATCH($G20,$S$13:$W$13,0)-1,15,1)</f>
        <v>#VALUE!</v>
      </c>
    </row>
    <row r="34" spans="1:19" s="19" customFormat="1" x14ac:dyDescent="0.35">
      <c r="A34" s="158" t="s">
        <v>24</v>
      </c>
      <c r="B34" s="158" t="s">
        <v>28</v>
      </c>
      <c r="C34" s="159" t="s">
        <v>376</v>
      </c>
      <c r="D34" s="159"/>
      <c r="E34" s="159"/>
      <c r="F34" s="159" t="s">
        <v>370</v>
      </c>
      <c r="G34" s="159"/>
      <c r="H34" s="159"/>
    </row>
    <row r="35" spans="1:19" x14ac:dyDescent="0.35">
      <c r="A35" s="158" t="s">
        <v>25</v>
      </c>
      <c r="B35" s="158" t="s">
        <v>28</v>
      </c>
      <c r="C35" s="159" t="s">
        <v>373</v>
      </c>
      <c r="D35" s="159"/>
      <c r="E35" s="159"/>
      <c r="F35" s="159" t="s">
        <v>409</v>
      </c>
      <c r="G35" s="159"/>
      <c r="H35" s="159"/>
    </row>
    <row r="36" spans="1:19" s="19" customFormat="1" x14ac:dyDescent="0.35">
      <c r="A36" s="158" t="s">
        <v>27</v>
      </c>
      <c r="B36" s="158" t="s">
        <v>28</v>
      </c>
      <c r="C36" s="159" t="s">
        <v>374</v>
      </c>
      <c r="D36" s="159"/>
      <c r="E36" s="159"/>
      <c r="F36" s="159" t="s">
        <v>371</v>
      </c>
      <c r="G36" s="159"/>
      <c r="H36" s="159"/>
    </row>
    <row r="37" spans="1:19" x14ac:dyDescent="0.35">
      <c r="A37" s="158" t="s">
        <v>26</v>
      </c>
      <c r="B37" s="158" t="s">
        <v>28</v>
      </c>
      <c r="C37" s="159" t="s">
        <v>375</v>
      </c>
      <c r="D37" s="159"/>
      <c r="E37" s="159"/>
      <c r="F37" s="159" t="s">
        <v>372</v>
      </c>
      <c r="G37" s="159"/>
      <c r="H37" s="159"/>
    </row>
    <row r="38" spans="1:19" x14ac:dyDescent="0.35">
      <c r="A38" s="93" t="s">
        <v>281</v>
      </c>
      <c r="B38" s="93"/>
      <c r="C38" s="93"/>
      <c r="D38" s="93"/>
      <c r="E38" s="93"/>
      <c r="F38" s="93"/>
      <c r="G38" s="93"/>
      <c r="H38" s="93"/>
    </row>
    <row r="39" spans="1:19" ht="15.75" customHeight="1" x14ac:dyDescent="0.35">
      <c r="A39" s="93" t="s">
        <v>164</v>
      </c>
      <c r="B39" s="93"/>
      <c r="C39" s="129" t="s">
        <v>358</v>
      </c>
      <c r="D39" s="129"/>
      <c r="E39" s="129"/>
      <c r="F39" s="129"/>
      <c r="G39" s="129"/>
      <c r="H39" s="129"/>
    </row>
    <row r="40" spans="1:19" x14ac:dyDescent="0.35">
      <c r="A40" s="93" t="s">
        <v>160</v>
      </c>
      <c r="B40" s="93"/>
      <c r="C40" s="144" t="s">
        <v>359</v>
      </c>
      <c r="D40" s="145"/>
      <c r="E40" s="145"/>
      <c r="F40" s="145"/>
      <c r="G40" s="145"/>
      <c r="H40" s="145"/>
    </row>
    <row r="41" spans="1:19" x14ac:dyDescent="0.35">
      <c r="A41" s="129" t="s">
        <v>32</v>
      </c>
      <c r="B41" s="129"/>
      <c r="C41" s="129"/>
      <c r="D41" s="129"/>
      <c r="E41" s="129"/>
      <c r="F41" s="129"/>
      <c r="G41" s="129"/>
      <c r="H41" s="129"/>
    </row>
    <row r="42" spans="1:19" x14ac:dyDescent="0.35">
      <c r="A42" s="93" t="s">
        <v>33</v>
      </c>
      <c r="B42" s="93"/>
      <c r="C42" s="93"/>
      <c r="D42" s="93"/>
      <c r="E42" s="160">
        <v>3908.08</v>
      </c>
      <c r="F42" s="160"/>
      <c r="G42" s="160"/>
      <c r="H42" s="160"/>
    </row>
    <row r="43" spans="1:19" x14ac:dyDescent="0.35">
      <c r="A43" s="93" t="s">
        <v>34</v>
      </c>
      <c r="B43" s="93"/>
      <c r="C43" s="93"/>
      <c r="D43" s="93"/>
      <c r="E43" s="167">
        <f>3908.08/E42</f>
        <v>1</v>
      </c>
      <c r="F43" s="167"/>
      <c r="G43" s="167"/>
      <c r="H43" s="167"/>
    </row>
    <row r="44" spans="1:19" x14ac:dyDescent="0.35">
      <c r="A44" s="93" t="s">
        <v>35</v>
      </c>
      <c r="B44" s="93"/>
      <c r="C44" s="93"/>
      <c r="D44" s="93"/>
      <c r="E44" s="167">
        <f>E46/E42-E43</f>
        <v>2.0403599721602421</v>
      </c>
      <c r="F44" s="167"/>
      <c r="G44" s="167"/>
      <c r="H44" s="167"/>
    </row>
    <row r="45" spans="1:19" x14ac:dyDescent="0.35">
      <c r="A45" s="93" t="s">
        <v>36</v>
      </c>
      <c r="B45" s="93"/>
      <c r="C45" s="93"/>
      <c r="D45" s="93"/>
      <c r="E45" s="167">
        <f>E43+E44</f>
        <v>3.0403599721602421</v>
      </c>
      <c r="F45" s="167"/>
      <c r="G45" s="167"/>
      <c r="H45" s="167"/>
    </row>
    <row r="46" spans="1:19" x14ac:dyDescent="0.35">
      <c r="A46" s="93" t="s">
        <v>86</v>
      </c>
      <c r="B46" s="93"/>
      <c r="C46" s="93"/>
      <c r="D46" s="93"/>
      <c r="E46" s="168">
        <v>11881.97</v>
      </c>
      <c r="F46" s="168"/>
      <c r="G46" s="168"/>
      <c r="H46" s="168"/>
    </row>
    <row r="47" spans="1:19" x14ac:dyDescent="0.35">
      <c r="A47" s="156" t="s">
        <v>37</v>
      </c>
      <c r="B47" s="156"/>
      <c r="C47" s="156"/>
      <c r="D47" s="156"/>
      <c r="E47" s="169" t="s">
        <v>406</v>
      </c>
      <c r="F47" s="169"/>
      <c r="G47" s="169"/>
      <c r="H47" s="169"/>
    </row>
    <row r="48" spans="1:19" x14ac:dyDescent="0.35">
      <c r="A48" s="129" t="s">
        <v>38</v>
      </c>
      <c r="B48" s="129"/>
      <c r="C48" s="129"/>
      <c r="D48" s="129"/>
      <c r="E48" s="129"/>
      <c r="F48" s="129"/>
      <c r="G48" s="129"/>
      <c r="H48" s="129"/>
    </row>
    <row r="49" spans="1:24" ht="33.75" customHeight="1" x14ac:dyDescent="0.35">
      <c r="A49" s="161" t="s">
        <v>150</v>
      </c>
      <c r="B49" s="163"/>
      <c r="C49" s="170" t="s">
        <v>256</v>
      </c>
      <c r="D49" s="171"/>
      <c r="E49" s="171"/>
      <c r="F49" s="171"/>
      <c r="G49" s="171"/>
      <c r="H49" s="172"/>
      <c r="R49" t="s">
        <v>254</v>
      </c>
      <c r="S49" s="47" t="s">
        <v>171</v>
      </c>
      <c r="T49" s="47" t="s">
        <v>179</v>
      </c>
      <c r="U49" s="47" t="s">
        <v>193</v>
      </c>
      <c r="V49" s="47" t="s">
        <v>188</v>
      </c>
    </row>
    <row r="50" spans="1:24" ht="30.75" customHeight="1" x14ac:dyDescent="0.35">
      <c r="A50" s="161" t="s">
        <v>362</v>
      </c>
      <c r="B50" s="163"/>
      <c r="C50" s="161" t="s">
        <v>424</v>
      </c>
      <c r="D50" s="162"/>
      <c r="E50" s="163"/>
      <c r="F50" s="15" t="s">
        <v>39</v>
      </c>
      <c r="G50" s="164">
        <v>45572</v>
      </c>
      <c r="H50" s="163"/>
      <c r="R50"/>
      <c r="S50" s="47" t="s">
        <v>255</v>
      </c>
      <c r="T50" s="47" t="s">
        <v>260</v>
      </c>
      <c r="U50" s="47" t="s">
        <v>271</v>
      </c>
      <c r="V50" s="47" t="s">
        <v>276</v>
      </c>
    </row>
    <row r="51" spans="1:24" ht="30.75" customHeight="1" x14ac:dyDescent="0.35">
      <c r="A51" s="161" t="s">
        <v>361</v>
      </c>
      <c r="B51" s="163"/>
      <c r="C51" s="161" t="str">
        <f>C50</f>
        <v>P-2926/2019/(418A And Other)/K/E Ward/VILE PARLE</v>
      </c>
      <c r="D51" s="162"/>
      <c r="E51" s="163"/>
      <c r="F51" s="15" t="s">
        <v>39</v>
      </c>
      <c r="G51" s="164">
        <f>G50</f>
        <v>45572</v>
      </c>
      <c r="H51" s="166"/>
      <c r="R51"/>
      <c r="S51" s="47" t="s">
        <v>256</v>
      </c>
      <c r="T51" s="47" t="s">
        <v>261</v>
      </c>
      <c r="U51" s="47" t="s">
        <v>269</v>
      </c>
      <c r="V51" s="47" t="s">
        <v>277</v>
      </c>
    </row>
    <row r="52" spans="1:24" s="67" customFormat="1" ht="51.75" customHeight="1" x14ac:dyDescent="0.35">
      <c r="A52" s="155" t="s">
        <v>410</v>
      </c>
      <c r="B52" s="155"/>
      <c r="C52" s="155" t="s">
        <v>419</v>
      </c>
      <c r="D52" s="155"/>
      <c r="E52" s="155"/>
      <c r="F52" s="15" t="s">
        <v>430</v>
      </c>
      <c r="G52" s="165" t="s">
        <v>431</v>
      </c>
      <c r="H52" s="165"/>
      <c r="R52" s="68"/>
      <c r="S52" s="48" t="s">
        <v>257</v>
      </c>
      <c r="T52" s="48" t="s">
        <v>262</v>
      </c>
      <c r="U52" s="48" t="s">
        <v>259</v>
      </c>
      <c r="V52" s="48" t="s">
        <v>278</v>
      </c>
    </row>
    <row r="53" spans="1:24" s="20" customFormat="1" ht="161.25" customHeight="1" x14ac:dyDescent="0.35">
      <c r="A53" s="155"/>
      <c r="B53" s="155"/>
      <c r="C53" s="161" t="s">
        <v>420</v>
      </c>
      <c r="D53" s="162"/>
      <c r="E53" s="162"/>
      <c r="F53" s="162"/>
      <c r="G53" s="162"/>
      <c r="H53" s="163"/>
      <c r="R53"/>
      <c r="S53" s="47" t="s">
        <v>258</v>
      </c>
      <c r="T53" s="47" t="s">
        <v>265</v>
      </c>
      <c r="U53" s="47" t="s">
        <v>272</v>
      </c>
      <c r="V53" s="63"/>
    </row>
    <row r="54" spans="1:24" s="20" customFormat="1" ht="33.75" customHeight="1" x14ac:dyDescent="0.35">
      <c r="A54" s="150" t="s">
        <v>282</v>
      </c>
      <c r="B54" s="150"/>
      <c r="C54" s="150" t="s">
        <v>368</v>
      </c>
      <c r="D54" s="150"/>
      <c r="E54" s="150"/>
      <c r="F54" s="73" t="s">
        <v>39</v>
      </c>
      <c r="G54" s="197">
        <v>43754</v>
      </c>
      <c r="H54" s="150"/>
      <c r="R54"/>
      <c r="S54" s="47" t="s">
        <v>257</v>
      </c>
      <c r="T54" s="47" t="s">
        <v>262</v>
      </c>
      <c r="U54" s="47" t="s">
        <v>259</v>
      </c>
      <c r="V54" s="47" t="s">
        <v>278</v>
      </c>
    </row>
    <row r="55" spans="1:24" s="20" customFormat="1" ht="32.25" customHeight="1" x14ac:dyDescent="0.35">
      <c r="A55" s="150"/>
      <c r="B55" s="150"/>
      <c r="C55" s="150" t="s">
        <v>369</v>
      </c>
      <c r="D55" s="150"/>
      <c r="E55" s="150"/>
      <c r="F55" s="150"/>
      <c r="G55" s="150"/>
      <c r="H55" s="150"/>
      <c r="R55"/>
      <c r="S55" s="47" t="s">
        <v>259</v>
      </c>
      <c r="T55" s="47" t="s">
        <v>263</v>
      </c>
      <c r="U55" s="47" t="s">
        <v>273</v>
      </c>
      <c r="V55" s="64"/>
      <c r="W55" s="18"/>
      <c r="X55" s="18"/>
    </row>
    <row r="56" spans="1:24" s="20" customFormat="1" ht="34.5" hidden="1" customHeight="1" x14ac:dyDescent="0.35">
      <c r="A56" s="198" t="s">
        <v>283</v>
      </c>
      <c r="B56" s="198"/>
      <c r="C56" s="155" t="str">
        <f>C55</f>
        <v>Wing A, B,C,D &amp; E. 4B + Gr + 1st to 8th upper residential
floors (Height of 26.40 mtrs)</v>
      </c>
      <c r="D56" s="155"/>
      <c r="E56" s="155"/>
      <c r="F56" s="15" t="s">
        <v>39</v>
      </c>
      <c r="G56" s="155">
        <f>G55</f>
        <v>0</v>
      </c>
      <c r="H56" s="155"/>
      <c r="R56"/>
      <c r="S56" s="64"/>
      <c r="T56" s="47" t="s">
        <v>264</v>
      </c>
      <c r="U56" s="47" t="s">
        <v>274</v>
      </c>
      <c r="V56" s="64"/>
      <c r="W56" s="18"/>
      <c r="X56" s="18"/>
    </row>
    <row r="57" spans="1:24" s="20" customFormat="1" ht="41.25" hidden="1" customHeight="1" x14ac:dyDescent="0.35">
      <c r="A57" s="198"/>
      <c r="B57" s="198"/>
      <c r="C57" s="155"/>
      <c r="D57" s="155"/>
      <c r="E57" s="155"/>
      <c r="F57" s="155"/>
      <c r="G57" s="155"/>
      <c r="H57" s="155"/>
      <c r="R57"/>
      <c r="S57" s="64"/>
      <c r="T57" s="47" t="s">
        <v>266</v>
      </c>
      <c r="U57" s="47" t="s">
        <v>275</v>
      </c>
      <c r="V57" s="64"/>
      <c r="W57" s="18"/>
      <c r="X57" s="18"/>
    </row>
    <row r="58" spans="1:24" s="20" customFormat="1" ht="15.75" customHeight="1" x14ac:dyDescent="0.35">
      <c r="A58" s="150" t="s">
        <v>432</v>
      </c>
      <c r="B58" s="150"/>
      <c r="C58" s="155" t="s">
        <v>367</v>
      </c>
      <c r="D58" s="155"/>
      <c r="E58" s="155"/>
      <c r="F58" s="15" t="s">
        <v>39</v>
      </c>
      <c r="G58" s="165">
        <v>43248</v>
      </c>
      <c r="H58" s="155"/>
      <c r="R58"/>
      <c r="S58" s="64"/>
      <c r="T58" s="47" t="s">
        <v>267</v>
      </c>
      <c r="U58" s="64" t="s">
        <v>297</v>
      </c>
      <c r="V58" s="64"/>
      <c r="W58" s="18"/>
      <c r="X58" s="18"/>
    </row>
    <row r="59" spans="1:24" s="20" customFormat="1" ht="33.75" customHeight="1" x14ac:dyDescent="0.35">
      <c r="A59" s="150"/>
      <c r="B59" s="150"/>
      <c r="C59" s="155" t="s">
        <v>411</v>
      </c>
      <c r="D59" s="155"/>
      <c r="E59" s="155"/>
      <c r="F59" s="15" t="s">
        <v>117</v>
      </c>
      <c r="G59" s="165">
        <v>46169</v>
      </c>
      <c r="H59" s="155"/>
      <c r="R59"/>
      <c r="S59" s="64"/>
      <c r="T59" s="47" t="s">
        <v>268</v>
      </c>
      <c r="U59" s="64"/>
      <c r="V59" s="64"/>
      <c r="W59" s="18"/>
      <c r="X59" s="18"/>
    </row>
    <row r="60" spans="1:24" x14ac:dyDescent="0.35">
      <c r="A60" s="199" t="s">
        <v>40</v>
      </c>
      <c r="B60" s="199"/>
      <c r="C60" s="199" t="s">
        <v>100</v>
      </c>
      <c r="D60" s="199"/>
      <c r="E60" s="199"/>
      <c r="F60" s="76" t="s">
        <v>39</v>
      </c>
      <c r="G60" s="157" t="s">
        <v>28</v>
      </c>
      <c r="H60" s="157"/>
      <c r="R60"/>
      <c r="S60" s="64"/>
      <c r="T60" s="47" t="s">
        <v>270</v>
      </c>
      <c r="U60" s="64"/>
      <c r="V60" s="64"/>
    </row>
    <row r="61" spans="1:24" x14ac:dyDescent="0.35">
      <c r="A61" s="186" t="s">
        <v>42</v>
      </c>
      <c r="B61" s="186"/>
      <c r="C61" s="186"/>
      <c r="D61" s="186"/>
      <c r="E61" s="186"/>
      <c r="F61" s="186"/>
      <c r="G61" s="186"/>
      <c r="H61" s="186"/>
      <c r="S61" s="64"/>
      <c r="T61" s="47" t="s">
        <v>279</v>
      </c>
      <c r="U61" s="64"/>
      <c r="V61" s="64"/>
    </row>
    <row r="62" spans="1:24" ht="31" customHeight="1" x14ac:dyDescent="0.35">
      <c r="A62" s="155" t="s">
        <v>429</v>
      </c>
      <c r="B62" s="155"/>
      <c r="C62" s="155"/>
      <c r="D62" s="93">
        <f>2444.26+1715.8+2757.44+2889.86</f>
        <v>9807.36</v>
      </c>
      <c r="E62" s="93"/>
      <c r="F62" s="93"/>
      <c r="G62" s="93"/>
      <c r="H62" s="93"/>
      <c r="R62"/>
    </row>
    <row r="63" spans="1:24" x14ac:dyDescent="0.35">
      <c r="A63" s="145" t="s">
        <v>43</v>
      </c>
      <c r="B63" s="156"/>
      <c r="C63" s="156"/>
      <c r="D63" s="156" t="s">
        <v>427</v>
      </c>
      <c r="E63" s="156"/>
      <c r="F63" s="156"/>
      <c r="G63" s="156"/>
      <c r="H63" s="156"/>
      <c r="I63" s="21"/>
      <c r="R63"/>
    </row>
    <row r="64" spans="1:24" x14ac:dyDescent="0.35">
      <c r="A64" s="145" t="s">
        <v>44</v>
      </c>
      <c r="B64" s="145"/>
      <c r="C64" s="145"/>
      <c r="D64" s="150" t="s">
        <v>394</v>
      </c>
      <c r="E64" s="169"/>
      <c r="F64" s="169"/>
      <c r="G64" s="169"/>
      <c r="H64" s="169"/>
      <c r="R64"/>
    </row>
    <row r="65" spans="1:19" ht="15.75" customHeight="1" x14ac:dyDescent="0.35">
      <c r="A65" s="145" t="s">
        <v>84</v>
      </c>
      <c r="B65" s="145"/>
      <c r="C65" s="145"/>
      <c r="D65" s="169" t="s">
        <v>421</v>
      </c>
      <c r="E65" s="169"/>
      <c r="F65" s="169"/>
      <c r="G65" s="169"/>
      <c r="H65" s="169"/>
      <c r="R65"/>
    </row>
    <row r="66" spans="1:19" ht="15.75" hidden="1" customHeight="1" x14ac:dyDescent="0.35">
      <c r="A66" s="145"/>
      <c r="B66" s="145"/>
      <c r="C66" s="145"/>
      <c r="D66" s="169" t="s">
        <v>392</v>
      </c>
      <c r="E66" s="169"/>
      <c r="F66" s="169"/>
      <c r="G66" s="169"/>
      <c r="H66" s="169"/>
      <c r="R66"/>
    </row>
    <row r="67" spans="1:19" ht="15.75" customHeight="1" x14ac:dyDescent="0.35">
      <c r="A67" s="145"/>
      <c r="B67" s="145"/>
      <c r="C67" s="145"/>
      <c r="D67" s="169" t="s">
        <v>393</v>
      </c>
      <c r="E67" s="169"/>
      <c r="F67" s="169"/>
      <c r="G67" s="169"/>
      <c r="H67" s="169"/>
      <c r="S67"/>
    </row>
    <row r="68" spans="1:19" ht="15.75" hidden="1" customHeight="1" x14ac:dyDescent="0.35">
      <c r="A68" s="145"/>
      <c r="B68" s="145"/>
      <c r="C68" s="145"/>
      <c r="D68" s="169" t="s">
        <v>393</v>
      </c>
      <c r="E68" s="169"/>
      <c r="F68" s="169"/>
      <c r="G68" s="169"/>
      <c r="H68" s="169"/>
      <c r="S68"/>
    </row>
    <row r="69" spans="1:19" ht="15.75" customHeight="1" x14ac:dyDescent="0.35">
      <c r="A69" s="93" t="s">
        <v>41</v>
      </c>
      <c r="B69" s="93"/>
      <c r="C69" s="93"/>
      <c r="D69" s="150" t="s">
        <v>363</v>
      </c>
      <c r="E69" s="150"/>
      <c r="F69" s="150"/>
      <c r="G69" s="150"/>
      <c r="H69" s="150"/>
      <c r="J69" s="22"/>
      <c r="K69" s="21"/>
      <c r="N69" s="21"/>
      <c r="S69"/>
    </row>
    <row r="70" spans="1:19" ht="15.75" customHeight="1" x14ac:dyDescent="0.35">
      <c r="A70" s="93" t="s">
        <v>82</v>
      </c>
      <c r="B70" s="93"/>
      <c r="C70" s="93"/>
      <c r="D70" s="151" t="str">
        <f>(IF(G60="NA","60 Years After Completion",IF(G60&lt;&gt;"NA",""&amp;60-ROUNDDOWN((E3-G60)/360,0)&amp;" Years"," ")))</f>
        <v>60 Years After Completion</v>
      </c>
      <c r="E70" s="151"/>
      <c r="F70" s="151"/>
      <c r="G70" s="151"/>
      <c r="H70" s="151"/>
      <c r="N70" s="21"/>
      <c r="S70"/>
    </row>
    <row r="71" spans="1:19" ht="15.75" customHeight="1" x14ac:dyDescent="0.35">
      <c r="A71" s="93" t="s">
        <v>83</v>
      </c>
      <c r="B71" s="93"/>
      <c r="C71" s="93"/>
      <c r="D71" s="155" t="s">
        <v>23</v>
      </c>
      <c r="E71" s="155"/>
      <c r="F71" s="155"/>
      <c r="G71" s="155"/>
      <c r="H71" s="155"/>
      <c r="J71" s="23"/>
      <c r="K71" s="23"/>
      <c r="S71"/>
    </row>
    <row r="72" spans="1:19" ht="30.75" customHeight="1" x14ac:dyDescent="0.35">
      <c r="A72" s="169" t="s">
        <v>412</v>
      </c>
      <c r="B72" s="169"/>
      <c r="C72" s="169"/>
      <c r="D72" s="145" t="s">
        <v>364</v>
      </c>
      <c r="E72" s="155"/>
      <c r="F72" s="155"/>
      <c r="G72" s="155"/>
      <c r="H72" s="155"/>
      <c r="I72" s="18" t="s">
        <v>365</v>
      </c>
      <c r="J72" s="69" t="s">
        <v>366</v>
      </c>
      <c r="S72"/>
    </row>
    <row r="73" spans="1:19" x14ac:dyDescent="0.35">
      <c r="A73" s="155" t="s">
        <v>146</v>
      </c>
      <c r="B73" s="155"/>
      <c r="C73" s="155"/>
      <c r="D73" s="155" t="s">
        <v>28</v>
      </c>
      <c r="E73" s="155"/>
      <c r="F73" s="155"/>
      <c r="G73" s="155"/>
      <c r="H73" s="155"/>
      <c r="I73" s="24"/>
      <c r="J73" s="24"/>
      <c r="K73" s="24"/>
      <c r="L73" s="24"/>
      <c r="M73" s="24"/>
      <c r="N73" s="24"/>
    </row>
    <row r="74" spans="1:19" ht="15.75" customHeight="1" x14ac:dyDescent="0.35">
      <c r="A74" s="93" t="s">
        <v>81</v>
      </c>
      <c r="B74" s="93"/>
      <c r="C74" s="93"/>
      <c r="D74" s="145" t="str">
        <f ca="1">(IF(G80&gt;95%,"Nothing",IF(G80&gt;0%,"Cement, Aggregate, Steel, etc",IF(G80=0%,"Work not yet Started"))))</f>
        <v>Cement, Aggregate, Steel, etc</v>
      </c>
      <c r="E74" s="145"/>
      <c r="F74" s="145"/>
      <c r="G74" s="145"/>
      <c r="H74" s="145"/>
      <c r="J74" s="23"/>
      <c r="S74"/>
    </row>
    <row r="75" spans="1:19" ht="30.75" customHeight="1" thickBot="1" x14ac:dyDescent="0.4">
      <c r="A75" s="210" t="s">
        <v>113</v>
      </c>
      <c r="B75" s="210"/>
      <c r="C75" s="210"/>
      <c r="D75" s="215" t="str">
        <f ca="1">(IF(D74="Nothing","Yes",IF(D74="Cement, Aggregate, Steel, etc","Under Construction",IF(D74="Work not yet Started","Work not yet Started"))))</f>
        <v>Under Construction</v>
      </c>
      <c r="E75" s="215"/>
      <c r="F75" s="215" t="str">
        <f ca="1">(IF(D74="Nothing","Yes",IF(D74="Cement, Aggregate, Steel, etc","Under Construction",IF(D74="Work not yet Started","Work not yet Started"))))</f>
        <v>Under Construction</v>
      </c>
      <c r="G75" s="215"/>
      <c r="H75" s="215"/>
      <c r="S75"/>
    </row>
    <row r="76" spans="1:19" ht="15.75" customHeight="1" x14ac:dyDescent="0.35">
      <c r="A76" s="203" t="s">
        <v>136</v>
      </c>
      <c r="B76" s="204"/>
      <c r="C76" s="205" t="str">
        <f>D65</f>
        <v>Building No.1(Wing A, B &amp; C) = G + 1st to 8th Floor</v>
      </c>
      <c r="D76" s="206"/>
      <c r="E76" s="206"/>
      <c r="F76" s="206"/>
      <c r="G76" s="206"/>
      <c r="H76" s="207"/>
      <c r="I76" s="80" t="str">
        <f ca="1">IF(D89=100%,"All work Completed. Possession granted to the Building.",IF(D88=100%,"All work Completed, Waiting for OC",I77&amp;""&amp;I78&amp;""&amp;J77&amp;""&amp;J76&amp;" "&amp;J78))</f>
        <v>Excavation, Plinth, RCC Slab, Brickwork, Internal Plaster Completed, External Plaster upto 4 Floor Completed</v>
      </c>
      <c r="J76" s="41"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External Plaster upto 4 Floor</v>
      </c>
      <c r="S76"/>
    </row>
    <row r="77" spans="1:19" x14ac:dyDescent="0.35">
      <c r="A77" s="77" t="s">
        <v>138</v>
      </c>
      <c r="B77" s="78">
        <f>IF(AND(ISNUMBER(SEARCH("1B",C76))),1,IF(AND(ISNUMBER(SEARCH("2B",C76))),2,IF(AND(ISNUMBER(SEARCH("3B",C76))),3,IF(AND(ISNUMBER(SEARCH("4B",C76))),4,IF(ISNUMBER(SEARCH("5B",C76)),5,0)))))</f>
        <v>0</v>
      </c>
      <c r="C77" s="78" t="s">
        <v>67</v>
      </c>
      <c r="D77" s="78">
        <v>1</v>
      </c>
      <c r="E77" s="78" t="s">
        <v>66</v>
      </c>
      <c r="F77" s="78">
        <v>0</v>
      </c>
      <c r="G77" s="78" t="s">
        <v>75</v>
      </c>
      <c r="H77" s="79">
        <f ca="1">--TRIM(RIGHT(SUBSTITUTE(LEFT(C76,_xlfn.AGGREGATE(16,6,FIND({0,1,2,3,4,5,6,7,8,9},C76,ROW(INDIRECT("1:"&amp;LEN(C76)))),1))," ",REPT(" ",LEN(C76))),LEN(C76)))</f>
        <v>8</v>
      </c>
      <c r="I77" s="81" t="str">
        <f ca="1">IF(D80=100%,"Excavation","")&amp;IF(D81=100%,", Plinth","")&amp;IF(D82=100%,", RCC Slab","")&amp;IF(D83=100%,", Brickwork","")&amp;IF(D84=100%,", Internal Plaster","")&amp;IF(D85=100%,", External Plaster","")&amp;IF(D86=100%,", Flooring","")&amp;IF(D87=100%,", Painting","")&amp;IF(D88=100%,", Building common Amenities","")</f>
        <v>Excavation, Plinth, RCC Slab, Brickwork, Internal Plaster</v>
      </c>
      <c r="J77" s="42"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7"/>
    </row>
    <row r="78" spans="1:19" ht="31" customHeight="1" x14ac:dyDescent="0.35">
      <c r="A78" s="202" t="s">
        <v>85</v>
      </c>
      <c r="B78" s="102"/>
      <c r="C78" s="101" t="str">
        <f ca="1">I76</f>
        <v>Excavation, Plinth, RCC Slab, Brickwork, Internal Plaster Completed, External Plaster upto 4 Floor Completed</v>
      </c>
      <c r="D78" s="101"/>
      <c r="E78" s="101"/>
      <c r="F78" s="101"/>
      <c r="G78" s="101"/>
      <c r="H78" s="208"/>
      <c r="I78" s="81" t="str">
        <f ca="1">IF(I77&lt;&gt;""," Completed","")</f>
        <v xml:space="preserve"> Completed</v>
      </c>
      <c r="J78" s="42" t="str">
        <f ca="1">IF(J76&lt;&gt;"","Completed","")</f>
        <v>Completed</v>
      </c>
      <c r="S78"/>
    </row>
    <row r="79" spans="1:19" ht="15.75" customHeight="1" x14ac:dyDescent="0.35">
      <c r="A79" s="125" t="s">
        <v>45</v>
      </c>
      <c r="B79" s="103"/>
      <c r="C79" s="71" t="s">
        <v>135</v>
      </c>
      <c r="D79" s="71" t="s">
        <v>78</v>
      </c>
      <c r="E79" s="103" t="s">
        <v>80</v>
      </c>
      <c r="F79" s="103"/>
      <c r="G79" s="103" t="s">
        <v>79</v>
      </c>
      <c r="H79" s="209"/>
      <c r="I79" s="13" t="s">
        <v>137</v>
      </c>
      <c r="J79" s="25">
        <f ca="1">H77*25%</f>
        <v>2</v>
      </c>
      <c r="S79"/>
    </row>
    <row r="80" spans="1:19" x14ac:dyDescent="0.35">
      <c r="A80" s="125" t="s">
        <v>124</v>
      </c>
      <c r="B80" s="103"/>
      <c r="C80" s="71">
        <f ca="1">J81</f>
        <v>8</v>
      </c>
      <c r="D80" s="16">
        <f ca="1">((100/H77)*C80)/100</f>
        <v>1</v>
      </c>
      <c r="E80" s="104">
        <f ca="1">(((C81/H77*10)+(40/(D77+F77+H77)*C82)+(7.5/(H77)*C83)+(7.5/(H77)*C84)+(10/H77*C85)+(10/H77*C86)+(5/H77*C87)+(5/H77*C88)+(5/H77*C89))/100)</f>
        <v>0.7</v>
      </c>
      <c r="F80" s="104"/>
      <c r="G80" s="104">
        <f ca="1">((((C80/H77)*20)+((C81/H77)*25)+(30/(H77+F77+D77)*C82)+(5/H77*C83)+(5/H77*C84)+(5/H77*C85)+(5/H77*C86)+(0/H77*C87)+(0/H77*C88)+(5/H77*C89))/100)</f>
        <v>0.875</v>
      </c>
      <c r="H80" s="127"/>
      <c r="I80" s="13" t="s">
        <v>95</v>
      </c>
      <c r="J80" s="26">
        <f ca="1">H77*50%</f>
        <v>4</v>
      </c>
    </row>
    <row r="81" spans="1:19" x14ac:dyDescent="0.35">
      <c r="A81" s="125" t="s">
        <v>46</v>
      </c>
      <c r="B81" s="103"/>
      <c r="C81" s="71">
        <f ca="1">J89</f>
        <v>8</v>
      </c>
      <c r="D81" s="16">
        <f ca="1">((100/H77)*C81)/100</f>
        <v>1</v>
      </c>
      <c r="E81" s="104"/>
      <c r="F81" s="104"/>
      <c r="G81" s="104"/>
      <c r="H81" s="127"/>
      <c r="I81" s="13" t="s">
        <v>96</v>
      </c>
      <c r="J81" s="26">
        <f ca="1">H77</f>
        <v>8</v>
      </c>
      <c r="S81"/>
    </row>
    <row r="82" spans="1:19" ht="15.75" customHeight="1" x14ac:dyDescent="0.35">
      <c r="A82" s="125" t="s">
        <v>125</v>
      </c>
      <c r="B82" s="103"/>
      <c r="C82" s="71">
        <v>9</v>
      </c>
      <c r="D82" s="16">
        <f ca="1">((100/(D77+F77+H77))*C82)/100</f>
        <v>1</v>
      </c>
      <c r="E82" s="104"/>
      <c r="F82" s="104"/>
      <c r="G82" s="104"/>
      <c r="H82" s="127"/>
      <c r="I82" s="13" t="s">
        <v>97</v>
      </c>
      <c r="J82" s="27">
        <f ca="1">(IF(B77&gt;1,(H77/(B77+2)),H77/4))</f>
        <v>2</v>
      </c>
      <c r="S82"/>
    </row>
    <row r="83" spans="1:19" ht="15.75" customHeight="1" x14ac:dyDescent="0.35">
      <c r="A83" s="125" t="s">
        <v>132</v>
      </c>
      <c r="B83" s="103" t="s">
        <v>126</v>
      </c>
      <c r="C83" s="71">
        <v>8</v>
      </c>
      <c r="D83" s="16">
        <f ca="1">((100/H77)*C83)/100</f>
        <v>1</v>
      </c>
      <c r="E83" s="104"/>
      <c r="F83" s="104"/>
      <c r="G83" s="104"/>
      <c r="H83" s="127"/>
      <c r="I83" s="13" t="s">
        <v>98</v>
      </c>
      <c r="J83" s="27">
        <f ca="1">(IF(B77&gt;1,(H77/(B77+2)+J82),H77/4+J82))</f>
        <v>4</v>
      </c>
    </row>
    <row r="84" spans="1:19" ht="15.75" customHeight="1" x14ac:dyDescent="0.35">
      <c r="A84" s="125" t="s">
        <v>133</v>
      </c>
      <c r="B84" s="103" t="s">
        <v>126</v>
      </c>
      <c r="C84" s="71">
        <v>8</v>
      </c>
      <c r="D84" s="16">
        <f ca="1">((100/H77)*C84)/100</f>
        <v>1</v>
      </c>
      <c r="E84" s="104"/>
      <c r="F84" s="104"/>
      <c r="G84" s="104"/>
      <c r="H84" s="127"/>
      <c r="I84" s="13" t="s">
        <v>144</v>
      </c>
      <c r="J84" s="27">
        <f>(IF(B77&gt;1,(H77/(B77+2)+J83),0))</f>
        <v>0</v>
      </c>
    </row>
    <row r="85" spans="1:19" ht="15" customHeight="1" x14ac:dyDescent="0.35">
      <c r="A85" s="125" t="s">
        <v>131</v>
      </c>
      <c r="B85" s="103" t="s">
        <v>128</v>
      </c>
      <c r="C85" s="71">
        <v>4</v>
      </c>
      <c r="D85" s="16">
        <f ca="1">((100/(H77))*C85)/100</f>
        <v>0.5</v>
      </c>
      <c r="E85" s="104"/>
      <c r="F85" s="104"/>
      <c r="G85" s="104"/>
      <c r="H85" s="127"/>
      <c r="I85" s="13" t="s">
        <v>139</v>
      </c>
      <c r="J85" s="27">
        <f>(IF(B77&gt;2,(H77/(B77+2)+J84),0))</f>
        <v>0</v>
      </c>
    </row>
    <row r="86" spans="1:19" ht="15.75" customHeight="1" x14ac:dyDescent="0.35">
      <c r="A86" s="125" t="s">
        <v>127</v>
      </c>
      <c r="B86" s="103" t="s">
        <v>127</v>
      </c>
      <c r="C86" s="71">
        <v>0</v>
      </c>
      <c r="D86" s="16">
        <f ca="1">((100/H77)*C86)/100</f>
        <v>0</v>
      </c>
      <c r="E86" s="104"/>
      <c r="F86" s="104"/>
      <c r="G86" s="104"/>
      <c r="H86" s="127"/>
      <c r="I86" s="13" t="s">
        <v>140</v>
      </c>
      <c r="J86" s="28">
        <f>(IF(B77&gt;3,(H77/(B77+2)+J85),0))</f>
        <v>0</v>
      </c>
    </row>
    <row r="87" spans="1:19" ht="15.75" customHeight="1" x14ac:dyDescent="0.35">
      <c r="A87" s="125" t="s">
        <v>134</v>
      </c>
      <c r="B87" s="103"/>
      <c r="C87" s="71">
        <v>0</v>
      </c>
      <c r="D87" s="16">
        <f ca="1">((100/H77)*C87)/100</f>
        <v>0</v>
      </c>
      <c r="E87" s="104"/>
      <c r="F87" s="104"/>
      <c r="G87" s="104"/>
      <c r="H87" s="127"/>
      <c r="I87" s="13" t="s">
        <v>141</v>
      </c>
      <c r="J87" s="27">
        <f>(IF(B77&gt;4,(H77/(B77+2)+J86),0))</f>
        <v>0</v>
      </c>
    </row>
    <row r="88" spans="1:19" ht="15.75" customHeight="1" x14ac:dyDescent="0.35">
      <c r="A88" s="125" t="s">
        <v>129</v>
      </c>
      <c r="B88" s="103" t="s">
        <v>129</v>
      </c>
      <c r="C88" s="71">
        <v>0</v>
      </c>
      <c r="D88" s="16">
        <f ca="1">((100/(H77))*C88)/100</f>
        <v>0</v>
      </c>
      <c r="E88" s="104"/>
      <c r="F88" s="104"/>
      <c r="G88" s="104"/>
      <c r="H88" s="127"/>
      <c r="I88" s="13" t="s">
        <v>145</v>
      </c>
      <c r="J88" s="27">
        <f ca="1">(IF(B77=1,(H77/(B77+3)+J83),IF(B77=0,(H77/4+J83),IF(B77&gt;1,0))))</f>
        <v>6</v>
      </c>
    </row>
    <row r="89" spans="1:19" ht="16" thickBot="1" x14ac:dyDescent="0.4">
      <c r="A89" s="213" t="s">
        <v>130</v>
      </c>
      <c r="B89" s="214"/>
      <c r="C89" s="72">
        <v>0</v>
      </c>
      <c r="D89" s="17">
        <f ca="1">((100/(H77))*C89)/100</f>
        <v>0</v>
      </c>
      <c r="E89" s="126"/>
      <c r="F89" s="126"/>
      <c r="G89" s="126"/>
      <c r="H89" s="128"/>
      <c r="I89" s="14" t="s">
        <v>99</v>
      </c>
      <c r="J89" s="29">
        <f ca="1">(IF(B77&gt;1.5,(H77/(B77+2)+J83+MAX(0,J84-J83)+MAX(0,J85-J84)+MAX(0,J86-J85)+MAX(0,J87-J86)+MAX(0,J88-J87)),IF(B77=1,(H77/(B77+3)+J88),IF(B77=0,H77/4+J88))))</f>
        <v>8</v>
      </c>
    </row>
    <row r="90" spans="1:19" ht="15.75" hidden="1" customHeight="1" x14ac:dyDescent="0.35">
      <c r="A90" s="152" t="s">
        <v>136</v>
      </c>
      <c r="B90" s="152"/>
      <c r="C90" s="152" t="str">
        <f>D66</f>
        <v>Building No.1(Wing B) = G + 1st to 8th Floor</v>
      </c>
      <c r="D90" s="152"/>
      <c r="E90" s="152"/>
      <c r="F90" s="152"/>
      <c r="G90" s="152"/>
      <c r="H90" s="152"/>
      <c r="I90" s="80" t="str">
        <f ca="1">IF(D103=100%,"All work Completed. Possession granted to the Building.",IF(D102=100%,"All work Completed, Waiting for OC",I91&amp;""&amp;I92&amp;""&amp;J91&amp;""&amp;J90&amp;" "&amp;J92))</f>
        <v>Excavation, Plinth Completed, RCC upto 1 Slab Completed</v>
      </c>
      <c r="J90" s="41"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RCC upto 1 Slab</v>
      </c>
      <c r="S90"/>
    </row>
    <row r="91" spans="1:19" ht="16" hidden="1" thickBot="1" x14ac:dyDescent="0.4">
      <c r="A91" s="78" t="s">
        <v>138</v>
      </c>
      <c r="B91" s="78">
        <f>IF(AND(ISNUMBER(SEARCH("1B",C90))),1,IF(AND(ISNUMBER(SEARCH("2B",C90))),2,IF(AND(ISNUMBER(SEARCH("3B",C90))),3,IF(AND(ISNUMBER(SEARCH("4B",C90))),4,IF(ISNUMBER(SEARCH("5B",C90)),5,0)))))</f>
        <v>0</v>
      </c>
      <c r="C91" s="78" t="s">
        <v>67</v>
      </c>
      <c r="D91" s="78">
        <v>1</v>
      </c>
      <c r="E91" s="78" t="s">
        <v>66</v>
      </c>
      <c r="F91" s="78">
        <v>0</v>
      </c>
      <c r="G91" s="78" t="s">
        <v>75</v>
      </c>
      <c r="H91" s="78">
        <f ca="1">--TRIM(RIGHT(SUBSTITUTE(LEFT(C90,_xlfn.AGGREGATE(16,6,FIND({0,1,2,3,4,5,6,7,8,9},C90,ROW(INDIRECT("1:"&amp;LEN(C90)))),1))," ",REPT(" ",LEN(C90))),LEN(C90)))</f>
        <v>8</v>
      </c>
      <c r="I91" s="81" t="str">
        <f ca="1">IF(D94=100%,"Excavation","")&amp;IF(D95=100%,", Plinth","")&amp;IF(D96=100%,", RCC Slab","")&amp;IF(D97=100%,", Brickwork","")&amp;IF(D98=100%,", Internal Plaster","")&amp;IF(D99=100%,", External Plaster","")&amp;IF(D100=100%,", Flooring","")&amp;IF(D101=100%,", Painting","")&amp;IF(D102=100%,", Building common Amenities","")</f>
        <v>Excavation, Plinth</v>
      </c>
      <c r="J91" s="42"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c r="S91"/>
    </row>
    <row r="92" spans="1:19" ht="16" hidden="1" thickBot="1" x14ac:dyDescent="0.4">
      <c r="A92" s="102" t="s">
        <v>85</v>
      </c>
      <c r="B92" s="102"/>
      <c r="C92" s="101" t="str">
        <f ca="1">I90</f>
        <v>Excavation, Plinth Completed, RCC upto 1 Slab Completed</v>
      </c>
      <c r="D92" s="101"/>
      <c r="E92" s="101"/>
      <c r="F92" s="101"/>
      <c r="G92" s="101"/>
      <c r="H92" s="101"/>
      <c r="I92" s="81" t="str">
        <f ca="1">IF(I91&lt;&gt;""," Completed","")</f>
        <v xml:space="preserve"> Completed</v>
      </c>
      <c r="J92" s="42" t="str">
        <f ca="1">IF(J90&lt;&gt;"","Completed","")</f>
        <v>Completed</v>
      </c>
      <c r="S92"/>
    </row>
    <row r="93" spans="1:19" ht="15.75" hidden="1" customHeight="1" x14ac:dyDescent="0.35">
      <c r="A93" s="103" t="s">
        <v>45</v>
      </c>
      <c r="B93" s="103"/>
      <c r="C93" s="71" t="s">
        <v>135</v>
      </c>
      <c r="D93" s="71" t="s">
        <v>78</v>
      </c>
      <c r="E93" s="103" t="s">
        <v>80</v>
      </c>
      <c r="F93" s="103"/>
      <c r="G93" s="103" t="s">
        <v>79</v>
      </c>
      <c r="H93" s="103"/>
      <c r="I93" s="13" t="s">
        <v>137</v>
      </c>
      <c r="J93" s="25">
        <f ca="1">H91*25%</f>
        <v>2</v>
      </c>
      <c r="S93"/>
    </row>
    <row r="94" spans="1:19" ht="16" hidden="1" thickBot="1" x14ac:dyDescent="0.4">
      <c r="A94" s="103" t="s">
        <v>124</v>
      </c>
      <c r="B94" s="103"/>
      <c r="C94" s="71">
        <f ca="1">J95</f>
        <v>8</v>
      </c>
      <c r="D94" s="16">
        <f ca="1">((100/H91)*C94)/100</f>
        <v>1</v>
      </c>
      <c r="E94" s="104">
        <f ca="1">(((C95/H91*10)+(40/(D91+F91+H91)*C96)+(7.5/(H91)*C97)+(7.5/(H91)*C98)+(10/H91*C99)+(10/H91*C100)+(5/H91*C101)+(5/H91*C102)+(5/H91*C103))/100)</f>
        <v>0.14444444444444446</v>
      </c>
      <c r="F94" s="104"/>
      <c r="G94" s="104">
        <f ca="1">((((C94/H91)*20)+((C95/H91)*25)+(30/(H91+F91+D91)*C96)+(5/H91*C97)+(5/H91*C98)+(5/H91*C99)+(5/H91*C100)+(0/H91*C101)+(0/H91*C102)+(5/H91*C103))/100)</f>
        <v>0.48333333333333334</v>
      </c>
      <c r="H94" s="104"/>
      <c r="I94" s="13" t="s">
        <v>95</v>
      </c>
      <c r="J94" s="26">
        <f ca="1">H91*50%</f>
        <v>4</v>
      </c>
    </row>
    <row r="95" spans="1:19" ht="16" hidden="1" thickBot="1" x14ac:dyDescent="0.4">
      <c r="A95" s="103" t="s">
        <v>46</v>
      </c>
      <c r="B95" s="103"/>
      <c r="C95" s="71">
        <f ca="1">J103</f>
        <v>8</v>
      </c>
      <c r="D95" s="16">
        <f ca="1">((100/H91)*C95)/100</f>
        <v>1</v>
      </c>
      <c r="E95" s="104"/>
      <c r="F95" s="104"/>
      <c r="G95" s="104"/>
      <c r="H95" s="104"/>
      <c r="I95" s="13" t="s">
        <v>96</v>
      </c>
      <c r="J95" s="26">
        <f ca="1">H91</f>
        <v>8</v>
      </c>
      <c r="S95"/>
    </row>
    <row r="96" spans="1:19" ht="15.75" hidden="1" customHeight="1" x14ac:dyDescent="0.35">
      <c r="A96" s="103" t="s">
        <v>125</v>
      </c>
      <c r="B96" s="103"/>
      <c r="C96" s="71">
        <v>1</v>
      </c>
      <c r="D96" s="16">
        <f ca="1">((100/(D91+F91+H91))*C96)/100</f>
        <v>0.1111111111111111</v>
      </c>
      <c r="E96" s="104"/>
      <c r="F96" s="104"/>
      <c r="G96" s="104"/>
      <c r="H96" s="104"/>
      <c r="I96" s="13" t="s">
        <v>97</v>
      </c>
      <c r="J96" s="27">
        <f ca="1">(IF(B91&gt;1,(H91/(B91+2)),H91/4))</f>
        <v>2</v>
      </c>
      <c r="S96"/>
    </row>
    <row r="97" spans="1:19" ht="15.75" hidden="1" customHeight="1" x14ac:dyDescent="0.35">
      <c r="A97" s="103" t="s">
        <v>132</v>
      </c>
      <c r="B97" s="103" t="s">
        <v>126</v>
      </c>
      <c r="C97" s="71">
        <v>0</v>
      </c>
      <c r="D97" s="16">
        <f ca="1">((100/H91)*C97)/100</f>
        <v>0</v>
      </c>
      <c r="E97" s="104"/>
      <c r="F97" s="104"/>
      <c r="G97" s="104"/>
      <c r="H97" s="104"/>
      <c r="I97" s="13" t="s">
        <v>98</v>
      </c>
      <c r="J97" s="27">
        <f ca="1">(IF(B91&gt;1,(H91/(B91+2)+J96),H91/4+J96))</f>
        <v>4</v>
      </c>
    </row>
    <row r="98" spans="1:19" ht="15.75" hidden="1" customHeight="1" x14ac:dyDescent="0.35">
      <c r="A98" s="103" t="s">
        <v>133</v>
      </c>
      <c r="B98" s="103" t="s">
        <v>126</v>
      </c>
      <c r="C98" s="71">
        <v>0</v>
      </c>
      <c r="D98" s="16">
        <f ca="1">((100/H91)*C98)/100</f>
        <v>0</v>
      </c>
      <c r="E98" s="104"/>
      <c r="F98" s="104"/>
      <c r="G98" s="104"/>
      <c r="H98" s="104"/>
      <c r="I98" s="13" t="s">
        <v>144</v>
      </c>
      <c r="J98" s="27">
        <f>(IF(B91&gt;1,(H91/(B91+2)+J97),0))</f>
        <v>0</v>
      </c>
    </row>
    <row r="99" spans="1:19" ht="15" hidden="1" customHeight="1" x14ac:dyDescent="0.35">
      <c r="A99" s="103" t="s">
        <v>131</v>
      </c>
      <c r="B99" s="103" t="s">
        <v>128</v>
      </c>
      <c r="C99" s="71">
        <v>0</v>
      </c>
      <c r="D99" s="16">
        <f ca="1">((100/(H91))*C99)/100</f>
        <v>0</v>
      </c>
      <c r="E99" s="104"/>
      <c r="F99" s="104"/>
      <c r="G99" s="104"/>
      <c r="H99" s="104"/>
      <c r="I99" s="13" t="s">
        <v>139</v>
      </c>
      <c r="J99" s="27">
        <f>(IF(B91&gt;2,(H91/(B91+2)+J98),0))</f>
        <v>0</v>
      </c>
    </row>
    <row r="100" spans="1:19" ht="15.75" hidden="1" customHeight="1" x14ac:dyDescent="0.35">
      <c r="A100" s="103" t="s">
        <v>127</v>
      </c>
      <c r="B100" s="103" t="s">
        <v>127</v>
      </c>
      <c r="C100" s="71">
        <v>0</v>
      </c>
      <c r="D100" s="16">
        <f ca="1">((100/H91)*C100)/100</f>
        <v>0</v>
      </c>
      <c r="E100" s="104"/>
      <c r="F100" s="104"/>
      <c r="G100" s="104"/>
      <c r="H100" s="104"/>
      <c r="I100" s="13" t="s">
        <v>140</v>
      </c>
      <c r="J100" s="28">
        <f>(IF(B91&gt;3,(H91/(B91+2)+J99),0))</f>
        <v>0</v>
      </c>
    </row>
    <row r="101" spans="1:19" ht="15.75" hidden="1" customHeight="1" x14ac:dyDescent="0.35">
      <c r="A101" s="103" t="s">
        <v>134</v>
      </c>
      <c r="B101" s="103"/>
      <c r="C101" s="71">
        <v>0</v>
      </c>
      <c r="D101" s="16">
        <f ca="1">((100/H91)*C101)/100</f>
        <v>0</v>
      </c>
      <c r="E101" s="104"/>
      <c r="F101" s="104"/>
      <c r="G101" s="104"/>
      <c r="H101" s="104"/>
      <c r="I101" s="13" t="s">
        <v>141</v>
      </c>
      <c r="J101" s="27">
        <f>(IF(B91&gt;4,(H91/(B91+2)+J100),0))</f>
        <v>0</v>
      </c>
    </row>
    <row r="102" spans="1:19" ht="15.75" hidden="1" customHeight="1" x14ac:dyDescent="0.35">
      <c r="A102" s="103" t="s">
        <v>129</v>
      </c>
      <c r="B102" s="103" t="s">
        <v>129</v>
      </c>
      <c r="C102" s="71">
        <v>0</v>
      </c>
      <c r="D102" s="16">
        <f ca="1">((100/(H91))*C102)/100</f>
        <v>0</v>
      </c>
      <c r="E102" s="104"/>
      <c r="F102" s="104"/>
      <c r="G102" s="104"/>
      <c r="H102" s="104"/>
      <c r="I102" s="13" t="s">
        <v>145</v>
      </c>
      <c r="J102" s="27">
        <f ca="1">(IF(B91=1,(H91/(B91+3)+J97),IF(B91=0,(H91/4+J97),IF(B91&gt;1,0))))</f>
        <v>6</v>
      </c>
    </row>
    <row r="103" spans="1:19" ht="16" hidden="1" thickBot="1" x14ac:dyDescent="0.4">
      <c r="A103" s="211" t="s">
        <v>130</v>
      </c>
      <c r="B103" s="211"/>
      <c r="C103" s="84">
        <v>0</v>
      </c>
      <c r="D103" s="85">
        <f ca="1">((100/(H91))*C103)/100</f>
        <v>0</v>
      </c>
      <c r="E103" s="118"/>
      <c r="F103" s="118"/>
      <c r="G103" s="118"/>
      <c r="H103" s="118"/>
      <c r="I103" s="14" t="s">
        <v>99</v>
      </c>
      <c r="J103" s="29">
        <f ca="1">(IF(B91&gt;1.5,(H91/(B91+2)+J97+MAX(0,J98-J97)+MAX(0,J99-J98)+MAX(0,J100-J99)+MAX(0,J101-J100)+MAX(0,J102-J101)),IF(B91=1,(H91/(B91+3)+J102),IF(B91=0,H91/4+J102))))</f>
        <v>8</v>
      </c>
    </row>
    <row r="104" spans="1:19" ht="15.75" customHeight="1" x14ac:dyDescent="0.35">
      <c r="A104" s="119" t="s">
        <v>136</v>
      </c>
      <c r="B104" s="120"/>
      <c r="C104" s="120" t="str">
        <f>D67</f>
        <v>Building No.1(Wing D) = G + 1st to 8th Floor</v>
      </c>
      <c r="D104" s="120"/>
      <c r="E104" s="120"/>
      <c r="F104" s="120"/>
      <c r="G104" s="120"/>
      <c r="H104" s="121"/>
      <c r="I104" s="80" t="str">
        <f ca="1">IF(D117=100%,"All work Completed. Possession granted to the Building.",IF(D116=100%,"All work Completed, Waiting for OC",I105&amp;""&amp;I106&amp;""&amp;J105&amp;""&amp;J104&amp;" "&amp;J106))</f>
        <v>Excavation, Plinth, RCC Slab Completed, Brickwork upto 7 Floor, Internal Plaster upto 5 Floor, External Plaster upto 2 Floor Completed</v>
      </c>
      <c r="J104" s="41" t="str">
        <f ca="1">(IF(C110=(D105+F105+H105),"",IF(C110&gt;0,", RCC upto "&amp;C110&amp;" Slab","")))&amp;(IF(C111=H105,"",IF(C111&gt;0,", Brickwork upto "&amp;C111&amp;" Floor","")))&amp;(IF(C112=H105,"",IF(C112&gt;0,", Internal Plaster upto "&amp;C112&amp;" Floor","")))&amp;(IF(C113=H105,"",IF(C113&gt;0,", External Plaster upto "&amp;C113&amp;" Floor","")))&amp;(IF(C114=H105,"",IF(C114&gt;0,", Flooring upto "&amp;C114&amp;" Floor","")))&amp;(IF(C115=H105,"",IF(C115&gt;0,", Painting upto "&amp;C115&amp;" Floor","")))&amp;(IF(C116=H105,"",IF(C116&gt;0,", Finishing upto "&amp;C116&amp;" Floor","")))&amp;(IF(C117=H105,"",IF(C117&gt;0,", Possession upto "&amp;C117&amp;" Floor","")))</f>
        <v>, Brickwork upto 7 Floor, Internal Plaster upto 5 Floor, External Plaster upto 2 Floor</v>
      </c>
      <c r="S104"/>
    </row>
    <row r="105" spans="1:19" x14ac:dyDescent="0.35">
      <c r="A105" s="77" t="s">
        <v>138</v>
      </c>
      <c r="B105" s="78">
        <f>IF(AND(ISNUMBER(SEARCH("1B",C104))),1,IF(AND(ISNUMBER(SEARCH("2B",C104))),2,IF(AND(ISNUMBER(SEARCH("3B",C104))),3,IF(AND(ISNUMBER(SEARCH("4B",C104))),4,IF(ISNUMBER(SEARCH("5B",C104)),5,0)))))</f>
        <v>0</v>
      </c>
      <c r="C105" s="78" t="s">
        <v>67</v>
      </c>
      <c r="D105" s="78">
        <v>1</v>
      </c>
      <c r="E105" s="78" t="s">
        <v>66</v>
      </c>
      <c r="F105" s="78">
        <v>0</v>
      </c>
      <c r="G105" s="78" t="s">
        <v>75</v>
      </c>
      <c r="H105" s="79">
        <f ca="1">--TRIM(RIGHT(SUBSTITUTE(LEFT(C104,_xlfn.AGGREGATE(16,6,FIND({0,1,2,3,4,5,6,7,8,9},C104,ROW(INDIRECT("1:"&amp;LEN(C104)))),1))," ",REPT(" ",LEN(C104))),LEN(C104)))</f>
        <v>8</v>
      </c>
      <c r="I105" s="81" t="str">
        <f ca="1">IF(D108=100%,"Excavation","")&amp;IF(D109=100%,", Plinth","")&amp;IF(D110=100%,", RCC Slab","")&amp;IF(D111=100%,", Brickwork","")&amp;IF(D112=100%,", Internal Plaster","")&amp;IF(D113=100%,", External Plaster","")&amp;IF(D114=100%,", Flooring","")&amp;IF(D115=100%,", Painting","")&amp;IF(D116=100%,", Building common Amenities","")</f>
        <v>Excavation, Plinth, RCC Slab</v>
      </c>
      <c r="J105" s="42" t="str">
        <f ca="1">(IF(C108=0,"Work not yet Started.",IF(D108=25%,"Piling work in process",IF(D108=50%,"Excavation work in process",IF(D108=100%,"","0")))))&amp;(IF(C109=0%,"",IF(C109=J110,", Footing work is process",IF(C109=J111,", Footing work Completed",IF(C109=J112,", 1st Basement Completed",IF(C109=J113,", 1st &amp; 2nd Basement Completed",IF(C109=J114,", 1st to 3rd Basement Completed",IF(C109=J115,", 1st to 4th Basement Completed",IF(C109=J116,", Plinth work is process",IF(C109=J117,"","0"))))))))))</f>
        <v/>
      </c>
      <c r="S105"/>
    </row>
    <row r="106" spans="1:19" ht="31.5" customHeight="1" x14ac:dyDescent="0.35">
      <c r="A106" s="102" t="s">
        <v>85</v>
      </c>
      <c r="B106" s="102"/>
      <c r="C106" s="101" t="str">
        <f ca="1">I104</f>
        <v>Excavation, Plinth, RCC Slab Completed, Brickwork upto 7 Floor, Internal Plaster upto 5 Floor, External Plaster upto 2 Floor Completed</v>
      </c>
      <c r="D106" s="101"/>
      <c r="E106" s="101"/>
      <c r="F106" s="101"/>
      <c r="G106" s="101"/>
      <c r="H106" s="101"/>
      <c r="I106" s="81" t="str">
        <f ca="1">IF(I105&lt;&gt;""," Completed","")</f>
        <v xml:space="preserve"> Completed</v>
      </c>
      <c r="J106" s="42" t="str">
        <f ca="1">IF(J104&lt;&gt;"","Completed","")</f>
        <v>Completed</v>
      </c>
      <c r="S106"/>
    </row>
    <row r="107" spans="1:19" ht="15.75" customHeight="1" x14ac:dyDescent="0.35">
      <c r="A107" s="103" t="s">
        <v>45</v>
      </c>
      <c r="B107" s="103"/>
      <c r="C107" s="82" t="s">
        <v>135</v>
      </c>
      <c r="D107" s="82" t="s">
        <v>78</v>
      </c>
      <c r="E107" s="103" t="s">
        <v>80</v>
      </c>
      <c r="F107" s="103"/>
      <c r="G107" s="103" t="s">
        <v>79</v>
      </c>
      <c r="H107" s="103"/>
      <c r="I107" s="13" t="s">
        <v>137</v>
      </c>
      <c r="J107" s="25">
        <f ca="1">H105*25%</f>
        <v>2</v>
      </c>
      <c r="S107"/>
    </row>
    <row r="108" spans="1:19" x14ac:dyDescent="0.35">
      <c r="A108" s="103" t="s">
        <v>124</v>
      </c>
      <c r="B108" s="103"/>
      <c r="C108" s="82">
        <f ca="1">J109</f>
        <v>8</v>
      </c>
      <c r="D108" s="16">
        <f ca="1">((100/H105)*C108)/100</f>
        <v>1</v>
      </c>
      <c r="E108" s="104">
        <f ca="1">(((C109/H105*10)+(40/(D105+F105+H105)*C110)+(7.5/(H105)*C111)+(7.5/(H105)*C112)+(10/H105*C113)+(10/H105*C114)+(5/H105*C115)+(5/H105*C116)+(5/H105*C117))/100)</f>
        <v>0.63749999999999996</v>
      </c>
      <c r="F108" s="104"/>
      <c r="G108" s="104">
        <f ca="1">((((C108/H105)*20)+((C109/H105)*25)+(30/(H105+F105+D105)*C110)+(5/H105*C111)+(5/H105*C112)+(5/H105*C113)+(5/H105*C114)+(0/H105*C115)+(0/H105*C116)+(5/H105*C117))/100)</f>
        <v>0.83750000000000002</v>
      </c>
      <c r="H108" s="104"/>
      <c r="I108" s="13" t="s">
        <v>95</v>
      </c>
      <c r="J108" s="26">
        <f ca="1">H105*50%</f>
        <v>4</v>
      </c>
    </row>
    <row r="109" spans="1:19" x14ac:dyDescent="0.35">
      <c r="A109" s="103" t="s">
        <v>46</v>
      </c>
      <c r="B109" s="103"/>
      <c r="C109" s="70">
        <f ca="1">J117</f>
        <v>8</v>
      </c>
      <c r="D109" s="16">
        <f ca="1">((100/H105)*C109)/100</f>
        <v>1</v>
      </c>
      <c r="E109" s="104"/>
      <c r="F109" s="104"/>
      <c r="G109" s="104"/>
      <c r="H109" s="104"/>
      <c r="I109" s="13" t="s">
        <v>96</v>
      </c>
      <c r="J109" s="26">
        <f ca="1">H105</f>
        <v>8</v>
      </c>
      <c r="S109"/>
    </row>
    <row r="110" spans="1:19" ht="15.75" customHeight="1" x14ac:dyDescent="0.35">
      <c r="A110" s="103" t="s">
        <v>125</v>
      </c>
      <c r="B110" s="103"/>
      <c r="C110" s="82">
        <v>9</v>
      </c>
      <c r="D110" s="16">
        <f ca="1">((100/(D105+F105+H105))*C110)/100</f>
        <v>1</v>
      </c>
      <c r="E110" s="104"/>
      <c r="F110" s="104"/>
      <c r="G110" s="104"/>
      <c r="H110" s="104"/>
      <c r="I110" s="13" t="s">
        <v>97</v>
      </c>
      <c r="J110" s="27">
        <f ca="1">(IF(B105&gt;1,(H105/(B105+2)),H105/4))</f>
        <v>2</v>
      </c>
      <c r="S110"/>
    </row>
    <row r="111" spans="1:19" ht="15.75" customHeight="1" x14ac:dyDescent="0.35">
      <c r="A111" s="103" t="s">
        <v>132</v>
      </c>
      <c r="B111" s="103" t="s">
        <v>126</v>
      </c>
      <c r="C111" s="82">
        <v>7</v>
      </c>
      <c r="D111" s="16">
        <f ca="1">((100/H105)*C111)/100</f>
        <v>0.875</v>
      </c>
      <c r="E111" s="104"/>
      <c r="F111" s="104"/>
      <c r="G111" s="104"/>
      <c r="H111" s="104"/>
      <c r="I111" s="13" t="s">
        <v>98</v>
      </c>
      <c r="J111" s="27">
        <f ca="1">(IF(B105&gt;1,(H105/(B105+2)+J110),H105/4+J110))</f>
        <v>4</v>
      </c>
    </row>
    <row r="112" spans="1:19" ht="15.75" customHeight="1" x14ac:dyDescent="0.35">
      <c r="A112" s="103" t="s">
        <v>133</v>
      </c>
      <c r="B112" s="103" t="s">
        <v>126</v>
      </c>
      <c r="C112" s="82">
        <v>5</v>
      </c>
      <c r="D112" s="16">
        <f ca="1">((100/H105)*C112)/100</f>
        <v>0.625</v>
      </c>
      <c r="E112" s="104"/>
      <c r="F112" s="104"/>
      <c r="G112" s="104"/>
      <c r="H112" s="104"/>
      <c r="I112" s="13" t="s">
        <v>144</v>
      </c>
      <c r="J112" s="27">
        <f>(IF(B105&gt;1,(H105/(B105+2)+J111),0))</f>
        <v>0</v>
      </c>
    </row>
    <row r="113" spans="1:19" ht="15" customHeight="1" x14ac:dyDescent="0.35">
      <c r="A113" s="103" t="s">
        <v>131</v>
      </c>
      <c r="B113" s="103" t="s">
        <v>128</v>
      </c>
      <c r="C113" s="82">
        <v>2</v>
      </c>
      <c r="D113" s="16">
        <f ca="1">((100/(H105))*C113)/100</f>
        <v>0.25</v>
      </c>
      <c r="E113" s="104"/>
      <c r="F113" s="104"/>
      <c r="G113" s="104"/>
      <c r="H113" s="104"/>
      <c r="I113" s="13" t="s">
        <v>139</v>
      </c>
      <c r="J113" s="27">
        <f>(IF(B105&gt;2,(H105/(B105+2)+J112),0))</f>
        <v>0</v>
      </c>
    </row>
    <row r="114" spans="1:19" ht="15.75" customHeight="1" x14ac:dyDescent="0.35">
      <c r="A114" s="103" t="s">
        <v>127</v>
      </c>
      <c r="B114" s="103" t="s">
        <v>127</v>
      </c>
      <c r="C114" s="82">
        <v>0</v>
      </c>
      <c r="D114" s="16">
        <f ca="1">((100/H105)*C114)/100</f>
        <v>0</v>
      </c>
      <c r="E114" s="104"/>
      <c r="F114" s="104"/>
      <c r="G114" s="104"/>
      <c r="H114" s="104"/>
      <c r="I114" s="13" t="s">
        <v>140</v>
      </c>
      <c r="J114" s="28">
        <f>(IF(B105&gt;3,(H105/(B105+2)+J113),0))</f>
        <v>0</v>
      </c>
    </row>
    <row r="115" spans="1:19" ht="15.75" customHeight="1" x14ac:dyDescent="0.35">
      <c r="A115" s="103" t="s">
        <v>134</v>
      </c>
      <c r="B115" s="103"/>
      <c r="C115" s="82">
        <v>0</v>
      </c>
      <c r="D115" s="16">
        <f ca="1">((100/H105)*C115)/100</f>
        <v>0</v>
      </c>
      <c r="E115" s="104"/>
      <c r="F115" s="104"/>
      <c r="G115" s="104"/>
      <c r="H115" s="104"/>
      <c r="I115" s="13" t="s">
        <v>141</v>
      </c>
      <c r="J115" s="27">
        <f>(IF(B105&gt;4,(H105/(B105+2)+J114),0))</f>
        <v>0</v>
      </c>
    </row>
    <row r="116" spans="1:19" ht="15.75" customHeight="1" x14ac:dyDescent="0.35">
      <c r="A116" s="103" t="s">
        <v>129</v>
      </c>
      <c r="B116" s="103" t="s">
        <v>129</v>
      </c>
      <c r="C116" s="82">
        <v>0</v>
      </c>
      <c r="D116" s="16">
        <f ca="1">((100/(H105))*C116)/100</f>
        <v>0</v>
      </c>
      <c r="E116" s="104"/>
      <c r="F116" s="104"/>
      <c r="G116" s="104"/>
      <c r="H116" s="104"/>
      <c r="I116" s="13" t="s">
        <v>145</v>
      </c>
      <c r="J116" s="27">
        <f ca="1">(IF(B105=1,(H105/(B105+3)+J111),IF(B105=0,(H105/4+J111),IF(B105&gt;1,0))))</f>
        <v>6</v>
      </c>
    </row>
    <row r="117" spans="1:19" ht="16" thickBot="1" x14ac:dyDescent="0.4">
      <c r="A117" s="103" t="s">
        <v>130</v>
      </c>
      <c r="B117" s="103"/>
      <c r="C117" s="82">
        <v>0</v>
      </c>
      <c r="D117" s="16">
        <f ca="1">((100/(H105))*C117)/100</f>
        <v>0</v>
      </c>
      <c r="E117" s="104"/>
      <c r="F117" s="104"/>
      <c r="G117" s="104"/>
      <c r="H117" s="104"/>
      <c r="I117" s="14" t="s">
        <v>99</v>
      </c>
      <c r="J117" s="29">
        <f ca="1">(IF(B105&gt;1.5,(H105/(B105+2)+J111+MAX(0,J112-J111)+MAX(0,J113-J112)+MAX(0,J114-J113)+MAX(0,J115-J114)+MAX(0,J116-J115)),IF(B105=1,(H105/(B105+3)+J116),IF(B105=0,H105/4+J116))))</f>
        <v>8</v>
      </c>
    </row>
    <row r="118" spans="1:19" ht="15.75" hidden="1" customHeight="1" x14ac:dyDescent="0.35">
      <c r="A118" s="101" t="s">
        <v>136</v>
      </c>
      <c r="B118" s="101"/>
      <c r="C118" s="101" t="str">
        <f>D68</f>
        <v>Building No.1(Wing D) = G + 1st to 8th Floor</v>
      </c>
      <c r="D118" s="101"/>
      <c r="E118" s="101"/>
      <c r="F118" s="101"/>
      <c r="G118" s="101"/>
      <c r="H118" s="101"/>
      <c r="I118" s="80" t="str">
        <f ca="1">IF(D131=100%,"All work Completed. Possession granted to the Building.",IF(D130=100%,"All work Completed, Waiting for OC",I119&amp;""&amp;I120&amp;""&amp;J119&amp;""&amp;J118&amp;" "&amp;J120))</f>
        <v xml:space="preserve">Excavation Completed, Footing work is process </v>
      </c>
      <c r="J118" s="41" t="str">
        <f ca="1">(IF(C124=(D119+F119+H119),"",IF(C124&gt;0,", RCC upto "&amp;C124&amp;" Slab","")))&amp;(IF(C125=H119,"",IF(C125&gt;0,", Brickwork upto "&amp;C125&amp;" Floor","")))&amp;(IF(C126=H119,"",IF(C126&gt;0,", Internal Plaster upto "&amp;C126&amp;" Floor","")))&amp;(IF(C127=H119,"",IF(C127&gt;0,", External Plaster upto "&amp;C127&amp;" Floor","")))&amp;(IF(C128=H119,"",IF(C128&gt;0,", Flooring upto "&amp;C128&amp;" Floor","")))&amp;(IF(C129=H119,"",IF(C129&gt;0,", Painting upto "&amp;C129&amp;" Floor","")))&amp;(IF(C130=H119,"",IF(C130&gt;0,", Finishing upto "&amp;C130&amp;" Floor","")))&amp;(IF(C131=H119,"",IF(C131&gt;0,", Possession upto "&amp;C131&amp;" Floor","")))</f>
        <v/>
      </c>
      <c r="S118"/>
    </row>
    <row r="119" spans="1:19" hidden="1" x14ac:dyDescent="0.35">
      <c r="A119" s="78" t="s">
        <v>138</v>
      </c>
      <c r="B119" s="78">
        <f>IF(AND(ISNUMBER(SEARCH("1B",C118))),1,IF(AND(ISNUMBER(SEARCH("2B",C118))),2,IF(AND(ISNUMBER(SEARCH("3B",C118))),3,IF(AND(ISNUMBER(SEARCH("4B",C118))),4,IF(ISNUMBER(SEARCH("5B",C118)),5,0)))))</f>
        <v>0</v>
      </c>
      <c r="C119" s="78" t="s">
        <v>67</v>
      </c>
      <c r="D119" s="78">
        <v>1</v>
      </c>
      <c r="E119" s="78" t="s">
        <v>66</v>
      </c>
      <c r="F119" s="78">
        <v>0</v>
      </c>
      <c r="G119" s="78" t="s">
        <v>75</v>
      </c>
      <c r="H119" s="78">
        <f ca="1">--TRIM(RIGHT(SUBSTITUTE(LEFT(C118,_xlfn.AGGREGATE(16,6,FIND({0,1,2,3,4,5,6,7,8,9},C118,ROW(INDIRECT("1:"&amp;LEN(C118)))),1))," ",REPT(" ",LEN(C118))),LEN(C118)))</f>
        <v>8</v>
      </c>
      <c r="I119" s="81" t="str">
        <f ca="1">IF(D122=100%,"Excavation","")&amp;IF(D123=100%,", Plinth","")&amp;IF(D124=100%,", RCC Slab","")&amp;IF(D125=100%,", Brickwork","")&amp;IF(D126=100%,", Internal Plaster","")&amp;IF(D127=100%,", External Plaster","")&amp;IF(D128=100%,", Flooring","")&amp;IF(D129=100%,", Painting","")&amp;IF(D130=100%,", Building common Amenities","")</f>
        <v>Excavation</v>
      </c>
      <c r="J119" s="42" t="str">
        <f ca="1">(IF(C122=0,"Work not yet Started.",IF(D122=25%,"Piling work in process",IF(D122=50%,"Excavation work in process",IF(D122=100%,"","0")))))&amp;(IF(C123=0%,"",IF(C123=J124,", Footing work is process",IF(C123=J125,", Footing work Completed",IF(C123=J126,", 1st Basement Completed",IF(C123=J127,", 1st &amp; 2nd Basement Completed",IF(C123=J128,", 1st to 3rd Basement Completed",IF(C123=J129,", 1st to 4th Basement Completed",IF(C123=J130,", Plinth work is process",IF(C123=J131,"","0"))))))))))</f>
        <v>, Footing work is process</v>
      </c>
      <c r="S119"/>
    </row>
    <row r="120" spans="1:19" hidden="1" x14ac:dyDescent="0.35">
      <c r="A120" s="102" t="s">
        <v>85</v>
      </c>
      <c r="B120" s="102"/>
      <c r="C120" s="101" t="str">
        <f ca="1">I118</f>
        <v xml:space="preserve">Excavation Completed, Footing work is process </v>
      </c>
      <c r="D120" s="101"/>
      <c r="E120" s="101"/>
      <c r="F120" s="101"/>
      <c r="G120" s="101"/>
      <c r="H120" s="101"/>
      <c r="I120" s="81" t="str">
        <f ca="1">IF(I119&lt;&gt;""," Completed","")</f>
        <v xml:space="preserve"> Completed</v>
      </c>
      <c r="J120" s="42" t="str">
        <f ca="1">IF(J118&lt;&gt;"","Completed","")</f>
        <v/>
      </c>
      <c r="S120"/>
    </row>
    <row r="121" spans="1:19" ht="15.75" hidden="1" customHeight="1" x14ac:dyDescent="0.35">
      <c r="A121" s="103" t="s">
        <v>45</v>
      </c>
      <c r="B121" s="103"/>
      <c r="C121" s="82" t="s">
        <v>135</v>
      </c>
      <c r="D121" s="82" t="s">
        <v>78</v>
      </c>
      <c r="E121" s="103" t="s">
        <v>80</v>
      </c>
      <c r="F121" s="103"/>
      <c r="G121" s="103" t="s">
        <v>79</v>
      </c>
      <c r="H121" s="103"/>
      <c r="I121" s="13" t="s">
        <v>137</v>
      </c>
      <c r="J121" s="25">
        <f ca="1">H119*25%</f>
        <v>2</v>
      </c>
      <c r="S121"/>
    </row>
    <row r="122" spans="1:19" hidden="1" x14ac:dyDescent="0.35">
      <c r="A122" s="103" t="s">
        <v>124</v>
      </c>
      <c r="B122" s="103"/>
      <c r="C122" s="82">
        <f ca="1">J123</f>
        <v>8</v>
      </c>
      <c r="D122" s="16">
        <f ca="1">((100/H119)*C122)/100</f>
        <v>1</v>
      </c>
      <c r="E122" s="104">
        <f ca="1">(((C123/H119*10)+(40/(D119+F119+H119)*C124)+(7.5/(H119)*C125)+(7.5/(H119)*C126)+(10/H119*C127)+(10/H119*C128)+(5/H119*C129)+(5/H119*C130)+(5/H119*C131))/100)</f>
        <v>2.5000000000000001E-2</v>
      </c>
      <c r="F122" s="104"/>
      <c r="G122" s="104">
        <f ca="1">((((C122/H119)*20)+((C123/H119)*25)+(30/(H119+F119+D119)*C124)+(5/H119*C125)+(5/H119*C126)+(5/H119*C127)+(5/H119*C128)+(0/H119*C129)+(0/H119*C130)+(5/H119*C131))/100)</f>
        <v>0.26250000000000001</v>
      </c>
      <c r="H122" s="104"/>
      <c r="I122" s="13" t="s">
        <v>95</v>
      </c>
      <c r="J122" s="26">
        <f ca="1">H119*50%</f>
        <v>4</v>
      </c>
    </row>
    <row r="123" spans="1:19" hidden="1" x14ac:dyDescent="0.35">
      <c r="A123" s="103" t="s">
        <v>46</v>
      </c>
      <c r="B123" s="103"/>
      <c r="C123" s="70">
        <f ca="1">J124</f>
        <v>2</v>
      </c>
      <c r="D123" s="16">
        <f ca="1">((100/H119)*C123)/100</f>
        <v>0.25</v>
      </c>
      <c r="E123" s="104"/>
      <c r="F123" s="104"/>
      <c r="G123" s="104"/>
      <c r="H123" s="104"/>
      <c r="I123" s="13" t="s">
        <v>96</v>
      </c>
      <c r="J123" s="26">
        <f ca="1">H119</f>
        <v>8</v>
      </c>
      <c r="S123"/>
    </row>
    <row r="124" spans="1:19" ht="15.75" hidden="1" customHeight="1" x14ac:dyDescent="0.35">
      <c r="A124" s="103" t="s">
        <v>125</v>
      </c>
      <c r="B124" s="103"/>
      <c r="C124" s="82">
        <v>0</v>
      </c>
      <c r="D124" s="16">
        <f ca="1">((100/(D119+F119+H119))*C124)/100</f>
        <v>0</v>
      </c>
      <c r="E124" s="104"/>
      <c r="F124" s="104"/>
      <c r="G124" s="104"/>
      <c r="H124" s="104"/>
      <c r="I124" s="13" t="s">
        <v>97</v>
      </c>
      <c r="J124" s="27">
        <f ca="1">(IF(B119&gt;1,(H119/(B119+2)),H119/4))</f>
        <v>2</v>
      </c>
      <c r="S124"/>
    </row>
    <row r="125" spans="1:19" ht="15.75" hidden="1" customHeight="1" x14ac:dyDescent="0.35">
      <c r="A125" s="103" t="s">
        <v>132</v>
      </c>
      <c r="B125" s="103" t="s">
        <v>126</v>
      </c>
      <c r="C125" s="82">
        <v>0</v>
      </c>
      <c r="D125" s="16">
        <f ca="1">((100/H119)*C125)/100</f>
        <v>0</v>
      </c>
      <c r="E125" s="104"/>
      <c r="F125" s="104"/>
      <c r="G125" s="104"/>
      <c r="H125" s="104"/>
      <c r="I125" s="13" t="s">
        <v>98</v>
      </c>
      <c r="J125" s="27">
        <f ca="1">(IF(B119&gt;1,(H119/(B119+2)+J124),H119/4+J124))</f>
        <v>4</v>
      </c>
    </row>
    <row r="126" spans="1:19" ht="15.75" hidden="1" customHeight="1" x14ac:dyDescent="0.35">
      <c r="A126" s="103" t="s">
        <v>133</v>
      </c>
      <c r="B126" s="103" t="s">
        <v>126</v>
      </c>
      <c r="C126" s="82">
        <v>0</v>
      </c>
      <c r="D126" s="16">
        <f ca="1">((100/H119)*C126)/100</f>
        <v>0</v>
      </c>
      <c r="E126" s="104"/>
      <c r="F126" s="104"/>
      <c r="G126" s="104"/>
      <c r="H126" s="104"/>
      <c r="I126" s="13" t="s">
        <v>144</v>
      </c>
      <c r="J126" s="27">
        <f>(IF(B119&gt;1,(H119/(B119+2)+J125),0))</f>
        <v>0</v>
      </c>
    </row>
    <row r="127" spans="1:19" ht="15" hidden="1" customHeight="1" x14ac:dyDescent="0.35">
      <c r="A127" s="103" t="s">
        <v>131</v>
      </c>
      <c r="B127" s="103" t="s">
        <v>128</v>
      </c>
      <c r="C127" s="82">
        <v>0</v>
      </c>
      <c r="D127" s="16">
        <f ca="1">((100/(H119))*C127)/100</f>
        <v>0</v>
      </c>
      <c r="E127" s="104"/>
      <c r="F127" s="104"/>
      <c r="G127" s="104"/>
      <c r="H127" s="104"/>
      <c r="I127" s="13" t="s">
        <v>139</v>
      </c>
      <c r="J127" s="27">
        <f>(IF(B119&gt;2,(H119/(B119+2)+J126),0))</f>
        <v>0</v>
      </c>
    </row>
    <row r="128" spans="1:19" ht="15.75" hidden="1" customHeight="1" x14ac:dyDescent="0.35">
      <c r="A128" s="103" t="s">
        <v>127</v>
      </c>
      <c r="B128" s="103" t="s">
        <v>127</v>
      </c>
      <c r="C128" s="82">
        <v>0</v>
      </c>
      <c r="D128" s="16">
        <f ca="1">((100/H119)*C128)/100</f>
        <v>0</v>
      </c>
      <c r="E128" s="104"/>
      <c r="F128" s="104"/>
      <c r="G128" s="104"/>
      <c r="H128" s="104"/>
      <c r="I128" s="13" t="s">
        <v>140</v>
      </c>
      <c r="J128" s="28">
        <f>(IF(B119&gt;3,(H119/(B119+2)+J127),0))</f>
        <v>0</v>
      </c>
    </row>
    <row r="129" spans="1:22" ht="15.75" hidden="1" customHeight="1" x14ac:dyDescent="0.35">
      <c r="A129" s="103" t="s">
        <v>134</v>
      </c>
      <c r="B129" s="103"/>
      <c r="C129" s="82">
        <v>0</v>
      </c>
      <c r="D129" s="16">
        <f ca="1">((100/H119)*C129)/100</f>
        <v>0</v>
      </c>
      <c r="E129" s="104"/>
      <c r="F129" s="104"/>
      <c r="G129" s="104"/>
      <c r="H129" s="104"/>
      <c r="I129" s="13" t="s">
        <v>141</v>
      </c>
      <c r="J129" s="27">
        <f>(IF(B119&gt;4,(H119/(B119+2)+J128),0))</f>
        <v>0</v>
      </c>
    </row>
    <row r="130" spans="1:22" ht="15.75" hidden="1" customHeight="1" x14ac:dyDescent="0.35">
      <c r="A130" s="103" t="s">
        <v>129</v>
      </c>
      <c r="B130" s="103" t="s">
        <v>129</v>
      </c>
      <c r="C130" s="82">
        <v>0</v>
      </c>
      <c r="D130" s="16">
        <f ca="1">((100/(H119))*C130)/100</f>
        <v>0</v>
      </c>
      <c r="E130" s="104"/>
      <c r="F130" s="104"/>
      <c r="G130" s="104"/>
      <c r="H130" s="104"/>
      <c r="I130" s="13" t="s">
        <v>145</v>
      </c>
      <c r="J130" s="27">
        <f ca="1">(IF(B119=1,(H119/(B119+3)+J125),IF(B119=0,(H119/4+J125),IF(B119&gt;1,0))))</f>
        <v>6</v>
      </c>
    </row>
    <row r="131" spans="1:22" ht="16" hidden="1" thickBot="1" x14ac:dyDescent="0.4">
      <c r="A131" s="103" t="s">
        <v>130</v>
      </c>
      <c r="B131" s="103"/>
      <c r="C131" s="82">
        <v>0</v>
      </c>
      <c r="D131" s="16">
        <f ca="1">((100/(H119))*C131)/100</f>
        <v>0</v>
      </c>
      <c r="E131" s="104"/>
      <c r="F131" s="104"/>
      <c r="G131" s="104"/>
      <c r="H131" s="104"/>
      <c r="I131" s="14" t="s">
        <v>99</v>
      </c>
      <c r="J131" s="29">
        <f ca="1">(IF(B119&gt;1.5,(H119/(B119+2)+J125+MAX(0,J126-J125)+MAX(0,J127-J126)+MAX(0,J128-J127)+MAX(0,J129-J128)+MAX(0,J130-J129)),IF(B119=1,(H119/(B119+3)+J130),IF(B119=0,H119/4+J130))))</f>
        <v>8</v>
      </c>
    </row>
    <row r="132" spans="1:22" x14ac:dyDescent="0.35">
      <c r="A132" s="129" t="s">
        <v>155</v>
      </c>
      <c r="B132" s="129"/>
      <c r="C132" s="129"/>
      <c r="D132" s="129"/>
      <c r="E132" s="129"/>
      <c r="F132" s="130" t="s">
        <v>159</v>
      </c>
      <c r="G132" s="130"/>
      <c r="H132" s="130"/>
      <c r="R132" t="s">
        <v>254</v>
      </c>
      <c r="S132" t="s">
        <v>171</v>
      </c>
      <c r="T132" t="s">
        <v>179</v>
      </c>
      <c r="U132" t="s">
        <v>193</v>
      </c>
      <c r="V132" t="s">
        <v>188</v>
      </c>
    </row>
    <row r="133" spans="1:22" x14ac:dyDescent="0.35">
      <c r="A133" s="93" t="s">
        <v>157</v>
      </c>
      <c r="B133" s="93"/>
      <c r="C133" s="93"/>
      <c r="D133" s="93"/>
      <c r="E133" s="93"/>
      <c r="F133" s="94">
        <v>29000</v>
      </c>
      <c r="G133" s="94"/>
      <c r="H133" s="94"/>
      <c r="I133" s="18" t="s">
        <v>436</v>
      </c>
      <c r="R133"/>
      <c r="S133">
        <v>800000</v>
      </c>
      <c r="T133">
        <v>150000</v>
      </c>
      <c r="U133">
        <v>100000</v>
      </c>
      <c r="V133">
        <v>100000</v>
      </c>
    </row>
    <row r="134" spans="1:22" hidden="1" x14ac:dyDescent="0.35">
      <c r="A134" s="93" t="s">
        <v>156</v>
      </c>
      <c r="B134" s="93"/>
      <c r="C134" s="93"/>
      <c r="D134" s="93"/>
      <c r="E134" s="93"/>
      <c r="F134" s="94"/>
      <c r="G134" s="94"/>
      <c r="H134" s="94"/>
      <c r="R134"/>
      <c r="S134">
        <v>900000</v>
      </c>
      <c r="T134">
        <v>200000</v>
      </c>
      <c r="U134">
        <v>150000</v>
      </c>
      <c r="V134">
        <v>150000</v>
      </c>
    </row>
    <row r="135" spans="1:22" hidden="1" x14ac:dyDescent="0.35">
      <c r="A135" s="93" t="s">
        <v>158</v>
      </c>
      <c r="B135" s="93"/>
      <c r="C135" s="93"/>
      <c r="D135" s="93"/>
      <c r="E135" s="93"/>
      <c r="F135" s="94"/>
      <c r="G135" s="94"/>
      <c r="H135" s="94"/>
      <c r="R135"/>
      <c r="S135">
        <v>1000000</v>
      </c>
      <c r="T135">
        <v>250000</v>
      </c>
      <c r="U135">
        <v>200000</v>
      </c>
      <c r="V135">
        <v>200000</v>
      </c>
    </row>
    <row r="136" spans="1:22" s="30" customFormat="1" hidden="1" x14ac:dyDescent="0.35">
      <c r="A136" s="93" t="s">
        <v>173</v>
      </c>
      <c r="B136" s="93"/>
      <c r="C136" s="93"/>
      <c r="D136" s="93"/>
      <c r="E136" s="93"/>
      <c r="F136" s="94"/>
      <c r="G136" s="94"/>
      <c r="H136" s="94"/>
      <c r="R136"/>
      <c r="S136">
        <v>1100000</v>
      </c>
      <c r="T136">
        <v>300000</v>
      </c>
      <c r="U136">
        <v>250000</v>
      </c>
      <c r="V136" s="20">
        <v>250000</v>
      </c>
    </row>
    <row r="137" spans="1:22" s="30" customFormat="1" x14ac:dyDescent="0.35">
      <c r="A137" s="93" t="s">
        <v>434</v>
      </c>
      <c r="B137" s="93"/>
      <c r="C137" s="93"/>
      <c r="D137" s="93"/>
      <c r="E137" s="93"/>
      <c r="F137" s="94">
        <v>150600</v>
      </c>
      <c r="G137" s="94"/>
      <c r="H137" s="94"/>
      <c r="I137" s="30" t="s">
        <v>437</v>
      </c>
      <c r="R137"/>
      <c r="S137">
        <v>1300000</v>
      </c>
      <c r="T137">
        <v>400000</v>
      </c>
      <c r="U137">
        <v>350000</v>
      </c>
      <c r="V137" s="20">
        <v>400000</v>
      </c>
    </row>
    <row r="138" spans="1:22" s="30" customFormat="1" x14ac:dyDescent="0.35">
      <c r="A138" s="93" t="s">
        <v>89</v>
      </c>
      <c r="B138" s="93"/>
      <c r="C138" s="93"/>
      <c r="D138" s="93"/>
      <c r="E138" s="93"/>
      <c r="F138" s="94">
        <v>217500</v>
      </c>
      <c r="G138" s="94"/>
      <c r="H138" s="94"/>
      <c r="R138"/>
      <c r="S138">
        <v>1200000</v>
      </c>
      <c r="T138">
        <v>350000</v>
      </c>
      <c r="U138">
        <v>300000</v>
      </c>
      <c r="V138">
        <v>300000</v>
      </c>
    </row>
    <row r="139" spans="1:22" s="30" customFormat="1" x14ac:dyDescent="0.35">
      <c r="A139" s="93" t="s">
        <v>435</v>
      </c>
      <c r="B139" s="93"/>
      <c r="C139" s="93"/>
      <c r="D139" s="93"/>
      <c r="E139" s="93"/>
      <c r="F139" s="94">
        <v>160000</v>
      </c>
      <c r="G139" s="94"/>
      <c r="H139" s="94"/>
      <c r="R139"/>
      <c r="S139">
        <v>1300000</v>
      </c>
      <c r="T139">
        <v>400000</v>
      </c>
      <c r="U139">
        <v>350000</v>
      </c>
      <c r="V139" s="20">
        <v>400000</v>
      </c>
    </row>
    <row r="140" spans="1:22" s="30" customFormat="1" hidden="1" x14ac:dyDescent="0.35">
      <c r="A140" s="93" t="s">
        <v>90</v>
      </c>
      <c r="B140" s="93"/>
      <c r="C140" s="93"/>
      <c r="D140" s="93"/>
      <c r="E140" s="93"/>
      <c r="F140" s="94"/>
      <c r="G140" s="94"/>
      <c r="H140" s="94"/>
      <c r="R140"/>
      <c r="S140">
        <v>1300000</v>
      </c>
      <c r="T140">
        <v>400000</v>
      </c>
      <c r="U140">
        <v>350000</v>
      </c>
      <c r="V140" s="20">
        <v>400000</v>
      </c>
    </row>
    <row r="141" spans="1:22" s="30" customFormat="1" hidden="1" x14ac:dyDescent="0.35">
      <c r="A141" s="93" t="s">
        <v>91</v>
      </c>
      <c r="B141" s="93"/>
      <c r="C141" s="93"/>
      <c r="D141" s="93"/>
      <c r="E141" s="93"/>
      <c r="F141" s="94"/>
      <c r="G141" s="94"/>
      <c r="H141" s="94"/>
      <c r="R141"/>
      <c r="S141">
        <v>1400000</v>
      </c>
      <c r="T141">
        <v>500000</v>
      </c>
      <c r="U141">
        <v>400000</v>
      </c>
      <c r="V141"/>
    </row>
    <row r="142" spans="1:22" s="30" customFormat="1" hidden="1" x14ac:dyDescent="0.35">
      <c r="A142" s="93" t="s">
        <v>92</v>
      </c>
      <c r="B142" s="93"/>
      <c r="C142" s="93"/>
      <c r="D142" s="93"/>
      <c r="E142" s="93"/>
      <c r="F142" s="94"/>
      <c r="G142" s="94"/>
      <c r="H142" s="94"/>
      <c r="R142"/>
      <c r="S142">
        <v>1500000</v>
      </c>
      <c r="T142">
        <v>600000</v>
      </c>
      <c r="U142">
        <v>500000</v>
      </c>
      <c r="V142" s="20"/>
    </row>
    <row r="143" spans="1:22" s="30" customFormat="1" hidden="1" x14ac:dyDescent="0.35">
      <c r="A143" s="93" t="s">
        <v>93</v>
      </c>
      <c r="B143" s="93"/>
      <c r="C143" s="93"/>
      <c r="D143" s="93"/>
      <c r="E143" s="93"/>
      <c r="F143" s="94"/>
      <c r="G143" s="94"/>
      <c r="H143" s="94"/>
      <c r="R143"/>
      <c r="S143">
        <v>1600000</v>
      </c>
      <c r="T143">
        <v>700000</v>
      </c>
      <c r="U143">
        <v>600000</v>
      </c>
      <c r="V143"/>
    </row>
    <row r="144" spans="1:22" s="30" customFormat="1" hidden="1" x14ac:dyDescent="0.35">
      <c r="A144" s="93" t="s">
        <v>94</v>
      </c>
      <c r="B144" s="93"/>
      <c r="C144" s="93"/>
      <c r="D144" s="93"/>
      <c r="E144" s="93"/>
      <c r="F144" s="94"/>
      <c r="G144" s="94"/>
      <c r="H144" s="94"/>
      <c r="R144"/>
      <c r="S144">
        <v>1700000</v>
      </c>
      <c r="T144">
        <v>800000</v>
      </c>
      <c r="U144"/>
      <c r="V144" s="20"/>
    </row>
    <row r="145" spans="1:22" x14ac:dyDescent="0.35">
      <c r="A145" s="93" t="s">
        <v>47</v>
      </c>
      <c r="B145" s="93"/>
      <c r="C145" s="93"/>
      <c r="D145" s="93"/>
      <c r="E145" s="93"/>
      <c r="F145" s="182">
        <v>1500000</v>
      </c>
      <c r="G145" s="182"/>
      <c r="H145" s="182"/>
      <c r="R145"/>
      <c r="S145">
        <v>1800000</v>
      </c>
      <c r="T145">
        <v>900000</v>
      </c>
      <c r="U145"/>
    </row>
    <row r="146" spans="1:22" s="31" customFormat="1" x14ac:dyDescent="0.35">
      <c r="A146" s="129" t="s">
        <v>48</v>
      </c>
      <c r="B146" s="129"/>
      <c r="C146" s="129"/>
      <c r="D146" s="129"/>
      <c r="E146" s="129"/>
      <c r="F146" s="94">
        <f>F133*0.8</f>
        <v>23200</v>
      </c>
      <c r="G146" s="94"/>
      <c r="H146" s="94"/>
      <c r="R146" s="18"/>
      <c r="S146" s="18"/>
      <c r="T146">
        <v>1000000</v>
      </c>
      <c r="U146"/>
      <c r="V146" s="18"/>
    </row>
    <row r="147" spans="1:22" s="32" customFormat="1" ht="15.75" hidden="1" customHeight="1" x14ac:dyDescent="0.35">
      <c r="A147" s="181" t="s">
        <v>70</v>
      </c>
      <c r="B147" s="181"/>
      <c r="C147" s="181"/>
      <c r="D147" s="181"/>
      <c r="E147" s="181"/>
      <c r="F147" s="181"/>
      <c r="G147" s="181"/>
      <c r="H147" s="181"/>
      <c r="R147"/>
      <c r="S147" s="18"/>
      <c r="T147"/>
      <c r="U147"/>
      <c r="V147" s="18"/>
    </row>
    <row r="148" spans="1:22" s="32" customFormat="1" ht="15.75" hidden="1" customHeight="1" x14ac:dyDescent="0.35">
      <c r="A148" s="133" t="s">
        <v>49</v>
      </c>
      <c r="B148" s="133"/>
      <c r="C148" s="201" t="s">
        <v>73</v>
      </c>
      <c r="D148" s="201"/>
      <c r="E148" s="122" t="s">
        <v>50</v>
      </c>
      <c r="F148" s="122"/>
      <c r="G148" s="133" t="s">
        <v>51</v>
      </c>
      <c r="H148" s="133"/>
      <c r="R148"/>
      <c r="S148" s="18"/>
      <c r="T148"/>
      <c r="U148" s="18"/>
      <c r="V148" s="18"/>
    </row>
    <row r="149" spans="1:22" s="32" customFormat="1" hidden="1" x14ac:dyDescent="0.35">
      <c r="A149" s="136"/>
      <c r="B149" s="136"/>
      <c r="C149" s="141"/>
      <c r="D149" s="141"/>
      <c r="E149" s="142"/>
      <c r="F149" s="142"/>
      <c r="G149" s="134"/>
      <c r="H149" s="134"/>
      <c r="R149"/>
      <c r="S149" s="18"/>
      <c r="T149"/>
      <c r="U149" s="18"/>
      <c r="V149" s="18"/>
    </row>
    <row r="150" spans="1:22" s="32" customFormat="1" hidden="1" x14ac:dyDescent="0.35">
      <c r="A150" s="136"/>
      <c r="B150" s="136"/>
      <c r="C150" s="141"/>
      <c r="D150" s="141"/>
      <c r="E150" s="142"/>
      <c r="F150" s="142"/>
      <c r="G150" s="134"/>
      <c r="H150" s="134"/>
      <c r="R150"/>
      <c r="S150" s="18"/>
      <c r="T150"/>
      <c r="U150" s="18"/>
      <c r="V150" s="18"/>
    </row>
    <row r="151" spans="1:22" s="32" customFormat="1" hidden="1" x14ac:dyDescent="0.35">
      <c r="A151" s="181" t="s">
        <v>149</v>
      </c>
      <c r="B151" s="181"/>
      <c r="C151" s="201"/>
      <c r="D151" s="201"/>
      <c r="E151" s="122"/>
      <c r="F151" s="122"/>
      <c r="G151" s="133"/>
      <c r="H151" s="133"/>
      <c r="R151"/>
      <c r="S151" s="18"/>
      <c r="T151"/>
      <c r="U151" s="18"/>
      <c r="V151" s="18"/>
    </row>
    <row r="152" spans="1:22" s="32" customFormat="1" x14ac:dyDescent="0.35">
      <c r="A152" s="181" t="s">
        <v>65</v>
      </c>
      <c r="B152" s="181"/>
      <c r="C152" s="181"/>
      <c r="D152" s="181"/>
      <c r="E152" s="181"/>
      <c r="F152" s="181"/>
      <c r="G152" s="181"/>
      <c r="H152" s="181"/>
      <c r="T152"/>
    </row>
    <row r="153" spans="1:22" s="32" customFormat="1" ht="15.75" customHeight="1" x14ac:dyDescent="0.35">
      <c r="A153" s="133" t="s">
        <v>49</v>
      </c>
      <c r="B153" s="133"/>
      <c r="C153" s="201" t="s">
        <v>73</v>
      </c>
      <c r="D153" s="201"/>
      <c r="E153" s="122" t="s">
        <v>50</v>
      </c>
      <c r="F153" s="122"/>
      <c r="G153" s="133" t="s">
        <v>51</v>
      </c>
      <c r="H153" s="133"/>
      <c r="T153"/>
    </row>
    <row r="154" spans="1:22" s="32" customFormat="1" x14ac:dyDescent="0.35">
      <c r="A154" s="136" t="s">
        <v>398</v>
      </c>
      <c r="B154" s="136"/>
      <c r="C154" s="137">
        <f>COUNT(F177:F180)+COUNT(F182:F185)+COUNT(F187:F190)*3+COUNT(F192:F195)+COUNT(F197:F200)*2</f>
        <v>32</v>
      </c>
      <c r="D154" s="137"/>
      <c r="E154" s="137">
        <f>SUM(F177:F180)+SUM(F182:F185)+SUM(F187:F190)*3+SUM(F192:F195)+SUM(F197:F200)*2</f>
        <v>24343.00128</v>
      </c>
      <c r="F154" s="137"/>
      <c r="G154" s="137">
        <f>SUM(H177:H180)+SUM(H182:H185)+SUM(H187:H190)*3+SUM(H192:H195)+SUM(H197:H200)*2</f>
        <v>36514.501919999995</v>
      </c>
      <c r="H154" s="137"/>
      <c r="T154"/>
    </row>
    <row r="155" spans="1:22" s="32" customFormat="1" x14ac:dyDescent="0.35">
      <c r="A155" s="136" t="s">
        <v>383</v>
      </c>
      <c r="B155" s="136"/>
      <c r="C155" s="137">
        <f>COUNT(F205:F207)+COUNT(F209:F211)+COUNT(F213:F215)*3+COUNT(F217:F219)+COUNT(F221:F223)*2</f>
        <v>24</v>
      </c>
      <c r="D155" s="137"/>
      <c r="E155" s="137">
        <f>SUM(F205:F207)+SUM(F209:F211)+SUM(F213:F215)*3+SUM(F217:F219)+SUM(F221:F223)*2</f>
        <v>16953.730560000004</v>
      </c>
      <c r="F155" s="137"/>
      <c r="G155" s="137">
        <f>SUM(H205:H207)+SUM(H209:H211)+SUM(H213:H215)*3+SUM(H217:H219)+SUM(H221:H223)*2</f>
        <v>25430.595839999994</v>
      </c>
      <c r="H155" s="137"/>
      <c r="J155" s="32">
        <f>41000/1.5</f>
        <v>27333.333333333332</v>
      </c>
      <c r="T155"/>
    </row>
    <row r="156" spans="1:22" s="32" customFormat="1" x14ac:dyDescent="0.35">
      <c r="A156" s="136" t="s">
        <v>384</v>
      </c>
      <c r="B156" s="136"/>
      <c r="C156" s="137">
        <f>COUNT(F228:F231)+COUNT(F233:F236)+COUNT(F238:F241)+COUNT(F243:F246)*3+COUNT(F253:F256)*2</f>
        <v>32</v>
      </c>
      <c r="D156" s="137"/>
      <c r="E156" s="137">
        <f>SUM(F228:F231)+SUM(F233:F236)+SUM(F238:F241)+SUM(F243:F246)*3+SUM(F253:F256)*2</f>
        <v>27272.746800000001</v>
      </c>
      <c r="F156" s="137"/>
      <c r="G156" s="137">
        <f>SUM(H228:H231)+SUM(H233:H236)+SUM(H238:H241)+SUM(H243:H246)*3+SUM(H253:H256)*2</f>
        <v>40909.120200000005</v>
      </c>
      <c r="H156" s="137"/>
      <c r="T156"/>
    </row>
    <row r="157" spans="1:22" s="32" customFormat="1" x14ac:dyDescent="0.35">
      <c r="A157" s="136" t="s">
        <v>385</v>
      </c>
      <c r="B157" s="136"/>
      <c r="C157" s="137">
        <f>COUNT(F260:F263)+COUNT(F265:F268)+COUNT(F270:F273)+COUNT(F275:F278)*4+COUNT(F280:F283)</f>
        <v>32</v>
      </c>
      <c r="D157" s="137"/>
      <c r="E157" s="137">
        <f>SUM(F260:F263)+SUM(F265:F268)+SUM(F270:F273)+SUM(F275:F278)*4+SUM(F280:F283)</f>
        <v>28759.039919999999</v>
      </c>
      <c r="F157" s="137"/>
      <c r="G157" s="137">
        <f>SUM(H260:H263)+SUM(H265:H268)+SUM(H270:H273)+SUM(H275:H278)*4+SUM(H280:H283)</f>
        <v>43138.559879999993</v>
      </c>
      <c r="H157" s="137"/>
      <c r="T157"/>
    </row>
    <row r="158" spans="1:22" s="32" customFormat="1" ht="16" thickBot="1" x14ac:dyDescent="0.4">
      <c r="A158" s="138" t="s">
        <v>149</v>
      </c>
      <c r="B158" s="138"/>
      <c r="C158" s="139">
        <f>SUM(C154:C157)</f>
        <v>120</v>
      </c>
      <c r="D158" s="140"/>
      <c r="E158" s="139">
        <f>SUM(E154:E157)</f>
        <v>97328.518560000011</v>
      </c>
      <c r="F158" s="140"/>
      <c r="G158" s="139">
        <f>SUM(G154:G157)</f>
        <v>145992.77784</v>
      </c>
      <c r="H158" s="140"/>
      <c r="T158"/>
    </row>
    <row r="159" spans="1:22" s="32" customFormat="1" ht="16" thickBot="1" x14ac:dyDescent="0.4">
      <c r="A159" s="190" t="s">
        <v>165</v>
      </c>
      <c r="B159" s="191"/>
      <c r="C159" s="192">
        <f>C151+C158</f>
        <v>120</v>
      </c>
      <c r="D159" s="192"/>
      <c r="E159" s="193">
        <f>E151+E158</f>
        <v>97328.518560000011</v>
      </c>
      <c r="F159" s="193"/>
      <c r="G159" s="148">
        <f>G151+G158</f>
        <v>145992.77784</v>
      </c>
      <c r="H159" s="149"/>
      <c r="T159"/>
    </row>
    <row r="160" spans="1:22" s="31" customFormat="1" x14ac:dyDescent="0.35">
      <c r="A160" s="135" t="s">
        <v>52</v>
      </c>
      <c r="B160" s="135"/>
      <c r="C160" s="135"/>
      <c r="D160" s="135"/>
      <c r="E160" s="135"/>
      <c r="F160" s="135"/>
      <c r="G160" s="135"/>
      <c r="H160" s="135"/>
      <c r="T160" s="32"/>
    </row>
    <row r="161" spans="1:20" x14ac:dyDescent="0.35">
      <c r="A161" s="212" t="s">
        <v>405</v>
      </c>
      <c r="B161" s="212"/>
      <c r="C161" s="212"/>
      <c r="D161" s="212"/>
      <c r="E161" s="212"/>
      <c r="F161" s="212"/>
      <c r="G161" s="212"/>
      <c r="H161" s="212"/>
      <c r="T161" s="32"/>
    </row>
    <row r="162" spans="1:20" ht="47.25" hidden="1" customHeight="1" x14ac:dyDescent="0.35">
      <c r="A162" s="111" t="s">
        <v>116</v>
      </c>
      <c r="B162" s="111" t="s">
        <v>175</v>
      </c>
      <c r="C162" s="111" t="s">
        <v>53</v>
      </c>
      <c r="D162" s="153" t="s">
        <v>232</v>
      </c>
      <c r="E162" s="123" t="s">
        <v>154</v>
      </c>
      <c r="F162" s="111" t="s">
        <v>54</v>
      </c>
      <c r="G162" s="123" t="s">
        <v>55</v>
      </c>
      <c r="H162" s="53" t="s">
        <v>147</v>
      </c>
      <c r="T162" s="32"/>
    </row>
    <row r="163" spans="1:20" s="34" customFormat="1" hidden="1" x14ac:dyDescent="0.35">
      <c r="A163" s="112"/>
      <c r="B163" s="112"/>
      <c r="C163" s="112"/>
      <c r="D163" s="154"/>
      <c r="E163" s="124"/>
      <c r="F163" s="112"/>
      <c r="G163" s="124"/>
      <c r="H163" s="45">
        <v>0.45</v>
      </c>
      <c r="T163" s="32"/>
    </row>
    <row r="164" spans="1:20" s="34" customFormat="1" hidden="1" x14ac:dyDescent="0.35">
      <c r="A164" s="98" t="s">
        <v>114</v>
      </c>
      <c r="B164" s="99"/>
      <c r="C164" s="99"/>
      <c r="D164" s="99"/>
      <c r="E164" s="99"/>
      <c r="F164" s="99"/>
      <c r="G164" s="99"/>
      <c r="H164" s="100"/>
      <c r="J164" s="33"/>
      <c r="T164" s="32"/>
    </row>
    <row r="165" spans="1:20" s="34" customFormat="1" ht="15.75" hidden="1" customHeight="1" x14ac:dyDescent="0.35">
      <c r="A165" s="90">
        <v>1</v>
      </c>
      <c r="B165" s="91"/>
      <c r="C165" s="39"/>
      <c r="D165" s="39">
        <v>0</v>
      </c>
      <c r="E165" s="39">
        <v>0</v>
      </c>
      <c r="F165" s="39">
        <f>D165+(IF(E165&lt;201,E165,IF(E165&lt;301,E165/2,E165/3)))</f>
        <v>0</v>
      </c>
      <c r="G165" s="39">
        <v>0</v>
      </c>
      <c r="H165" s="39">
        <f>(F165+(IF(G165&lt;101,G165,IF(G165&lt;201,G165/2,IF(G165&lt;=301,G165/3,G165/4)))))*(($H$163)+1)</f>
        <v>0</v>
      </c>
      <c r="I165" s="33"/>
      <c r="L165" s="92"/>
      <c r="M165" s="92"/>
      <c r="N165" s="33"/>
      <c r="T165" s="32"/>
    </row>
    <row r="166" spans="1:20" s="34" customFormat="1" ht="15.75" hidden="1" customHeight="1" x14ac:dyDescent="0.35">
      <c r="A166" s="90">
        <f>A165+1</f>
        <v>2</v>
      </c>
      <c r="B166" s="91"/>
      <c r="C166" s="39"/>
      <c r="D166" s="39"/>
      <c r="E166" s="39">
        <v>0</v>
      </c>
      <c r="F166" s="39">
        <f t="shared" ref="F166:F168" si="0">D166+(IF(E166&lt;201,E166,IF(E166&lt;301,E166/2,E166/3)))</f>
        <v>0</v>
      </c>
      <c r="G166" s="39">
        <v>0</v>
      </c>
      <c r="H166" s="39">
        <f t="shared" ref="H166:H168" si="1">(F166+(IF(G166&lt;101,G166,IF(G166&lt;201,G166/2,IF(G166&lt;=301,G166/3,G166/4)))))*(($H$163)+1)</f>
        <v>0</v>
      </c>
      <c r="I166" s="33"/>
      <c r="L166" s="92"/>
      <c r="M166" s="92"/>
      <c r="N166" s="33"/>
      <c r="T166" s="31"/>
    </row>
    <row r="167" spans="1:20" s="34" customFormat="1" ht="15.75" hidden="1" customHeight="1" x14ac:dyDescent="0.35">
      <c r="A167" s="90">
        <f>A166+1</f>
        <v>3</v>
      </c>
      <c r="B167" s="91"/>
      <c r="C167" s="39"/>
      <c r="D167" s="39"/>
      <c r="E167" s="39">
        <v>0</v>
      </c>
      <c r="F167" s="39">
        <f t="shared" si="0"/>
        <v>0</v>
      </c>
      <c r="G167" s="39">
        <v>0</v>
      </c>
      <c r="H167" s="39">
        <f t="shared" si="1"/>
        <v>0</v>
      </c>
      <c r="I167" s="33"/>
      <c r="L167" s="92"/>
      <c r="M167" s="92"/>
      <c r="N167" s="33"/>
      <c r="T167" s="18"/>
    </row>
    <row r="168" spans="1:20" s="34" customFormat="1" ht="15.75" hidden="1" customHeight="1" x14ac:dyDescent="0.35">
      <c r="A168" s="90">
        <f>A167+1</f>
        <v>4</v>
      </c>
      <c r="B168" s="91"/>
      <c r="C168" s="39"/>
      <c r="D168" s="39"/>
      <c r="E168" s="39">
        <v>0</v>
      </c>
      <c r="F168" s="39">
        <f t="shared" si="0"/>
        <v>0</v>
      </c>
      <c r="G168" s="39">
        <v>0</v>
      </c>
      <c r="H168" s="39">
        <f t="shared" si="1"/>
        <v>0</v>
      </c>
      <c r="I168" s="33"/>
      <c r="L168" s="92"/>
      <c r="M168" s="92"/>
      <c r="N168" s="33"/>
      <c r="T168" s="18"/>
    </row>
    <row r="169" spans="1:20" s="34" customFormat="1" hidden="1" x14ac:dyDescent="0.35">
      <c r="A169" s="90"/>
      <c r="B169" s="184"/>
      <c r="C169" s="184"/>
      <c r="D169" s="184"/>
      <c r="E169" s="184"/>
      <c r="F169" s="184"/>
      <c r="G169" s="184"/>
      <c r="H169" s="91"/>
      <c r="I169" s="33"/>
      <c r="N169" s="33"/>
    </row>
    <row r="170" spans="1:20" ht="47.25" customHeight="1" x14ac:dyDescent="0.35">
      <c r="A170" s="131" t="s">
        <v>413</v>
      </c>
      <c r="B170" s="113" t="s">
        <v>176</v>
      </c>
      <c r="C170" s="113" t="s">
        <v>53</v>
      </c>
      <c r="D170" s="113" t="s">
        <v>381</v>
      </c>
      <c r="E170" s="113" t="s">
        <v>231</v>
      </c>
      <c r="F170" s="113" t="s">
        <v>54</v>
      </c>
      <c r="G170" s="146" t="s">
        <v>55</v>
      </c>
      <c r="H170" s="74" t="s">
        <v>147</v>
      </c>
      <c r="I170" s="33"/>
      <c r="K170" s="39">
        <v>10.763999999999999</v>
      </c>
      <c r="T170" s="34"/>
    </row>
    <row r="171" spans="1:20" s="34" customFormat="1" x14ac:dyDescent="0.35">
      <c r="A171" s="132"/>
      <c r="B171" s="114"/>
      <c r="C171" s="114"/>
      <c r="D171" s="114"/>
      <c r="E171" s="114"/>
      <c r="F171" s="114"/>
      <c r="G171" s="147"/>
      <c r="H171" s="75">
        <v>0.5</v>
      </c>
      <c r="I171" s="33"/>
    </row>
    <row r="172" spans="1:20" s="34" customFormat="1" x14ac:dyDescent="0.35">
      <c r="A172" s="108" t="s">
        <v>378</v>
      </c>
      <c r="B172" s="109"/>
      <c r="C172" s="109"/>
      <c r="D172" s="109"/>
      <c r="E172" s="109"/>
      <c r="F172" s="109"/>
      <c r="G172" s="109"/>
      <c r="H172" s="110"/>
      <c r="J172" s="33"/>
    </row>
    <row r="173" spans="1:20" s="34" customFormat="1" x14ac:dyDescent="0.35">
      <c r="A173" s="108" t="s">
        <v>395</v>
      </c>
      <c r="B173" s="109"/>
      <c r="C173" s="109"/>
      <c r="D173" s="109"/>
      <c r="E173" s="109"/>
      <c r="F173" s="109"/>
      <c r="G173" s="109"/>
      <c r="H173" s="110"/>
      <c r="J173" s="33"/>
    </row>
    <row r="174" spans="1:20" s="34" customFormat="1" x14ac:dyDescent="0.35">
      <c r="A174" s="98" t="s">
        <v>416</v>
      </c>
      <c r="B174" s="99"/>
      <c r="C174" s="99"/>
      <c r="D174" s="99"/>
      <c r="E174" s="99"/>
      <c r="F174" s="99"/>
      <c r="G174" s="99"/>
      <c r="H174" s="100"/>
      <c r="J174" s="33"/>
    </row>
    <row r="175" spans="1:20" s="34" customFormat="1" x14ac:dyDescent="0.35">
      <c r="A175" s="98" t="s">
        <v>400</v>
      </c>
      <c r="B175" s="99"/>
      <c r="C175" s="99"/>
      <c r="D175" s="99"/>
      <c r="E175" s="99"/>
      <c r="F175" s="99"/>
      <c r="G175" s="99"/>
      <c r="H175" s="100"/>
      <c r="J175" s="33"/>
    </row>
    <row r="176" spans="1:20" s="34" customFormat="1" x14ac:dyDescent="0.35">
      <c r="A176" s="98" t="s">
        <v>379</v>
      </c>
      <c r="B176" s="99"/>
      <c r="C176" s="99"/>
      <c r="D176" s="99"/>
      <c r="E176" s="99"/>
      <c r="F176" s="99"/>
      <c r="G176" s="99"/>
      <c r="H176" s="100"/>
      <c r="J176" s="33"/>
    </row>
    <row r="177" spans="1:20" s="34" customFormat="1" ht="15.75" customHeight="1" x14ac:dyDescent="0.35">
      <c r="A177" s="90">
        <v>1</v>
      </c>
      <c r="B177" s="91"/>
      <c r="C177" s="39" t="s">
        <v>380</v>
      </c>
      <c r="D177" s="39">
        <f>(64.95)*10.764</f>
        <v>699.12180000000001</v>
      </c>
      <c r="E177" s="39">
        <v>0</v>
      </c>
      <c r="F177" s="39">
        <f>D177+E177</f>
        <v>699.12180000000001</v>
      </c>
      <c r="G177" s="39">
        <v>0</v>
      </c>
      <c r="H177" s="39">
        <f>F177*(($H$171)+1)+(IF(G177&lt;101,G177,IF(G177&lt;201,G177/2,IF(G177&lt;=301,G177/3,G177/4))))</f>
        <v>1048.6827000000001</v>
      </c>
      <c r="I177" s="33"/>
      <c r="L177" s="92"/>
      <c r="M177" s="92"/>
      <c r="N177" s="33"/>
    </row>
    <row r="178" spans="1:20" s="34" customFormat="1" ht="15.75" customHeight="1" x14ac:dyDescent="0.35">
      <c r="A178" s="90">
        <f>A177+1</f>
        <v>2</v>
      </c>
      <c r="B178" s="91"/>
      <c r="C178" s="39" t="s">
        <v>387</v>
      </c>
      <c r="D178" s="39">
        <f>(104.63)*10.764</f>
        <v>1126.23732</v>
      </c>
      <c r="E178" s="39">
        <v>0</v>
      </c>
      <c r="F178" s="39">
        <f>D178+E178</f>
        <v>1126.23732</v>
      </c>
      <c r="G178" s="39">
        <v>0</v>
      </c>
      <c r="H178" s="39">
        <f>F178*(($H$171)+1)+(IF(G178&lt;101,G178,IF(G178&lt;201,G178/2,IF(G178&lt;=301,G178/3,G178/4))))</f>
        <v>1689.3559799999998</v>
      </c>
      <c r="I178" s="33">
        <f>3.35*6.28+2.3*5.06+1.37*2.74+3.05*3.86+3.13*4.26+3.2*4.88+1.53*2.45+1.22*2.52+1.95*1.1+1*1.25+1.22*2.45+3.28*1+3.35*1.52</f>
        <v>98.731499999999997</v>
      </c>
      <c r="L178" s="92"/>
      <c r="M178" s="92"/>
      <c r="N178" s="33"/>
    </row>
    <row r="179" spans="1:20" s="34" customFormat="1" ht="15.75" customHeight="1" x14ac:dyDescent="0.35">
      <c r="A179" s="90">
        <f>A178+1</f>
        <v>3</v>
      </c>
      <c r="B179" s="91"/>
      <c r="C179" s="39" t="s">
        <v>386</v>
      </c>
      <c r="D179" s="39">
        <f>(44.72)*10.764</f>
        <v>481.36607999999995</v>
      </c>
      <c r="E179" s="39">
        <v>0</v>
      </c>
      <c r="F179" s="39">
        <f>D179+E179</f>
        <v>481.36607999999995</v>
      </c>
      <c r="G179" s="39">
        <v>0</v>
      </c>
      <c r="H179" s="39">
        <f>F179*(($H$171)+1)+(IF(G179&lt;101,G179,IF(G179&lt;201,G179/2,IF(G179&lt;=301,G179/3,G179/4))))</f>
        <v>722.0491199999999</v>
      </c>
      <c r="I179" s="33"/>
      <c r="L179" s="92"/>
      <c r="M179" s="92"/>
      <c r="N179" s="33"/>
    </row>
    <row r="180" spans="1:20" s="34" customFormat="1" ht="15.75" customHeight="1" x14ac:dyDescent="0.35">
      <c r="A180" s="90">
        <f>A179+1</f>
        <v>4</v>
      </c>
      <c r="B180" s="91"/>
      <c r="C180" s="39" t="s">
        <v>380</v>
      </c>
      <c r="D180" s="39">
        <f>(67)*10.764</f>
        <v>721.18799999999999</v>
      </c>
      <c r="E180" s="39">
        <v>0</v>
      </c>
      <c r="F180" s="39">
        <f>D180+E180</f>
        <v>721.18799999999999</v>
      </c>
      <c r="G180" s="39">
        <v>0</v>
      </c>
      <c r="H180" s="39">
        <f>F180*(($H$171)+1)+(IF(G180&lt;101,G180,IF(G180&lt;201,G180/2,IF(G180&lt;=301,G180/3,G180/4))))</f>
        <v>1081.7819999999999</v>
      </c>
      <c r="I180" s="33"/>
      <c r="L180" s="92"/>
      <c r="M180" s="92"/>
      <c r="N180" s="33"/>
      <c r="T180" s="18"/>
    </row>
    <row r="181" spans="1:20" s="34" customFormat="1" x14ac:dyDescent="0.35">
      <c r="A181" s="98" t="s">
        <v>115</v>
      </c>
      <c r="B181" s="99"/>
      <c r="C181" s="99"/>
      <c r="D181" s="99"/>
      <c r="E181" s="99"/>
      <c r="F181" s="99"/>
      <c r="G181" s="99"/>
      <c r="H181" s="100"/>
      <c r="J181" s="33"/>
    </row>
    <row r="182" spans="1:20" s="34" customFormat="1" ht="15.75" customHeight="1" x14ac:dyDescent="0.35">
      <c r="A182" s="90">
        <v>1</v>
      </c>
      <c r="B182" s="91"/>
      <c r="C182" s="39" t="s">
        <v>380</v>
      </c>
      <c r="D182" s="39">
        <f>(64.95)*10.764</f>
        <v>699.12180000000001</v>
      </c>
      <c r="E182" s="39">
        <v>0</v>
      </c>
      <c r="F182" s="39">
        <f>D182+E182</f>
        <v>699.12180000000001</v>
      </c>
      <c r="G182" s="39">
        <v>0</v>
      </c>
      <c r="H182" s="39">
        <f>F182*(($H$171)+1)+(IF(G182&lt;101,G182,IF(G182&lt;201,G182/2,IF(G182&lt;=301,G182/3,G182/4))))</f>
        <v>1048.6827000000001</v>
      </c>
      <c r="I182" s="33"/>
      <c r="L182" s="92"/>
      <c r="M182" s="92"/>
      <c r="N182" s="33"/>
    </row>
    <row r="183" spans="1:20" s="34" customFormat="1" ht="15.75" customHeight="1" x14ac:dyDescent="0.35">
      <c r="A183" s="90">
        <f>A182+1</f>
        <v>2</v>
      </c>
      <c r="B183" s="91"/>
      <c r="C183" s="39" t="s">
        <v>387</v>
      </c>
      <c r="D183" s="39">
        <f>(104.63)*10.764</f>
        <v>1126.23732</v>
      </c>
      <c r="E183" s="39">
        <v>0</v>
      </c>
      <c r="F183" s="39">
        <f>D183+E183</f>
        <v>1126.23732</v>
      </c>
      <c r="G183" s="39">
        <v>0</v>
      </c>
      <c r="H183" s="39">
        <f>F183*(($H$171)+1)+(IF(G183&lt;101,G183,IF(G183&lt;201,G183/2,IF(G183&lt;=301,G183/3,G183/4))))</f>
        <v>1689.3559799999998</v>
      </c>
      <c r="I183" s="33"/>
      <c r="L183" s="92"/>
      <c r="M183" s="92"/>
      <c r="N183" s="33"/>
    </row>
    <row r="184" spans="1:20" s="34" customFormat="1" ht="15.75" customHeight="1" x14ac:dyDescent="0.35">
      <c r="A184" s="90">
        <f>A183+1</f>
        <v>3</v>
      </c>
      <c r="B184" s="91"/>
      <c r="C184" s="39" t="s">
        <v>386</v>
      </c>
      <c r="D184" s="39">
        <f>(45)*10.764</f>
        <v>484.38</v>
      </c>
      <c r="E184" s="39">
        <v>0</v>
      </c>
      <c r="F184" s="39">
        <f>D184+E184</f>
        <v>484.38</v>
      </c>
      <c r="G184" s="39">
        <v>0</v>
      </c>
      <c r="H184" s="39">
        <f>F184*(($H$171)+1)+(IF(G184&lt;101,G184,IF(G184&lt;201,G184/2,IF(G184&lt;=301,G184/3,G184/4))))</f>
        <v>726.56999999999994</v>
      </c>
      <c r="I184" s="33"/>
      <c r="L184" s="92"/>
      <c r="M184" s="92"/>
      <c r="N184" s="33"/>
    </row>
    <row r="185" spans="1:20" s="34" customFormat="1" ht="15.75" customHeight="1" x14ac:dyDescent="0.35">
      <c r="A185" s="90">
        <f>A184+1</f>
        <v>4</v>
      </c>
      <c r="B185" s="91"/>
      <c r="C185" s="39" t="s">
        <v>380</v>
      </c>
      <c r="D185" s="39">
        <f>(67)*10.764</f>
        <v>721.18799999999999</v>
      </c>
      <c r="E185" s="39">
        <v>0</v>
      </c>
      <c r="F185" s="39">
        <f>D185+E185</f>
        <v>721.18799999999999</v>
      </c>
      <c r="G185" s="39">
        <v>0</v>
      </c>
      <c r="H185" s="39">
        <f>F185*(($H$171)+1)+(IF(G185&lt;101,G185,IF(G185&lt;201,G185/2,IF(G185&lt;=301,G185/3,G185/4))))</f>
        <v>1081.7819999999999</v>
      </c>
      <c r="I185" s="33"/>
      <c r="L185" s="92"/>
      <c r="M185" s="92"/>
      <c r="N185" s="33"/>
      <c r="T185" s="18"/>
    </row>
    <row r="186" spans="1:20" s="34" customFormat="1" x14ac:dyDescent="0.35">
      <c r="A186" s="98" t="s">
        <v>425</v>
      </c>
      <c r="B186" s="99"/>
      <c r="C186" s="99"/>
      <c r="D186" s="99"/>
      <c r="E186" s="99"/>
      <c r="F186" s="99"/>
      <c r="G186" s="99"/>
      <c r="H186" s="100"/>
      <c r="J186" s="33"/>
    </row>
    <row r="187" spans="1:20" s="34" customFormat="1" ht="15.75" customHeight="1" x14ac:dyDescent="0.35">
      <c r="A187" s="90">
        <v>1</v>
      </c>
      <c r="B187" s="91"/>
      <c r="C187" s="39" t="s">
        <v>380</v>
      </c>
      <c r="D187" s="39">
        <f>(64.95)*10.764</f>
        <v>699.12180000000001</v>
      </c>
      <c r="E187" s="39">
        <v>0</v>
      </c>
      <c r="F187" s="39">
        <f>D187+E187</f>
        <v>699.12180000000001</v>
      </c>
      <c r="G187" s="39">
        <v>0</v>
      </c>
      <c r="H187" s="39">
        <f>F187*(($H$171)+1)+(IF(G187&lt;101,G187,IF(G187&lt;201,G187/2,IF(G187&lt;=301,G187/3,G187/4))))</f>
        <v>1048.6827000000001</v>
      </c>
      <c r="I187" s="33"/>
      <c r="L187" s="92"/>
      <c r="M187" s="92"/>
      <c r="N187" s="33"/>
    </row>
    <row r="188" spans="1:20" s="34" customFormat="1" ht="15.75" customHeight="1" x14ac:dyDescent="0.35">
      <c r="A188" s="90">
        <f>A187+1</f>
        <v>2</v>
      </c>
      <c r="B188" s="91"/>
      <c r="C188" s="39" t="s">
        <v>387</v>
      </c>
      <c r="D188" s="39">
        <f>(104.63)*10.764</f>
        <v>1126.23732</v>
      </c>
      <c r="E188" s="39">
        <v>0</v>
      </c>
      <c r="F188" s="39">
        <f>D188+E188</f>
        <v>1126.23732</v>
      </c>
      <c r="G188" s="39">
        <v>0</v>
      </c>
      <c r="H188" s="39">
        <f>F188*(($H$171)+1)+(IF(G188&lt;101,G188,IF(G188&lt;201,G188/2,IF(G188&lt;=301,G188/3,G188/4))))</f>
        <v>1689.3559799999998</v>
      </c>
      <c r="I188" s="33"/>
      <c r="L188" s="92"/>
      <c r="M188" s="92"/>
      <c r="N188" s="33"/>
    </row>
    <row r="189" spans="1:20" s="34" customFormat="1" ht="15.75" customHeight="1" x14ac:dyDescent="0.35">
      <c r="A189" s="90">
        <f>A188+1</f>
        <v>3</v>
      </c>
      <c r="B189" s="91"/>
      <c r="C189" s="39" t="s">
        <v>386</v>
      </c>
      <c r="D189" s="39">
        <f>(45)*10.764</f>
        <v>484.38</v>
      </c>
      <c r="E189" s="39">
        <v>0</v>
      </c>
      <c r="F189" s="39">
        <f>D189+E189</f>
        <v>484.38</v>
      </c>
      <c r="G189" s="39">
        <v>0</v>
      </c>
      <c r="H189" s="39">
        <f>F189*(($H$171)+1)+(IF(G189&lt;101,G189,IF(G189&lt;201,G189/2,IF(G189&lt;=301,G189/3,G189/4))))</f>
        <v>726.56999999999994</v>
      </c>
      <c r="I189" s="33"/>
      <c r="L189" s="92"/>
      <c r="M189" s="92"/>
      <c r="N189" s="33"/>
    </row>
    <row r="190" spans="1:20" s="34" customFormat="1" ht="15.75" customHeight="1" x14ac:dyDescent="0.35">
      <c r="A190" s="90">
        <f>A189+1</f>
        <v>4</v>
      </c>
      <c r="B190" s="91"/>
      <c r="C190" s="39" t="s">
        <v>380</v>
      </c>
      <c r="D190" s="39">
        <f>(67)*10.764</f>
        <v>721.18799999999999</v>
      </c>
      <c r="E190" s="39">
        <v>0</v>
      </c>
      <c r="F190" s="39">
        <f>D190+E190</f>
        <v>721.18799999999999</v>
      </c>
      <c r="G190" s="39">
        <v>0</v>
      </c>
      <c r="H190" s="39">
        <f>F190*(($H$171)+1)+(IF(G190&lt;101,G190,IF(G190&lt;201,G190/2,IF(G190&lt;=301,G190/3,G190/4))))</f>
        <v>1081.7819999999999</v>
      </c>
      <c r="I190" s="33"/>
      <c r="L190" s="92"/>
      <c r="M190" s="92"/>
      <c r="N190" s="33"/>
      <c r="T190" s="18"/>
    </row>
    <row r="191" spans="1:20" s="34" customFormat="1" x14ac:dyDescent="0.35">
      <c r="A191" s="98" t="s">
        <v>397</v>
      </c>
      <c r="B191" s="99"/>
      <c r="C191" s="99"/>
      <c r="D191" s="99"/>
      <c r="E191" s="99"/>
      <c r="F191" s="99"/>
      <c r="G191" s="99"/>
      <c r="H191" s="100"/>
      <c r="J191" s="33"/>
    </row>
    <row r="192" spans="1:20" s="34" customFormat="1" ht="15.75" customHeight="1" x14ac:dyDescent="0.35">
      <c r="A192" s="90">
        <v>1</v>
      </c>
      <c r="B192" s="91"/>
      <c r="C192" s="39" t="s">
        <v>380</v>
      </c>
      <c r="D192" s="39">
        <f>(64.95)*10.764</f>
        <v>699.12180000000001</v>
      </c>
      <c r="E192" s="39">
        <v>0</v>
      </c>
      <c r="F192" s="39">
        <f>D192+E192</f>
        <v>699.12180000000001</v>
      </c>
      <c r="G192" s="39">
        <v>0</v>
      </c>
      <c r="H192" s="39">
        <f>F192*(($H$171)+1)+(IF(G192&lt;101,G192,IF(G192&lt;201,G192/2,IF(G192&lt;=301,G192/3,G192/4))))</f>
        <v>1048.6827000000001</v>
      </c>
      <c r="I192" s="33"/>
      <c r="L192" s="92"/>
      <c r="M192" s="92"/>
      <c r="N192" s="33"/>
    </row>
    <row r="193" spans="1:20" s="34" customFormat="1" ht="15.75" customHeight="1" x14ac:dyDescent="0.35">
      <c r="A193" s="90">
        <f>A192+1</f>
        <v>2</v>
      </c>
      <c r="B193" s="91"/>
      <c r="C193" s="39" t="s">
        <v>387</v>
      </c>
      <c r="D193" s="39">
        <f>(104.63)*10.764</f>
        <v>1126.23732</v>
      </c>
      <c r="E193" s="39">
        <v>0</v>
      </c>
      <c r="F193" s="39">
        <f>D193+E193</f>
        <v>1126.23732</v>
      </c>
      <c r="G193" s="39">
        <v>0</v>
      </c>
      <c r="H193" s="39">
        <f>F193*(($H$171)+1)+(IF(G193&lt;101,G193,IF(G193&lt;201,G193/2,IF(G193&lt;=301,G193/3,G193/4))))</f>
        <v>1689.3559799999998</v>
      </c>
      <c r="I193" s="33">
        <f>47000000/H193</f>
        <v>27821.252925034783</v>
      </c>
      <c r="L193" s="92"/>
      <c r="M193" s="92"/>
      <c r="N193" s="33"/>
    </row>
    <row r="194" spans="1:20" s="34" customFormat="1" ht="15.75" customHeight="1" x14ac:dyDescent="0.35">
      <c r="A194" s="90">
        <f>A193+1</f>
        <v>3</v>
      </c>
      <c r="B194" s="91"/>
      <c r="C194" s="39" t="s">
        <v>386</v>
      </c>
      <c r="D194" s="39">
        <f>(45.66)*10.764</f>
        <v>491.48423999999994</v>
      </c>
      <c r="E194" s="39">
        <v>0</v>
      </c>
      <c r="F194" s="39">
        <f>D194+E194</f>
        <v>491.48423999999994</v>
      </c>
      <c r="G194" s="39">
        <v>0</v>
      </c>
      <c r="H194" s="39">
        <f>F194*(($H$171)+1)+(IF(G194&lt;101,G194,IF(G194&lt;201,G194/2,IF(G194&lt;=301,G194/3,G194/4))))</f>
        <v>737.22635999999989</v>
      </c>
      <c r="I194" s="33"/>
      <c r="L194" s="92"/>
      <c r="M194" s="92"/>
      <c r="N194" s="33"/>
    </row>
    <row r="195" spans="1:20" s="34" customFormat="1" ht="15.75" customHeight="1" x14ac:dyDescent="0.35">
      <c r="A195" s="90">
        <f>A194+1</f>
        <v>4</v>
      </c>
      <c r="B195" s="91"/>
      <c r="C195" s="39" t="s">
        <v>380</v>
      </c>
      <c r="D195" s="39">
        <f>(67)*10.764</f>
        <v>721.18799999999999</v>
      </c>
      <c r="E195" s="39">
        <v>0</v>
      </c>
      <c r="F195" s="39">
        <f>D195+E195</f>
        <v>721.18799999999999</v>
      </c>
      <c r="G195" s="39">
        <v>0</v>
      </c>
      <c r="H195" s="39">
        <f>F195*(($H$171)+1)+(IF(G195&lt;101,G195,IF(G195&lt;201,G195/2,IF(G195&lt;=301,G195/3,G195/4))))</f>
        <v>1081.7819999999999</v>
      </c>
      <c r="I195" s="33"/>
      <c r="L195" s="92"/>
      <c r="M195" s="92"/>
      <c r="N195" s="33"/>
      <c r="T195" s="18"/>
    </row>
    <row r="196" spans="1:20" s="34" customFormat="1" x14ac:dyDescent="0.35">
      <c r="A196" s="98" t="s">
        <v>382</v>
      </c>
      <c r="B196" s="99"/>
      <c r="C196" s="99"/>
      <c r="D196" s="99"/>
      <c r="E196" s="99"/>
      <c r="F196" s="99"/>
      <c r="G196" s="99"/>
      <c r="H196" s="100"/>
      <c r="J196" s="33"/>
    </row>
    <row r="197" spans="1:20" s="34" customFormat="1" ht="15.75" customHeight="1" x14ac:dyDescent="0.35">
      <c r="A197" s="90">
        <v>1</v>
      </c>
      <c r="B197" s="91"/>
      <c r="C197" s="39" t="s">
        <v>380</v>
      </c>
      <c r="D197" s="39">
        <f>(64.95)*10.764</f>
        <v>699.12180000000001</v>
      </c>
      <c r="E197" s="39">
        <v>0</v>
      </c>
      <c r="F197" s="39">
        <f>D197+E197</f>
        <v>699.12180000000001</v>
      </c>
      <c r="G197" s="39">
        <v>0</v>
      </c>
      <c r="H197" s="39">
        <f>F197*(($H$171)+1)+(IF(G197&lt;101,G197,IF(G197&lt;201,G197/2,IF(G197&lt;=301,G197/3,G197/4))))</f>
        <v>1048.6827000000001</v>
      </c>
      <c r="I197" s="33"/>
      <c r="L197" s="92"/>
      <c r="M197" s="92"/>
      <c r="N197" s="33"/>
    </row>
    <row r="198" spans="1:20" s="34" customFormat="1" ht="15.75" customHeight="1" x14ac:dyDescent="0.35">
      <c r="A198" s="90">
        <f>A197+1</f>
        <v>2</v>
      </c>
      <c r="B198" s="91"/>
      <c r="C198" s="39" t="s">
        <v>387</v>
      </c>
      <c r="D198" s="39">
        <f>(104.63)*10.764</f>
        <v>1126.23732</v>
      </c>
      <c r="E198" s="39">
        <v>0</v>
      </c>
      <c r="F198" s="39">
        <f>D198+E198</f>
        <v>1126.23732</v>
      </c>
      <c r="G198" s="39">
        <v>0</v>
      </c>
      <c r="H198" s="39">
        <f>F198*(($H$171)+1)+(IF(G198&lt;101,G198,IF(G198&lt;201,G198/2,IF(G198&lt;=301,G198/3,G198/4))))</f>
        <v>1689.3559799999998</v>
      </c>
      <c r="I198" s="33"/>
      <c r="L198" s="92"/>
      <c r="M198" s="92"/>
      <c r="N198" s="33"/>
    </row>
    <row r="199" spans="1:20" s="34" customFormat="1" ht="15.75" customHeight="1" x14ac:dyDescent="0.35">
      <c r="A199" s="90">
        <f>A198+1</f>
        <v>3</v>
      </c>
      <c r="B199" s="91"/>
      <c r="C199" s="39" t="s">
        <v>386</v>
      </c>
      <c r="D199" s="39">
        <f>(49.25)*10.764</f>
        <v>530.12699999999995</v>
      </c>
      <c r="E199" s="39">
        <v>0</v>
      </c>
      <c r="F199" s="39">
        <f>D199+E199</f>
        <v>530.12699999999995</v>
      </c>
      <c r="G199" s="39">
        <v>0</v>
      </c>
      <c r="H199" s="39">
        <f>F199*(($H$171)+1)+(IF(G199&lt;101,G199,IF(G199&lt;201,G199/2,IF(G199&lt;=301,G199/3,G199/4))))</f>
        <v>795.19049999999993</v>
      </c>
      <c r="I199" s="33"/>
      <c r="L199" s="92"/>
      <c r="M199" s="92"/>
      <c r="N199" s="33"/>
    </row>
    <row r="200" spans="1:20" s="34" customFormat="1" ht="15.75" customHeight="1" x14ac:dyDescent="0.35">
      <c r="A200" s="90">
        <f>A199+1</f>
        <v>4</v>
      </c>
      <c r="B200" s="91"/>
      <c r="C200" s="39" t="s">
        <v>380</v>
      </c>
      <c r="D200" s="39">
        <f>(67)*10.764</f>
        <v>721.18799999999999</v>
      </c>
      <c r="E200" s="39">
        <v>0</v>
      </c>
      <c r="F200" s="39">
        <f>D200+E200</f>
        <v>721.18799999999999</v>
      </c>
      <c r="G200" s="39">
        <v>0</v>
      </c>
      <c r="H200" s="39">
        <f>F200*(($H$171)+1)+(IF(G200&lt;101,G200,IF(G200&lt;201,G200/2,IF(G200&lt;=301,G200/3,G200/4))))</f>
        <v>1081.7819999999999</v>
      </c>
      <c r="I200" s="33">
        <f>30000000/H200</f>
        <v>27732.019944868745</v>
      </c>
      <c r="J200" s="34">
        <f>28450000/H200</f>
        <v>26299.198914383862</v>
      </c>
      <c r="L200" s="92"/>
      <c r="M200" s="92"/>
      <c r="N200" s="33"/>
      <c r="T200" s="18"/>
    </row>
    <row r="201" spans="1:20" s="34" customFormat="1" x14ac:dyDescent="0.35">
      <c r="A201" s="108" t="s">
        <v>377</v>
      </c>
      <c r="B201" s="109"/>
      <c r="C201" s="109"/>
      <c r="D201" s="109"/>
      <c r="E201" s="109"/>
      <c r="F201" s="109"/>
      <c r="G201" s="109"/>
      <c r="H201" s="110"/>
      <c r="J201" s="33"/>
    </row>
    <row r="202" spans="1:20" s="34" customFormat="1" x14ac:dyDescent="0.35">
      <c r="A202" s="98" t="s">
        <v>416</v>
      </c>
      <c r="B202" s="99"/>
      <c r="C202" s="99"/>
      <c r="D202" s="99"/>
      <c r="E202" s="99"/>
      <c r="F202" s="99"/>
      <c r="G202" s="99"/>
      <c r="H202" s="100"/>
      <c r="J202" s="33"/>
    </row>
    <row r="203" spans="1:20" s="34" customFormat="1" x14ac:dyDescent="0.35">
      <c r="A203" s="98" t="s">
        <v>401</v>
      </c>
      <c r="B203" s="99"/>
      <c r="C203" s="99"/>
      <c r="D203" s="99"/>
      <c r="E203" s="99"/>
      <c r="F203" s="99"/>
      <c r="G203" s="99"/>
      <c r="H203" s="100"/>
      <c r="J203" s="33"/>
    </row>
    <row r="204" spans="1:20" s="34" customFormat="1" x14ac:dyDescent="0.35">
      <c r="A204" s="98" t="s">
        <v>379</v>
      </c>
      <c r="B204" s="99"/>
      <c r="C204" s="99"/>
      <c r="D204" s="99"/>
      <c r="E204" s="99"/>
      <c r="F204" s="99"/>
      <c r="G204" s="99"/>
      <c r="H204" s="100"/>
      <c r="J204" s="33"/>
    </row>
    <row r="205" spans="1:20" s="34" customFormat="1" ht="15.75" customHeight="1" x14ac:dyDescent="0.35">
      <c r="A205" s="90">
        <v>1</v>
      </c>
      <c r="B205" s="91"/>
      <c r="C205" s="39" t="s">
        <v>380</v>
      </c>
      <c r="D205" s="39">
        <f>(64.96)*10.764</f>
        <v>699.22943999999984</v>
      </c>
      <c r="E205" s="39">
        <v>0</v>
      </c>
      <c r="F205" s="39">
        <f>D205+E205</f>
        <v>699.22943999999984</v>
      </c>
      <c r="G205" s="39">
        <v>0</v>
      </c>
      <c r="H205" s="39">
        <f>F205*(($H$171)+1)+(IF(G205&lt;101,G205,IF(G205&lt;201,G205/2,IF(G205&lt;=301,G205/3,G205/4))))</f>
        <v>1048.8441599999996</v>
      </c>
      <c r="I205" s="33"/>
      <c r="L205" s="92"/>
      <c r="M205" s="92"/>
      <c r="N205" s="33"/>
    </row>
    <row r="206" spans="1:20" s="34" customFormat="1" ht="15.75" customHeight="1" x14ac:dyDescent="0.35">
      <c r="A206" s="90">
        <f>A205+1</f>
        <v>2</v>
      </c>
      <c r="B206" s="91"/>
      <c r="C206" s="39" t="s">
        <v>380</v>
      </c>
      <c r="D206" s="39">
        <f>(64.98)*10.764</f>
        <v>699.44471999999996</v>
      </c>
      <c r="E206" s="39">
        <v>0</v>
      </c>
      <c r="F206" s="39">
        <f>D206+E206</f>
        <v>699.44471999999996</v>
      </c>
      <c r="G206" s="39">
        <v>0</v>
      </c>
      <c r="H206" s="39">
        <f>F206*(($H$171)+1)+(IF(G206&lt;101,G206,IF(G206&lt;201,G206/2,IF(G206&lt;=301,G206/3,G206/4))))</f>
        <v>1049.1670799999999</v>
      </c>
      <c r="I206" s="33"/>
      <c r="L206" s="92"/>
      <c r="M206" s="92"/>
      <c r="N206" s="33"/>
    </row>
    <row r="207" spans="1:20" s="34" customFormat="1" ht="15.75" customHeight="1" x14ac:dyDescent="0.35">
      <c r="A207" s="90">
        <f>A206+1</f>
        <v>3</v>
      </c>
      <c r="B207" s="91"/>
      <c r="C207" s="39" t="s">
        <v>380</v>
      </c>
      <c r="D207" s="39">
        <f>(64.91)*10.764</f>
        <v>698.69123999999988</v>
      </c>
      <c r="E207" s="39">
        <v>0</v>
      </c>
      <c r="F207" s="39">
        <f>D207+E207</f>
        <v>698.69123999999988</v>
      </c>
      <c r="G207" s="39">
        <v>0</v>
      </c>
      <c r="H207" s="39">
        <f>F207*(($H$171)+1)+(IF(G207&lt;101,G207,IF(G207&lt;201,G207/2,IF(G207&lt;=301,G207/3,G207/4))))</f>
        <v>1048.0368599999997</v>
      </c>
      <c r="I207" s="33"/>
      <c r="L207" s="92"/>
      <c r="M207" s="92"/>
      <c r="N207" s="33"/>
    </row>
    <row r="208" spans="1:20" s="34" customFormat="1" x14ac:dyDescent="0.35">
      <c r="A208" s="98" t="s">
        <v>115</v>
      </c>
      <c r="B208" s="99"/>
      <c r="C208" s="99"/>
      <c r="D208" s="99"/>
      <c r="E208" s="99"/>
      <c r="F208" s="99"/>
      <c r="G208" s="99"/>
      <c r="H208" s="100"/>
      <c r="J208" s="33"/>
    </row>
    <row r="209" spans="1:14" s="34" customFormat="1" ht="15.75" customHeight="1" x14ac:dyDescent="0.35">
      <c r="A209" s="90">
        <v>1</v>
      </c>
      <c r="B209" s="91"/>
      <c r="C209" s="39" t="s">
        <v>380</v>
      </c>
      <c r="D209" s="39">
        <f>(64.96)*10.764</f>
        <v>699.22943999999984</v>
      </c>
      <c r="E209" s="39">
        <v>0</v>
      </c>
      <c r="F209" s="39">
        <f>D209+E209</f>
        <v>699.22943999999984</v>
      </c>
      <c r="G209" s="39">
        <v>0</v>
      </c>
      <c r="H209" s="39">
        <f>F209*(($H$171)+1)+(IF(G209&lt;101,G209,IF(G209&lt;201,G209/2,IF(G209&lt;=301,G209/3,G209/4))))</f>
        <v>1048.8441599999996</v>
      </c>
      <c r="I209" s="33"/>
      <c r="L209" s="92"/>
      <c r="M209" s="92"/>
      <c r="N209" s="33"/>
    </row>
    <row r="210" spans="1:14" s="34" customFormat="1" ht="15.75" customHeight="1" x14ac:dyDescent="0.35">
      <c r="A210" s="90">
        <f>A209+1</f>
        <v>2</v>
      </c>
      <c r="B210" s="91"/>
      <c r="C210" s="39" t="s">
        <v>380</v>
      </c>
      <c r="D210" s="39">
        <f>(64.98)*10.764</f>
        <v>699.44471999999996</v>
      </c>
      <c r="E210" s="39">
        <v>0</v>
      </c>
      <c r="F210" s="39">
        <f>D210+E210</f>
        <v>699.44471999999996</v>
      </c>
      <c r="G210" s="39">
        <v>0</v>
      </c>
      <c r="H210" s="39">
        <f>F210*(($H$171)+1)+(IF(G210&lt;101,G210,IF(G210&lt;201,G210/2,IF(G210&lt;=301,G210/3,G210/4))))</f>
        <v>1049.1670799999999</v>
      </c>
      <c r="I210" s="33"/>
      <c r="L210" s="92"/>
      <c r="M210" s="92"/>
      <c r="N210" s="33"/>
    </row>
    <row r="211" spans="1:14" s="34" customFormat="1" ht="15.75" customHeight="1" x14ac:dyDescent="0.35">
      <c r="A211" s="90">
        <f>A210+1</f>
        <v>3</v>
      </c>
      <c r="B211" s="91"/>
      <c r="C211" s="39" t="s">
        <v>380</v>
      </c>
      <c r="D211" s="39">
        <f>(64.91)*10.764</f>
        <v>698.69123999999988</v>
      </c>
      <c r="E211" s="39">
        <v>0</v>
      </c>
      <c r="F211" s="39">
        <f>D211+E211</f>
        <v>698.69123999999988</v>
      </c>
      <c r="G211" s="39">
        <v>0</v>
      </c>
      <c r="H211" s="39">
        <f>F211*(($H$171)+1)+(IF(G211&lt;101,G211,IF(G211&lt;201,G211/2,IF(G211&lt;=301,G211/3,G211/4))))</f>
        <v>1048.0368599999997</v>
      </c>
      <c r="I211" s="33"/>
      <c r="L211" s="92"/>
      <c r="M211" s="92"/>
      <c r="N211" s="33"/>
    </row>
    <row r="212" spans="1:14" s="34" customFormat="1" x14ac:dyDescent="0.35">
      <c r="A212" s="98" t="s">
        <v>425</v>
      </c>
      <c r="B212" s="99"/>
      <c r="C212" s="99"/>
      <c r="D212" s="99"/>
      <c r="E212" s="99"/>
      <c r="F212" s="99"/>
      <c r="G212" s="99"/>
      <c r="H212" s="100"/>
      <c r="J212" s="33"/>
    </row>
    <row r="213" spans="1:14" s="34" customFormat="1" ht="15.75" customHeight="1" x14ac:dyDescent="0.35">
      <c r="A213" s="90">
        <v>1</v>
      </c>
      <c r="B213" s="91"/>
      <c r="C213" s="39" t="s">
        <v>380</v>
      </c>
      <c r="D213" s="39">
        <f>(65.72)*10.764</f>
        <v>707.41007999999999</v>
      </c>
      <c r="E213" s="39">
        <v>0</v>
      </c>
      <c r="F213" s="39">
        <f>D213+E213</f>
        <v>707.41007999999999</v>
      </c>
      <c r="G213" s="39">
        <v>0</v>
      </c>
      <c r="H213" s="39">
        <f>F213*(($H$171)+1)+(IF(G213&lt;101,G213,IF(G213&lt;201,G213/2,IF(G213&lt;=301,G213/3,G213/4))))</f>
        <v>1061.1151199999999</v>
      </c>
      <c r="I213" s="33"/>
      <c r="L213" s="92"/>
      <c r="M213" s="92"/>
      <c r="N213" s="33"/>
    </row>
    <row r="214" spans="1:14" s="34" customFormat="1" ht="15.75" customHeight="1" x14ac:dyDescent="0.35">
      <c r="A214" s="90">
        <f>A213+1</f>
        <v>2</v>
      </c>
      <c r="B214" s="91"/>
      <c r="C214" s="39" t="s">
        <v>380</v>
      </c>
      <c r="D214" s="39">
        <f>(64.98)*10.764</f>
        <v>699.44471999999996</v>
      </c>
      <c r="E214" s="39">
        <v>0</v>
      </c>
      <c r="F214" s="39">
        <f>D214+E214</f>
        <v>699.44471999999996</v>
      </c>
      <c r="G214" s="39">
        <v>0</v>
      </c>
      <c r="H214" s="39">
        <f>F214*(($H$171)+1)+(IF(G214&lt;101,G214,IF(G214&lt;201,G214/2,IF(G214&lt;=301,G214/3,G214/4))))</f>
        <v>1049.1670799999999</v>
      </c>
      <c r="I214" s="33"/>
      <c r="L214" s="92"/>
      <c r="M214" s="92"/>
      <c r="N214" s="33"/>
    </row>
    <row r="215" spans="1:14" s="34" customFormat="1" ht="15.75" customHeight="1" x14ac:dyDescent="0.35">
      <c r="A215" s="90">
        <f>A214+1</f>
        <v>3</v>
      </c>
      <c r="B215" s="91"/>
      <c r="C215" s="39" t="s">
        <v>380</v>
      </c>
      <c r="D215" s="39">
        <f>(64.91)*10.764</f>
        <v>698.69123999999988</v>
      </c>
      <c r="E215" s="39">
        <v>0</v>
      </c>
      <c r="F215" s="39">
        <f>D215+E215</f>
        <v>698.69123999999988</v>
      </c>
      <c r="G215" s="39">
        <v>0</v>
      </c>
      <c r="H215" s="39">
        <f>F215*(($H$171)+1)+(IF(G215&lt;101,G215,IF(G215&lt;201,G215/2,IF(G215&lt;=301,G215/3,G215/4))))</f>
        <v>1048.0368599999997</v>
      </c>
      <c r="I215" s="33"/>
      <c r="L215" s="92"/>
      <c r="M215" s="92"/>
      <c r="N215" s="33"/>
    </row>
    <row r="216" spans="1:14" s="34" customFormat="1" x14ac:dyDescent="0.35">
      <c r="A216" s="98" t="s">
        <v>397</v>
      </c>
      <c r="B216" s="99"/>
      <c r="C216" s="99"/>
      <c r="D216" s="99"/>
      <c r="E216" s="99"/>
      <c r="F216" s="99"/>
      <c r="G216" s="99"/>
      <c r="H216" s="100"/>
      <c r="J216" s="33"/>
    </row>
    <row r="217" spans="1:14" s="34" customFormat="1" ht="15.75" customHeight="1" x14ac:dyDescent="0.35">
      <c r="A217" s="90">
        <v>1</v>
      </c>
      <c r="B217" s="91"/>
      <c r="C217" s="39" t="s">
        <v>380</v>
      </c>
      <c r="D217" s="39">
        <f>(65.72)*10.764</f>
        <v>707.41007999999999</v>
      </c>
      <c r="E217" s="39">
        <v>0</v>
      </c>
      <c r="F217" s="39">
        <f>D217+E217</f>
        <v>707.41007999999999</v>
      </c>
      <c r="G217" s="39">
        <v>0</v>
      </c>
      <c r="H217" s="39">
        <f>F217*(($H$171)+1)+(IF(G217&lt;101,G217,IF(G217&lt;201,G217/2,IF(G217&lt;=301,G217/3,G217/4))))</f>
        <v>1061.1151199999999</v>
      </c>
      <c r="I217" s="33"/>
      <c r="L217" s="92"/>
      <c r="M217" s="92"/>
      <c r="N217" s="33"/>
    </row>
    <row r="218" spans="1:14" s="34" customFormat="1" ht="15.75" customHeight="1" x14ac:dyDescent="0.35">
      <c r="A218" s="90">
        <f>A217+1</f>
        <v>2</v>
      </c>
      <c r="B218" s="91"/>
      <c r="C218" s="39" t="s">
        <v>380</v>
      </c>
      <c r="D218" s="39">
        <f>(64.98)*10.764</f>
        <v>699.44471999999996</v>
      </c>
      <c r="E218" s="39">
        <v>0</v>
      </c>
      <c r="F218" s="39">
        <f>D218+E218</f>
        <v>699.44471999999996</v>
      </c>
      <c r="G218" s="39">
        <v>0</v>
      </c>
      <c r="H218" s="39">
        <f>F218*(($H$171)+1)+(IF(G218&lt;101,G218,IF(G218&lt;201,G218/2,IF(G218&lt;=301,G218/3,G218/4))))</f>
        <v>1049.1670799999999</v>
      </c>
      <c r="I218" s="33"/>
      <c r="L218" s="92"/>
      <c r="M218" s="92"/>
      <c r="N218" s="33"/>
    </row>
    <row r="219" spans="1:14" s="34" customFormat="1" ht="15.75" customHeight="1" x14ac:dyDescent="0.35">
      <c r="A219" s="90">
        <f>A218+1</f>
        <v>3</v>
      </c>
      <c r="B219" s="91"/>
      <c r="C219" s="39" t="s">
        <v>380</v>
      </c>
      <c r="D219" s="39">
        <f>(64.91)*10.764</f>
        <v>698.69123999999988</v>
      </c>
      <c r="E219" s="39">
        <v>0</v>
      </c>
      <c r="F219" s="39">
        <f>D219+E219</f>
        <v>698.69123999999988</v>
      </c>
      <c r="G219" s="39">
        <v>0</v>
      </c>
      <c r="H219" s="39">
        <f>F219*(($H$171)+1)+(IF(G219&lt;101,G219,IF(G219&lt;201,G219/2,IF(G219&lt;=301,G219/3,G219/4))))</f>
        <v>1048.0368599999997</v>
      </c>
      <c r="I219" s="33"/>
      <c r="L219" s="92"/>
      <c r="M219" s="92"/>
      <c r="N219" s="33"/>
    </row>
    <row r="220" spans="1:14" s="34" customFormat="1" x14ac:dyDescent="0.35">
      <c r="A220" s="98" t="s">
        <v>382</v>
      </c>
      <c r="B220" s="99"/>
      <c r="C220" s="99"/>
      <c r="D220" s="99"/>
      <c r="E220" s="99"/>
      <c r="F220" s="99"/>
      <c r="G220" s="99"/>
      <c r="H220" s="100"/>
      <c r="J220" s="33"/>
    </row>
    <row r="221" spans="1:14" s="34" customFormat="1" ht="15.75" customHeight="1" x14ac:dyDescent="0.35">
      <c r="A221" s="90">
        <v>1</v>
      </c>
      <c r="B221" s="91"/>
      <c r="C221" s="39" t="s">
        <v>380</v>
      </c>
      <c r="D221" s="86">
        <f>(71.56)*10.764</f>
        <v>770.27184</v>
      </c>
      <c r="E221" s="39">
        <v>0</v>
      </c>
      <c r="F221" s="39">
        <f>D221+E221</f>
        <v>770.27184</v>
      </c>
      <c r="G221" s="39">
        <v>0</v>
      </c>
      <c r="H221" s="39">
        <f>F221*(($H$171)+1)+(IF(G221&lt;101,G221,IF(G221&lt;201,G221/2,IF(G221&lt;=301,G221/3,G221/4))))</f>
        <v>1155.4077600000001</v>
      </c>
      <c r="I221" s="33"/>
      <c r="L221" s="92"/>
      <c r="M221" s="92"/>
      <c r="N221" s="33"/>
    </row>
    <row r="222" spans="1:14" s="34" customFormat="1" ht="15.75" customHeight="1" x14ac:dyDescent="0.35">
      <c r="A222" s="90">
        <f>A221+1</f>
        <v>2</v>
      </c>
      <c r="B222" s="91"/>
      <c r="C222" s="39" t="s">
        <v>380</v>
      </c>
      <c r="D222" s="39">
        <f>(64.98)*10.764</f>
        <v>699.44471999999996</v>
      </c>
      <c r="E222" s="39">
        <v>0</v>
      </c>
      <c r="F222" s="39">
        <f>D222+E222</f>
        <v>699.44471999999996</v>
      </c>
      <c r="G222" s="39">
        <v>0</v>
      </c>
      <c r="H222" s="39">
        <f>F222*(($H$171)+1)+(IF(G222&lt;101,G222,IF(G222&lt;201,G222/2,IF(G222&lt;=301,G222/3,G222/4))))</f>
        <v>1049.1670799999999</v>
      </c>
      <c r="I222" s="33"/>
      <c r="L222" s="92"/>
      <c r="M222" s="92"/>
      <c r="N222" s="33"/>
    </row>
    <row r="223" spans="1:14" s="34" customFormat="1" ht="15.75" customHeight="1" x14ac:dyDescent="0.35">
      <c r="A223" s="90">
        <f>A222+1</f>
        <v>3</v>
      </c>
      <c r="B223" s="91"/>
      <c r="C223" s="39" t="s">
        <v>380</v>
      </c>
      <c r="D223" s="39">
        <f>(64.91)*10.764</f>
        <v>698.69123999999988</v>
      </c>
      <c r="E223" s="39">
        <v>0</v>
      </c>
      <c r="F223" s="39">
        <f>D223+E223</f>
        <v>698.69123999999988</v>
      </c>
      <c r="G223" s="39">
        <v>0</v>
      </c>
      <c r="H223" s="39">
        <f>F223*(($H$171)+1)+(IF(G223&lt;101,G223,IF(G223&lt;201,G223/2,IF(G223&lt;=301,G223/3,G223/4))))</f>
        <v>1048.0368599999997</v>
      </c>
      <c r="I223" s="33"/>
      <c r="L223" s="92"/>
      <c r="M223" s="92"/>
      <c r="N223" s="33"/>
    </row>
    <row r="224" spans="1:14" s="34" customFormat="1" x14ac:dyDescent="0.35">
      <c r="A224" s="108" t="s">
        <v>388</v>
      </c>
      <c r="B224" s="109"/>
      <c r="C224" s="109"/>
      <c r="D224" s="109"/>
      <c r="E224" s="109"/>
      <c r="F224" s="109"/>
      <c r="G224" s="109"/>
      <c r="H224" s="110"/>
      <c r="J224" s="33"/>
    </row>
    <row r="225" spans="1:20" s="34" customFormat="1" x14ac:dyDescent="0.35">
      <c r="A225" s="98" t="s">
        <v>417</v>
      </c>
      <c r="B225" s="99"/>
      <c r="C225" s="99"/>
      <c r="D225" s="99"/>
      <c r="E225" s="99"/>
      <c r="F225" s="99"/>
      <c r="G225" s="99"/>
      <c r="H225" s="100"/>
      <c r="J225" s="33"/>
    </row>
    <row r="226" spans="1:20" s="34" customFormat="1" x14ac:dyDescent="0.35">
      <c r="A226" s="98" t="s">
        <v>402</v>
      </c>
      <c r="B226" s="99"/>
      <c r="C226" s="99"/>
      <c r="D226" s="99"/>
      <c r="E226" s="99"/>
      <c r="F226" s="99"/>
      <c r="G226" s="99"/>
      <c r="H226" s="100"/>
      <c r="J226" s="33"/>
    </row>
    <row r="227" spans="1:20" s="34" customFormat="1" x14ac:dyDescent="0.35">
      <c r="A227" s="98" t="s">
        <v>379</v>
      </c>
      <c r="B227" s="99"/>
      <c r="C227" s="99"/>
      <c r="D227" s="99"/>
      <c r="E227" s="99"/>
      <c r="F227" s="99"/>
      <c r="G227" s="99"/>
      <c r="H227" s="100"/>
      <c r="J227" s="33"/>
    </row>
    <row r="228" spans="1:20" s="34" customFormat="1" ht="15.75" customHeight="1" x14ac:dyDescent="0.35">
      <c r="A228" s="90">
        <v>1</v>
      </c>
      <c r="B228" s="91"/>
      <c r="C228" s="39" t="s">
        <v>433</v>
      </c>
      <c r="D228" s="39">
        <f>(78.95)*10.764</f>
        <v>849.81780000000003</v>
      </c>
      <c r="E228" s="39">
        <v>0</v>
      </c>
      <c r="F228" s="39">
        <f>D228+E228</f>
        <v>849.81780000000003</v>
      </c>
      <c r="G228" s="39">
        <v>0</v>
      </c>
      <c r="H228" s="39">
        <f>F228*(($H$171)+1)+(IF(G228&lt;101,G228,IF(G228&lt;201,G228/2,IF(G228&lt;=301,G228/3,G228/4))))</f>
        <v>1274.7267000000002</v>
      </c>
      <c r="I228" s="33"/>
      <c r="L228" s="92"/>
      <c r="M228" s="92"/>
      <c r="N228" s="33"/>
    </row>
    <row r="229" spans="1:20" s="34" customFormat="1" ht="15.75" customHeight="1" x14ac:dyDescent="0.35">
      <c r="A229" s="90">
        <f>A228+1</f>
        <v>2</v>
      </c>
      <c r="B229" s="91"/>
      <c r="C229" s="39" t="s">
        <v>380</v>
      </c>
      <c r="D229" s="39">
        <f>(73.93)*10.764</f>
        <v>795.78251999999998</v>
      </c>
      <c r="E229" s="39">
        <v>0</v>
      </c>
      <c r="F229" s="39">
        <f t="shared" ref="F229:F230" si="2">D229+E229</f>
        <v>795.78251999999998</v>
      </c>
      <c r="G229" s="39">
        <v>0</v>
      </c>
      <c r="H229" s="39">
        <f t="shared" ref="H229:H230" si="3">F229*(($H$171)+1)+(IF(G229&lt;101,G229,IF(G229&lt;201,G229/2,IF(G229&lt;=301,G229/3,G229/4))))</f>
        <v>1193.6737800000001</v>
      </c>
      <c r="I229" s="33"/>
      <c r="L229" s="92"/>
      <c r="M229" s="92"/>
      <c r="N229" s="33"/>
    </row>
    <row r="230" spans="1:20" s="34" customFormat="1" ht="15.75" customHeight="1" x14ac:dyDescent="0.35">
      <c r="A230" s="90">
        <f>A229+1</f>
        <v>3</v>
      </c>
      <c r="B230" s="91"/>
      <c r="C230" s="39" t="s">
        <v>380</v>
      </c>
      <c r="D230" s="39">
        <f>(67.39)*10.764</f>
        <v>725.38595999999995</v>
      </c>
      <c r="E230" s="39">
        <v>0</v>
      </c>
      <c r="F230" s="39">
        <f t="shared" si="2"/>
        <v>725.38595999999995</v>
      </c>
      <c r="G230" s="39">
        <v>0</v>
      </c>
      <c r="H230" s="39">
        <f t="shared" si="3"/>
        <v>1088.0789399999999</v>
      </c>
      <c r="I230" s="33"/>
      <c r="L230" s="92"/>
      <c r="M230" s="92"/>
      <c r="N230" s="33"/>
    </row>
    <row r="231" spans="1:20" s="34" customFormat="1" ht="15.75" customHeight="1" x14ac:dyDescent="0.35">
      <c r="A231" s="90">
        <f>A230+1</f>
        <v>4</v>
      </c>
      <c r="B231" s="91"/>
      <c r="C231" s="39" t="s">
        <v>433</v>
      </c>
      <c r="D231" s="39">
        <f>(78.98)*10.764</f>
        <v>850.14071999999999</v>
      </c>
      <c r="E231" s="39">
        <v>0</v>
      </c>
      <c r="F231" s="39">
        <f>D231+E231</f>
        <v>850.14071999999999</v>
      </c>
      <c r="G231" s="39">
        <v>0</v>
      </c>
      <c r="H231" s="39">
        <f>F231*(($H$171)+1)+(IF(G231&lt;101,G231,IF(G231&lt;201,G231/2,IF(G231&lt;=301,G231/3,G231/4))))</f>
        <v>1275.21108</v>
      </c>
      <c r="I231" s="33"/>
      <c r="L231" s="92"/>
      <c r="M231" s="92"/>
      <c r="N231" s="33"/>
      <c r="T231" s="18"/>
    </row>
    <row r="232" spans="1:20" s="34" customFormat="1" x14ac:dyDescent="0.35">
      <c r="A232" s="98" t="s">
        <v>115</v>
      </c>
      <c r="B232" s="99"/>
      <c r="C232" s="99"/>
      <c r="D232" s="99"/>
      <c r="E232" s="99"/>
      <c r="F232" s="99"/>
      <c r="G232" s="99"/>
      <c r="H232" s="100"/>
      <c r="J232" s="33"/>
    </row>
    <row r="233" spans="1:20" s="34" customFormat="1" ht="15.75" customHeight="1" x14ac:dyDescent="0.35">
      <c r="A233" s="90">
        <v>1</v>
      </c>
      <c r="B233" s="91"/>
      <c r="C233" s="39" t="s">
        <v>433</v>
      </c>
      <c r="D233" s="39">
        <f>(78.95)*10.764</f>
        <v>849.81780000000003</v>
      </c>
      <c r="E233" s="39">
        <v>0</v>
      </c>
      <c r="F233" s="39">
        <f>D233+E233</f>
        <v>849.81780000000003</v>
      </c>
      <c r="G233" s="39">
        <v>0</v>
      </c>
      <c r="H233" s="39">
        <f>F233*(($H$171)+1)+(IF(G233&lt;101,G233,IF(G233&lt;201,G233/2,IF(G233&lt;=301,G233/3,G233/4))))</f>
        <v>1274.7267000000002</v>
      </c>
      <c r="I233" s="33"/>
      <c r="L233" s="92"/>
      <c r="M233" s="92"/>
      <c r="N233" s="33"/>
    </row>
    <row r="234" spans="1:20" s="34" customFormat="1" ht="15.75" customHeight="1" x14ac:dyDescent="0.35">
      <c r="A234" s="90">
        <f>A233+1</f>
        <v>2</v>
      </c>
      <c r="B234" s="91"/>
      <c r="C234" s="39" t="s">
        <v>380</v>
      </c>
      <c r="D234" s="39">
        <f>(73.93)*10.764</f>
        <v>795.78251999999998</v>
      </c>
      <c r="E234" s="39">
        <v>0</v>
      </c>
      <c r="F234" s="39">
        <f t="shared" ref="F234:F235" si="4">D234+E234</f>
        <v>795.78251999999998</v>
      </c>
      <c r="G234" s="39">
        <v>0</v>
      </c>
      <c r="H234" s="39">
        <f t="shared" ref="H234:H235" si="5">F234*(($H$171)+1)+(IF(G234&lt;101,G234,IF(G234&lt;201,G234/2,IF(G234&lt;=301,G234/3,G234/4))))</f>
        <v>1193.6737800000001</v>
      </c>
      <c r="I234" s="33"/>
      <c r="L234" s="92"/>
      <c r="M234" s="92"/>
      <c r="N234" s="33"/>
    </row>
    <row r="235" spans="1:20" s="34" customFormat="1" ht="15.75" customHeight="1" x14ac:dyDescent="0.35">
      <c r="A235" s="90">
        <f>A234+1</f>
        <v>3</v>
      </c>
      <c r="B235" s="91"/>
      <c r="C235" s="39" t="s">
        <v>380</v>
      </c>
      <c r="D235" s="39">
        <f>(67.39)*10.764</f>
        <v>725.38595999999995</v>
      </c>
      <c r="E235" s="39">
        <v>0</v>
      </c>
      <c r="F235" s="39">
        <f t="shared" si="4"/>
        <v>725.38595999999995</v>
      </c>
      <c r="G235" s="39">
        <v>0</v>
      </c>
      <c r="H235" s="39">
        <f t="shared" si="5"/>
        <v>1088.0789399999999</v>
      </c>
      <c r="I235" s="33"/>
      <c r="L235" s="92"/>
      <c r="M235" s="92"/>
      <c r="N235" s="33"/>
    </row>
    <row r="236" spans="1:20" s="34" customFormat="1" ht="15.75" customHeight="1" x14ac:dyDescent="0.35">
      <c r="A236" s="90">
        <f>A235+1</f>
        <v>4</v>
      </c>
      <c r="B236" s="91"/>
      <c r="C236" s="39" t="s">
        <v>387</v>
      </c>
      <c r="D236" s="39">
        <f>(90.33)*10.764</f>
        <v>972.31211999999994</v>
      </c>
      <c r="E236" s="39">
        <v>0</v>
      </c>
      <c r="F236" s="39">
        <f>D236+E236</f>
        <v>972.31211999999994</v>
      </c>
      <c r="G236" s="39">
        <v>0</v>
      </c>
      <c r="H236" s="39">
        <f>F236*(($H$171)+1)+(IF(G236&lt;101,G236,IF(G236&lt;201,G236/2,IF(G236&lt;=301,G236/3,G236/4))))</f>
        <v>1458.4681799999998</v>
      </c>
      <c r="I236" s="33"/>
      <c r="L236" s="92"/>
      <c r="M236" s="92"/>
      <c r="N236" s="33"/>
      <c r="T236" s="18"/>
    </row>
    <row r="237" spans="1:20" s="34" customFormat="1" x14ac:dyDescent="0.35">
      <c r="A237" s="98" t="s">
        <v>389</v>
      </c>
      <c r="B237" s="99"/>
      <c r="C237" s="99"/>
      <c r="D237" s="99"/>
      <c r="E237" s="99"/>
      <c r="F237" s="99"/>
      <c r="G237" s="99"/>
      <c r="H237" s="100"/>
      <c r="J237" s="33"/>
    </row>
    <row r="238" spans="1:20" s="34" customFormat="1" ht="15.75" customHeight="1" x14ac:dyDescent="0.35">
      <c r="A238" s="90">
        <v>1</v>
      </c>
      <c r="B238" s="91"/>
      <c r="C238" s="39" t="s">
        <v>433</v>
      </c>
      <c r="D238" s="39">
        <f>(78.95)*10.764</f>
        <v>849.81780000000003</v>
      </c>
      <c r="E238" s="39">
        <v>0</v>
      </c>
      <c r="F238" s="39">
        <f>D238+E238</f>
        <v>849.81780000000003</v>
      </c>
      <c r="G238" s="39">
        <v>0</v>
      </c>
      <c r="H238" s="39">
        <f>F238*(($H$171)+1)+(IF(G238&lt;101,G238,IF(G238&lt;201,G238/2,IF(G238&lt;=301,G238/3,G238/4))))</f>
        <v>1274.7267000000002</v>
      </c>
      <c r="I238" s="33"/>
      <c r="L238" s="92"/>
      <c r="M238" s="92"/>
      <c r="N238" s="33"/>
    </row>
    <row r="239" spans="1:20" s="34" customFormat="1" ht="15.75" customHeight="1" x14ac:dyDescent="0.35">
      <c r="A239" s="90">
        <f>A238+1</f>
        <v>2</v>
      </c>
      <c r="B239" s="91"/>
      <c r="C239" s="39" t="s">
        <v>380</v>
      </c>
      <c r="D239" s="39">
        <f>(73.93)*10.764</f>
        <v>795.78251999999998</v>
      </c>
      <c r="E239" s="39">
        <v>0</v>
      </c>
      <c r="F239" s="39">
        <f t="shared" ref="F239:F240" si="6">D239+E239</f>
        <v>795.78251999999998</v>
      </c>
      <c r="G239" s="39">
        <v>0</v>
      </c>
      <c r="H239" s="39">
        <f t="shared" ref="H239:H240" si="7">F239*(($H$171)+1)+(IF(G239&lt;101,G239,IF(G239&lt;201,G239/2,IF(G239&lt;=301,G239/3,G239/4))))</f>
        <v>1193.6737800000001</v>
      </c>
      <c r="I239" s="33"/>
      <c r="L239" s="92"/>
      <c r="M239" s="92"/>
      <c r="N239" s="33"/>
    </row>
    <row r="240" spans="1:20" s="34" customFormat="1" ht="15.75" customHeight="1" x14ac:dyDescent="0.35">
      <c r="A240" s="90">
        <f>A239+1</f>
        <v>3</v>
      </c>
      <c r="B240" s="91"/>
      <c r="C240" s="39" t="s">
        <v>380</v>
      </c>
      <c r="D240" s="39">
        <f>(67.39)*10.764</f>
        <v>725.38595999999995</v>
      </c>
      <c r="E240" s="39">
        <v>0</v>
      </c>
      <c r="F240" s="39">
        <f t="shared" si="6"/>
        <v>725.38595999999995</v>
      </c>
      <c r="G240" s="39">
        <v>0</v>
      </c>
      <c r="H240" s="39">
        <f t="shared" si="7"/>
        <v>1088.0789399999999</v>
      </c>
      <c r="I240" s="33"/>
      <c r="L240" s="92"/>
      <c r="M240" s="92"/>
      <c r="N240" s="33"/>
    </row>
    <row r="241" spans="1:20" s="34" customFormat="1" ht="15.75" customHeight="1" x14ac:dyDescent="0.35">
      <c r="A241" s="90">
        <f>A240+1</f>
        <v>4</v>
      </c>
      <c r="B241" s="91"/>
      <c r="C241" s="39" t="s">
        <v>387</v>
      </c>
      <c r="D241" s="39">
        <f>(90.33)*10.764</f>
        <v>972.31211999999994</v>
      </c>
      <c r="E241" s="39">
        <v>0</v>
      </c>
      <c r="F241" s="39">
        <f>D241+E241</f>
        <v>972.31211999999994</v>
      </c>
      <c r="G241" s="39">
        <v>0</v>
      </c>
      <c r="H241" s="39">
        <f>F241*(($H$171)+1)+(IF(G241&lt;101,G241,IF(G241&lt;201,G241/2,IF(G241&lt;=301,G241/3,G241/4))))</f>
        <v>1458.4681799999998</v>
      </c>
      <c r="I241" s="33"/>
      <c r="L241" s="92"/>
      <c r="M241" s="92"/>
      <c r="N241" s="33"/>
      <c r="T241" s="18"/>
    </row>
    <row r="242" spans="1:20" s="34" customFormat="1" x14ac:dyDescent="0.35">
      <c r="A242" s="98" t="s">
        <v>438</v>
      </c>
      <c r="B242" s="99"/>
      <c r="C242" s="99"/>
      <c r="D242" s="99"/>
      <c r="E242" s="99"/>
      <c r="F242" s="99"/>
      <c r="G242" s="99"/>
      <c r="H242" s="100"/>
      <c r="J242" s="33"/>
    </row>
    <row r="243" spans="1:20" s="34" customFormat="1" ht="15.75" customHeight="1" x14ac:dyDescent="0.35">
      <c r="A243" s="90">
        <v>1</v>
      </c>
      <c r="B243" s="91"/>
      <c r="C243" s="39" t="s">
        <v>433</v>
      </c>
      <c r="D243" s="39">
        <f>(78.95)*10.764</f>
        <v>849.81780000000003</v>
      </c>
      <c r="E243" s="39">
        <v>0</v>
      </c>
      <c r="F243" s="39">
        <f>D243+E243</f>
        <v>849.81780000000003</v>
      </c>
      <c r="G243" s="39">
        <v>0</v>
      </c>
      <c r="H243" s="39">
        <f>F243*(($H$171)+1)+(IF(G243&lt;101,G243,IF(G243&lt;201,G243/2,IF(G243&lt;=301,G243/3,G243/4))))</f>
        <v>1274.7267000000002</v>
      </c>
      <c r="I243" s="33"/>
      <c r="L243" s="92"/>
      <c r="M243" s="92"/>
      <c r="N243" s="33"/>
    </row>
    <row r="244" spans="1:20" s="34" customFormat="1" ht="15.75" customHeight="1" x14ac:dyDescent="0.35">
      <c r="A244" s="90">
        <f>A243+1</f>
        <v>2</v>
      </c>
      <c r="B244" s="91"/>
      <c r="C244" s="39" t="s">
        <v>380</v>
      </c>
      <c r="D244" s="39">
        <f>(73.93)*10.764</f>
        <v>795.78251999999998</v>
      </c>
      <c r="E244" s="39">
        <v>0</v>
      </c>
      <c r="F244" s="39">
        <f t="shared" ref="F244:F245" si="8">D244+E244</f>
        <v>795.78251999999998</v>
      </c>
      <c r="G244" s="39">
        <v>0</v>
      </c>
      <c r="H244" s="39">
        <f t="shared" ref="H244:H245" si="9">F244*(($H$171)+1)+(IF(G244&lt;101,G244,IF(G244&lt;201,G244/2,IF(G244&lt;=301,G244/3,G244/4))))</f>
        <v>1193.6737800000001</v>
      </c>
      <c r="I244" s="33"/>
      <c r="L244" s="92"/>
      <c r="M244" s="92"/>
      <c r="N244" s="33"/>
    </row>
    <row r="245" spans="1:20" s="34" customFormat="1" ht="15.75" customHeight="1" x14ac:dyDescent="0.35">
      <c r="A245" s="90">
        <f>A244+1</f>
        <v>3</v>
      </c>
      <c r="B245" s="91"/>
      <c r="C245" s="39" t="s">
        <v>380</v>
      </c>
      <c r="D245" s="39">
        <f>(67.39)*10.764</f>
        <v>725.38595999999995</v>
      </c>
      <c r="E245" s="39">
        <v>0</v>
      </c>
      <c r="F245" s="39">
        <f t="shared" si="8"/>
        <v>725.38595999999995</v>
      </c>
      <c r="G245" s="39">
        <v>0</v>
      </c>
      <c r="H245" s="39">
        <f t="shared" si="9"/>
        <v>1088.0789399999999</v>
      </c>
      <c r="I245" s="33"/>
      <c r="L245" s="92"/>
      <c r="M245" s="92"/>
      <c r="N245" s="33"/>
    </row>
    <row r="246" spans="1:20" s="34" customFormat="1" ht="15.75" customHeight="1" x14ac:dyDescent="0.35">
      <c r="A246" s="90">
        <f>A245+1</f>
        <v>4</v>
      </c>
      <c r="B246" s="91"/>
      <c r="C246" s="39" t="s">
        <v>387</v>
      </c>
      <c r="D246" s="39">
        <f>(99.42)*10.764</f>
        <v>1070.15688</v>
      </c>
      <c r="E246" s="39">
        <v>0</v>
      </c>
      <c r="F246" s="39">
        <f>D246+E246</f>
        <v>1070.15688</v>
      </c>
      <c r="G246" s="39">
        <v>0</v>
      </c>
      <c r="H246" s="39">
        <f>F246*(($H$171)+1)+(IF(G246&lt;101,G246,IF(G246&lt;201,G246/2,IF(G246&lt;=301,G246/3,G246/4))))</f>
        <v>1605.23532</v>
      </c>
      <c r="I246" s="33"/>
      <c r="L246" s="92"/>
      <c r="M246" s="92"/>
      <c r="N246" s="33"/>
      <c r="T246" s="18"/>
    </row>
    <row r="247" spans="1:20" s="87" customFormat="1" x14ac:dyDescent="0.35">
      <c r="A247" s="98" t="s">
        <v>439</v>
      </c>
      <c r="B247" s="99"/>
      <c r="C247" s="99"/>
      <c r="D247" s="99"/>
      <c r="E247" s="99"/>
      <c r="F247" s="99"/>
      <c r="G247" s="99"/>
      <c r="H247" s="100"/>
      <c r="J247" s="33"/>
    </row>
    <row r="248" spans="1:20" s="87" customFormat="1" ht="15.75" customHeight="1" x14ac:dyDescent="0.35">
      <c r="A248" s="90">
        <v>1</v>
      </c>
      <c r="B248" s="91"/>
      <c r="C248" s="88" t="s">
        <v>433</v>
      </c>
      <c r="D248" s="88">
        <f>(78.95)*10.764</f>
        <v>849.81780000000003</v>
      </c>
      <c r="E248" s="88">
        <v>0</v>
      </c>
      <c r="F248" s="88">
        <f>D248+E248</f>
        <v>849.81780000000003</v>
      </c>
      <c r="G248" s="88">
        <v>0</v>
      </c>
      <c r="H248" s="88">
        <f>F248*(($H$171)+1)+(IF(G248&lt;101,G248,IF(G248&lt;201,G248/2,IF(G248&lt;=301,G248/3,G248/4))))</f>
        <v>1274.7267000000002</v>
      </c>
      <c r="I248" s="33"/>
      <c r="J248" s="33"/>
      <c r="L248" s="92"/>
      <c r="M248" s="92"/>
      <c r="N248" s="33"/>
    </row>
    <row r="249" spans="1:20" s="87" customFormat="1" ht="15.75" customHeight="1" x14ac:dyDescent="0.35">
      <c r="A249" s="90">
        <f>A248+1</f>
        <v>2</v>
      </c>
      <c r="B249" s="91"/>
      <c r="C249" s="88" t="s">
        <v>380</v>
      </c>
      <c r="D249" s="88">
        <f>(73.93)*10.764</f>
        <v>795.78251999999998</v>
      </c>
      <c r="E249" s="88">
        <v>0</v>
      </c>
      <c r="F249" s="88">
        <f t="shared" ref="F249:F250" si="10">D249+E249</f>
        <v>795.78251999999998</v>
      </c>
      <c r="G249" s="88">
        <v>0</v>
      </c>
      <c r="H249" s="88">
        <f t="shared" ref="H249" si="11">F249*(($H$171)+1)+(IF(G249&lt;101,G249,IF(G249&lt;201,G249/2,IF(G249&lt;=301,G249/3,G249/4))))</f>
        <v>1193.6737800000001</v>
      </c>
      <c r="I249" s="33"/>
      <c r="L249" s="92"/>
      <c r="M249" s="92"/>
      <c r="N249" s="33"/>
    </row>
    <row r="250" spans="1:20" s="87" customFormat="1" ht="15.75" customHeight="1" x14ac:dyDescent="0.35">
      <c r="A250" s="90">
        <f>A249+1</f>
        <v>3</v>
      </c>
      <c r="B250" s="91"/>
      <c r="C250" s="88" t="s">
        <v>380</v>
      </c>
      <c r="D250" s="88">
        <f>(67.39)*10.764</f>
        <v>725.38595999999995</v>
      </c>
      <c r="E250" s="88">
        <v>0</v>
      </c>
      <c r="F250" s="88">
        <f t="shared" si="10"/>
        <v>725.38595999999995</v>
      </c>
      <c r="G250" s="88">
        <v>0</v>
      </c>
      <c r="H250" s="88">
        <f>(F250+G250)*1.6</f>
        <v>1160.617536</v>
      </c>
      <c r="I250" s="89" t="s">
        <v>440</v>
      </c>
      <c r="L250" s="92"/>
      <c r="M250" s="92"/>
      <c r="N250" s="33"/>
    </row>
    <row r="251" spans="1:20" s="87" customFormat="1" ht="15.75" customHeight="1" x14ac:dyDescent="0.35">
      <c r="A251" s="90">
        <f>A250+1</f>
        <v>4</v>
      </c>
      <c r="B251" s="91"/>
      <c r="C251" s="88" t="s">
        <v>387</v>
      </c>
      <c r="D251" s="88">
        <f>(99.42)*10.764</f>
        <v>1070.15688</v>
      </c>
      <c r="E251" s="88">
        <v>0</v>
      </c>
      <c r="F251" s="88">
        <f>D251+E251</f>
        <v>1070.15688</v>
      </c>
      <c r="G251" s="88">
        <v>0</v>
      </c>
      <c r="H251" s="88">
        <f>F251*(($H$171)+1)+(IF(G251&lt;101,G251,IF(G251&lt;201,G251/2,IF(G251&lt;=301,G251/3,G251/4))))</f>
        <v>1605.23532</v>
      </c>
      <c r="I251" s="33"/>
      <c r="L251" s="92"/>
      <c r="M251" s="92"/>
      <c r="N251" s="33"/>
      <c r="T251" s="18"/>
    </row>
    <row r="252" spans="1:20" s="34" customFormat="1" x14ac:dyDescent="0.35">
      <c r="A252" s="98" t="s">
        <v>382</v>
      </c>
      <c r="B252" s="99"/>
      <c r="C252" s="99"/>
      <c r="D252" s="99"/>
      <c r="E252" s="99"/>
      <c r="F252" s="99"/>
      <c r="G252" s="99"/>
      <c r="H252" s="100"/>
      <c r="J252" s="33"/>
    </row>
    <row r="253" spans="1:20" s="34" customFormat="1" ht="15.75" customHeight="1" x14ac:dyDescent="0.35">
      <c r="A253" s="90">
        <v>1</v>
      </c>
      <c r="B253" s="91"/>
      <c r="C253" s="39" t="s">
        <v>387</v>
      </c>
      <c r="D253" s="39">
        <f>(83.57)*10.764</f>
        <v>899.54747999999984</v>
      </c>
      <c r="E253" s="39">
        <v>0</v>
      </c>
      <c r="F253" s="39">
        <f>D253+E253</f>
        <v>899.54747999999984</v>
      </c>
      <c r="G253" s="39">
        <v>0</v>
      </c>
      <c r="H253" s="39">
        <f>F253*(($H$171)+1)+(IF(G253&lt;101,G253,IF(G253&lt;201,G253/2,IF(G253&lt;=301,G253/3,G253/4))))</f>
        <v>1349.3212199999998</v>
      </c>
      <c r="I253" s="33"/>
      <c r="L253" s="92"/>
      <c r="M253" s="92"/>
      <c r="N253" s="33"/>
    </row>
    <row r="254" spans="1:20" s="34" customFormat="1" ht="15.75" customHeight="1" x14ac:dyDescent="0.35">
      <c r="A254" s="90">
        <f>A253+1</f>
        <v>2</v>
      </c>
      <c r="B254" s="91"/>
      <c r="C254" s="39" t="s">
        <v>380</v>
      </c>
      <c r="D254" s="39">
        <f>(73.93)*10.764</f>
        <v>795.78251999999998</v>
      </c>
      <c r="E254" s="39">
        <v>0</v>
      </c>
      <c r="F254" s="39">
        <f t="shared" ref="F254:F255" si="12">D254+E254</f>
        <v>795.78251999999998</v>
      </c>
      <c r="G254" s="39">
        <v>0</v>
      </c>
      <c r="H254" s="39">
        <f t="shared" ref="H254:H255" si="13">F254*(($H$171)+1)+(IF(G254&lt;101,G254,IF(G254&lt;201,G254/2,IF(G254&lt;=301,G254/3,G254/4))))</f>
        <v>1193.6737800000001</v>
      </c>
      <c r="I254" s="33"/>
      <c r="L254" s="92"/>
      <c r="M254" s="92"/>
      <c r="N254" s="33"/>
    </row>
    <row r="255" spans="1:20" s="34" customFormat="1" ht="15.75" customHeight="1" x14ac:dyDescent="0.35">
      <c r="A255" s="90">
        <f>A254+1</f>
        <v>3</v>
      </c>
      <c r="B255" s="91"/>
      <c r="C255" s="39" t="s">
        <v>380</v>
      </c>
      <c r="D255" s="39">
        <f>(67.39)*10.764</f>
        <v>725.38595999999995</v>
      </c>
      <c r="E255" s="39">
        <v>0</v>
      </c>
      <c r="F255" s="39">
        <f t="shared" si="12"/>
        <v>725.38595999999995</v>
      </c>
      <c r="G255" s="39">
        <v>0</v>
      </c>
      <c r="H255" s="39">
        <f t="shared" si="13"/>
        <v>1088.0789399999999</v>
      </c>
      <c r="I255" s="33"/>
      <c r="L255" s="92"/>
      <c r="M255" s="92"/>
      <c r="N255" s="33"/>
    </row>
    <row r="256" spans="1:20" s="34" customFormat="1" ht="15.75" customHeight="1" x14ac:dyDescent="0.35">
      <c r="A256" s="90">
        <f>A255+1</f>
        <v>4</v>
      </c>
      <c r="B256" s="91"/>
      <c r="C256" s="39" t="s">
        <v>387</v>
      </c>
      <c r="D256" s="39">
        <f>(102.2)*10.764</f>
        <v>1100.0808</v>
      </c>
      <c r="E256" s="39">
        <v>0</v>
      </c>
      <c r="F256" s="39">
        <f>D256+E256</f>
        <v>1100.0808</v>
      </c>
      <c r="G256" s="39">
        <v>0</v>
      </c>
      <c r="H256" s="39">
        <f>F256*(($H$171)+1)+(IF(G256&lt;101,G256,IF(G256&lt;201,G256/2,IF(G256&lt;=301,G256/3,G256/4))))</f>
        <v>1650.1212</v>
      </c>
      <c r="I256" s="33"/>
      <c r="L256" s="92"/>
      <c r="M256" s="92"/>
      <c r="N256" s="33"/>
      <c r="T256" s="18"/>
    </row>
    <row r="257" spans="1:20" s="34" customFormat="1" x14ac:dyDescent="0.35">
      <c r="A257" s="108" t="s">
        <v>390</v>
      </c>
      <c r="B257" s="109"/>
      <c r="C257" s="109"/>
      <c r="D257" s="109"/>
      <c r="E257" s="109"/>
      <c r="F257" s="109"/>
      <c r="G257" s="109"/>
      <c r="H257" s="110"/>
      <c r="J257" s="33"/>
    </row>
    <row r="258" spans="1:20" s="34" customFormat="1" x14ac:dyDescent="0.35">
      <c r="A258" s="98" t="s">
        <v>402</v>
      </c>
      <c r="B258" s="99"/>
      <c r="C258" s="99"/>
      <c r="D258" s="99"/>
      <c r="E258" s="99"/>
      <c r="F258" s="99"/>
      <c r="G258" s="99"/>
      <c r="H258" s="100"/>
      <c r="J258" s="33"/>
    </row>
    <row r="259" spans="1:20" s="34" customFormat="1" x14ac:dyDescent="0.35">
      <c r="A259" s="98" t="s">
        <v>379</v>
      </c>
      <c r="B259" s="99"/>
      <c r="C259" s="99"/>
      <c r="D259" s="99"/>
      <c r="E259" s="99"/>
      <c r="F259" s="99"/>
      <c r="G259" s="99"/>
      <c r="H259" s="100"/>
      <c r="J259" s="33"/>
    </row>
    <row r="260" spans="1:20" s="34" customFormat="1" ht="15.75" customHeight="1" x14ac:dyDescent="0.35">
      <c r="A260" s="90">
        <v>1</v>
      </c>
      <c r="B260" s="91"/>
      <c r="C260" s="39" t="s">
        <v>380</v>
      </c>
      <c r="D260" s="39">
        <f>(68.31)*10.764</f>
        <v>735.28883999999994</v>
      </c>
      <c r="E260" s="39">
        <v>0</v>
      </c>
      <c r="F260" s="39">
        <f>D260+E260</f>
        <v>735.28883999999994</v>
      </c>
      <c r="G260" s="39">
        <v>0</v>
      </c>
      <c r="H260" s="39">
        <f>F260*(($H$171)+1)+(IF(G260&lt;101,G260,IF(G260&lt;201,G260/2,IF(G260&lt;=301,G260/3,G260/4))))</f>
        <v>1102.9332599999998</v>
      </c>
      <c r="I260" s="33"/>
      <c r="L260" s="92"/>
      <c r="M260" s="92"/>
      <c r="N260" s="33"/>
    </row>
    <row r="261" spans="1:20" s="34" customFormat="1" ht="15.75" customHeight="1" x14ac:dyDescent="0.35">
      <c r="A261" s="90">
        <f>A260+1</f>
        <v>2</v>
      </c>
      <c r="B261" s="91"/>
      <c r="C261" s="39" t="s">
        <v>387</v>
      </c>
      <c r="D261" s="39">
        <f>(111.55)*10.764</f>
        <v>1200.7241999999999</v>
      </c>
      <c r="E261" s="39">
        <v>0</v>
      </c>
      <c r="F261" s="39">
        <f t="shared" ref="F261:F262" si="14">D261+E261</f>
        <v>1200.7241999999999</v>
      </c>
      <c r="G261" s="39">
        <v>0</v>
      </c>
      <c r="H261" s="39">
        <f t="shared" ref="H261:H262" si="15">F261*(($H$171)+1)+(IF(G261&lt;101,G261,IF(G261&lt;201,G261/2,IF(G261&lt;=301,G261/3,G261/4))))</f>
        <v>1801.0862999999999</v>
      </c>
      <c r="I261" s="33"/>
      <c r="L261" s="92"/>
      <c r="M261" s="92"/>
      <c r="N261" s="33"/>
    </row>
    <row r="262" spans="1:20" s="34" customFormat="1" ht="15.75" customHeight="1" x14ac:dyDescent="0.35">
      <c r="A262" s="90">
        <f>A261+1</f>
        <v>3</v>
      </c>
      <c r="B262" s="91"/>
      <c r="C262" s="39" t="s">
        <v>380</v>
      </c>
      <c r="D262" s="39">
        <f>(77.93)*10.764</f>
        <v>838.83852000000002</v>
      </c>
      <c r="E262" s="39">
        <v>0</v>
      </c>
      <c r="F262" s="39">
        <f t="shared" si="14"/>
        <v>838.83852000000002</v>
      </c>
      <c r="G262" s="39">
        <v>0</v>
      </c>
      <c r="H262" s="39">
        <f t="shared" si="15"/>
        <v>1258.2577799999999</v>
      </c>
      <c r="I262" s="33"/>
      <c r="L262" s="92"/>
      <c r="M262" s="92"/>
      <c r="N262" s="33"/>
    </row>
    <row r="263" spans="1:20" s="34" customFormat="1" ht="15.75" customHeight="1" x14ac:dyDescent="0.35">
      <c r="A263" s="90">
        <f>A262+1</f>
        <v>4</v>
      </c>
      <c r="B263" s="91"/>
      <c r="C263" s="39" t="s">
        <v>380</v>
      </c>
      <c r="D263" s="39">
        <f>(66.7)*10.764</f>
        <v>717.9588</v>
      </c>
      <c r="E263" s="39">
        <v>0</v>
      </c>
      <c r="F263" s="39">
        <f>D263+E263</f>
        <v>717.9588</v>
      </c>
      <c r="G263" s="39">
        <v>0</v>
      </c>
      <c r="H263" s="39">
        <f>F263*(($H$171)+1)+(IF(G263&lt;101,G263,IF(G263&lt;201,G263/2,IF(G263&lt;=301,G263/3,G263/4))))</f>
        <v>1076.9382000000001</v>
      </c>
      <c r="I263" s="33"/>
      <c r="L263" s="92"/>
      <c r="M263" s="92"/>
      <c r="N263" s="33"/>
      <c r="T263" s="18"/>
    </row>
    <row r="264" spans="1:20" s="34" customFormat="1" x14ac:dyDescent="0.35">
      <c r="A264" s="98" t="s">
        <v>115</v>
      </c>
      <c r="B264" s="99"/>
      <c r="C264" s="99"/>
      <c r="D264" s="99"/>
      <c r="E264" s="99"/>
      <c r="F264" s="99"/>
      <c r="G264" s="99"/>
      <c r="H264" s="100"/>
      <c r="J264" s="33"/>
    </row>
    <row r="265" spans="1:20" s="34" customFormat="1" ht="15.75" customHeight="1" x14ac:dyDescent="0.35">
      <c r="A265" s="90">
        <v>1</v>
      </c>
      <c r="B265" s="91"/>
      <c r="C265" s="39" t="s">
        <v>380</v>
      </c>
      <c r="D265" s="39">
        <f>(69.71)*10.764</f>
        <v>750.35843999999986</v>
      </c>
      <c r="E265" s="39">
        <v>0</v>
      </c>
      <c r="F265" s="39">
        <f>D265+E265</f>
        <v>750.35843999999986</v>
      </c>
      <c r="G265" s="39">
        <v>0</v>
      </c>
      <c r="H265" s="39">
        <f>F265*(($H$171)+1)+(IF(G265&lt;101,G265,IF(G265&lt;201,G265/2,IF(G265&lt;=301,G265/3,G265/4))))</f>
        <v>1125.5376599999997</v>
      </c>
      <c r="I265" s="33"/>
      <c r="L265" s="92"/>
      <c r="M265" s="92"/>
      <c r="N265" s="33"/>
    </row>
    <row r="266" spans="1:20" s="34" customFormat="1" ht="15.75" customHeight="1" x14ac:dyDescent="0.35">
      <c r="A266" s="90">
        <f>A265+1</f>
        <v>2</v>
      </c>
      <c r="B266" s="91"/>
      <c r="C266" s="39" t="s">
        <v>387</v>
      </c>
      <c r="D266" s="39">
        <f>(111.55)*10.764</f>
        <v>1200.7241999999999</v>
      </c>
      <c r="E266" s="39">
        <v>0</v>
      </c>
      <c r="F266" s="39">
        <f t="shared" ref="F266:F267" si="16">D266+E266</f>
        <v>1200.7241999999999</v>
      </c>
      <c r="G266" s="39">
        <v>0</v>
      </c>
      <c r="H266" s="39">
        <f t="shared" ref="H266:H267" si="17">F266*(($H$171)+1)+(IF(G266&lt;101,G266,IF(G266&lt;201,G266/2,IF(G266&lt;=301,G266/3,G266/4))))</f>
        <v>1801.0862999999999</v>
      </c>
      <c r="I266" s="33"/>
      <c r="L266" s="92"/>
      <c r="M266" s="92"/>
      <c r="N266" s="33"/>
    </row>
    <row r="267" spans="1:20" s="34" customFormat="1" ht="15.75" customHeight="1" x14ac:dyDescent="0.35">
      <c r="A267" s="90">
        <f>A266+1</f>
        <v>3</v>
      </c>
      <c r="B267" s="91"/>
      <c r="C267" s="39" t="s">
        <v>380</v>
      </c>
      <c r="D267" s="39">
        <f>(77.93)*10.764</f>
        <v>838.83852000000002</v>
      </c>
      <c r="E267" s="39">
        <v>0</v>
      </c>
      <c r="F267" s="39">
        <f t="shared" si="16"/>
        <v>838.83852000000002</v>
      </c>
      <c r="G267" s="39">
        <v>0</v>
      </c>
      <c r="H267" s="39">
        <f t="shared" si="17"/>
        <v>1258.2577799999999</v>
      </c>
      <c r="I267" s="33"/>
      <c r="L267" s="92"/>
      <c r="M267" s="92"/>
      <c r="N267" s="33"/>
    </row>
    <row r="268" spans="1:20" s="34" customFormat="1" ht="15.75" customHeight="1" x14ac:dyDescent="0.35">
      <c r="A268" s="90">
        <f>A267+1</f>
        <v>4</v>
      </c>
      <c r="B268" s="91"/>
      <c r="C268" s="39" t="s">
        <v>380</v>
      </c>
      <c r="D268" s="39">
        <f>(66.7)*10.764</f>
        <v>717.9588</v>
      </c>
      <c r="E268" s="39">
        <v>0</v>
      </c>
      <c r="F268" s="39">
        <f>D268+E268</f>
        <v>717.9588</v>
      </c>
      <c r="G268" s="39">
        <v>0</v>
      </c>
      <c r="H268" s="39">
        <f>F268*(($H$171)+1)+(IF(G268&lt;101,G268,IF(G268&lt;201,G268/2,IF(G268&lt;=301,G268/3,G268/4))))</f>
        <v>1076.9382000000001</v>
      </c>
      <c r="I268" s="33"/>
      <c r="L268" s="92"/>
      <c r="M268" s="92"/>
      <c r="N268" s="33"/>
      <c r="T268" s="18"/>
    </row>
    <row r="269" spans="1:20" s="34" customFormat="1" x14ac:dyDescent="0.35">
      <c r="A269" s="98" t="s">
        <v>389</v>
      </c>
      <c r="B269" s="99"/>
      <c r="C269" s="99"/>
      <c r="D269" s="99"/>
      <c r="E269" s="99"/>
      <c r="F269" s="99"/>
      <c r="G269" s="99"/>
      <c r="H269" s="100"/>
      <c r="J269" s="33"/>
    </row>
    <row r="270" spans="1:20" s="34" customFormat="1" ht="15.75" customHeight="1" x14ac:dyDescent="0.35">
      <c r="A270" s="90">
        <v>1</v>
      </c>
      <c r="B270" s="91"/>
      <c r="C270" s="39" t="s">
        <v>380</v>
      </c>
      <c r="D270" s="39">
        <f>(69.71)*10.764</f>
        <v>750.35843999999986</v>
      </c>
      <c r="E270" s="39">
        <v>0</v>
      </c>
      <c r="F270" s="39">
        <f>D270+E270</f>
        <v>750.35843999999986</v>
      </c>
      <c r="G270" s="39">
        <v>0</v>
      </c>
      <c r="H270" s="39">
        <f>F270*(($H$171)+1)+(IF(G270&lt;101,G270,IF(G270&lt;201,G270/2,IF(G270&lt;=301,G270/3,G270/4))))</f>
        <v>1125.5376599999997</v>
      </c>
      <c r="I270" s="33"/>
      <c r="L270" s="92"/>
      <c r="M270" s="92"/>
      <c r="N270" s="33"/>
    </row>
    <row r="271" spans="1:20" s="34" customFormat="1" ht="15.75" customHeight="1" x14ac:dyDescent="0.35">
      <c r="A271" s="90">
        <f>A270+1</f>
        <v>2</v>
      </c>
      <c r="B271" s="91"/>
      <c r="C271" s="39" t="s">
        <v>387</v>
      </c>
      <c r="D271" s="39">
        <f>(111.55)*10.764</f>
        <v>1200.7241999999999</v>
      </c>
      <c r="E271" s="39">
        <v>0</v>
      </c>
      <c r="F271" s="39">
        <f t="shared" ref="F271:F272" si="18">D271+E271</f>
        <v>1200.7241999999999</v>
      </c>
      <c r="G271" s="39">
        <v>0</v>
      </c>
      <c r="H271" s="39">
        <f t="shared" ref="H271:H272" si="19">F271*(($H$171)+1)+(IF(G271&lt;101,G271,IF(G271&lt;201,G271/2,IF(G271&lt;=301,G271/3,G271/4))))</f>
        <v>1801.0862999999999</v>
      </c>
      <c r="I271" s="33"/>
      <c r="L271" s="92"/>
      <c r="M271" s="92"/>
      <c r="N271" s="33"/>
    </row>
    <row r="272" spans="1:20" s="34" customFormat="1" ht="15.75" customHeight="1" x14ac:dyDescent="0.35">
      <c r="A272" s="90">
        <f>A271+1</f>
        <v>3</v>
      </c>
      <c r="B272" s="91"/>
      <c r="C272" s="39" t="s">
        <v>380</v>
      </c>
      <c r="D272" s="39">
        <f>(77.93)*10.764</f>
        <v>838.83852000000002</v>
      </c>
      <c r="E272" s="39">
        <v>0</v>
      </c>
      <c r="F272" s="39">
        <f t="shared" si="18"/>
        <v>838.83852000000002</v>
      </c>
      <c r="G272" s="39">
        <v>0</v>
      </c>
      <c r="H272" s="39">
        <f t="shared" si="19"/>
        <v>1258.2577799999999</v>
      </c>
      <c r="I272" s="33"/>
      <c r="L272" s="92"/>
      <c r="M272" s="92"/>
      <c r="N272" s="33"/>
    </row>
    <row r="273" spans="1:20" s="34" customFormat="1" ht="15.75" customHeight="1" x14ac:dyDescent="0.35">
      <c r="A273" s="90">
        <f>A272+1</f>
        <v>4</v>
      </c>
      <c r="B273" s="91"/>
      <c r="C273" s="39" t="s">
        <v>380</v>
      </c>
      <c r="D273" s="39">
        <f>(74.3)*10.764</f>
        <v>799.76519999999994</v>
      </c>
      <c r="E273" s="39">
        <v>0</v>
      </c>
      <c r="F273" s="39">
        <f>D273+E273</f>
        <v>799.76519999999994</v>
      </c>
      <c r="G273" s="39">
        <v>0</v>
      </c>
      <c r="H273" s="39">
        <f>F273*(($H$171)+1)+(IF(G273&lt;101,G273,IF(G273&lt;201,G273/2,IF(G273&lt;=301,G273/3,G273/4))))</f>
        <v>1199.6478</v>
      </c>
      <c r="I273" s="33"/>
      <c r="L273" s="92"/>
      <c r="M273" s="92"/>
      <c r="N273" s="33"/>
      <c r="T273" s="18"/>
    </row>
    <row r="274" spans="1:20" s="34" customFormat="1" x14ac:dyDescent="0.35">
      <c r="A274" s="98" t="s">
        <v>426</v>
      </c>
      <c r="B274" s="99"/>
      <c r="C274" s="99"/>
      <c r="D274" s="99"/>
      <c r="E274" s="99"/>
      <c r="F274" s="99"/>
      <c r="G274" s="99"/>
      <c r="H274" s="100"/>
      <c r="J274" s="33"/>
    </row>
    <row r="275" spans="1:20" s="34" customFormat="1" ht="15.75" customHeight="1" x14ac:dyDescent="0.35">
      <c r="A275" s="90">
        <v>1</v>
      </c>
      <c r="B275" s="91"/>
      <c r="C275" s="39" t="s">
        <v>380</v>
      </c>
      <c r="D275" s="39">
        <f>(73.24)*10.764</f>
        <v>788.35535999999991</v>
      </c>
      <c r="E275" s="39">
        <v>0</v>
      </c>
      <c r="F275" s="39">
        <f>D275+E275</f>
        <v>788.35535999999991</v>
      </c>
      <c r="G275" s="39">
        <v>0</v>
      </c>
      <c r="H275" s="39">
        <f>F275*(($H$171)+1)+(IF(G275&lt;101,G275,IF(G275&lt;201,G275/2,IF(G275&lt;=301,G275/3,G275/4))))</f>
        <v>1182.5330399999998</v>
      </c>
      <c r="I275" s="33"/>
      <c r="L275" s="92"/>
      <c r="M275" s="92"/>
      <c r="N275" s="33"/>
    </row>
    <row r="276" spans="1:20" s="34" customFormat="1" ht="15.75" customHeight="1" x14ac:dyDescent="0.35">
      <c r="A276" s="90">
        <f>A275+1</f>
        <v>2</v>
      </c>
      <c r="B276" s="91"/>
      <c r="C276" s="39" t="s">
        <v>387</v>
      </c>
      <c r="D276" s="39">
        <f>(111.55)*10.764</f>
        <v>1200.7241999999999</v>
      </c>
      <c r="E276" s="39">
        <v>0</v>
      </c>
      <c r="F276" s="39">
        <f t="shared" ref="F276:F277" si="20">D276+E276</f>
        <v>1200.7241999999999</v>
      </c>
      <c r="G276" s="39">
        <v>0</v>
      </c>
      <c r="H276" s="39">
        <f t="shared" ref="H276:H277" si="21">F276*(($H$171)+1)+(IF(G276&lt;101,G276,IF(G276&lt;201,G276/2,IF(G276&lt;=301,G276/3,G276/4))))</f>
        <v>1801.0862999999999</v>
      </c>
      <c r="I276" s="33"/>
      <c r="L276" s="92"/>
      <c r="M276" s="92"/>
      <c r="N276" s="33"/>
    </row>
    <row r="277" spans="1:20" s="34" customFormat="1" ht="15.75" customHeight="1" x14ac:dyDescent="0.35">
      <c r="A277" s="90">
        <f>A276+1</f>
        <v>3</v>
      </c>
      <c r="B277" s="91"/>
      <c r="C277" s="39" t="s">
        <v>380</v>
      </c>
      <c r="D277" s="39">
        <f>(77.93)*10.764</f>
        <v>838.83852000000002</v>
      </c>
      <c r="E277" s="39">
        <v>0</v>
      </c>
      <c r="F277" s="39">
        <f t="shared" si="20"/>
        <v>838.83852000000002</v>
      </c>
      <c r="G277" s="39">
        <v>0</v>
      </c>
      <c r="H277" s="39">
        <f t="shared" si="21"/>
        <v>1258.2577799999999</v>
      </c>
      <c r="I277" s="33"/>
      <c r="L277" s="92"/>
      <c r="M277" s="92"/>
      <c r="N277" s="33"/>
    </row>
    <row r="278" spans="1:20" s="34" customFormat="1" ht="15.75" customHeight="1" x14ac:dyDescent="0.35">
      <c r="A278" s="90">
        <f>A277+1</f>
        <v>4</v>
      </c>
      <c r="B278" s="91"/>
      <c r="C278" s="39" t="s">
        <v>380</v>
      </c>
      <c r="D278" s="39">
        <f>(74.3)*10.764</f>
        <v>799.76519999999994</v>
      </c>
      <c r="E278" s="39">
        <v>0</v>
      </c>
      <c r="F278" s="39">
        <f>D278+E278</f>
        <v>799.76519999999994</v>
      </c>
      <c r="G278" s="39">
        <v>0</v>
      </c>
      <c r="H278" s="39">
        <f>F278*(($H$171)+1)+(IF(G278&lt;101,G278,IF(G278&lt;201,G278/2,IF(G278&lt;=301,G278/3,G278/4))))</f>
        <v>1199.6478</v>
      </c>
      <c r="I278" s="33"/>
      <c r="L278" s="92"/>
      <c r="M278" s="92"/>
      <c r="N278" s="33"/>
      <c r="T278" s="18"/>
    </row>
    <row r="279" spans="1:20" s="34" customFormat="1" x14ac:dyDescent="0.35">
      <c r="A279" s="98" t="s">
        <v>391</v>
      </c>
      <c r="B279" s="99"/>
      <c r="C279" s="99"/>
      <c r="D279" s="99"/>
      <c r="E279" s="99"/>
      <c r="F279" s="99"/>
      <c r="G279" s="99"/>
      <c r="H279" s="100"/>
      <c r="J279" s="33"/>
    </row>
    <row r="280" spans="1:20" s="34" customFormat="1" ht="15.75" customHeight="1" x14ac:dyDescent="0.35">
      <c r="A280" s="90">
        <v>1</v>
      </c>
      <c r="B280" s="91"/>
      <c r="C280" s="39" t="s">
        <v>380</v>
      </c>
      <c r="D280" s="39">
        <f>(73.24)*10.764</f>
        <v>788.35535999999991</v>
      </c>
      <c r="E280" s="39">
        <v>0</v>
      </c>
      <c r="F280" s="39">
        <f>D280+E280</f>
        <v>788.35535999999991</v>
      </c>
      <c r="G280" s="39">
        <v>0</v>
      </c>
      <c r="H280" s="39">
        <f>F280*(($H$171)+1)+(IF(G280&lt;101,G280,IF(G280&lt;201,G280/2,IF(G280&lt;=301,G280/3,G280/4))))</f>
        <v>1182.5330399999998</v>
      </c>
      <c r="I280" s="33"/>
      <c r="L280" s="92"/>
      <c r="M280" s="92"/>
      <c r="N280" s="33"/>
    </row>
    <row r="281" spans="1:20" s="34" customFormat="1" ht="15.75" customHeight="1" x14ac:dyDescent="0.35">
      <c r="A281" s="90">
        <f>A280+1</f>
        <v>2</v>
      </c>
      <c r="B281" s="91"/>
      <c r="C281" s="39" t="s">
        <v>387</v>
      </c>
      <c r="D281" s="39">
        <f>(111.55)*10.764</f>
        <v>1200.7241999999999</v>
      </c>
      <c r="E281" s="39">
        <v>0</v>
      </c>
      <c r="F281" s="39">
        <f t="shared" ref="F281:F282" si="22">D281+E281</f>
        <v>1200.7241999999999</v>
      </c>
      <c r="G281" s="39">
        <v>0</v>
      </c>
      <c r="H281" s="39">
        <f t="shared" ref="H281:H282" si="23">F281*(($H$171)+1)+(IF(G281&lt;101,G281,IF(G281&lt;201,G281/2,IF(G281&lt;=301,G281/3,G281/4))))</f>
        <v>1801.0862999999999</v>
      </c>
      <c r="I281" s="33"/>
      <c r="L281" s="92"/>
      <c r="M281" s="92"/>
      <c r="N281" s="33"/>
    </row>
    <row r="282" spans="1:20" s="34" customFormat="1" ht="15.75" customHeight="1" x14ac:dyDescent="0.35">
      <c r="A282" s="90">
        <f>A281+1</f>
        <v>3</v>
      </c>
      <c r="B282" s="91"/>
      <c r="C282" s="39" t="s">
        <v>380</v>
      </c>
      <c r="D282" s="39">
        <f>(77.93)*10.764</f>
        <v>838.83852000000002</v>
      </c>
      <c r="E282" s="39">
        <v>0</v>
      </c>
      <c r="F282" s="39">
        <f t="shared" si="22"/>
        <v>838.83852000000002</v>
      </c>
      <c r="G282" s="39">
        <v>0</v>
      </c>
      <c r="H282" s="39">
        <f t="shared" si="23"/>
        <v>1258.2577799999999</v>
      </c>
      <c r="I282" s="33"/>
      <c r="L282" s="92"/>
      <c r="M282" s="92"/>
      <c r="N282" s="33"/>
    </row>
    <row r="283" spans="1:20" s="34" customFormat="1" ht="15.75" customHeight="1" x14ac:dyDescent="0.35">
      <c r="A283" s="90">
        <f>A282+1</f>
        <v>4</v>
      </c>
      <c r="B283" s="91"/>
      <c r="C283" s="39" t="s">
        <v>380</v>
      </c>
      <c r="D283" s="39">
        <f>(77.11)*10.764</f>
        <v>830.01203999999996</v>
      </c>
      <c r="E283" s="39">
        <v>0</v>
      </c>
      <c r="F283" s="39">
        <f>D283+E283</f>
        <v>830.01203999999996</v>
      </c>
      <c r="G283" s="39">
        <v>0</v>
      </c>
      <c r="H283" s="39">
        <f>F283*(($H$171)+1)+(IF(G283&lt;101,G283,IF(G283&lt;201,G283/2,IF(G283&lt;=301,G283/3,G283/4))))</f>
        <v>1245.0180599999999</v>
      </c>
      <c r="I283" s="33"/>
      <c r="L283" s="92"/>
      <c r="M283" s="92"/>
      <c r="N283" s="33"/>
      <c r="T283" s="18"/>
    </row>
    <row r="284" spans="1:20" s="34" customFormat="1" hidden="1" x14ac:dyDescent="0.35">
      <c r="A284" s="183" t="s">
        <v>115</v>
      </c>
      <c r="B284" s="183"/>
      <c r="C284" s="183"/>
      <c r="D284" s="183"/>
      <c r="E284" s="183"/>
      <c r="F284" s="183"/>
      <c r="G284" s="183"/>
      <c r="H284" s="183"/>
      <c r="I284" s="33"/>
      <c r="L284" s="92"/>
      <c r="M284" s="92"/>
    </row>
    <row r="285" spans="1:20" s="34" customFormat="1" hidden="1" x14ac:dyDescent="0.35">
      <c r="A285" s="143">
        <f>LEFT(A284,SUM(LEN(A284)-LEN(SUBSTITUTE(A284,{"0","1","2","3","4","5","6","7","8","9"},""))))*100+1</f>
        <v>201</v>
      </c>
      <c r="B285" s="143"/>
      <c r="C285" s="39"/>
      <c r="D285" s="39"/>
      <c r="E285" s="39">
        <v>0</v>
      </c>
      <c r="F285" s="39">
        <f>D285+E285</f>
        <v>0</v>
      </c>
      <c r="G285" s="39">
        <v>0</v>
      </c>
      <c r="H285" s="39">
        <f>F285*(($H$171)+1)+(IF(G285&lt;101,G285,IF(G285&lt;201,G285/2,IF(G285&lt;=301,G285/3,G285/4))))</f>
        <v>0</v>
      </c>
      <c r="I285" s="33"/>
      <c r="N285" s="33"/>
    </row>
    <row r="286" spans="1:20" s="34" customFormat="1" hidden="1" x14ac:dyDescent="0.35">
      <c r="A286" s="143">
        <f>A285+1</f>
        <v>202</v>
      </c>
      <c r="B286" s="143"/>
      <c r="C286" s="39"/>
      <c r="D286" s="39"/>
      <c r="E286" s="39">
        <v>0</v>
      </c>
      <c r="F286" s="39">
        <f>D286+E286</f>
        <v>0</v>
      </c>
      <c r="G286" s="39">
        <v>0</v>
      </c>
      <c r="H286" s="39">
        <f>F286*(($H$171)+1)+(IF(G286&lt;101,G286,IF(G286&lt;201,G286/2,IF(G286&lt;=301,G286/3,G286/4))))</f>
        <v>0</v>
      </c>
      <c r="I286" s="33"/>
      <c r="N286" s="33"/>
    </row>
    <row r="287" spans="1:20" s="34" customFormat="1" hidden="1" x14ac:dyDescent="0.35">
      <c r="A287" s="143">
        <f>A286+1</f>
        <v>203</v>
      </c>
      <c r="B287" s="143"/>
      <c r="C287" s="39"/>
      <c r="D287" s="39"/>
      <c r="E287" s="39">
        <v>0</v>
      </c>
      <c r="F287" s="39">
        <f>D287+E287</f>
        <v>0</v>
      </c>
      <c r="G287" s="39">
        <v>0</v>
      </c>
      <c r="H287" s="39">
        <f>F287*(($H$171)+1)+(IF(G287&lt;101,G287,IF(G287&lt;201,G287/2,IF(G287&lt;=301,G287/3,G287/4))))</f>
        <v>0</v>
      </c>
      <c r="I287" s="33"/>
      <c r="N287" s="33"/>
    </row>
    <row r="288" spans="1:20" s="34" customFormat="1" hidden="1" x14ac:dyDescent="0.35">
      <c r="A288" s="143">
        <f>A287+1</f>
        <v>204</v>
      </c>
      <c r="B288" s="143"/>
      <c r="C288" s="39"/>
      <c r="D288" s="39"/>
      <c r="E288" s="39">
        <v>0</v>
      </c>
      <c r="F288" s="39">
        <f>D288+E288</f>
        <v>0</v>
      </c>
      <c r="G288" s="39">
        <v>0</v>
      </c>
      <c r="H288" s="39">
        <f>F288*(($H$171)+1)+(IF(G288&lt;101,G288,IF(G288&lt;201,G288/2,IF(G288&lt;=301,G288/3,G288/4))))</f>
        <v>0</v>
      </c>
      <c r="I288" s="33"/>
      <c r="N288" s="33"/>
    </row>
    <row r="289" spans="1:14" s="34" customFormat="1" hidden="1" x14ac:dyDescent="0.35">
      <c r="A289" s="143">
        <f>A288+1</f>
        <v>205</v>
      </c>
      <c r="B289" s="143"/>
      <c r="C289" s="39"/>
      <c r="D289" s="39"/>
      <c r="E289" s="39">
        <v>0</v>
      </c>
      <c r="F289" s="39">
        <f>D289+E289</f>
        <v>0</v>
      </c>
      <c r="G289" s="39">
        <v>0</v>
      </c>
      <c r="H289" s="39">
        <f>F289*(($H$171)+1)+(IF(G289&lt;101,G289,IF(G289&lt;201,G289/2,IF(G289&lt;=301,G289/3,G289/4))))</f>
        <v>0</v>
      </c>
      <c r="I289" s="33"/>
      <c r="N289" s="33"/>
    </row>
    <row r="290" spans="1:14" s="34" customFormat="1" ht="15.75" hidden="1" customHeight="1" x14ac:dyDescent="0.35">
      <c r="A290" s="98" t="s">
        <v>148</v>
      </c>
      <c r="B290" s="99"/>
      <c r="C290" s="99"/>
      <c r="D290" s="99"/>
      <c r="E290" s="99"/>
      <c r="F290" s="99"/>
      <c r="G290" s="99"/>
      <c r="H290" s="100"/>
      <c r="I290" s="33"/>
    </row>
    <row r="291" spans="1:14" s="34" customFormat="1" ht="15.75" hidden="1" customHeight="1" x14ac:dyDescent="0.35">
      <c r="A291" s="90" t="str">
        <f ca="1">(SUMPRODUCT(MID(0&amp;(LEFT(A290,SUM(LEN(A290)-LEN(SUBSTITUTE(A290,{"0","1","2"},""))))), LARGE(INDEX(ISNUMBER(--MID((LEFT(A290,SUM(LEN(A290)-LEN(SUBSTITUTE(A290,{"0","1","2"},""))))), ROW(INDIRECT("1:"&amp;LEN((LEFT(A290,SUM(LEN(A290)-LEN(SUBSTITUTE(A290,{"0","1","2"},"")))))))), 1)) * ROW(INDIRECT("1:"&amp;LEN((LEFT(A290,SUM(LEN(A290)-LEN(SUBSTITUTE(A290,{"0","1","2"},"")))))))), 0), ROW(INDIRECT("1:"&amp;LEN((LEFT(A290,SUM(LEN(A290)-LEN(SUBSTITUTE(A290,{"0","1","2"},"")))))))))+1, 1) * 10^ROW(INDIRECT("1:"&amp;LEN((LEFT(A290,SUM(LEN(A290)-LEN(SUBSTITUTE(A290,{"0","1","2"},""))))))))/10))*100+1&amp;""&amp;" ,.., "&amp;""&amp;(SUMPRODUCT(MID(0&amp;(--TRIM(RIGHT(SUBSTITUTE(LEFT(A290,_xlfn.AGGREGATE(16,6,FIND({0,1,2,3,4,5,6,7,8,9},A290,ROW(INDIRECT("1:"&amp;LEN(A290)))),1))," ",REPT(" ",LEN(A290))),LEN(A290)))), LARGE(INDEX(ISNUMBER(--MID((--TRIM(RIGHT(SUBSTITUTE(LEFT(A290,_xlfn.AGGREGATE(16,6,FIND({0,1,2,3,4,5,6,7,8,9},A290,ROW(INDIRECT("1:"&amp;LEN(A290)))),1))," ",REPT(" ",LEN(A290))),LEN(A290)))), ROW(INDIRECT("1:"&amp;LEN((--TRIM(RIGHT(SUBSTITUTE(LEFT(A290,_xlfn.AGGREGATE(16,6,FIND({0,1,2,3,4,5,6,7,8,9},A290,ROW(INDIRECT("1:"&amp;LEN(A290)))),1))," ",REPT(" ",LEN(A290))),LEN(A290))))))), 1)) * ROW(INDIRECT("1:"&amp;LEN((--TRIM(RIGHT(SUBSTITUTE(LEFT(A290,_xlfn.AGGREGATE(16,6,FIND({0,1,2,3,4,5,6,7,8,9},A290,ROW(INDIRECT("1:"&amp;LEN(A290)))),1))," ",REPT(" ",LEN(A290))),LEN(A290))))))), 0), ROW(INDIRECT("1:"&amp;LEN((--TRIM(RIGHT(SUBSTITUTE(LEFT(A290,_xlfn.AGGREGATE(16,6,FIND({0,1,2,3,4,5,6,7,8,9},A290,ROW(INDIRECT("1:"&amp;LEN(A290)))),1))," ",REPT(" ",LEN(A290))),LEN(A290))))))))+1, 1) * 10^ROW(INDIRECT("1:"&amp;LEN((--TRIM(RIGHT(SUBSTITUTE(LEFT(A290,_xlfn.AGGREGATE(16,6,FIND({0,1,2,3,4,5,6,7,8,9},A290,ROW(INDIRECT("1:"&amp;LEN(A290)))),1))," ",REPT(" ",LEN(A290))),LEN(A290)))))))/10))*100+1</f>
        <v>301 ,.., 1501</v>
      </c>
      <c r="B291" s="91"/>
      <c r="C291" s="39"/>
      <c r="D291" s="39"/>
      <c r="E291" s="39">
        <v>0</v>
      </c>
      <c r="F291" s="39">
        <f>D291+E291</f>
        <v>0</v>
      </c>
      <c r="G291" s="39">
        <v>0</v>
      </c>
      <c r="H291" s="39">
        <f>F291*(($H$171)+1)+(IF(G291&lt;101,G291,IF(G291&lt;201,G291/2,IF(G291&lt;=301,G291/3,G291/4))))</f>
        <v>0</v>
      </c>
      <c r="I291" s="33"/>
    </row>
    <row r="292" spans="1:14" s="34" customFormat="1" ht="15.75" hidden="1" customHeight="1" x14ac:dyDescent="0.35">
      <c r="A292" s="90" t="str">
        <f ca="1">(SUMPRODUCT(MID(0&amp;(LEFT(A291,SUM(LEN(A291)-LEN(SUBSTITUTE(A291,{"0","1","2"},""))))), LARGE(INDEX(ISNUMBER(--MID((LEFT(A291,SUM(LEN(A291)-LEN(SUBSTITUTE(A291,{"0","1","2"},""))))), ROW(INDIRECT("1:"&amp;LEN((LEFT(A291,SUM(LEN(A291)-LEN(SUBSTITUTE(A291,{"0","1","2"},"")))))))), 1)) * ROW(INDIRECT("1:"&amp;LEN((LEFT(A291,SUM(LEN(A291)-LEN(SUBSTITUTE(A291,{"0","1","2"},"")))))))), 0), ROW(INDIRECT("1:"&amp;LEN((LEFT(A291,SUM(LEN(A291)-LEN(SUBSTITUTE(A291,{"0","1","2"},"")))))))))+1, 1) * 10^ROW(INDIRECT("1:"&amp;LEN((LEFT(A291,SUM(LEN(A291)-LEN(SUBSTITUTE(A291,{"0","1","2"},""))))))))/10))*1+1&amp;""&amp;" ,.., "&amp;""&amp;(SUMPRODUCT(MID(0&amp;(--TRIM(RIGHT(SUBSTITUTE(LEFT(A291,_xlfn.AGGREGATE(16,6,FIND({0,1,2,3,4,5,6,7,8,9},A291,ROW(INDIRECT("1:"&amp;LEN(A291)))),1))," ",REPT(" ",LEN(A291))),LEN(A291)))), LARGE(INDEX(ISNUMBER(--MID((--TRIM(RIGHT(SUBSTITUTE(LEFT(A291,_xlfn.AGGREGATE(16,6,FIND({0,1,2,3,4,5,6,7,8,9},A291,ROW(INDIRECT("1:"&amp;LEN(A291)))),1))," ",REPT(" ",LEN(A291))),LEN(A291)))), ROW(INDIRECT("1:"&amp;LEN((--TRIM(RIGHT(SUBSTITUTE(LEFT(A291,_xlfn.AGGREGATE(16,6,FIND({0,1,2,3,4,5,6,7,8,9},A291,ROW(INDIRECT("1:"&amp;LEN(A291)))),1))," ",REPT(" ",LEN(A291))),LEN(A291))))))), 1)) * ROW(INDIRECT("1:"&amp;LEN((--TRIM(RIGHT(SUBSTITUTE(LEFT(A291,_xlfn.AGGREGATE(16,6,FIND({0,1,2,3,4,5,6,7,8,9},A291,ROW(INDIRECT("1:"&amp;LEN(A291)))),1))," ",REPT(" ",LEN(A291))),LEN(A291))))))), 0), ROW(INDIRECT("1:"&amp;LEN((--TRIM(RIGHT(SUBSTITUTE(LEFT(A291,_xlfn.AGGREGATE(16,6,FIND({0,1,2,3,4,5,6,7,8,9},A291,ROW(INDIRECT("1:"&amp;LEN(A291)))),1))," ",REPT(" ",LEN(A291))),LEN(A291))))))))+1, 1) * 10^ROW(INDIRECT("1:"&amp;LEN((--TRIM(RIGHT(SUBSTITUTE(LEFT(A291,_xlfn.AGGREGATE(16,6,FIND({0,1,2,3,4,5,6,7,8,9},A291,ROW(INDIRECT("1:"&amp;LEN(A291)))),1))," ",REPT(" ",LEN(A291))),LEN(A291)))))))/10))*1+1</f>
        <v>302 ,.., 1502</v>
      </c>
      <c r="B292" s="91"/>
      <c r="C292" s="39"/>
      <c r="D292" s="39"/>
      <c r="E292" s="39">
        <v>0</v>
      </c>
      <c r="F292" s="39">
        <f>D292+E292</f>
        <v>0</v>
      </c>
      <c r="G292" s="39">
        <v>0</v>
      </c>
      <c r="H292" s="39">
        <f>F292*(($H$171)+1)+(IF(G292&lt;101,G292,IF(G292&lt;201,G292/2,IF(G292&lt;=301,G292/3,G292/4))))</f>
        <v>0</v>
      </c>
      <c r="I292" s="33"/>
    </row>
    <row r="293" spans="1:14" s="34" customFormat="1" ht="15.75" hidden="1" customHeight="1" x14ac:dyDescent="0.35">
      <c r="A293" s="90" t="str">
        <f ca="1">(SUMPRODUCT(MID(0&amp;(LEFT(A292,SUM(LEN(A292)-LEN(SUBSTITUTE(A292,{"0","1","2"},""))))), LARGE(INDEX(ISNUMBER(--MID((LEFT(A292,SUM(LEN(A292)-LEN(SUBSTITUTE(A292,{"0","1","2"},""))))), ROW(INDIRECT("1:"&amp;LEN((LEFT(A292,SUM(LEN(A292)-LEN(SUBSTITUTE(A292,{"0","1","2"},"")))))))), 1)) * ROW(INDIRECT("1:"&amp;LEN((LEFT(A292,SUM(LEN(A292)-LEN(SUBSTITUTE(A292,{"0","1","2"},"")))))))), 0), ROW(INDIRECT("1:"&amp;LEN((LEFT(A292,SUM(LEN(A292)-LEN(SUBSTITUTE(A292,{"0","1","2"},"")))))))))+1, 1) * 10^ROW(INDIRECT("1:"&amp;LEN((LEFT(A292,SUM(LEN(A292)-LEN(SUBSTITUTE(A292,{"0","1","2"},""))))))))/10))*1+1&amp;""&amp;" ,.., "&amp;""&amp;(SUMPRODUCT(MID(0&amp;(--TRIM(RIGHT(SUBSTITUTE(LEFT(A292,_xlfn.AGGREGATE(16,6,FIND({0,1,2,3,4,5,6,7,8,9},A292,ROW(INDIRECT("1:"&amp;LEN(A292)))),1))," ",REPT(" ",LEN(A292))),LEN(A292)))), LARGE(INDEX(ISNUMBER(--MID((--TRIM(RIGHT(SUBSTITUTE(LEFT(A292,_xlfn.AGGREGATE(16,6,FIND({0,1,2,3,4,5,6,7,8,9},A292,ROW(INDIRECT("1:"&amp;LEN(A292)))),1))," ",REPT(" ",LEN(A292))),LEN(A292)))), ROW(INDIRECT("1:"&amp;LEN((--TRIM(RIGHT(SUBSTITUTE(LEFT(A292,_xlfn.AGGREGATE(16,6,FIND({0,1,2,3,4,5,6,7,8,9},A292,ROW(INDIRECT("1:"&amp;LEN(A292)))),1))," ",REPT(" ",LEN(A292))),LEN(A292))))))), 1)) * ROW(INDIRECT("1:"&amp;LEN((--TRIM(RIGHT(SUBSTITUTE(LEFT(A292,_xlfn.AGGREGATE(16,6,FIND({0,1,2,3,4,5,6,7,8,9},A292,ROW(INDIRECT("1:"&amp;LEN(A292)))),1))," ",REPT(" ",LEN(A292))),LEN(A292))))))), 0), ROW(INDIRECT("1:"&amp;LEN((--TRIM(RIGHT(SUBSTITUTE(LEFT(A292,_xlfn.AGGREGATE(16,6,FIND({0,1,2,3,4,5,6,7,8,9},A292,ROW(INDIRECT("1:"&amp;LEN(A292)))),1))," ",REPT(" ",LEN(A292))),LEN(A292))))))))+1, 1) * 10^ROW(INDIRECT("1:"&amp;LEN((--TRIM(RIGHT(SUBSTITUTE(LEFT(A292,_xlfn.AGGREGATE(16,6,FIND({0,1,2,3,4,5,6,7,8,9},A292,ROW(INDIRECT("1:"&amp;LEN(A292)))),1))," ",REPT(" ",LEN(A292))),LEN(A292)))))))/10))*1+1</f>
        <v>303 ,.., 1503</v>
      </c>
      <c r="B293" s="91"/>
      <c r="C293" s="39"/>
      <c r="D293" s="39"/>
      <c r="E293" s="39">
        <v>0</v>
      </c>
      <c r="F293" s="39">
        <f>D293+E293</f>
        <v>0</v>
      </c>
      <c r="G293" s="39">
        <v>0</v>
      </c>
      <c r="H293" s="39">
        <f>F293*(($H$171)+1)+(IF(G293&lt;101,G293,IF(G293&lt;201,G293/2,IF(G293&lt;=301,G293/3,G293/4))))</f>
        <v>0</v>
      </c>
      <c r="I293" s="33"/>
    </row>
    <row r="294" spans="1:14" s="34" customFormat="1" ht="15.75" hidden="1" customHeight="1" x14ac:dyDescent="0.35">
      <c r="A294" s="90" t="str">
        <f ca="1">(SUMPRODUCT(MID(0&amp;(LEFT(A293,SUM(LEN(A293)-LEN(SUBSTITUTE(A293,{"0","1","2"},""))))), LARGE(INDEX(ISNUMBER(--MID((LEFT(A293,SUM(LEN(A293)-LEN(SUBSTITUTE(A293,{"0","1","2"},""))))), ROW(INDIRECT("1:"&amp;LEN((LEFT(A293,SUM(LEN(A293)-LEN(SUBSTITUTE(A293,{"0","1","2"},"")))))))), 1)) * ROW(INDIRECT("1:"&amp;LEN((LEFT(A293,SUM(LEN(A293)-LEN(SUBSTITUTE(A293,{"0","1","2"},"")))))))), 0), ROW(INDIRECT("1:"&amp;LEN((LEFT(A293,SUM(LEN(A293)-LEN(SUBSTITUTE(A293,{"0","1","2"},"")))))))))+1, 1) * 10^ROW(INDIRECT("1:"&amp;LEN((LEFT(A293,SUM(LEN(A293)-LEN(SUBSTITUTE(A293,{"0","1","2"},""))))))))/10))*1+1&amp;""&amp;" ,.., "&amp;""&amp;(SUMPRODUCT(MID(0&amp;(--TRIM(RIGHT(SUBSTITUTE(LEFT(A293,_xlfn.AGGREGATE(16,6,FIND({0,1,2,3,4,5,6,7,8,9},A293,ROW(INDIRECT("1:"&amp;LEN(A293)))),1))," ",REPT(" ",LEN(A293))),LEN(A293)))), LARGE(INDEX(ISNUMBER(--MID((--TRIM(RIGHT(SUBSTITUTE(LEFT(A293,_xlfn.AGGREGATE(16,6,FIND({0,1,2,3,4,5,6,7,8,9},A293,ROW(INDIRECT("1:"&amp;LEN(A293)))),1))," ",REPT(" ",LEN(A293))),LEN(A293)))), ROW(INDIRECT("1:"&amp;LEN((--TRIM(RIGHT(SUBSTITUTE(LEFT(A293,_xlfn.AGGREGATE(16,6,FIND({0,1,2,3,4,5,6,7,8,9},A293,ROW(INDIRECT("1:"&amp;LEN(A293)))),1))," ",REPT(" ",LEN(A293))),LEN(A293))))))), 1)) * ROW(INDIRECT("1:"&amp;LEN((--TRIM(RIGHT(SUBSTITUTE(LEFT(A293,_xlfn.AGGREGATE(16,6,FIND({0,1,2,3,4,5,6,7,8,9},A293,ROW(INDIRECT("1:"&amp;LEN(A293)))),1))," ",REPT(" ",LEN(A293))),LEN(A293))))))), 0), ROW(INDIRECT("1:"&amp;LEN((--TRIM(RIGHT(SUBSTITUTE(LEFT(A293,_xlfn.AGGREGATE(16,6,FIND({0,1,2,3,4,5,6,7,8,9},A293,ROW(INDIRECT("1:"&amp;LEN(A293)))),1))," ",REPT(" ",LEN(A293))),LEN(A293))))))))+1, 1) * 10^ROW(INDIRECT("1:"&amp;LEN((--TRIM(RIGHT(SUBSTITUTE(LEFT(A293,_xlfn.AGGREGATE(16,6,FIND({0,1,2,3,4,5,6,7,8,9},A293,ROW(INDIRECT("1:"&amp;LEN(A293)))),1))," ",REPT(" ",LEN(A293))),LEN(A293)))))))/10))*1+1</f>
        <v>304 ,.., 1504</v>
      </c>
      <c r="B294" s="91"/>
      <c r="C294" s="39"/>
      <c r="D294" s="39"/>
      <c r="E294" s="39">
        <v>0</v>
      </c>
      <c r="F294" s="39">
        <f>D294+E294</f>
        <v>0</v>
      </c>
      <c r="G294" s="39">
        <v>0</v>
      </c>
      <c r="H294" s="39">
        <f>F294*(($H$171)+1)+(IF(G294&lt;101,G294,IF(G294&lt;201,G294/2,IF(G294&lt;=301,G294/3,G294/4))))</f>
        <v>0</v>
      </c>
      <c r="I294" s="33"/>
    </row>
    <row r="295" spans="1:14" s="34" customFormat="1" ht="15.75" hidden="1" customHeight="1" x14ac:dyDescent="0.35">
      <c r="A295" s="90" t="str">
        <f ca="1">(SUMPRODUCT(MID(0&amp;(LEFT(A294,SUM(LEN(A294)-LEN(SUBSTITUTE(A294,{"0","1","2"},""))))), LARGE(INDEX(ISNUMBER(--MID((LEFT(A294,SUM(LEN(A294)-LEN(SUBSTITUTE(A294,{"0","1","2"},""))))), ROW(INDIRECT("1:"&amp;LEN((LEFT(A294,SUM(LEN(A294)-LEN(SUBSTITUTE(A294,{"0","1","2"},"")))))))), 1)) * ROW(INDIRECT("1:"&amp;LEN((LEFT(A294,SUM(LEN(A294)-LEN(SUBSTITUTE(A294,{"0","1","2"},"")))))))), 0), ROW(INDIRECT("1:"&amp;LEN((LEFT(A294,SUM(LEN(A294)-LEN(SUBSTITUTE(A294,{"0","1","2"},"")))))))))+1, 1) * 10^ROW(INDIRECT("1:"&amp;LEN((LEFT(A294,SUM(LEN(A294)-LEN(SUBSTITUTE(A294,{"0","1","2"},""))))))))/10))*1+1&amp;""&amp;" ,.., "&amp;""&amp;(SUMPRODUCT(MID(0&amp;(--TRIM(RIGHT(SUBSTITUTE(LEFT(A294,_xlfn.AGGREGATE(16,6,FIND({0,1,2,3,4,5,6,7,8,9},A294,ROW(INDIRECT("1:"&amp;LEN(A294)))),1))," ",REPT(" ",LEN(A294))),LEN(A294)))), LARGE(INDEX(ISNUMBER(--MID((--TRIM(RIGHT(SUBSTITUTE(LEFT(A294,_xlfn.AGGREGATE(16,6,FIND({0,1,2,3,4,5,6,7,8,9},A294,ROW(INDIRECT("1:"&amp;LEN(A294)))),1))," ",REPT(" ",LEN(A294))),LEN(A294)))), ROW(INDIRECT("1:"&amp;LEN((--TRIM(RIGHT(SUBSTITUTE(LEFT(A294,_xlfn.AGGREGATE(16,6,FIND({0,1,2,3,4,5,6,7,8,9},A294,ROW(INDIRECT("1:"&amp;LEN(A294)))),1))," ",REPT(" ",LEN(A294))),LEN(A294))))))), 1)) * ROW(INDIRECT("1:"&amp;LEN((--TRIM(RIGHT(SUBSTITUTE(LEFT(A294,_xlfn.AGGREGATE(16,6,FIND({0,1,2,3,4,5,6,7,8,9},A294,ROW(INDIRECT("1:"&amp;LEN(A294)))),1))," ",REPT(" ",LEN(A294))),LEN(A294))))))), 0), ROW(INDIRECT("1:"&amp;LEN((--TRIM(RIGHT(SUBSTITUTE(LEFT(A294,_xlfn.AGGREGATE(16,6,FIND({0,1,2,3,4,5,6,7,8,9},A294,ROW(INDIRECT("1:"&amp;LEN(A294)))),1))," ",REPT(" ",LEN(A294))),LEN(A294))))))))+1, 1) * 10^ROW(INDIRECT("1:"&amp;LEN((--TRIM(RIGHT(SUBSTITUTE(LEFT(A294,_xlfn.AGGREGATE(16,6,FIND({0,1,2,3,4,5,6,7,8,9},A294,ROW(INDIRECT("1:"&amp;LEN(A294)))),1))," ",REPT(" ",LEN(A294))),LEN(A294)))))))/10))*1+1</f>
        <v>305 ,.., 1505</v>
      </c>
      <c r="B295" s="91"/>
      <c r="C295" s="39"/>
      <c r="D295" s="39"/>
      <c r="E295" s="39">
        <v>0</v>
      </c>
      <c r="F295" s="39">
        <f>D295+E295</f>
        <v>0</v>
      </c>
      <c r="G295" s="39">
        <v>0</v>
      </c>
      <c r="H295" s="39">
        <f>F295*(($H$171)+1)+(IF(G295&lt;101,G295,IF(G295&lt;201,G295/2,IF(G295&lt;=301,G295/3,G295/4))))</f>
        <v>0</v>
      </c>
      <c r="I295" s="33"/>
    </row>
    <row r="296" spans="1:14" s="34" customFormat="1" hidden="1" x14ac:dyDescent="0.35">
      <c r="A296" s="98" t="s">
        <v>142</v>
      </c>
      <c r="B296" s="99"/>
      <c r="C296" s="99"/>
      <c r="D296" s="99"/>
      <c r="E296" s="99"/>
      <c r="F296" s="99"/>
      <c r="G296" s="99"/>
      <c r="H296" s="100"/>
      <c r="I296" s="33"/>
    </row>
    <row r="297" spans="1:14" s="34" customFormat="1" ht="15.75" hidden="1" customHeight="1" x14ac:dyDescent="0.35">
      <c r="A297" s="90" t="str">
        <f ca="1">(SUMPRODUCT(MID(0&amp;(LEFT(A296,SUM(LEN(A296)-LEN(SUBSTITUTE(A296,{"0","1","2"},""))))), LARGE(INDEX(ISNUMBER(--MID((LEFT(A296,SUM(LEN(A296)-LEN(SUBSTITUTE(A296,{"0","1","2"},""))))), ROW(INDIRECT("1:"&amp;LEN((LEFT(A296,SUM(LEN(A296)-LEN(SUBSTITUTE(A296,{"0","1","2"},"")))))))), 1)) * ROW(INDIRECT("1:"&amp;LEN((LEFT(A296,SUM(LEN(A296)-LEN(SUBSTITUTE(A296,{"0","1","2"},"")))))))), 0), ROW(INDIRECT("1:"&amp;LEN((LEFT(A296,SUM(LEN(A296)-LEN(SUBSTITUTE(A296,{"0","1","2"},"")))))))))+1, 1) * 10^ROW(INDIRECT("1:"&amp;LEN((LEFT(A296,SUM(LEN(A296)-LEN(SUBSTITUTE(A296,{"0","1","2"},""))))))))/10))*100+1&amp;""&amp;" to "&amp;""&amp;(SUMPRODUCT(MID(0&amp;(--TRIM(RIGHT(SUBSTITUTE(LEFT(A296,_xlfn.AGGREGATE(16,6,FIND({0,1,2,3,4,5,6,7,8,9},A296,ROW(INDIRECT("1:"&amp;LEN(A296)))),1))," ",REPT(" ",LEN(A296))),LEN(A296)))), LARGE(INDEX(ISNUMBER(--MID((--TRIM(RIGHT(SUBSTITUTE(LEFT(A296,_xlfn.AGGREGATE(16,6,FIND({0,1,2,3,4,5,6,7,8,9},A296,ROW(INDIRECT("1:"&amp;LEN(A296)))),1))," ",REPT(" ",LEN(A296))),LEN(A296)))), ROW(INDIRECT("1:"&amp;LEN((--TRIM(RIGHT(SUBSTITUTE(LEFT(A296,_xlfn.AGGREGATE(16,6,FIND({0,1,2,3,4,5,6,7,8,9},A296,ROW(INDIRECT("1:"&amp;LEN(A296)))),1))," ",REPT(" ",LEN(A296))),LEN(A296))))))), 1)) * ROW(INDIRECT("1:"&amp;LEN((--TRIM(RIGHT(SUBSTITUTE(LEFT(A296,_xlfn.AGGREGATE(16,6,FIND({0,1,2,3,4,5,6,7,8,9},A296,ROW(INDIRECT("1:"&amp;LEN(A296)))),1))," ",REPT(" ",LEN(A296))),LEN(A296))))))), 0), ROW(INDIRECT("1:"&amp;LEN((--TRIM(RIGHT(SUBSTITUTE(LEFT(A296,_xlfn.AGGREGATE(16,6,FIND({0,1,2,3,4,5,6,7,8,9},A296,ROW(INDIRECT("1:"&amp;LEN(A296)))),1))," ",REPT(" ",LEN(A296))),LEN(A296))))))))+1, 1) * 10^ROW(INDIRECT("1:"&amp;LEN((--TRIM(RIGHT(SUBSTITUTE(LEFT(A296,_xlfn.AGGREGATE(16,6,FIND({0,1,2,3,4,5,6,7,8,9},A296,ROW(INDIRECT("1:"&amp;LEN(A296)))),1))," ",REPT(" ",LEN(A296))),LEN(A296)))))))/10))*100+1</f>
        <v>201 to 501</v>
      </c>
      <c r="B297" s="91"/>
      <c r="C297" s="39"/>
      <c r="D297" s="39"/>
      <c r="E297" s="39">
        <v>0</v>
      </c>
      <c r="F297" s="39">
        <f>D297+E297</f>
        <v>0</v>
      </c>
      <c r="G297" s="39">
        <v>0</v>
      </c>
      <c r="H297" s="39">
        <f>F297*(($H$171)+1)+(IF(G297&lt;101,G297,IF(G297&lt;201,G297/2,IF(G297&lt;=301,G297/3,G297/4))))</f>
        <v>0</v>
      </c>
      <c r="I297" s="33"/>
    </row>
    <row r="298" spans="1:14" s="34" customFormat="1" ht="15.75" hidden="1" customHeight="1" x14ac:dyDescent="0.35">
      <c r="A298" s="90" t="str">
        <f ca="1">(SUMPRODUCT(MID(0&amp;(LEFT(A297,SUM(LEN(A297)-LEN(SUBSTITUTE(A297,{"0","1","2"},""))))), LARGE(INDEX(ISNUMBER(--MID((LEFT(A297,SUM(LEN(A297)-LEN(SUBSTITUTE(A297,{"0","1","2"},""))))), ROW(INDIRECT("1:"&amp;LEN((LEFT(A297,SUM(LEN(A297)-LEN(SUBSTITUTE(A297,{"0","1","2"},"")))))))), 1)) * ROW(INDIRECT("1:"&amp;LEN((LEFT(A297,SUM(LEN(A297)-LEN(SUBSTITUTE(A297,{"0","1","2"},"")))))))), 0), ROW(INDIRECT("1:"&amp;LEN((LEFT(A297,SUM(LEN(A297)-LEN(SUBSTITUTE(A297,{"0","1","2"},"")))))))))+1, 1) * 10^ROW(INDIRECT("1:"&amp;LEN((LEFT(A297,SUM(LEN(A297)-LEN(SUBSTITUTE(A297,{"0","1","2"},""))))))))/10))*1+1&amp;""&amp;" to "&amp;""&amp;(SUMPRODUCT(MID(0&amp;(--TRIM(RIGHT(SUBSTITUTE(LEFT(A297,_xlfn.AGGREGATE(16,6,FIND({0,1,2,3,4,5,6,7,8,9},A297,ROW(INDIRECT("1:"&amp;LEN(A297)))),1))," ",REPT(" ",LEN(A297))),LEN(A297)))), LARGE(INDEX(ISNUMBER(--MID((--TRIM(RIGHT(SUBSTITUTE(LEFT(A297,_xlfn.AGGREGATE(16,6,FIND({0,1,2,3,4,5,6,7,8,9},A297,ROW(INDIRECT("1:"&amp;LEN(A297)))),1))," ",REPT(" ",LEN(A297))),LEN(A297)))), ROW(INDIRECT("1:"&amp;LEN((--TRIM(RIGHT(SUBSTITUTE(LEFT(A297,_xlfn.AGGREGATE(16,6,FIND({0,1,2,3,4,5,6,7,8,9},A297,ROW(INDIRECT("1:"&amp;LEN(A297)))),1))," ",REPT(" ",LEN(A297))),LEN(A297))))))), 1)) * ROW(INDIRECT("1:"&amp;LEN((--TRIM(RIGHT(SUBSTITUTE(LEFT(A297,_xlfn.AGGREGATE(16,6,FIND({0,1,2,3,4,5,6,7,8,9},A297,ROW(INDIRECT("1:"&amp;LEN(A297)))),1))," ",REPT(" ",LEN(A297))),LEN(A297))))))), 0), ROW(INDIRECT("1:"&amp;LEN((--TRIM(RIGHT(SUBSTITUTE(LEFT(A297,_xlfn.AGGREGATE(16,6,FIND({0,1,2,3,4,5,6,7,8,9},A297,ROW(INDIRECT("1:"&amp;LEN(A297)))),1))," ",REPT(" ",LEN(A297))),LEN(A297))))))))+1, 1) * 10^ROW(INDIRECT("1:"&amp;LEN((--TRIM(RIGHT(SUBSTITUTE(LEFT(A297,_xlfn.AGGREGATE(16,6,FIND({0,1,2,3,4,5,6,7,8,9},A297,ROW(INDIRECT("1:"&amp;LEN(A297)))),1))," ",REPT(" ",LEN(A297))),LEN(A297)))))))/10))*1+1</f>
        <v>202 to 502</v>
      </c>
      <c r="B298" s="91"/>
      <c r="C298" s="39"/>
      <c r="D298" s="39"/>
      <c r="E298" s="39">
        <v>0</v>
      </c>
      <c r="F298" s="39">
        <f>D298+E298</f>
        <v>0</v>
      </c>
      <c r="G298" s="39">
        <v>0</v>
      </c>
      <c r="H298" s="39">
        <f>F298*(($H$171)+1)+(IF(G298&lt;101,G298,IF(G298&lt;201,G298/2,IF(G298&lt;=301,G298/3,G298/4))))</f>
        <v>0</v>
      </c>
      <c r="I298" s="33"/>
    </row>
    <row r="299" spans="1:14" s="34" customFormat="1" ht="15.75" hidden="1" customHeight="1" x14ac:dyDescent="0.35">
      <c r="A299" s="90" t="str">
        <f ca="1">(SUMPRODUCT(MID(0&amp;(LEFT(A298,SUM(LEN(A298)-LEN(SUBSTITUTE(A298,{"0","1","2"},""))))), LARGE(INDEX(ISNUMBER(--MID((LEFT(A298,SUM(LEN(A298)-LEN(SUBSTITUTE(A298,{"0","1","2"},""))))), ROW(INDIRECT("1:"&amp;LEN((LEFT(A298,SUM(LEN(A298)-LEN(SUBSTITUTE(A298,{"0","1","2"},"")))))))), 1)) * ROW(INDIRECT("1:"&amp;LEN((LEFT(A298,SUM(LEN(A298)-LEN(SUBSTITUTE(A298,{"0","1","2"},"")))))))), 0), ROW(INDIRECT("1:"&amp;LEN((LEFT(A298,SUM(LEN(A298)-LEN(SUBSTITUTE(A298,{"0","1","2"},"")))))))))+1, 1) * 10^ROW(INDIRECT("1:"&amp;LEN((LEFT(A298,SUM(LEN(A298)-LEN(SUBSTITUTE(A298,{"0","1","2"},""))))))))/10))*1+1&amp;""&amp;" to "&amp;""&amp;(SUMPRODUCT(MID(0&amp;(--TRIM(RIGHT(SUBSTITUTE(LEFT(A298,_xlfn.AGGREGATE(16,6,FIND({0,1,2,3,4,5,6,7,8,9},A298,ROW(INDIRECT("1:"&amp;LEN(A298)))),1))," ",REPT(" ",LEN(A298))),LEN(A298)))), LARGE(INDEX(ISNUMBER(--MID((--TRIM(RIGHT(SUBSTITUTE(LEFT(A298,_xlfn.AGGREGATE(16,6,FIND({0,1,2,3,4,5,6,7,8,9},A298,ROW(INDIRECT("1:"&amp;LEN(A298)))),1))," ",REPT(" ",LEN(A298))),LEN(A298)))), ROW(INDIRECT("1:"&amp;LEN((--TRIM(RIGHT(SUBSTITUTE(LEFT(A298,_xlfn.AGGREGATE(16,6,FIND({0,1,2,3,4,5,6,7,8,9},A298,ROW(INDIRECT("1:"&amp;LEN(A298)))),1))," ",REPT(" ",LEN(A298))),LEN(A298))))))), 1)) * ROW(INDIRECT("1:"&amp;LEN((--TRIM(RIGHT(SUBSTITUTE(LEFT(A298,_xlfn.AGGREGATE(16,6,FIND({0,1,2,3,4,5,6,7,8,9},A298,ROW(INDIRECT("1:"&amp;LEN(A298)))),1))," ",REPT(" ",LEN(A298))),LEN(A298))))))), 0), ROW(INDIRECT("1:"&amp;LEN((--TRIM(RIGHT(SUBSTITUTE(LEFT(A298,_xlfn.AGGREGATE(16,6,FIND({0,1,2,3,4,5,6,7,8,9},A298,ROW(INDIRECT("1:"&amp;LEN(A298)))),1))," ",REPT(" ",LEN(A298))),LEN(A298))))))))+1, 1) * 10^ROW(INDIRECT("1:"&amp;LEN((--TRIM(RIGHT(SUBSTITUTE(LEFT(A298,_xlfn.AGGREGATE(16,6,FIND({0,1,2,3,4,5,6,7,8,9},A298,ROW(INDIRECT("1:"&amp;LEN(A298)))),1))," ",REPT(" ",LEN(A298))),LEN(A298)))))))/10))*1+1</f>
        <v>203 to 503</v>
      </c>
      <c r="B299" s="91"/>
      <c r="C299" s="39"/>
      <c r="D299" s="39"/>
      <c r="E299" s="39">
        <v>0</v>
      </c>
      <c r="F299" s="39">
        <f>D299+E299</f>
        <v>0</v>
      </c>
      <c r="G299" s="39">
        <v>0</v>
      </c>
      <c r="H299" s="39">
        <f>F299*(($H$171)+1)+(IF(G299&lt;101,G299,IF(G299&lt;201,G299/2,IF(G299&lt;=301,G299/3,G299/4))))</f>
        <v>0</v>
      </c>
      <c r="I299" s="33"/>
    </row>
    <row r="300" spans="1:14" s="34" customFormat="1" ht="15.75" hidden="1" customHeight="1" x14ac:dyDescent="0.35">
      <c r="A300" s="90" t="str">
        <f ca="1">(SUMPRODUCT(MID(0&amp;(LEFT(A299,SUM(LEN(A299)-LEN(SUBSTITUTE(A299,{"0","1","2"},""))))), LARGE(INDEX(ISNUMBER(--MID((LEFT(A299,SUM(LEN(A299)-LEN(SUBSTITUTE(A299,{"0","1","2"},""))))), ROW(INDIRECT("1:"&amp;LEN((LEFT(A299,SUM(LEN(A299)-LEN(SUBSTITUTE(A299,{"0","1","2"},"")))))))), 1)) * ROW(INDIRECT("1:"&amp;LEN((LEFT(A299,SUM(LEN(A299)-LEN(SUBSTITUTE(A299,{"0","1","2"},"")))))))), 0), ROW(INDIRECT("1:"&amp;LEN((LEFT(A299,SUM(LEN(A299)-LEN(SUBSTITUTE(A299,{"0","1","2"},"")))))))))+1, 1) * 10^ROW(INDIRECT("1:"&amp;LEN((LEFT(A299,SUM(LEN(A299)-LEN(SUBSTITUTE(A299,{"0","1","2"},""))))))))/10))*1+1&amp;""&amp;" to "&amp;""&amp;(SUMPRODUCT(MID(0&amp;(--TRIM(RIGHT(SUBSTITUTE(LEFT(A299,_xlfn.AGGREGATE(16,6,FIND({0,1,2,3,4,5,6,7,8,9},A299,ROW(INDIRECT("1:"&amp;LEN(A299)))),1))," ",REPT(" ",LEN(A299))),LEN(A299)))), LARGE(INDEX(ISNUMBER(--MID((--TRIM(RIGHT(SUBSTITUTE(LEFT(A299,_xlfn.AGGREGATE(16,6,FIND({0,1,2,3,4,5,6,7,8,9},A299,ROW(INDIRECT("1:"&amp;LEN(A299)))),1))," ",REPT(" ",LEN(A299))),LEN(A299)))), ROW(INDIRECT("1:"&amp;LEN((--TRIM(RIGHT(SUBSTITUTE(LEFT(A299,_xlfn.AGGREGATE(16,6,FIND({0,1,2,3,4,5,6,7,8,9},A299,ROW(INDIRECT("1:"&amp;LEN(A299)))),1))," ",REPT(" ",LEN(A299))),LEN(A299))))))), 1)) * ROW(INDIRECT("1:"&amp;LEN((--TRIM(RIGHT(SUBSTITUTE(LEFT(A299,_xlfn.AGGREGATE(16,6,FIND({0,1,2,3,4,5,6,7,8,9},A299,ROW(INDIRECT("1:"&amp;LEN(A299)))),1))," ",REPT(" ",LEN(A299))),LEN(A299))))))), 0), ROW(INDIRECT("1:"&amp;LEN((--TRIM(RIGHT(SUBSTITUTE(LEFT(A299,_xlfn.AGGREGATE(16,6,FIND({0,1,2,3,4,5,6,7,8,9},A299,ROW(INDIRECT("1:"&amp;LEN(A299)))),1))," ",REPT(" ",LEN(A299))),LEN(A299))))))))+1, 1) * 10^ROW(INDIRECT("1:"&amp;LEN((--TRIM(RIGHT(SUBSTITUTE(LEFT(A299,_xlfn.AGGREGATE(16,6,FIND({0,1,2,3,4,5,6,7,8,9},A299,ROW(INDIRECT("1:"&amp;LEN(A299)))),1))," ",REPT(" ",LEN(A299))),LEN(A299)))))))/10))*1+1</f>
        <v>204 to 504</v>
      </c>
      <c r="B300" s="91"/>
      <c r="C300" s="39"/>
      <c r="D300" s="39"/>
      <c r="E300" s="39">
        <v>0</v>
      </c>
      <c r="F300" s="39">
        <f>D300+E300</f>
        <v>0</v>
      </c>
      <c r="G300" s="39">
        <v>0</v>
      </c>
      <c r="H300" s="39">
        <f>F300*(($H$171)+1)+(IF(G300&lt;101,G300,IF(G300&lt;201,G300/2,IF(G300&lt;=301,G300/3,G300/4))))</f>
        <v>0</v>
      </c>
      <c r="I300" s="33"/>
    </row>
    <row r="301" spans="1:14" s="34" customFormat="1" ht="15.75" hidden="1" customHeight="1" x14ac:dyDescent="0.35">
      <c r="A301" s="90" t="str">
        <f ca="1">(SUMPRODUCT(MID(0&amp;(LEFT(A300,SUM(LEN(A300)-LEN(SUBSTITUTE(A300,{"0","1","2"},""))))), LARGE(INDEX(ISNUMBER(--MID((LEFT(A300,SUM(LEN(A300)-LEN(SUBSTITUTE(A300,{"0","1","2"},""))))), ROW(INDIRECT("1:"&amp;LEN((LEFT(A300,SUM(LEN(A300)-LEN(SUBSTITUTE(A300,{"0","1","2"},"")))))))), 1)) * ROW(INDIRECT("1:"&amp;LEN((LEFT(A300,SUM(LEN(A300)-LEN(SUBSTITUTE(A300,{"0","1","2"},"")))))))), 0), ROW(INDIRECT("1:"&amp;LEN((LEFT(A300,SUM(LEN(A300)-LEN(SUBSTITUTE(A300,{"0","1","2"},"")))))))))+1, 1) * 10^ROW(INDIRECT("1:"&amp;LEN((LEFT(A300,SUM(LEN(A300)-LEN(SUBSTITUTE(A300,{"0","1","2"},""))))))))/10))*1+1&amp;""&amp;" to "&amp;""&amp;(SUMPRODUCT(MID(0&amp;(--TRIM(RIGHT(SUBSTITUTE(LEFT(A300,_xlfn.AGGREGATE(16,6,FIND({0,1,2,3,4,5,6,7,8,9},A300,ROW(INDIRECT("1:"&amp;LEN(A300)))),1))," ",REPT(" ",LEN(A300))),LEN(A300)))), LARGE(INDEX(ISNUMBER(--MID((--TRIM(RIGHT(SUBSTITUTE(LEFT(A300,_xlfn.AGGREGATE(16,6,FIND({0,1,2,3,4,5,6,7,8,9},A300,ROW(INDIRECT("1:"&amp;LEN(A300)))),1))," ",REPT(" ",LEN(A300))),LEN(A300)))), ROW(INDIRECT("1:"&amp;LEN((--TRIM(RIGHT(SUBSTITUTE(LEFT(A300,_xlfn.AGGREGATE(16,6,FIND({0,1,2,3,4,5,6,7,8,9},A300,ROW(INDIRECT("1:"&amp;LEN(A300)))),1))," ",REPT(" ",LEN(A300))),LEN(A300))))))), 1)) * ROW(INDIRECT("1:"&amp;LEN((--TRIM(RIGHT(SUBSTITUTE(LEFT(A300,_xlfn.AGGREGATE(16,6,FIND({0,1,2,3,4,5,6,7,8,9},A300,ROW(INDIRECT("1:"&amp;LEN(A300)))),1))," ",REPT(" ",LEN(A300))),LEN(A300))))))), 0), ROW(INDIRECT("1:"&amp;LEN((--TRIM(RIGHT(SUBSTITUTE(LEFT(A300,_xlfn.AGGREGATE(16,6,FIND({0,1,2,3,4,5,6,7,8,9},A300,ROW(INDIRECT("1:"&amp;LEN(A300)))),1))," ",REPT(" ",LEN(A300))),LEN(A300))))))))+1, 1) * 10^ROW(INDIRECT("1:"&amp;LEN((--TRIM(RIGHT(SUBSTITUTE(LEFT(A300,_xlfn.AGGREGATE(16,6,FIND({0,1,2,3,4,5,6,7,8,9},A300,ROW(INDIRECT("1:"&amp;LEN(A300)))),1))," ",REPT(" ",LEN(A300))),LEN(A300)))))))/10))*1+1</f>
        <v>205 to 505</v>
      </c>
      <c r="B301" s="91"/>
      <c r="C301" s="39"/>
      <c r="D301" s="39"/>
      <c r="E301" s="39">
        <v>0</v>
      </c>
      <c r="F301" s="39">
        <f>D301+E301</f>
        <v>0</v>
      </c>
      <c r="G301" s="39">
        <v>0</v>
      </c>
      <c r="H301" s="39">
        <f>F301*(($H$171)+1)+(IF(G301&lt;101,G301,IF(G301&lt;201,G301/2,IF(G301&lt;=301,G301/3,G301/4))))</f>
        <v>0</v>
      </c>
      <c r="I301" s="33"/>
    </row>
    <row r="302" spans="1:14" s="34" customFormat="1" hidden="1" x14ac:dyDescent="0.35">
      <c r="A302" s="98" t="s">
        <v>143</v>
      </c>
      <c r="B302" s="99"/>
      <c r="C302" s="99"/>
      <c r="D302" s="99"/>
      <c r="E302" s="99"/>
      <c r="F302" s="99"/>
      <c r="G302" s="99"/>
      <c r="H302" s="100"/>
      <c r="I302" s="33"/>
    </row>
    <row r="303" spans="1:14" s="34" customFormat="1" ht="15.75" hidden="1" customHeight="1" x14ac:dyDescent="0.35">
      <c r="A303" s="90" t="str">
        <f ca="1">(SUMPRODUCT(MID(0&amp;(LEFT(A302,SUM(LEN(A302)-LEN(SUBSTITUTE(A302,{"0","1","2"},""))))), LARGE(INDEX(ISNUMBER(--MID((LEFT(A302,SUM(LEN(A302)-LEN(SUBSTITUTE(A302,{"0","1","2"},""))))), ROW(INDIRECT("1:"&amp;LEN((LEFT(A302,SUM(LEN(A302)-LEN(SUBSTITUTE(A302,{"0","1","2"},"")))))))), 1)) * ROW(INDIRECT("1:"&amp;LEN((LEFT(A302,SUM(LEN(A302)-LEN(SUBSTITUTE(A302,{"0","1","2"},"")))))))), 0), ROW(INDIRECT("1:"&amp;LEN((LEFT(A302,SUM(LEN(A302)-LEN(SUBSTITUTE(A302,{"0","1","2"},"")))))))))+1, 1) * 10^ROW(INDIRECT("1:"&amp;LEN((LEFT(A302,SUM(LEN(A302)-LEN(SUBSTITUTE(A302,{"0","1","2"},""))))))))/10))*100+1&amp;""&amp;" &amp; "&amp;""&amp;(SUMPRODUCT(MID(0&amp;(--TRIM(RIGHT(SUBSTITUTE(LEFT(A302,_xlfn.AGGREGATE(16,6,FIND({0,1,2,3,4,5,6,7,8,9},A302,ROW(INDIRECT("1:"&amp;LEN(A302)))),1))," ",REPT(" ",LEN(A302))),LEN(A302)))), LARGE(INDEX(ISNUMBER(--MID((--TRIM(RIGHT(SUBSTITUTE(LEFT(A302,_xlfn.AGGREGATE(16,6,FIND({0,1,2,3,4,5,6,7,8,9},A302,ROW(INDIRECT("1:"&amp;LEN(A302)))),1))," ",REPT(" ",LEN(A302))),LEN(A302)))), ROW(INDIRECT("1:"&amp;LEN((--TRIM(RIGHT(SUBSTITUTE(LEFT(A302,_xlfn.AGGREGATE(16,6,FIND({0,1,2,3,4,5,6,7,8,9},A302,ROW(INDIRECT("1:"&amp;LEN(A302)))),1))," ",REPT(" ",LEN(A302))),LEN(A302))))))), 1)) * ROW(INDIRECT("1:"&amp;LEN((--TRIM(RIGHT(SUBSTITUTE(LEFT(A302,_xlfn.AGGREGATE(16,6,FIND({0,1,2,3,4,5,6,7,8,9},A302,ROW(INDIRECT("1:"&amp;LEN(A302)))),1))," ",REPT(" ",LEN(A302))),LEN(A302))))))), 0), ROW(INDIRECT("1:"&amp;LEN((--TRIM(RIGHT(SUBSTITUTE(LEFT(A302,_xlfn.AGGREGATE(16,6,FIND({0,1,2,3,4,5,6,7,8,9},A302,ROW(INDIRECT("1:"&amp;LEN(A302)))),1))," ",REPT(" ",LEN(A302))),LEN(A302))))))))+1, 1) * 10^ROW(INDIRECT("1:"&amp;LEN((--TRIM(RIGHT(SUBSTITUTE(LEFT(A302,_xlfn.AGGREGATE(16,6,FIND({0,1,2,3,4,5,6,7,8,9},A302,ROW(INDIRECT("1:"&amp;LEN(A302)))),1))," ",REPT(" ",LEN(A302))),LEN(A302)))))))/10))*100+1</f>
        <v>201 &amp; 501</v>
      </c>
      <c r="B303" s="91"/>
      <c r="C303" s="39"/>
      <c r="D303" s="39"/>
      <c r="E303" s="39">
        <v>0</v>
      </c>
      <c r="F303" s="39">
        <f>D303+E303</f>
        <v>0</v>
      </c>
      <c r="G303" s="39">
        <v>0</v>
      </c>
      <c r="H303" s="39">
        <f>F303*(($H$171)+1)+(IF(G303&lt;101,G303,IF(G303&lt;201,G303/2,IF(G303&lt;=301,G303/3,G303/4))))</f>
        <v>0</v>
      </c>
      <c r="I303" s="33"/>
    </row>
    <row r="304" spans="1:14" s="34" customFormat="1" ht="15.75" hidden="1" customHeight="1" x14ac:dyDescent="0.35">
      <c r="A304" s="90" t="str">
        <f ca="1">(SUMPRODUCT(MID(0&amp;(LEFT(A303,SUM(LEN(A303)-LEN(SUBSTITUTE(A303,{"0","1","2"},""))))), LARGE(INDEX(ISNUMBER(--MID((LEFT(A303,SUM(LEN(A303)-LEN(SUBSTITUTE(A303,{"0","1","2"},""))))), ROW(INDIRECT("1:"&amp;LEN((LEFT(A303,SUM(LEN(A303)-LEN(SUBSTITUTE(A303,{"0","1","2"},"")))))))), 1)) * ROW(INDIRECT("1:"&amp;LEN((LEFT(A303,SUM(LEN(A303)-LEN(SUBSTITUTE(A303,{"0","1","2"},"")))))))), 0), ROW(INDIRECT("1:"&amp;LEN((LEFT(A303,SUM(LEN(A303)-LEN(SUBSTITUTE(A303,{"0","1","2"},"")))))))))+1, 1) * 10^ROW(INDIRECT("1:"&amp;LEN((LEFT(A303,SUM(LEN(A303)-LEN(SUBSTITUTE(A303,{"0","1","2"},""))))))))/10))*1+1&amp;""&amp;" &amp; "&amp;""&amp;(SUMPRODUCT(MID(0&amp;(--TRIM(RIGHT(SUBSTITUTE(LEFT(A303,_xlfn.AGGREGATE(16,6,FIND({0,1,2,3,4,5,6,7,8,9},A303,ROW(INDIRECT("1:"&amp;LEN(A303)))),1))," ",REPT(" ",LEN(A303))),LEN(A303)))), LARGE(INDEX(ISNUMBER(--MID((--TRIM(RIGHT(SUBSTITUTE(LEFT(A303,_xlfn.AGGREGATE(16,6,FIND({0,1,2,3,4,5,6,7,8,9},A303,ROW(INDIRECT("1:"&amp;LEN(A303)))),1))," ",REPT(" ",LEN(A303))),LEN(A303)))), ROW(INDIRECT("1:"&amp;LEN((--TRIM(RIGHT(SUBSTITUTE(LEFT(A303,_xlfn.AGGREGATE(16,6,FIND({0,1,2,3,4,5,6,7,8,9},A303,ROW(INDIRECT("1:"&amp;LEN(A303)))),1))," ",REPT(" ",LEN(A303))),LEN(A303))))))), 1)) * ROW(INDIRECT("1:"&amp;LEN((--TRIM(RIGHT(SUBSTITUTE(LEFT(A303,_xlfn.AGGREGATE(16,6,FIND({0,1,2,3,4,5,6,7,8,9},A303,ROW(INDIRECT("1:"&amp;LEN(A303)))),1))," ",REPT(" ",LEN(A303))),LEN(A303))))))), 0), ROW(INDIRECT("1:"&amp;LEN((--TRIM(RIGHT(SUBSTITUTE(LEFT(A303,_xlfn.AGGREGATE(16,6,FIND({0,1,2,3,4,5,6,7,8,9},A303,ROW(INDIRECT("1:"&amp;LEN(A303)))),1))," ",REPT(" ",LEN(A303))),LEN(A303))))))))+1, 1) * 10^ROW(INDIRECT("1:"&amp;LEN((--TRIM(RIGHT(SUBSTITUTE(LEFT(A303,_xlfn.AGGREGATE(16,6,FIND({0,1,2,3,4,5,6,7,8,9},A303,ROW(INDIRECT("1:"&amp;LEN(A303)))),1))," ",REPT(" ",LEN(A303))),LEN(A303)))))))/10))*1+1</f>
        <v>202 &amp; 502</v>
      </c>
      <c r="B304" s="91"/>
      <c r="C304" s="39"/>
      <c r="D304" s="39"/>
      <c r="E304" s="39">
        <v>0</v>
      </c>
      <c r="F304" s="39">
        <f>D304+E304</f>
        <v>0</v>
      </c>
      <c r="G304" s="39">
        <v>0</v>
      </c>
      <c r="H304" s="39">
        <f>F304*(($H$171)+1)+(IF(G304&lt;101,G304,IF(G304&lt;201,G304/2,IF(G304&lt;=301,G304/3,G304/4))))</f>
        <v>0</v>
      </c>
      <c r="I304" s="33"/>
    </row>
    <row r="305" spans="1:20" s="34" customFormat="1" ht="15.75" hidden="1" customHeight="1" x14ac:dyDescent="0.35">
      <c r="A305" s="90" t="str">
        <f ca="1">(SUMPRODUCT(MID(0&amp;(LEFT(A304,SUM(LEN(A304)-LEN(SUBSTITUTE(A304,{"0","1","2"},""))))), LARGE(INDEX(ISNUMBER(--MID((LEFT(A304,SUM(LEN(A304)-LEN(SUBSTITUTE(A304,{"0","1","2"},""))))), ROW(INDIRECT("1:"&amp;LEN((LEFT(A304,SUM(LEN(A304)-LEN(SUBSTITUTE(A304,{"0","1","2"},"")))))))), 1)) * ROW(INDIRECT("1:"&amp;LEN((LEFT(A304,SUM(LEN(A304)-LEN(SUBSTITUTE(A304,{"0","1","2"},"")))))))), 0), ROW(INDIRECT("1:"&amp;LEN((LEFT(A304,SUM(LEN(A304)-LEN(SUBSTITUTE(A304,{"0","1","2"},"")))))))))+1, 1) * 10^ROW(INDIRECT("1:"&amp;LEN((LEFT(A304,SUM(LEN(A304)-LEN(SUBSTITUTE(A304,{"0","1","2"},""))))))))/10))*1+1&amp;""&amp;" &amp; "&amp;""&amp;(SUMPRODUCT(MID(0&amp;(--TRIM(RIGHT(SUBSTITUTE(LEFT(A304,_xlfn.AGGREGATE(16,6,FIND({0,1,2,3,4,5,6,7,8,9},A304,ROW(INDIRECT("1:"&amp;LEN(A304)))),1))," ",REPT(" ",LEN(A304))),LEN(A304)))), LARGE(INDEX(ISNUMBER(--MID((--TRIM(RIGHT(SUBSTITUTE(LEFT(A304,_xlfn.AGGREGATE(16,6,FIND({0,1,2,3,4,5,6,7,8,9},A304,ROW(INDIRECT("1:"&amp;LEN(A304)))),1))," ",REPT(" ",LEN(A304))),LEN(A304)))), ROW(INDIRECT("1:"&amp;LEN((--TRIM(RIGHT(SUBSTITUTE(LEFT(A304,_xlfn.AGGREGATE(16,6,FIND({0,1,2,3,4,5,6,7,8,9},A304,ROW(INDIRECT("1:"&amp;LEN(A304)))),1))," ",REPT(" ",LEN(A304))),LEN(A304))))))), 1)) * ROW(INDIRECT("1:"&amp;LEN((--TRIM(RIGHT(SUBSTITUTE(LEFT(A304,_xlfn.AGGREGATE(16,6,FIND({0,1,2,3,4,5,6,7,8,9},A304,ROW(INDIRECT("1:"&amp;LEN(A304)))),1))," ",REPT(" ",LEN(A304))),LEN(A304))))))), 0), ROW(INDIRECT("1:"&amp;LEN((--TRIM(RIGHT(SUBSTITUTE(LEFT(A304,_xlfn.AGGREGATE(16,6,FIND({0,1,2,3,4,5,6,7,8,9},A304,ROW(INDIRECT("1:"&amp;LEN(A304)))),1))," ",REPT(" ",LEN(A304))),LEN(A304))))))))+1, 1) * 10^ROW(INDIRECT("1:"&amp;LEN((--TRIM(RIGHT(SUBSTITUTE(LEFT(A304,_xlfn.AGGREGATE(16,6,FIND({0,1,2,3,4,5,6,7,8,9},A304,ROW(INDIRECT("1:"&amp;LEN(A304)))),1))," ",REPT(" ",LEN(A304))),LEN(A304)))))))/10))*1+1</f>
        <v>203 &amp; 503</v>
      </c>
      <c r="B305" s="91"/>
      <c r="C305" s="39"/>
      <c r="D305" s="39"/>
      <c r="E305" s="39">
        <v>0</v>
      </c>
      <c r="F305" s="39">
        <f>D305+E305</f>
        <v>0</v>
      </c>
      <c r="G305" s="39">
        <v>0</v>
      </c>
      <c r="H305" s="39">
        <f>F305*(($H$171)+1)+(IF(G305&lt;101,G305,IF(G305&lt;201,G305/2,IF(G305&lt;=301,G305/3,G305/4))))</f>
        <v>0</v>
      </c>
      <c r="I305" s="33"/>
    </row>
    <row r="306" spans="1:20" s="34" customFormat="1" ht="15.75" hidden="1" customHeight="1" x14ac:dyDescent="0.35">
      <c r="A306" s="90" t="str">
        <f ca="1">(SUMPRODUCT(MID(0&amp;(LEFT(A305,SUM(LEN(A305)-LEN(SUBSTITUTE(A305,{"0","1","2"},""))))), LARGE(INDEX(ISNUMBER(--MID((LEFT(A305,SUM(LEN(A305)-LEN(SUBSTITUTE(A305,{"0","1","2"},""))))), ROW(INDIRECT("1:"&amp;LEN((LEFT(A305,SUM(LEN(A305)-LEN(SUBSTITUTE(A305,{"0","1","2"},"")))))))), 1)) * ROW(INDIRECT("1:"&amp;LEN((LEFT(A305,SUM(LEN(A305)-LEN(SUBSTITUTE(A305,{"0","1","2"},"")))))))), 0), ROW(INDIRECT("1:"&amp;LEN((LEFT(A305,SUM(LEN(A305)-LEN(SUBSTITUTE(A305,{"0","1","2"},"")))))))))+1, 1) * 10^ROW(INDIRECT("1:"&amp;LEN((LEFT(A305,SUM(LEN(A305)-LEN(SUBSTITUTE(A305,{"0","1","2"},""))))))))/10))*1+1&amp;""&amp;" &amp; "&amp;""&amp;(SUMPRODUCT(MID(0&amp;(--TRIM(RIGHT(SUBSTITUTE(LEFT(A305,_xlfn.AGGREGATE(16,6,FIND({0,1,2,3,4,5,6,7,8,9},A305,ROW(INDIRECT("1:"&amp;LEN(A305)))),1))," ",REPT(" ",LEN(A305))),LEN(A305)))), LARGE(INDEX(ISNUMBER(--MID((--TRIM(RIGHT(SUBSTITUTE(LEFT(A305,_xlfn.AGGREGATE(16,6,FIND({0,1,2,3,4,5,6,7,8,9},A305,ROW(INDIRECT("1:"&amp;LEN(A305)))),1))," ",REPT(" ",LEN(A305))),LEN(A305)))), ROW(INDIRECT("1:"&amp;LEN((--TRIM(RIGHT(SUBSTITUTE(LEFT(A305,_xlfn.AGGREGATE(16,6,FIND({0,1,2,3,4,5,6,7,8,9},A305,ROW(INDIRECT("1:"&amp;LEN(A305)))),1))," ",REPT(" ",LEN(A305))),LEN(A305))))))), 1)) * ROW(INDIRECT("1:"&amp;LEN((--TRIM(RIGHT(SUBSTITUTE(LEFT(A305,_xlfn.AGGREGATE(16,6,FIND({0,1,2,3,4,5,6,7,8,9},A305,ROW(INDIRECT("1:"&amp;LEN(A305)))),1))," ",REPT(" ",LEN(A305))),LEN(A305))))))), 0), ROW(INDIRECT("1:"&amp;LEN((--TRIM(RIGHT(SUBSTITUTE(LEFT(A305,_xlfn.AGGREGATE(16,6,FIND({0,1,2,3,4,5,6,7,8,9},A305,ROW(INDIRECT("1:"&amp;LEN(A305)))),1))," ",REPT(" ",LEN(A305))),LEN(A305))))))))+1, 1) * 10^ROW(INDIRECT("1:"&amp;LEN((--TRIM(RIGHT(SUBSTITUTE(LEFT(A305,_xlfn.AGGREGATE(16,6,FIND({0,1,2,3,4,5,6,7,8,9},A305,ROW(INDIRECT("1:"&amp;LEN(A305)))),1))," ",REPT(" ",LEN(A305))),LEN(A305)))))))/10))*1+1</f>
        <v>204 &amp; 504</v>
      </c>
      <c r="B306" s="91"/>
      <c r="C306" s="39"/>
      <c r="D306" s="39"/>
      <c r="E306" s="39">
        <v>0</v>
      </c>
      <c r="F306" s="39">
        <f>D306+E306</f>
        <v>0</v>
      </c>
      <c r="G306" s="39">
        <v>0</v>
      </c>
      <c r="H306" s="39">
        <f>F306*(($H$171)+1)+(IF(G306&lt;101,G306,IF(G306&lt;201,G306/2,IF(G306&lt;=301,G306/3,G306/4))))</f>
        <v>0</v>
      </c>
      <c r="I306" s="33"/>
    </row>
    <row r="307" spans="1:20" s="34" customFormat="1" ht="15.75" hidden="1" customHeight="1" x14ac:dyDescent="0.35">
      <c r="A307" s="90" t="str">
        <f ca="1">(SUMPRODUCT(MID(0&amp;(LEFT(A306,SUM(LEN(A306)-LEN(SUBSTITUTE(A306,{"0","1","2"},""))))), LARGE(INDEX(ISNUMBER(--MID((LEFT(A306,SUM(LEN(A306)-LEN(SUBSTITUTE(A306,{"0","1","2"},""))))), ROW(INDIRECT("1:"&amp;LEN((LEFT(A306,SUM(LEN(A306)-LEN(SUBSTITUTE(A306,{"0","1","2"},"")))))))), 1)) * ROW(INDIRECT("1:"&amp;LEN((LEFT(A306,SUM(LEN(A306)-LEN(SUBSTITUTE(A306,{"0","1","2"},"")))))))), 0), ROW(INDIRECT("1:"&amp;LEN((LEFT(A306,SUM(LEN(A306)-LEN(SUBSTITUTE(A306,{"0","1","2"},"")))))))))+1, 1) * 10^ROW(INDIRECT("1:"&amp;LEN((LEFT(A306,SUM(LEN(A306)-LEN(SUBSTITUTE(A306,{"0","1","2"},""))))))))/10))*1+1&amp;""&amp;" &amp; "&amp;""&amp;(SUMPRODUCT(MID(0&amp;(--TRIM(RIGHT(SUBSTITUTE(LEFT(A306,_xlfn.AGGREGATE(16,6,FIND({0,1,2,3,4,5,6,7,8,9},A306,ROW(INDIRECT("1:"&amp;LEN(A306)))),1))," ",REPT(" ",LEN(A306))),LEN(A306)))), LARGE(INDEX(ISNUMBER(--MID((--TRIM(RIGHT(SUBSTITUTE(LEFT(A306,_xlfn.AGGREGATE(16,6,FIND({0,1,2,3,4,5,6,7,8,9},A306,ROW(INDIRECT("1:"&amp;LEN(A306)))),1))," ",REPT(" ",LEN(A306))),LEN(A306)))), ROW(INDIRECT("1:"&amp;LEN((--TRIM(RIGHT(SUBSTITUTE(LEFT(A306,_xlfn.AGGREGATE(16,6,FIND({0,1,2,3,4,5,6,7,8,9},A306,ROW(INDIRECT("1:"&amp;LEN(A306)))),1))," ",REPT(" ",LEN(A306))),LEN(A306))))))), 1)) * ROW(INDIRECT("1:"&amp;LEN((--TRIM(RIGHT(SUBSTITUTE(LEFT(A306,_xlfn.AGGREGATE(16,6,FIND({0,1,2,3,4,5,6,7,8,9},A306,ROW(INDIRECT("1:"&amp;LEN(A306)))),1))," ",REPT(" ",LEN(A306))),LEN(A306))))))), 0), ROW(INDIRECT("1:"&amp;LEN((--TRIM(RIGHT(SUBSTITUTE(LEFT(A306,_xlfn.AGGREGATE(16,6,FIND({0,1,2,3,4,5,6,7,8,9},A306,ROW(INDIRECT("1:"&amp;LEN(A306)))),1))," ",REPT(" ",LEN(A306))),LEN(A306))))))))+1, 1) * 10^ROW(INDIRECT("1:"&amp;LEN((--TRIM(RIGHT(SUBSTITUTE(LEFT(A306,_xlfn.AGGREGATE(16,6,FIND({0,1,2,3,4,5,6,7,8,9},A306,ROW(INDIRECT("1:"&amp;LEN(A306)))),1))," ",REPT(" ",LEN(A306))),LEN(A306)))))))/10))*1+1</f>
        <v>205 &amp; 505</v>
      </c>
      <c r="B307" s="91"/>
      <c r="C307" s="39"/>
      <c r="D307" s="39"/>
      <c r="E307" s="39">
        <v>0</v>
      </c>
      <c r="F307" s="39">
        <f>D307+E307</f>
        <v>0</v>
      </c>
      <c r="G307" s="39">
        <v>0</v>
      </c>
      <c r="H307" s="39">
        <f>F307*(($H$171)+1)+(IF(G307&lt;101,G307,IF(G307&lt;201,G307/2,IF(G307&lt;=301,G307/3,G307/4))))</f>
        <v>0</v>
      </c>
      <c r="I307" s="33"/>
    </row>
    <row r="308" spans="1:20" s="32" customFormat="1" x14ac:dyDescent="0.35">
      <c r="A308" s="194" t="s">
        <v>63</v>
      </c>
      <c r="B308" s="194"/>
      <c r="C308" s="194"/>
      <c r="D308" s="194"/>
      <c r="E308" s="194"/>
      <c r="F308" s="194"/>
      <c r="G308" s="194"/>
      <c r="H308" s="194"/>
      <c r="T308" s="34"/>
    </row>
    <row r="309" spans="1:20" s="32" customFormat="1" x14ac:dyDescent="0.35">
      <c r="A309" s="40" t="s">
        <v>152</v>
      </c>
      <c r="B309" s="95" t="s">
        <v>423</v>
      </c>
      <c r="C309" s="96"/>
      <c r="D309" s="96"/>
      <c r="E309" s="96"/>
      <c r="F309" s="96"/>
      <c r="G309" s="96"/>
      <c r="H309" s="97"/>
      <c r="T309" s="34"/>
    </row>
    <row r="310" spans="1:20" s="32" customFormat="1" x14ac:dyDescent="0.35">
      <c r="A310" s="40" t="s">
        <v>152</v>
      </c>
      <c r="B310" s="115" t="str">
        <f>(IF(H170="Saleable area Loading :","We have considered Saleable area of Flats as per our Calculation.","We considered Saleable area of Flat as per Builder area Sheet."))</f>
        <v>We have considered Saleable area of Flats as per our Calculation.</v>
      </c>
      <c r="C310" s="116"/>
      <c r="D310" s="116"/>
      <c r="E310" s="116"/>
      <c r="F310" s="116"/>
      <c r="G310" s="116"/>
      <c r="H310" s="117"/>
      <c r="T310" s="34"/>
    </row>
    <row r="311" spans="1:20" s="32" customFormat="1" hidden="1" x14ac:dyDescent="0.35">
      <c r="A311" s="40" t="s">
        <v>152</v>
      </c>
      <c r="B311" s="115" t="str">
        <f>(IF(H162="Saleable area Loading :","We have considered Saleable area of Commercial as per our Calculation.","We considered Saleable area of Commercial as per Builder area Sheet."))</f>
        <v>We have considered Saleable area of Commercial as per our Calculation.</v>
      </c>
      <c r="C311" s="116"/>
      <c r="D311" s="116"/>
      <c r="E311" s="116"/>
      <c r="F311" s="116"/>
      <c r="G311" s="116"/>
      <c r="H311" s="117"/>
      <c r="T311" s="34"/>
    </row>
    <row r="312" spans="1:20" s="32" customFormat="1" x14ac:dyDescent="0.35">
      <c r="A312" s="40" t="s">
        <v>152</v>
      </c>
      <c r="B312" s="187" t="s">
        <v>119</v>
      </c>
      <c r="C312" s="188"/>
      <c r="D312" s="188"/>
      <c r="E312" s="188"/>
      <c r="F312" s="188"/>
      <c r="G312" s="188"/>
      <c r="H312" s="189"/>
      <c r="T312" s="34"/>
    </row>
    <row r="313" spans="1:20" s="32" customFormat="1" x14ac:dyDescent="0.35">
      <c r="A313" s="40" t="s">
        <v>152</v>
      </c>
      <c r="B313" s="187" t="s">
        <v>396</v>
      </c>
      <c r="C313" s="188"/>
      <c r="D313" s="188"/>
      <c r="E313" s="188"/>
      <c r="F313" s="188"/>
      <c r="G313" s="188"/>
      <c r="H313" s="189"/>
      <c r="T313" s="34"/>
    </row>
    <row r="314" spans="1:20" s="32" customFormat="1" x14ac:dyDescent="0.35">
      <c r="A314" s="40" t="s">
        <v>152</v>
      </c>
      <c r="B314" s="187" t="s">
        <v>151</v>
      </c>
      <c r="C314" s="188"/>
      <c r="D314" s="188"/>
      <c r="E314" s="188"/>
      <c r="F314" s="188"/>
      <c r="G314" s="188"/>
      <c r="H314" s="189"/>
    </row>
    <row r="315" spans="1:20" s="32" customFormat="1" x14ac:dyDescent="0.35">
      <c r="A315" s="40" t="s">
        <v>152</v>
      </c>
      <c r="B315" s="187" t="s">
        <v>120</v>
      </c>
      <c r="C315" s="188"/>
      <c r="D315" s="188"/>
      <c r="E315" s="188"/>
      <c r="F315" s="188"/>
      <c r="G315" s="188"/>
      <c r="H315" s="189"/>
    </row>
    <row r="316" spans="1:20" s="32" customFormat="1" ht="34.5" customHeight="1" x14ac:dyDescent="0.35">
      <c r="A316" s="40" t="s">
        <v>152</v>
      </c>
      <c r="B316" s="187" t="s">
        <v>153</v>
      </c>
      <c r="C316" s="188"/>
      <c r="D316" s="188"/>
      <c r="E316" s="188"/>
      <c r="F316" s="188"/>
      <c r="G316" s="188"/>
      <c r="H316" s="189"/>
    </row>
    <row r="317" spans="1:20" s="32" customFormat="1" x14ac:dyDescent="0.35">
      <c r="A317" s="40" t="s">
        <v>152</v>
      </c>
      <c r="B317" s="187" t="s">
        <v>121</v>
      </c>
      <c r="C317" s="188"/>
      <c r="D317" s="188"/>
      <c r="E317" s="188"/>
      <c r="F317" s="188"/>
      <c r="G317" s="188"/>
      <c r="H317" s="189"/>
    </row>
    <row r="318" spans="1:20" s="32" customFormat="1" ht="32.25" customHeight="1" x14ac:dyDescent="0.35">
      <c r="A318" s="40" t="s">
        <v>152</v>
      </c>
      <c r="B318" s="95" t="s">
        <v>177</v>
      </c>
      <c r="C318" s="96"/>
      <c r="D318" s="96"/>
      <c r="E318" s="96"/>
      <c r="F318" s="96"/>
      <c r="G318" s="96"/>
      <c r="H318" s="97"/>
    </row>
    <row r="319" spans="1:20" s="32" customFormat="1" ht="31.5" customHeight="1" x14ac:dyDescent="0.35">
      <c r="A319" s="40" t="s">
        <v>152</v>
      </c>
      <c r="B319" s="95" t="s">
        <v>403</v>
      </c>
      <c r="C319" s="96"/>
      <c r="D319" s="96"/>
      <c r="E319" s="96"/>
      <c r="F319" s="96"/>
      <c r="G319" s="96"/>
      <c r="H319" s="97"/>
    </row>
    <row r="320" spans="1:20" s="32" customFormat="1" hidden="1" x14ac:dyDescent="0.35">
      <c r="A320" s="40" t="s">
        <v>152</v>
      </c>
      <c r="B320" s="105" t="s">
        <v>233</v>
      </c>
      <c r="C320" s="106"/>
      <c r="D320" s="106"/>
      <c r="E320" s="106"/>
      <c r="F320" s="106"/>
      <c r="G320" s="106"/>
      <c r="H320" s="107"/>
    </row>
    <row r="321" spans="1:20" s="32" customFormat="1" x14ac:dyDescent="0.35">
      <c r="A321" s="40" t="s">
        <v>152</v>
      </c>
      <c r="B321" s="95" t="s">
        <v>414</v>
      </c>
      <c r="C321" s="96"/>
      <c r="D321" s="96"/>
      <c r="E321" s="96"/>
      <c r="F321" s="96"/>
      <c r="G321" s="96"/>
      <c r="H321" s="97"/>
    </row>
    <row r="322" spans="1:20" s="32" customFormat="1" x14ac:dyDescent="0.35">
      <c r="A322" s="40" t="s">
        <v>152</v>
      </c>
      <c r="B322" s="95" t="s">
        <v>428</v>
      </c>
      <c r="C322" s="96"/>
      <c r="D322" s="96"/>
      <c r="E322" s="96"/>
      <c r="F322" s="96"/>
      <c r="G322" s="96"/>
      <c r="H322" s="97"/>
    </row>
    <row r="323" spans="1:20" s="32" customFormat="1" ht="31" customHeight="1" x14ac:dyDescent="0.35">
      <c r="A323" s="83" t="s">
        <v>152</v>
      </c>
      <c r="B323" s="95" t="s">
        <v>441</v>
      </c>
      <c r="C323" s="96"/>
      <c r="D323" s="96"/>
      <c r="E323" s="96"/>
      <c r="F323" s="96"/>
      <c r="G323" s="96"/>
      <c r="H323" s="97"/>
    </row>
    <row r="324" spans="1:20" x14ac:dyDescent="0.35">
      <c r="A324" s="186" t="s">
        <v>56</v>
      </c>
      <c r="B324" s="186"/>
      <c r="C324" s="186"/>
      <c r="D324" s="186"/>
      <c r="E324" s="186"/>
      <c r="F324" s="186"/>
      <c r="G324" s="186"/>
      <c r="H324" s="186"/>
      <c r="T324" s="32"/>
    </row>
    <row r="325" spans="1:20" x14ac:dyDescent="0.35">
      <c r="A325" s="93" t="s">
        <v>57</v>
      </c>
      <c r="B325" s="93"/>
      <c r="C325" s="93"/>
      <c r="D325" s="93"/>
      <c r="E325" s="93"/>
      <c r="F325" s="93"/>
      <c r="G325" s="93"/>
      <c r="H325" s="93"/>
      <c r="T325" s="32"/>
    </row>
    <row r="326" spans="1:20" ht="15.75" customHeight="1" x14ac:dyDescent="0.35">
      <c r="A326" s="185" t="s">
        <v>58</v>
      </c>
      <c r="B326" s="185"/>
      <c r="C326" s="185"/>
      <c r="D326" s="185"/>
      <c r="E326" s="185"/>
      <c r="F326" s="185"/>
      <c r="G326" s="185"/>
      <c r="H326" s="185"/>
      <c r="T326" s="32"/>
    </row>
    <row r="327" spans="1:20" x14ac:dyDescent="0.35">
      <c r="A327" s="93" t="s">
        <v>59</v>
      </c>
      <c r="B327" s="93"/>
      <c r="C327" s="93"/>
      <c r="D327" s="93"/>
      <c r="E327" s="93"/>
      <c r="F327" s="93"/>
      <c r="G327" s="93"/>
      <c r="H327" s="93"/>
      <c r="T327" s="32"/>
    </row>
    <row r="328" spans="1:20" x14ac:dyDescent="0.35">
      <c r="A328" s="93" t="s">
        <v>60</v>
      </c>
      <c r="B328" s="93"/>
      <c r="C328" s="93"/>
      <c r="D328" s="93"/>
      <c r="E328" s="93"/>
      <c r="F328" s="93"/>
      <c r="G328" s="93"/>
      <c r="H328" s="93"/>
      <c r="T328" s="32"/>
    </row>
    <row r="329" spans="1:20" x14ac:dyDescent="0.35">
      <c r="A329" s="93" t="s">
        <v>122</v>
      </c>
      <c r="B329" s="93"/>
      <c r="C329" s="93"/>
      <c r="D329" s="93"/>
      <c r="E329" s="93"/>
      <c r="F329" s="93"/>
      <c r="G329" s="93"/>
      <c r="H329" s="93"/>
      <c r="T329" s="32"/>
    </row>
    <row r="330" spans="1:20" ht="34" customHeight="1" x14ac:dyDescent="0.35">
      <c r="A330" s="155" t="s">
        <v>123</v>
      </c>
      <c r="B330" s="155"/>
      <c r="C330" s="155"/>
      <c r="D330" s="155"/>
      <c r="E330" s="155"/>
      <c r="F330" s="155"/>
      <c r="G330" s="155"/>
      <c r="H330" s="155"/>
    </row>
    <row r="331" spans="1:20" x14ac:dyDescent="0.35">
      <c r="A331" s="179" t="s">
        <v>72</v>
      </c>
      <c r="B331" s="179"/>
      <c r="C331" s="179" t="s">
        <v>399</v>
      </c>
      <c r="D331" s="179"/>
      <c r="E331" s="179" t="s">
        <v>101</v>
      </c>
      <c r="F331" s="179"/>
      <c r="G331" s="180" t="s">
        <v>422</v>
      </c>
      <c r="H331" s="180"/>
    </row>
    <row r="332" spans="1:20" x14ac:dyDescent="0.35">
      <c r="A332" s="178" t="s">
        <v>74</v>
      </c>
      <c r="B332" s="178"/>
      <c r="C332" s="178"/>
      <c r="D332" s="178"/>
      <c r="E332" s="178"/>
      <c r="F332" s="178"/>
      <c r="G332" s="178"/>
      <c r="H332" s="178"/>
    </row>
    <row r="333" spans="1:20" x14ac:dyDescent="0.35">
      <c r="A333" s="178"/>
      <c r="B333" s="178"/>
      <c r="C333" s="178"/>
      <c r="D333" s="178"/>
      <c r="E333" s="178"/>
      <c r="F333" s="178"/>
      <c r="G333" s="178"/>
      <c r="H333" s="178"/>
    </row>
    <row r="334" spans="1:20" x14ac:dyDescent="0.35">
      <c r="A334" s="178"/>
      <c r="B334" s="178"/>
      <c r="C334" s="178"/>
      <c r="D334" s="178"/>
      <c r="E334" s="178"/>
      <c r="F334" s="178"/>
      <c r="G334" s="178"/>
      <c r="H334" s="178"/>
    </row>
    <row r="335" spans="1:20" x14ac:dyDescent="0.35">
      <c r="A335" s="178"/>
      <c r="B335" s="178"/>
      <c r="C335" s="178"/>
      <c r="D335" s="178"/>
      <c r="E335" s="178"/>
      <c r="F335" s="178"/>
      <c r="G335" s="178"/>
      <c r="H335" s="178"/>
    </row>
    <row r="336" spans="1:20" x14ac:dyDescent="0.35">
      <c r="A336" s="35" t="s">
        <v>61</v>
      </c>
      <c r="B336" s="36"/>
      <c r="C336" s="36"/>
      <c r="D336" s="35" t="str">
        <f>E9</f>
        <v>Arkade Pearl 1 and 2</v>
      </c>
      <c r="F336" s="36"/>
      <c r="G336" s="36"/>
      <c r="H336" s="36"/>
    </row>
    <row r="337" spans="1:8" x14ac:dyDescent="0.35">
      <c r="A337" s="36"/>
      <c r="B337" s="36"/>
      <c r="C337" s="36"/>
      <c r="D337" s="36"/>
      <c r="E337" s="36"/>
      <c r="F337" s="36"/>
      <c r="G337" s="36"/>
      <c r="H337" s="36"/>
    </row>
    <row r="338" spans="1:8" x14ac:dyDescent="0.35">
      <c r="A338" s="36"/>
      <c r="B338" s="36"/>
      <c r="C338" s="36"/>
      <c r="D338" s="36"/>
      <c r="E338" s="36"/>
      <c r="F338" s="36"/>
      <c r="G338" s="36"/>
      <c r="H338" s="36"/>
    </row>
    <row r="339" spans="1:8" ht="15" customHeight="1" x14ac:dyDescent="0.35"/>
    <row r="379" spans="1:1" x14ac:dyDescent="0.35">
      <c r="A379" s="38" t="s">
        <v>162</v>
      </c>
    </row>
    <row r="421" spans="1:1" x14ac:dyDescent="0.35">
      <c r="A421" s="38" t="s">
        <v>62</v>
      </c>
    </row>
  </sheetData>
  <mergeCells count="579">
    <mergeCell ref="A296:H296"/>
    <mergeCell ref="A290:H290"/>
    <mergeCell ref="A305:B305"/>
    <mergeCell ref="A302:H302"/>
    <mergeCell ref="A73:C73"/>
    <mergeCell ref="D74:H74"/>
    <mergeCell ref="A89:B89"/>
    <mergeCell ref="A84:B84"/>
    <mergeCell ref="A81:B81"/>
    <mergeCell ref="A83:B83"/>
    <mergeCell ref="E79:F79"/>
    <mergeCell ref="A86:B86"/>
    <mergeCell ref="A148:B148"/>
    <mergeCell ref="A150:B150"/>
    <mergeCell ref="C153:D153"/>
    <mergeCell ref="A268:B268"/>
    <mergeCell ref="A278:B278"/>
    <mergeCell ref="A186:H186"/>
    <mergeCell ref="A187:B187"/>
    <mergeCell ref="A231:B231"/>
    <mergeCell ref="A241:B241"/>
    <mergeCell ref="A85:B85"/>
    <mergeCell ref="D75:H75"/>
    <mergeCell ref="A74:C74"/>
    <mergeCell ref="B321:H321"/>
    <mergeCell ref="C52:E52"/>
    <mergeCell ref="G52:H52"/>
    <mergeCell ref="A103:B103"/>
    <mergeCell ref="F141:H141"/>
    <mergeCell ref="C148:D148"/>
    <mergeCell ref="C158:D158"/>
    <mergeCell ref="A204:H204"/>
    <mergeCell ref="A294:B294"/>
    <mergeCell ref="B313:H313"/>
    <mergeCell ref="A303:B303"/>
    <mergeCell ref="A174:H174"/>
    <mergeCell ref="A304:B304"/>
    <mergeCell ref="A307:B307"/>
    <mergeCell ref="A306:B306"/>
    <mergeCell ref="B309:H309"/>
    <mergeCell ref="B310:H310"/>
    <mergeCell ref="A301:B301"/>
    <mergeCell ref="A292:B292"/>
    <mergeCell ref="A161:H161"/>
    <mergeCell ref="G148:H148"/>
    <mergeCell ref="A143:E143"/>
    <mergeCell ref="A166:B166"/>
    <mergeCell ref="A197:B197"/>
    <mergeCell ref="D67:H67"/>
    <mergeCell ref="D65:H65"/>
    <mergeCell ref="A151:B151"/>
    <mergeCell ref="C151:D151"/>
    <mergeCell ref="E151:F151"/>
    <mergeCell ref="G151:H151"/>
    <mergeCell ref="D66:H66"/>
    <mergeCell ref="A61:H61"/>
    <mergeCell ref="A62:C62"/>
    <mergeCell ref="A63:C63"/>
    <mergeCell ref="F138:H138"/>
    <mergeCell ref="A140:E140"/>
    <mergeCell ref="A78:B78"/>
    <mergeCell ref="A76:B76"/>
    <mergeCell ref="C76:H76"/>
    <mergeCell ref="A71:C71"/>
    <mergeCell ref="D71:H71"/>
    <mergeCell ref="C78:H78"/>
    <mergeCell ref="A72:C72"/>
    <mergeCell ref="D72:H72"/>
    <mergeCell ref="A80:B80"/>
    <mergeCell ref="G79:H79"/>
    <mergeCell ref="A88:B88"/>
    <mergeCell ref="A75:C75"/>
    <mergeCell ref="I15:P15"/>
    <mergeCell ref="F144:H144"/>
    <mergeCell ref="F142:H142"/>
    <mergeCell ref="A54:B55"/>
    <mergeCell ref="C54:E54"/>
    <mergeCell ref="G54:H54"/>
    <mergeCell ref="A56:B57"/>
    <mergeCell ref="C56:E56"/>
    <mergeCell ref="E43:H43"/>
    <mergeCell ref="A43:D43"/>
    <mergeCell ref="A50:B50"/>
    <mergeCell ref="A138:E138"/>
    <mergeCell ref="A144:E144"/>
    <mergeCell ref="A60:B60"/>
    <mergeCell ref="C60:E60"/>
    <mergeCell ref="D62:H62"/>
    <mergeCell ref="F143:H143"/>
    <mergeCell ref="C53:H53"/>
    <mergeCell ref="E20:F20"/>
    <mergeCell ref="G20:H20"/>
    <mergeCell ref="A21:B21"/>
    <mergeCell ref="C21:D21"/>
    <mergeCell ref="E21:F21"/>
    <mergeCell ref="G21:H21"/>
    <mergeCell ref="B318:H318"/>
    <mergeCell ref="A159:B159"/>
    <mergeCell ref="C159:D159"/>
    <mergeCell ref="E159:F159"/>
    <mergeCell ref="B317:H317"/>
    <mergeCell ref="B315:H315"/>
    <mergeCell ref="A265:B265"/>
    <mergeCell ref="A196:H196"/>
    <mergeCell ref="B312:H312"/>
    <mergeCell ref="A189:B189"/>
    <mergeCell ref="A176:H176"/>
    <mergeCell ref="A177:B177"/>
    <mergeCell ref="A232:H232"/>
    <mergeCell ref="A233:B233"/>
    <mergeCell ref="A236:B236"/>
    <mergeCell ref="A242:H242"/>
    <mergeCell ref="A243:B243"/>
    <mergeCell ref="A175:H175"/>
    <mergeCell ref="A173:H173"/>
    <mergeCell ref="A274:H274"/>
    <mergeCell ref="A275:B275"/>
    <mergeCell ref="A218:B218"/>
    <mergeCell ref="A308:H308"/>
    <mergeCell ref="A300:B300"/>
    <mergeCell ref="A329:H329"/>
    <mergeCell ref="A326:H326"/>
    <mergeCell ref="A285:B285"/>
    <mergeCell ref="D170:D171"/>
    <mergeCell ref="E170:E171"/>
    <mergeCell ref="A324:H324"/>
    <mergeCell ref="B314:H314"/>
    <mergeCell ref="A299:B299"/>
    <mergeCell ref="A288:B288"/>
    <mergeCell ref="A295:B295"/>
    <mergeCell ref="B319:H319"/>
    <mergeCell ref="A201:H201"/>
    <mergeCell ref="A172:H172"/>
    <mergeCell ref="A227:H227"/>
    <mergeCell ref="A228:B228"/>
    <mergeCell ref="A208:H208"/>
    <mergeCell ref="A209:B209"/>
    <mergeCell ref="A215:B215"/>
    <mergeCell ref="B316:H316"/>
    <mergeCell ref="A224:H224"/>
    <mergeCell ref="A203:H203"/>
    <mergeCell ref="A258:H258"/>
    <mergeCell ref="A259:H259"/>
    <mergeCell ref="A260:B260"/>
    <mergeCell ref="A332:H335"/>
    <mergeCell ref="A331:B331"/>
    <mergeCell ref="E331:F331"/>
    <mergeCell ref="C331:D331"/>
    <mergeCell ref="G331:H331"/>
    <mergeCell ref="A147:H147"/>
    <mergeCell ref="A145:E145"/>
    <mergeCell ref="F145:H145"/>
    <mergeCell ref="A146:E146"/>
    <mergeCell ref="F146:H146"/>
    <mergeCell ref="A284:H284"/>
    <mergeCell ref="A155:B155"/>
    <mergeCell ref="A293:B293"/>
    <mergeCell ref="A149:B149"/>
    <mergeCell ref="A327:H327"/>
    <mergeCell ref="A152:H152"/>
    <mergeCell ref="A330:H330"/>
    <mergeCell ref="A328:H328"/>
    <mergeCell ref="A325:H325"/>
    <mergeCell ref="A205:B205"/>
    <mergeCell ref="A168:B168"/>
    <mergeCell ref="A167:B167"/>
    <mergeCell ref="A169:H169"/>
    <mergeCell ref="E153:F153"/>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D68:H68"/>
    <mergeCell ref="A65:C68"/>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8:H38"/>
    <mergeCell ref="A44:D44"/>
    <mergeCell ref="E44:H44"/>
    <mergeCell ref="E45:H45"/>
    <mergeCell ref="E46:H46"/>
    <mergeCell ref="E47:H47"/>
    <mergeCell ref="C57:H57"/>
    <mergeCell ref="A48:H48"/>
    <mergeCell ref="D64:H64"/>
    <mergeCell ref="A64:C64"/>
    <mergeCell ref="A45:D45"/>
    <mergeCell ref="A49:B49"/>
    <mergeCell ref="C49:H49"/>
    <mergeCell ref="A52:B53"/>
    <mergeCell ref="C59:E59"/>
    <mergeCell ref="G59:H59"/>
    <mergeCell ref="A47:D47"/>
    <mergeCell ref="D73:H73"/>
    <mergeCell ref="D63:H63"/>
    <mergeCell ref="G60:H60"/>
    <mergeCell ref="A37:B37"/>
    <mergeCell ref="C37:E37"/>
    <mergeCell ref="A42:D42"/>
    <mergeCell ref="E42:H42"/>
    <mergeCell ref="A41:H41"/>
    <mergeCell ref="A69:C69"/>
    <mergeCell ref="A70:C70"/>
    <mergeCell ref="D69:H69"/>
    <mergeCell ref="F37:H37"/>
    <mergeCell ref="C51:E51"/>
    <mergeCell ref="C50:E50"/>
    <mergeCell ref="G50:H50"/>
    <mergeCell ref="A51:B51"/>
    <mergeCell ref="G56:H56"/>
    <mergeCell ref="A58:B59"/>
    <mergeCell ref="C58:E58"/>
    <mergeCell ref="G58:H58"/>
    <mergeCell ref="G51:H51"/>
    <mergeCell ref="A39:B39"/>
    <mergeCell ref="C39:H39"/>
    <mergeCell ref="A46:D46"/>
    <mergeCell ref="D70:H70"/>
    <mergeCell ref="L166:M166"/>
    <mergeCell ref="L165:M165"/>
    <mergeCell ref="A87:B87"/>
    <mergeCell ref="C155:D155"/>
    <mergeCell ref="E155:F155"/>
    <mergeCell ref="G155:H155"/>
    <mergeCell ref="A133:E133"/>
    <mergeCell ref="A90:B90"/>
    <mergeCell ref="C90:H90"/>
    <mergeCell ref="A164:H164"/>
    <mergeCell ref="E162:E163"/>
    <mergeCell ref="A94:B94"/>
    <mergeCell ref="C92:H92"/>
    <mergeCell ref="A95:B95"/>
    <mergeCell ref="A96:B96"/>
    <mergeCell ref="G94:H103"/>
    <mergeCell ref="A97:B97"/>
    <mergeCell ref="F134:H134"/>
    <mergeCell ref="A134:E134"/>
    <mergeCell ref="D162:D163"/>
    <mergeCell ref="A136:E136"/>
    <mergeCell ref="A99:B99"/>
    <mergeCell ref="A101:B101"/>
    <mergeCell ref="A102:B102"/>
    <mergeCell ref="L284:M284"/>
    <mergeCell ref="A289:B289"/>
    <mergeCell ref="A286:B286"/>
    <mergeCell ref="A287:B287"/>
    <mergeCell ref="A297:B297"/>
    <mergeCell ref="A40:B40"/>
    <mergeCell ref="C40:H40"/>
    <mergeCell ref="F162:F163"/>
    <mergeCell ref="C149:D149"/>
    <mergeCell ref="E149:F149"/>
    <mergeCell ref="B162:B163"/>
    <mergeCell ref="A162:A163"/>
    <mergeCell ref="C170:C171"/>
    <mergeCell ref="G170:G171"/>
    <mergeCell ref="L205:M205"/>
    <mergeCell ref="A206:B206"/>
    <mergeCell ref="G159:H159"/>
    <mergeCell ref="L206:M206"/>
    <mergeCell ref="A207:B207"/>
    <mergeCell ref="L207:M207"/>
    <mergeCell ref="C55:H55"/>
    <mergeCell ref="A79:B79"/>
    <mergeCell ref="L168:M168"/>
    <mergeCell ref="L167:M167"/>
    <mergeCell ref="F140:H140"/>
    <mergeCell ref="A142:E142"/>
    <mergeCell ref="A141:E141"/>
    <mergeCell ref="A160:H160"/>
    <mergeCell ref="A157:B157"/>
    <mergeCell ref="C157:D157"/>
    <mergeCell ref="E157:F157"/>
    <mergeCell ref="G157:H157"/>
    <mergeCell ref="A154:B154"/>
    <mergeCell ref="C154:D154"/>
    <mergeCell ref="E154:F154"/>
    <mergeCell ref="G154:H154"/>
    <mergeCell ref="G153:H153"/>
    <mergeCell ref="A156:B156"/>
    <mergeCell ref="C156:D156"/>
    <mergeCell ref="E156:F156"/>
    <mergeCell ref="G156:H156"/>
    <mergeCell ref="A158:B158"/>
    <mergeCell ref="E158:F158"/>
    <mergeCell ref="G158:H158"/>
    <mergeCell ref="C150:D150"/>
    <mergeCell ref="E150:F150"/>
    <mergeCell ref="G150:H150"/>
    <mergeCell ref="E148:F148"/>
    <mergeCell ref="A116:B116"/>
    <mergeCell ref="A92:B92"/>
    <mergeCell ref="G162:G163"/>
    <mergeCell ref="A298:B298"/>
    <mergeCell ref="A82:B82"/>
    <mergeCell ref="E80:F89"/>
    <mergeCell ref="G80:H89"/>
    <mergeCell ref="A135:E135"/>
    <mergeCell ref="A132:E132"/>
    <mergeCell ref="F136:H136"/>
    <mergeCell ref="G93:H93"/>
    <mergeCell ref="F132:H132"/>
    <mergeCell ref="F135:H135"/>
    <mergeCell ref="A170:A171"/>
    <mergeCell ref="F170:F171"/>
    <mergeCell ref="A291:B291"/>
    <mergeCell ref="A165:B165"/>
    <mergeCell ref="A153:B153"/>
    <mergeCell ref="A98:B98"/>
    <mergeCell ref="A100:B100"/>
    <mergeCell ref="F133:H133"/>
    <mergeCell ref="G149:H149"/>
    <mergeCell ref="A202:H202"/>
    <mergeCell ref="A225:H225"/>
    <mergeCell ref="A117:B117"/>
    <mergeCell ref="C162:C163"/>
    <mergeCell ref="B170:B171"/>
    <mergeCell ref="B311:H311"/>
    <mergeCell ref="A93:B93"/>
    <mergeCell ref="E93:F93"/>
    <mergeCell ref="E94:F103"/>
    <mergeCell ref="A104:B104"/>
    <mergeCell ref="C104:H104"/>
    <mergeCell ref="A106:B106"/>
    <mergeCell ref="C106:H106"/>
    <mergeCell ref="A107:B107"/>
    <mergeCell ref="E107:F107"/>
    <mergeCell ref="G107:H107"/>
    <mergeCell ref="A108:B108"/>
    <mergeCell ref="E108:F117"/>
    <mergeCell ref="G108:H117"/>
    <mergeCell ref="A109:B109"/>
    <mergeCell ref="A110:B110"/>
    <mergeCell ref="A111:B111"/>
    <mergeCell ref="A112:B112"/>
    <mergeCell ref="A113:B113"/>
    <mergeCell ref="A114:B114"/>
    <mergeCell ref="A115:B115"/>
    <mergeCell ref="A277:B277"/>
    <mergeCell ref="L215:M215"/>
    <mergeCell ref="A220:H220"/>
    <mergeCell ref="A221:B221"/>
    <mergeCell ref="L221:M221"/>
    <mergeCell ref="A222:B222"/>
    <mergeCell ref="L222:M222"/>
    <mergeCell ref="A223:B223"/>
    <mergeCell ref="L223:M223"/>
    <mergeCell ref="L277:M277"/>
    <mergeCell ref="A234:B234"/>
    <mergeCell ref="L234:M234"/>
    <mergeCell ref="A235:B235"/>
    <mergeCell ref="L235:M235"/>
    <mergeCell ref="L228:M228"/>
    <mergeCell ref="A229:B229"/>
    <mergeCell ref="L229:M229"/>
    <mergeCell ref="A226:H226"/>
    <mergeCell ref="A230:B230"/>
    <mergeCell ref="L230:M230"/>
    <mergeCell ref="L177:M177"/>
    <mergeCell ref="A178:B178"/>
    <mergeCell ref="L178:M178"/>
    <mergeCell ref="L283:M283"/>
    <mergeCell ref="A279:H279"/>
    <mergeCell ref="A280:B280"/>
    <mergeCell ref="L280:M280"/>
    <mergeCell ref="A281:B281"/>
    <mergeCell ref="L281:M281"/>
    <mergeCell ref="A282:B282"/>
    <mergeCell ref="L282:M282"/>
    <mergeCell ref="A283:B283"/>
    <mergeCell ref="A179:B179"/>
    <mergeCell ref="L179:M179"/>
    <mergeCell ref="A180:B180"/>
    <mergeCell ref="L180:M180"/>
    <mergeCell ref="L275:M275"/>
    <mergeCell ref="A276:B276"/>
    <mergeCell ref="L276:M276"/>
    <mergeCell ref="L182:M182"/>
    <mergeCell ref="A183:B183"/>
    <mergeCell ref="L183:M183"/>
    <mergeCell ref="A184:B184"/>
    <mergeCell ref="L184:M184"/>
    <mergeCell ref="A185:B185"/>
    <mergeCell ref="L185:M185"/>
    <mergeCell ref="L192:M192"/>
    <mergeCell ref="A193:B193"/>
    <mergeCell ref="L193:M193"/>
    <mergeCell ref="A194:B194"/>
    <mergeCell ref="L194:M194"/>
    <mergeCell ref="A195:B195"/>
    <mergeCell ref="L195:M195"/>
    <mergeCell ref="L187:M187"/>
    <mergeCell ref="A188:B188"/>
    <mergeCell ref="L188:M188"/>
    <mergeCell ref="L278:M278"/>
    <mergeCell ref="L197:M197"/>
    <mergeCell ref="A198:B198"/>
    <mergeCell ref="L198:M198"/>
    <mergeCell ref="A199:B199"/>
    <mergeCell ref="L199:M199"/>
    <mergeCell ref="A262:B262"/>
    <mergeCell ref="L262:M262"/>
    <mergeCell ref="A263:B263"/>
    <mergeCell ref="L263:M263"/>
    <mergeCell ref="A270:B270"/>
    <mergeCell ref="L270:M270"/>
    <mergeCell ref="A271:B271"/>
    <mergeCell ref="L271:M271"/>
    <mergeCell ref="A257:H257"/>
    <mergeCell ref="A256:B256"/>
    <mergeCell ref="L256:M256"/>
    <mergeCell ref="A264:H264"/>
    <mergeCell ref="A216:H216"/>
    <mergeCell ref="A217:B217"/>
    <mergeCell ref="L217:M217"/>
    <mergeCell ref="A200:B200"/>
    <mergeCell ref="L200:M200"/>
    <mergeCell ref="L233:M233"/>
    <mergeCell ref="B322:H322"/>
    <mergeCell ref="A118:B118"/>
    <mergeCell ref="C118:H118"/>
    <mergeCell ref="A120:B120"/>
    <mergeCell ref="C120:H120"/>
    <mergeCell ref="A121:B121"/>
    <mergeCell ref="E121:F121"/>
    <mergeCell ref="G121:H121"/>
    <mergeCell ref="A122:B122"/>
    <mergeCell ref="E122:F131"/>
    <mergeCell ref="G122:H131"/>
    <mergeCell ref="A123:B123"/>
    <mergeCell ref="A124:B124"/>
    <mergeCell ref="A125:B125"/>
    <mergeCell ref="A126:B126"/>
    <mergeCell ref="A127:B127"/>
    <mergeCell ref="A128:B128"/>
    <mergeCell ref="A129:B129"/>
    <mergeCell ref="A130:B130"/>
    <mergeCell ref="A131:B131"/>
    <mergeCell ref="B320:H320"/>
    <mergeCell ref="A191:H191"/>
    <mergeCell ref="A181:H181"/>
    <mergeCell ref="A182:B182"/>
    <mergeCell ref="L218:M218"/>
    <mergeCell ref="A219:B219"/>
    <mergeCell ref="L219:M219"/>
    <mergeCell ref="L189:M189"/>
    <mergeCell ref="A190:B190"/>
    <mergeCell ref="L190:M190"/>
    <mergeCell ref="A192:B192"/>
    <mergeCell ref="L209:M209"/>
    <mergeCell ref="A210:B210"/>
    <mergeCell ref="L210:M210"/>
    <mergeCell ref="A211:B211"/>
    <mergeCell ref="L211:M211"/>
    <mergeCell ref="A212:H212"/>
    <mergeCell ref="A213:B213"/>
    <mergeCell ref="L213:M213"/>
    <mergeCell ref="A214:B214"/>
    <mergeCell ref="L214:M214"/>
    <mergeCell ref="L231:M231"/>
    <mergeCell ref="L236:M236"/>
    <mergeCell ref="A237:H237"/>
    <mergeCell ref="A238:B238"/>
    <mergeCell ref="L238:M238"/>
    <mergeCell ref="A239:B239"/>
    <mergeCell ref="L239:M239"/>
    <mergeCell ref="A240:B240"/>
    <mergeCell ref="L240:M240"/>
    <mergeCell ref="A255:B255"/>
    <mergeCell ref="L255:M255"/>
    <mergeCell ref="A269:H269"/>
    <mergeCell ref="A247:H247"/>
    <mergeCell ref="A272:B272"/>
    <mergeCell ref="L272:M272"/>
    <mergeCell ref="L265:M265"/>
    <mergeCell ref="A266:B266"/>
    <mergeCell ref="L266:M266"/>
    <mergeCell ref="A267:B267"/>
    <mergeCell ref="L268:M268"/>
    <mergeCell ref="L260:M260"/>
    <mergeCell ref="A261:B261"/>
    <mergeCell ref="L261:M261"/>
    <mergeCell ref="L267:M267"/>
    <mergeCell ref="A248:B248"/>
    <mergeCell ref="L248:M248"/>
    <mergeCell ref="A249:B249"/>
    <mergeCell ref="L249:M249"/>
    <mergeCell ref="A250:B250"/>
    <mergeCell ref="L250:M250"/>
    <mergeCell ref="A251:B251"/>
    <mergeCell ref="L251:M251"/>
    <mergeCell ref="A137:E137"/>
    <mergeCell ref="F137:H137"/>
    <mergeCell ref="A139:E139"/>
    <mergeCell ref="F139:H139"/>
    <mergeCell ref="B323:H323"/>
    <mergeCell ref="L241:M241"/>
    <mergeCell ref="L243:M243"/>
    <mergeCell ref="A244:B244"/>
    <mergeCell ref="L244:M244"/>
    <mergeCell ref="A245:B245"/>
    <mergeCell ref="L245:M245"/>
    <mergeCell ref="A273:B273"/>
    <mergeCell ref="L273:M273"/>
    <mergeCell ref="A246:B246"/>
    <mergeCell ref="L246:M246"/>
    <mergeCell ref="A252:H252"/>
    <mergeCell ref="A253:B253"/>
    <mergeCell ref="L253:M253"/>
    <mergeCell ref="A254:B254"/>
    <mergeCell ref="L254:M254"/>
  </mergeCells>
  <dataValidations disablePrompts="1"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62:E163">
      <formula1>"Attached Loft area,Attached Otla area,Attached Mezzanine area"</formula1>
    </dataValidation>
    <dataValidation type="list" allowBlank="1" showInputMessage="1" showErrorMessage="1" sqref="G331:H331">
      <formula1>"Kunal Kadam,Pranita Mhatre,Shruti Fule,Pooja Kawale,Gaurav Panchal,Shruti Tathare, Hitakshi Mhatre, Sachin Sawant"</formula1>
    </dataValidation>
    <dataValidation type="list" allowBlank="1" showInputMessage="1" showErrorMessage="1" sqref="F132:H132">
      <formula1>"On Saleable Area,On Builtup Area,On Carpet Area,On Plot Area"</formula1>
    </dataValidation>
    <dataValidation type="list" allowBlank="1" showInputMessage="1" showErrorMessage="1" sqref="F145:H145">
      <formula1>OFFSET($S$132,1,MATCH($G20,$S$132:$W$132,0)-1,15,1)</formula1>
    </dataValidation>
    <dataValidation type="list" allowBlank="1" showInputMessage="1" showErrorMessage="1" sqref="B162:B163">
      <formula1>"Shop No. (Sale Plan),Sale / Rehab,Sale / Mhada"</formula1>
    </dataValidation>
    <dataValidation type="list" allowBlank="1" showInputMessage="1" showErrorMessage="1" sqref="B170:B171">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70:E171">
      <formula1>"Fungible area,Balcony Area,Chajja Area,Cornice Area,AP Area,WS Area"</formula1>
    </dataValidation>
    <dataValidation type="list" allowBlank="1" showInputMessage="1" showErrorMessage="1" sqref="H163 H171">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62 H170">
      <formula1>"Saleable area Loading :,Builder Saleable Area"</formula1>
    </dataValidation>
    <dataValidation type="list" allowBlank="1" showInputMessage="1" showErrorMessage="1" sqref="D162:D163 D170:D171">
      <formula1>"Carpet area,RERA Carpet area"</formula1>
    </dataValidation>
  </dataValidations>
  <hyperlinks>
    <hyperlink ref="C40" r:id="rId1"/>
    <hyperlink ref="J72" r:id="rId2"/>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4" manualBreakCount="4">
    <brk id="131" max="16383" man="1"/>
    <brk id="335" max="16383" man="1"/>
    <brk id="378" max="16383" man="1"/>
    <brk id="420"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G19" sqref="G19"/>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16" t="s">
        <v>102</v>
      </c>
      <c r="C3" s="216"/>
      <c r="D3" s="216"/>
      <c r="E3" s="216"/>
      <c r="F3" s="216"/>
      <c r="G3" s="216"/>
      <c r="H3" s="216"/>
    </row>
    <row r="4" spans="1:9" x14ac:dyDescent="0.35">
      <c r="A4" s="2"/>
      <c r="B4" s="3" t="s">
        <v>103</v>
      </c>
      <c r="C4" s="3" t="s">
        <v>104</v>
      </c>
      <c r="D4" s="3" t="s">
        <v>64</v>
      </c>
      <c r="E4" s="3" t="s">
        <v>105</v>
      </c>
      <c r="F4" s="3" t="s">
        <v>111</v>
      </c>
      <c r="G4" s="3" t="s">
        <v>112</v>
      </c>
      <c r="H4" s="3" t="s">
        <v>106</v>
      </c>
    </row>
    <row r="5" spans="1:9" ht="15" customHeight="1" x14ac:dyDescent="0.35">
      <c r="A5" s="2"/>
      <c r="B5" s="5" t="s">
        <v>107</v>
      </c>
      <c r="C5" s="6"/>
      <c r="D5" s="5"/>
      <c r="E5" s="5"/>
      <c r="F5" s="7">
        <f>E5*1.6</f>
        <v>0</v>
      </c>
      <c r="G5" s="7" t="e">
        <f>H5/F5</f>
        <v>#DIV/0!</v>
      </c>
      <c r="H5" s="8"/>
    </row>
    <row r="6" spans="1:9" x14ac:dyDescent="0.35">
      <c r="A6" s="2"/>
      <c r="B6" s="5" t="s">
        <v>107</v>
      </c>
      <c r="C6" s="9"/>
      <c r="D6" s="5"/>
      <c r="E6" s="5"/>
      <c r="F6" s="7">
        <f t="shared" ref="F6:F11" si="0">E6*1.6</f>
        <v>0</v>
      </c>
      <c r="G6" s="7" t="e">
        <f t="shared" ref="G6:G11" si="1">H6/F6</f>
        <v>#DIV/0!</v>
      </c>
      <c r="H6" s="8"/>
    </row>
    <row r="7" spans="1:9" ht="15" customHeight="1" x14ac:dyDescent="0.35">
      <c r="A7" s="2"/>
      <c r="B7" s="5" t="s">
        <v>107</v>
      </c>
      <c r="C7" s="6"/>
      <c r="D7" s="5"/>
      <c r="E7" s="5"/>
      <c r="F7" s="7">
        <f t="shared" si="0"/>
        <v>0</v>
      </c>
      <c r="G7" s="7" t="e">
        <f t="shared" si="1"/>
        <v>#DIV/0!</v>
      </c>
      <c r="H7" s="8"/>
    </row>
    <row r="8" spans="1:9" x14ac:dyDescent="0.35">
      <c r="A8" s="2"/>
      <c r="B8" s="5" t="s">
        <v>107</v>
      </c>
      <c r="C8" s="9"/>
      <c r="D8" s="5"/>
      <c r="E8" s="5"/>
      <c r="F8" s="7">
        <f t="shared" si="0"/>
        <v>0</v>
      </c>
      <c r="G8" s="7" t="e">
        <f t="shared" si="1"/>
        <v>#DIV/0!</v>
      </c>
      <c r="H8" s="8"/>
    </row>
    <row r="9" spans="1:9" ht="15" customHeight="1" x14ac:dyDescent="0.35">
      <c r="A9" s="2"/>
      <c r="B9" s="5" t="s">
        <v>107</v>
      </c>
      <c r="C9" s="9"/>
      <c r="D9" s="5"/>
      <c r="E9" s="5"/>
      <c r="F9" s="7">
        <f t="shared" si="0"/>
        <v>0</v>
      </c>
      <c r="G9" s="7" t="e">
        <f t="shared" si="1"/>
        <v>#DIV/0!</v>
      </c>
      <c r="H9" s="8"/>
    </row>
    <row r="10" spans="1:9" ht="15" customHeight="1" x14ac:dyDescent="0.35">
      <c r="A10" s="2"/>
      <c r="B10" s="5" t="s">
        <v>108</v>
      </c>
      <c r="C10" s="6"/>
      <c r="D10" s="5"/>
      <c r="E10" s="5"/>
      <c r="F10" s="7">
        <f t="shared" si="0"/>
        <v>0</v>
      </c>
      <c r="G10" s="7" t="e">
        <f t="shared" si="1"/>
        <v>#DIV/0!</v>
      </c>
      <c r="H10" s="8"/>
    </row>
    <row r="11" spans="1:9" ht="15" customHeight="1" x14ac:dyDescent="0.35">
      <c r="A11" s="2"/>
      <c r="B11" s="5" t="s">
        <v>108</v>
      </c>
      <c r="C11" s="6"/>
      <c r="D11" s="5"/>
      <c r="E11" s="5"/>
      <c r="F11" s="7">
        <f t="shared" si="0"/>
        <v>0</v>
      </c>
      <c r="G11" s="7" t="e">
        <f t="shared" si="1"/>
        <v>#DIV/0!</v>
      </c>
      <c r="H11" s="8"/>
    </row>
    <row r="12" spans="1:9" ht="15" customHeight="1" x14ac:dyDescent="0.35">
      <c r="A12" s="2"/>
      <c r="B12" s="10" t="s">
        <v>109</v>
      </c>
      <c r="C12" s="5"/>
      <c r="D12" s="5"/>
      <c r="E12" s="5"/>
      <c r="F12" s="5"/>
      <c r="G12" s="11" t="e">
        <f>AVERAGE(G5:G11)</f>
        <v>#DIV/0!</v>
      </c>
      <c r="H12" s="5"/>
    </row>
    <row r="13" spans="1:9" ht="15" customHeight="1" x14ac:dyDescent="0.35">
      <c r="B13" s="10" t="s">
        <v>110</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3"/>
      <c r="C4" s="43" t="s">
        <v>11</v>
      </c>
      <c r="D4" s="44" t="s">
        <v>178</v>
      </c>
      <c r="E4" s="44" t="s">
        <v>188</v>
      </c>
      <c r="F4" s="44" t="s">
        <v>171</v>
      </c>
      <c r="G4" s="44" t="s">
        <v>193</v>
      </c>
      <c r="H4" s="44" t="s">
        <v>211</v>
      </c>
      <c r="J4" t="s">
        <v>193</v>
      </c>
      <c r="K4" t="s">
        <v>209</v>
      </c>
    </row>
    <row r="5" spans="2:11" x14ac:dyDescent="0.35">
      <c r="B5" s="43"/>
      <c r="C5" s="43"/>
      <c r="D5" s="44" t="s">
        <v>179</v>
      </c>
      <c r="E5" s="44" t="s">
        <v>186</v>
      </c>
      <c r="F5" s="44" t="s">
        <v>208</v>
      </c>
      <c r="G5" s="44" t="s">
        <v>194</v>
      </c>
      <c r="H5" s="44" t="s">
        <v>212</v>
      </c>
    </row>
    <row r="6" spans="2:11" x14ac:dyDescent="0.35">
      <c r="B6" s="43"/>
      <c r="C6" s="43"/>
      <c r="D6" s="44" t="s">
        <v>180</v>
      </c>
      <c r="E6" s="44" t="s">
        <v>187</v>
      </c>
      <c r="F6" s="44" t="s">
        <v>209</v>
      </c>
      <c r="G6" s="44" t="s">
        <v>195</v>
      </c>
      <c r="H6" s="44" t="s">
        <v>225</v>
      </c>
    </row>
    <row r="7" spans="2:11" x14ac:dyDescent="0.35">
      <c r="B7" s="43"/>
      <c r="C7" s="43"/>
      <c r="D7" s="44" t="s">
        <v>181</v>
      </c>
      <c r="E7" s="44" t="s">
        <v>189</v>
      </c>
      <c r="F7" s="44" t="s">
        <v>210</v>
      </c>
      <c r="G7" s="44" t="s">
        <v>196</v>
      </c>
      <c r="H7" s="44" t="s">
        <v>213</v>
      </c>
    </row>
    <row r="8" spans="2:11" x14ac:dyDescent="0.35">
      <c r="B8" s="43"/>
      <c r="C8" s="43"/>
      <c r="D8" s="44" t="s">
        <v>182</v>
      </c>
      <c r="E8" s="44" t="s">
        <v>190</v>
      </c>
      <c r="F8" s="44"/>
      <c r="G8" s="44" t="s">
        <v>197</v>
      </c>
      <c r="H8" s="44" t="s">
        <v>214</v>
      </c>
    </row>
    <row r="9" spans="2:11" x14ac:dyDescent="0.35">
      <c r="B9" s="43"/>
      <c r="C9" s="43"/>
      <c r="D9" s="44" t="s">
        <v>183</v>
      </c>
      <c r="E9" s="44" t="s">
        <v>188</v>
      </c>
      <c r="F9" s="44"/>
      <c r="G9" s="44" t="s">
        <v>198</v>
      </c>
      <c r="H9" s="44" t="s">
        <v>215</v>
      </c>
    </row>
    <row r="10" spans="2:11" x14ac:dyDescent="0.35">
      <c r="B10" s="43"/>
      <c r="C10" s="43"/>
      <c r="D10" s="44" t="s">
        <v>184</v>
      </c>
      <c r="E10" s="44" t="s">
        <v>191</v>
      </c>
      <c r="F10" s="44"/>
      <c r="G10" s="44" t="s">
        <v>199</v>
      </c>
      <c r="H10" s="44" t="s">
        <v>216</v>
      </c>
    </row>
    <row r="11" spans="2:11" x14ac:dyDescent="0.35">
      <c r="B11" s="43"/>
      <c r="C11" s="43"/>
      <c r="D11" s="44" t="s">
        <v>185</v>
      </c>
      <c r="E11" s="44" t="s">
        <v>192</v>
      </c>
      <c r="F11" s="44"/>
      <c r="G11" s="44" t="s">
        <v>200</v>
      </c>
      <c r="H11" s="44" t="s">
        <v>217</v>
      </c>
    </row>
    <row r="12" spans="2:11" x14ac:dyDescent="0.35">
      <c r="B12" s="43"/>
      <c r="C12" s="43"/>
      <c r="D12" s="44"/>
      <c r="E12" s="44"/>
      <c r="F12" s="44"/>
      <c r="G12" s="44" t="s">
        <v>201</v>
      </c>
      <c r="H12" s="44" t="s">
        <v>218</v>
      </c>
    </row>
    <row r="13" spans="2:11" x14ac:dyDescent="0.35">
      <c r="B13" s="43"/>
      <c r="C13" s="43"/>
      <c r="D13" s="44"/>
      <c r="E13" s="44"/>
      <c r="F13" s="44"/>
      <c r="G13" s="44" t="s">
        <v>202</v>
      </c>
      <c r="H13" s="44" t="s">
        <v>219</v>
      </c>
    </row>
    <row r="14" spans="2:11" x14ac:dyDescent="0.35">
      <c r="B14" s="43"/>
      <c r="C14" s="43"/>
      <c r="D14" s="44"/>
      <c r="E14" s="44"/>
      <c r="F14" s="44"/>
      <c r="G14" s="44" t="s">
        <v>203</v>
      </c>
      <c r="H14" s="44" t="s">
        <v>220</v>
      </c>
    </row>
    <row r="15" spans="2:11" x14ac:dyDescent="0.35">
      <c r="B15" s="43"/>
      <c r="C15" s="43"/>
      <c r="D15" s="44"/>
      <c r="E15" s="44"/>
      <c r="F15" s="44"/>
      <c r="G15" s="44" t="s">
        <v>204</v>
      </c>
      <c r="H15" s="44" t="s">
        <v>221</v>
      </c>
    </row>
    <row r="16" spans="2:11" x14ac:dyDescent="0.35">
      <c r="B16" s="43"/>
      <c r="C16" s="43"/>
      <c r="D16" s="44"/>
      <c r="E16" s="44"/>
      <c r="F16" s="44"/>
      <c r="G16" s="44" t="s">
        <v>205</v>
      </c>
      <c r="H16" s="44" t="s">
        <v>222</v>
      </c>
    </row>
    <row r="17" spans="2:8" x14ac:dyDescent="0.35">
      <c r="B17" s="43"/>
      <c r="C17" s="43"/>
      <c r="D17" s="44"/>
      <c r="E17" s="44"/>
      <c r="F17" s="44"/>
      <c r="G17" s="44" t="s">
        <v>206</v>
      </c>
      <c r="H17" s="44" t="s">
        <v>223</v>
      </c>
    </row>
    <row r="18" spans="2:8" x14ac:dyDescent="0.35">
      <c r="B18" s="43"/>
      <c r="C18" s="43"/>
      <c r="D18" s="44"/>
      <c r="E18" s="44"/>
      <c r="F18" s="44"/>
      <c r="G18" s="44" t="s">
        <v>207</v>
      </c>
      <c r="H18" s="44" t="s">
        <v>224</v>
      </c>
    </row>
    <row r="24" spans="2:8" x14ac:dyDescent="0.35">
      <c r="C24" t="s">
        <v>168</v>
      </c>
    </row>
    <row r="25" spans="2:8" x14ac:dyDescent="0.35">
      <c r="C25" t="s">
        <v>226</v>
      </c>
    </row>
    <row r="26" spans="2:8" x14ac:dyDescent="0.35">
      <c r="C26" t="s">
        <v>227</v>
      </c>
    </row>
    <row r="27" spans="2:8" x14ac:dyDescent="0.35">
      <c r="C27" t="s">
        <v>228</v>
      </c>
    </row>
    <row r="28" spans="2:8" x14ac:dyDescent="0.35">
      <c r="C28" t="s">
        <v>229</v>
      </c>
    </row>
    <row r="29" spans="2:8" x14ac:dyDescent="0.35">
      <c r="C29" t="s">
        <v>230</v>
      </c>
    </row>
    <row r="30" spans="2:8" x14ac:dyDescent="0.35">
      <c r="C30" t="s">
        <v>168</v>
      </c>
    </row>
    <row r="33" spans="3:11" x14ac:dyDescent="0.35">
      <c r="J33">
        <v>1</v>
      </c>
      <c r="K33">
        <v>2</v>
      </c>
    </row>
    <row r="34" spans="3:11" x14ac:dyDescent="0.35">
      <c r="C34" s="46" t="s">
        <v>237</v>
      </c>
      <c r="D34" s="44" t="s">
        <v>235</v>
      </c>
      <c r="E34" s="44" t="s">
        <v>240</v>
      </c>
      <c r="F34" s="44" t="s">
        <v>238</v>
      </c>
      <c r="G34" s="44" t="s">
        <v>239</v>
      </c>
      <c r="H34" s="44" t="s">
        <v>241</v>
      </c>
      <c r="J34" t="s">
        <v>193</v>
      </c>
      <c r="K34" t="s">
        <v>209</v>
      </c>
    </row>
    <row r="35" spans="3:11" x14ac:dyDescent="0.35">
      <c r="C35" s="43" t="s">
        <v>236</v>
      </c>
      <c r="D35" s="44" t="s">
        <v>169</v>
      </c>
      <c r="E35" s="44" t="s">
        <v>245</v>
      </c>
      <c r="F35" s="44" t="s">
        <v>247</v>
      </c>
      <c r="G35" s="44" t="s">
        <v>249</v>
      </c>
      <c r="H35" s="44"/>
    </row>
    <row r="36" spans="3:11" x14ac:dyDescent="0.35">
      <c r="C36" s="43"/>
      <c r="D36" s="44" t="s">
        <v>242</v>
      </c>
      <c r="E36" s="44" t="s">
        <v>246</v>
      </c>
      <c r="F36" s="44" t="s">
        <v>248</v>
      </c>
      <c r="G36" s="44" t="s">
        <v>250</v>
      </c>
      <c r="H36" s="44"/>
    </row>
    <row r="37" spans="3:11" x14ac:dyDescent="0.35">
      <c r="C37" s="43"/>
      <c r="D37" s="44" t="s">
        <v>243</v>
      </c>
      <c r="E37" s="44"/>
      <c r="F37" s="44"/>
      <c r="G37" s="44" t="s">
        <v>251</v>
      </c>
      <c r="H37" s="44"/>
    </row>
    <row r="38" spans="3:11" x14ac:dyDescent="0.35">
      <c r="C38" s="43"/>
      <c r="D38" s="44" t="s">
        <v>244</v>
      </c>
      <c r="E38" s="44"/>
      <c r="F38" s="44"/>
      <c r="G38" s="44" t="s">
        <v>251</v>
      </c>
      <c r="H38" s="44"/>
    </row>
    <row r="39" spans="3:11" x14ac:dyDescent="0.35">
      <c r="C39" s="43"/>
      <c r="D39" s="44"/>
      <c r="E39" s="44"/>
      <c r="F39" s="44"/>
      <c r="G39" s="44" t="s">
        <v>252</v>
      </c>
      <c r="H39" s="44"/>
    </row>
    <row r="40" spans="3:11" x14ac:dyDescent="0.35">
      <c r="C40" s="43"/>
      <c r="D40" s="44"/>
      <c r="E40" s="44"/>
      <c r="F40" s="44"/>
      <c r="G40" s="44" t="s">
        <v>253</v>
      </c>
      <c r="H40" s="44"/>
    </row>
    <row r="41" spans="3:11" x14ac:dyDescent="0.35">
      <c r="C41" s="43"/>
      <c r="D41" s="44"/>
      <c r="E41" s="44"/>
      <c r="F41" s="44"/>
      <c r="G41" s="44"/>
      <c r="H41" s="44"/>
    </row>
    <row r="43" spans="3:11" x14ac:dyDescent="0.35">
      <c r="C43" t="s">
        <v>254</v>
      </c>
    </row>
    <row r="44" spans="3:11" x14ac:dyDescent="0.35">
      <c r="C44" t="s">
        <v>171</v>
      </c>
      <c r="D44" t="s">
        <v>255</v>
      </c>
    </row>
    <row r="45" spans="3:11" x14ac:dyDescent="0.35">
      <c r="D45" t="s">
        <v>256</v>
      </c>
    </row>
    <row r="46" spans="3:11" x14ac:dyDescent="0.35">
      <c r="D46" t="s">
        <v>257</v>
      </c>
    </row>
    <row r="47" spans="3:11" x14ac:dyDescent="0.35">
      <c r="D47" t="s">
        <v>258</v>
      </c>
    </row>
    <row r="48" spans="3:11" x14ac:dyDescent="0.35">
      <c r="D48" t="s">
        <v>259</v>
      </c>
    </row>
    <row r="49" spans="3:4" x14ac:dyDescent="0.35">
      <c r="C49" t="s">
        <v>178</v>
      </c>
      <c r="D49" t="s">
        <v>260</v>
      </c>
    </row>
    <row r="50" spans="3:4" x14ac:dyDescent="0.35">
      <c r="D50" t="s">
        <v>261</v>
      </c>
    </row>
    <row r="51" spans="3:4" x14ac:dyDescent="0.35">
      <c r="D51" t="s">
        <v>262</v>
      </c>
    </row>
    <row r="52" spans="3:4" x14ac:dyDescent="0.35">
      <c r="D52" t="s">
        <v>265</v>
      </c>
    </row>
    <row r="53" spans="3:4" x14ac:dyDescent="0.35">
      <c r="D53" t="s">
        <v>263</v>
      </c>
    </row>
    <row r="54" spans="3:4" x14ac:dyDescent="0.35">
      <c r="D54" t="s">
        <v>264</v>
      </c>
    </row>
    <row r="55" spans="3:4" x14ac:dyDescent="0.35">
      <c r="D55" t="s">
        <v>266</v>
      </c>
    </row>
    <row r="56" spans="3:4" x14ac:dyDescent="0.35">
      <c r="D56" t="s">
        <v>267</v>
      </c>
    </row>
    <row r="57" spans="3:4" x14ac:dyDescent="0.35">
      <c r="D57" t="s">
        <v>268</v>
      </c>
    </row>
    <row r="58" spans="3:4" x14ac:dyDescent="0.35">
      <c r="D58" t="s">
        <v>270</v>
      </c>
    </row>
    <row r="59" spans="3:4" x14ac:dyDescent="0.35">
      <c r="D59" t="s">
        <v>279</v>
      </c>
    </row>
    <row r="60" spans="3:4" x14ac:dyDescent="0.35">
      <c r="C60" t="s">
        <v>193</v>
      </c>
      <c r="D60" t="s">
        <v>271</v>
      </c>
    </row>
    <row r="61" spans="3:4" x14ac:dyDescent="0.35">
      <c r="D61" t="s">
        <v>269</v>
      </c>
    </row>
    <row r="62" spans="3:4" x14ac:dyDescent="0.35">
      <c r="D62" t="s">
        <v>259</v>
      </c>
    </row>
    <row r="63" spans="3:4" x14ac:dyDescent="0.35">
      <c r="D63" t="s">
        <v>272</v>
      </c>
    </row>
    <row r="64" spans="3:4" x14ac:dyDescent="0.35">
      <c r="D64" t="s">
        <v>273</v>
      </c>
    </row>
    <row r="65" spans="3:4" x14ac:dyDescent="0.35">
      <c r="D65" t="s">
        <v>274</v>
      </c>
    </row>
    <row r="66" spans="3:4" x14ac:dyDescent="0.35">
      <c r="D66" t="s">
        <v>275</v>
      </c>
    </row>
    <row r="67" spans="3:4" x14ac:dyDescent="0.35">
      <c r="C67" t="s">
        <v>188</v>
      </c>
      <c r="D67" t="s">
        <v>276</v>
      </c>
    </row>
    <row r="68" spans="3:4" x14ac:dyDescent="0.35">
      <c r="D68" t="s">
        <v>277</v>
      </c>
    </row>
    <row r="69" spans="3:4" x14ac:dyDescent="0.35">
      <c r="D69" t="s">
        <v>278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activeCell="C31" sqref="C31"/>
    </sheetView>
  </sheetViews>
  <sheetFormatPr defaultRowHeight="14.5" x14ac:dyDescent="0.35"/>
  <cols>
    <col min="2" max="2" width="3" bestFit="1" customWidth="1"/>
    <col min="3" max="3" width="155.26953125" customWidth="1"/>
  </cols>
  <sheetData>
    <row r="2" spans="2:3" ht="15" customHeight="1" x14ac:dyDescent="0.35">
      <c r="B2" s="47">
        <v>1</v>
      </c>
      <c r="C2" s="49" t="s">
        <v>284</v>
      </c>
    </row>
    <row r="3" spans="2:3" x14ac:dyDescent="0.35">
      <c r="B3" s="47">
        <v>2</v>
      </c>
      <c r="C3" s="48" t="s">
        <v>285</v>
      </c>
    </row>
    <row r="4" spans="2:3" x14ac:dyDescent="0.35">
      <c r="B4" s="47">
        <v>3</v>
      </c>
      <c r="C4" s="47" t="s">
        <v>286</v>
      </c>
    </row>
    <row r="5" spans="2:3" x14ac:dyDescent="0.35">
      <c r="B5" s="47">
        <v>4</v>
      </c>
      <c r="C5" s="48" t="s">
        <v>287</v>
      </c>
    </row>
    <row r="6" spans="2:3" x14ac:dyDescent="0.35">
      <c r="B6" s="47">
        <v>5</v>
      </c>
      <c r="C6" s="47" t="s">
        <v>288</v>
      </c>
    </row>
    <row r="7" spans="2:3" ht="29" x14ac:dyDescent="0.35">
      <c r="B7" s="47">
        <v>6</v>
      </c>
      <c r="C7" s="48" t="s">
        <v>289</v>
      </c>
    </row>
    <row r="8" spans="2:3" ht="72.5" x14ac:dyDescent="0.35">
      <c r="B8" s="47">
        <v>7</v>
      </c>
      <c r="C8" s="48" t="s">
        <v>290</v>
      </c>
    </row>
    <row r="9" spans="2:3" x14ac:dyDescent="0.35">
      <c r="B9" s="47">
        <v>8</v>
      </c>
      <c r="C9" s="47" t="s">
        <v>291</v>
      </c>
    </row>
    <row r="10" spans="2:3" x14ac:dyDescent="0.35">
      <c r="B10" s="47">
        <v>9</v>
      </c>
      <c r="C10" s="47" t="s">
        <v>292</v>
      </c>
    </row>
    <row r="11" spans="2:3" x14ac:dyDescent="0.35">
      <c r="B11" s="47">
        <v>10</v>
      </c>
      <c r="C11" s="47" t="s">
        <v>293</v>
      </c>
    </row>
    <row r="12" spans="2:3" x14ac:dyDescent="0.35">
      <c r="B12" s="47">
        <v>11</v>
      </c>
      <c r="C12" s="47" t="s">
        <v>294</v>
      </c>
    </row>
    <row r="13" spans="2:3" x14ac:dyDescent="0.35">
      <c r="B13" s="47">
        <v>12</v>
      </c>
      <c r="C13" s="47" t="s">
        <v>295</v>
      </c>
    </row>
    <row r="14" spans="2:3" x14ac:dyDescent="0.35">
      <c r="B14" s="47">
        <v>13</v>
      </c>
      <c r="C14" s="47" t="s">
        <v>296</v>
      </c>
    </row>
    <row r="15" spans="2:3" x14ac:dyDescent="0.35">
      <c r="B15" s="47">
        <v>14</v>
      </c>
      <c r="C15" s="47" t="s">
        <v>286</v>
      </c>
    </row>
    <row r="16" spans="2:3" x14ac:dyDescent="0.35">
      <c r="B16" s="47">
        <v>15</v>
      </c>
      <c r="C16" s="47" t="s">
        <v>298</v>
      </c>
    </row>
    <row r="17" spans="2:3" x14ac:dyDescent="0.35">
      <c r="B17" s="66">
        <v>16</v>
      </c>
      <c r="C17" s="52" t="s">
        <v>299</v>
      </c>
    </row>
    <row r="18" spans="2:3" x14ac:dyDescent="0.35">
      <c r="B18" s="51">
        <v>17</v>
      </c>
      <c r="C18" s="52" t="s">
        <v>300</v>
      </c>
    </row>
    <row r="19" spans="2:3" x14ac:dyDescent="0.35">
      <c r="B19" s="50">
        <v>18</v>
      </c>
      <c r="C19" s="47" t="s">
        <v>301</v>
      </c>
    </row>
    <row r="20" spans="2:3" x14ac:dyDescent="0.35">
      <c r="B20" s="51">
        <v>19</v>
      </c>
      <c r="C20" s="47" t="s">
        <v>337</v>
      </c>
    </row>
    <row r="21" spans="2:3" x14ac:dyDescent="0.35">
      <c r="B21" s="47">
        <v>20</v>
      </c>
      <c r="C21" s="47" t="s">
        <v>302</v>
      </c>
    </row>
    <row r="22" spans="2:3" x14ac:dyDescent="0.35">
      <c r="B22" s="51">
        <v>21</v>
      </c>
      <c r="C22" s="47" t="s">
        <v>301</v>
      </c>
    </row>
    <row r="23" spans="2:3" s="61" customFormat="1" ht="29.25" customHeight="1" x14ac:dyDescent="0.35">
      <c r="B23" s="60">
        <v>22</v>
      </c>
      <c r="C23" s="49" t="s">
        <v>329</v>
      </c>
    </row>
    <row r="24" spans="2:3" s="61" customFormat="1" ht="30.75" customHeight="1" x14ac:dyDescent="0.35">
      <c r="B24" s="62">
        <v>23</v>
      </c>
      <c r="C24" s="49" t="s">
        <v>330</v>
      </c>
    </row>
    <row r="25" spans="2:3" x14ac:dyDescent="0.35">
      <c r="B25" s="47">
        <v>24</v>
      </c>
      <c r="C25" s="47" t="s">
        <v>333</v>
      </c>
    </row>
    <row r="26" spans="2:3" x14ac:dyDescent="0.35">
      <c r="B26" s="51">
        <v>25</v>
      </c>
      <c r="C26" s="47" t="s">
        <v>331</v>
      </c>
    </row>
    <row r="27" spans="2:3" x14ac:dyDescent="0.35">
      <c r="B27" s="62">
        <v>26</v>
      </c>
      <c r="C27" s="47" t="s">
        <v>332</v>
      </c>
    </row>
    <row r="28" spans="2:3" x14ac:dyDescent="0.35">
      <c r="B28" s="51">
        <v>27</v>
      </c>
      <c r="C28" s="47" t="s">
        <v>334</v>
      </c>
    </row>
    <row r="29" spans="2:3" ht="43.5" x14ac:dyDescent="0.35">
      <c r="B29" s="65">
        <v>28</v>
      </c>
      <c r="C29" s="48" t="s">
        <v>335</v>
      </c>
    </row>
    <row r="30" spans="2:3" x14ac:dyDescent="0.35">
      <c r="B30" s="62">
        <v>29</v>
      </c>
      <c r="C30" s="47" t="s">
        <v>336</v>
      </c>
    </row>
    <row r="31" spans="2:3" ht="29" x14ac:dyDescent="0.35">
      <c r="B31" s="62">
        <v>30</v>
      </c>
      <c r="C31" s="48" t="s">
        <v>338</v>
      </c>
    </row>
    <row r="32" spans="2:3" x14ac:dyDescent="0.35">
      <c r="B32" s="62">
        <v>31</v>
      </c>
      <c r="C32" s="47" t="s">
        <v>339</v>
      </c>
    </row>
    <row r="33" spans="2:3" x14ac:dyDescent="0.35">
      <c r="B33" s="62">
        <v>32</v>
      </c>
      <c r="C33" s="47" t="s">
        <v>340</v>
      </c>
    </row>
    <row r="34" spans="2:3" ht="36.75" customHeight="1" x14ac:dyDescent="0.35">
      <c r="B34" s="62">
        <v>33</v>
      </c>
      <c r="C34" s="52" t="s">
        <v>341</v>
      </c>
    </row>
    <row r="35" spans="2:3" x14ac:dyDescent="0.35">
      <c r="B35" s="62">
        <v>34</v>
      </c>
      <c r="C35" s="47"/>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43"/>
    <col min="2" max="2" width="12.26953125" style="43" customWidth="1"/>
    <col min="3" max="16384" width="9.1796875" style="43"/>
  </cols>
  <sheetData>
    <row r="2" spans="1:12" x14ac:dyDescent="0.35">
      <c r="B2" s="54" t="s">
        <v>303</v>
      </c>
      <c r="C2" s="217"/>
      <c r="D2" s="217"/>
    </row>
    <row r="3" spans="1:12" x14ac:dyDescent="0.35">
      <c r="D3" s="55"/>
      <c r="E3" s="55"/>
      <c r="F3" s="55"/>
      <c r="G3" s="55"/>
      <c r="H3" s="55"/>
      <c r="I3" s="55"/>
    </row>
    <row r="4" spans="1:12" x14ac:dyDescent="0.35">
      <c r="A4" s="54" t="s">
        <v>64</v>
      </c>
      <c r="B4" s="56" t="s">
        <v>304</v>
      </c>
      <c r="C4" s="218" t="s">
        <v>305</v>
      </c>
      <c r="D4" s="218"/>
      <c r="E4" s="218"/>
      <c r="F4" s="56"/>
      <c r="G4" s="219" t="s">
        <v>306</v>
      </c>
      <c r="H4" s="219"/>
      <c r="I4" s="219"/>
      <c r="J4" s="220" t="s">
        <v>307</v>
      </c>
      <c r="K4" s="220"/>
      <c r="L4" s="220"/>
    </row>
    <row r="5" spans="1:12" x14ac:dyDescent="0.35">
      <c r="A5" s="54"/>
      <c r="B5" s="56"/>
      <c r="C5" s="56" t="s">
        <v>308</v>
      </c>
      <c r="D5" s="56" t="s">
        <v>309</v>
      </c>
      <c r="E5" s="56" t="s">
        <v>310</v>
      </c>
      <c r="F5" s="56"/>
      <c r="G5" s="56" t="s">
        <v>308</v>
      </c>
      <c r="H5" s="56" t="s">
        <v>309</v>
      </c>
      <c r="I5" s="56" t="s">
        <v>310</v>
      </c>
      <c r="J5" s="56" t="s">
        <v>308</v>
      </c>
      <c r="K5" s="56" t="s">
        <v>309</v>
      </c>
      <c r="L5" s="56" t="s">
        <v>310</v>
      </c>
    </row>
    <row r="6" spans="1:12" x14ac:dyDescent="0.35">
      <c r="B6" s="44" t="s">
        <v>311</v>
      </c>
      <c r="C6" s="44"/>
      <c r="D6" s="44"/>
      <c r="E6" s="44">
        <f>C6*D6</f>
        <v>0</v>
      </c>
      <c r="F6" s="44" t="s">
        <v>328</v>
      </c>
      <c r="G6" s="44"/>
      <c r="H6" s="44"/>
      <c r="I6" s="44">
        <f>G6*H6</f>
        <v>0</v>
      </c>
      <c r="J6" s="44"/>
      <c r="K6" s="44"/>
      <c r="L6" s="44">
        <f>J6*K6</f>
        <v>0</v>
      </c>
    </row>
    <row r="7" spans="1:12" x14ac:dyDescent="0.35">
      <c r="B7" s="44"/>
      <c r="C7" s="44"/>
      <c r="D7" s="44"/>
      <c r="E7" s="44">
        <f t="shared" ref="E7:E41" si="0">C7*D7</f>
        <v>0</v>
      </c>
      <c r="F7" s="44" t="s">
        <v>328</v>
      </c>
      <c r="G7" s="44"/>
      <c r="H7" s="44"/>
      <c r="I7" s="44">
        <f t="shared" ref="I7:I35" si="1">G7*H7</f>
        <v>0</v>
      </c>
      <c r="J7" s="44"/>
      <c r="K7" s="44"/>
      <c r="L7" s="44">
        <f t="shared" ref="L7:L35" si="2">J7*K7</f>
        <v>0</v>
      </c>
    </row>
    <row r="8" spans="1:12" x14ac:dyDescent="0.35">
      <c r="B8" s="44"/>
      <c r="C8" s="44"/>
      <c r="D8" s="44"/>
      <c r="E8" s="44">
        <f t="shared" si="0"/>
        <v>0</v>
      </c>
      <c r="F8" s="44"/>
      <c r="G8" s="44"/>
      <c r="H8" s="44"/>
      <c r="I8" s="44">
        <f t="shared" si="1"/>
        <v>0</v>
      </c>
      <c r="J8" s="44"/>
      <c r="K8" s="44"/>
      <c r="L8" s="44">
        <f t="shared" si="2"/>
        <v>0</v>
      </c>
    </row>
    <row r="9" spans="1:12" x14ac:dyDescent="0.35">
      <c r="B9" s="44"/>
      <c r="C9" s="44"/>
      <c r="D9" s="44"/>
      <c r="E9" s="44">
        <f t="shared" si="0"/>
        <v>0</v>
      </c>
      <c r="F9" s="44" t="s">
        <v>312</v>
      </c>
      <c r="G9" s="44"/>
      <c r="H9" s="44"/>
      <c r="I9" s="44">
        <f t="shared" si="1"/>
        <v>0</v>
      </c>
      <c r="J9" s="44"/>
      <c r="K9" s="44"/>
      <c r="L9" s="44">
        <f t="shared" si="2"/>
        <v>0</v>
      </c>
    </row>
    <row r="10" spans="1:12" x14ac:dyDescent="0.35">
      <c r="B10" s="44" t="s">
        <v>313</v>
      </c>
      <c r="C10" s="44"/>
      <c r="D10" s="44"/>
      <c r="E10" s="44">
        <f t="shared" si="0"/>
        <v>0</v>
      </c>
      <c r="F10" s="44" t="s">
        <v>312</v>
      </c>
      <c r="G10" s="44"/>
      <c r="H10" s="44"/>
      <c r="I10" s="44">
        <f t="shared" si="1"/>
        <v>0</v>
      </c>
      <c r="J10" s="44"/>
      <c r="K10" s="44"/>
      <c r="L10" s="44">
        <f t="shared" si="2"/>
        <v>0</v>
      </c>
    </row>
    <row r="11" spans="1:12" x14ac:dyDescent="0.35">
      <c r="B11" s="44"/>
      <c r="C11" s="44"/>
      <c r="D11" s="44"/>
      <c r="E11" s="44">
        <f t="shared" si="0"/>
        <v>0</v>
      </c>
      <c r="F11" s="44" t="s">
        <v>314</v>
      </c>
      <c r="G11" s="44"/>
      <c r="H11" s="44"/>
      <c r="I11" s="44">
        <f t="shared" si="1"/>
        <v>0</v>
      </c>
      <c r="J11" s="44"/>
      <c r="K11" s="44"/>
      <c r="L11" s="44">
        <f t="shared" si="2"/>
        <v>0</v>
      </c>
    </row>
    <row r="12" spans="1:12" x14ac:dyDescent="0.35">
      <c r="B12" s="44"/>
      <c r="C12" s="44"/>
      <c r="D12" s="44"/>
      <c r="E12" s="44">
        <f t="shared" si="0"/>
        <v>0</v>
      </c>
      <c r="F12" s="44"/>
      <c r="G12" s="44"/>
      <c r="H12" s="44"/>
      <c r="I12" s="44">
        <f t="shared" si="1"/>
        <v>0</v>
      </c>
      <c r="J12" s="44"/>
      <c r="K12" s="44"/>
      <c r="L12" s="44">
        <f t="shared" si="2"/>
        <v>0</v>
      </c>
    </row>
    <row r="13" spans="1:12" x14ac:dyDescent="0.35">
      <c r="B13" s="44"/>
      <c r="C13" s="44"/>
      <c r="D13" s="44"/>
      <c r="E13" s="44">
        <f t="shared" si="0"/>
        <v>0</v>
      </c>
      <c r="F13" s="44"/>
      <c r="G13" s="44"/>
      <c r="H13" s="44"/>
      <c r="I13" s="44">
        <f t="shared" si="1"/>
        <v>0</v>
      </c>
      <c r="J13" s="44"/>
      <c r="K13" s="44"/>
      <c r="L13" s="44">
        <f t="shared" si="2"/>
        <v>0</v>
      </c>
    </row>
    <row r="14" spans="1:12" x14ac:dyDescent="0.35">
      <c r="B14" s="44" t="s">
        <v>315</v>
      </c>
      <c r="C14" s="44"/>
      <c r="D14" s="44"/>
      <c r="E14" s="44">
        <f t="shared" si="0"/>
        <v>0</v>
      </c>
      <c r="F14" s="44" t="s">
        <v>312</v>
      </c>
      <c r="G14" s="44"/>
      <c r="H14" s="44"/>
      <c r="I14" s="44">
        <f t="shared" si="1"/>
        <v>0</v>
      </c>
      <c r="J14" s="44"/>
      <c r="K14" s="44"/>
      <c r="L14" s="44">
        <f t="shared" si="2"/>
        <v>0</v>
      </c>
    </row>
    <row r="15" spans="1:12" x14ac:dyDescent="0.35">
      <c r="B15" s="44"/>
      <c r="C15" s="44"/>
      <c r="D15" s="44"/>
      <c r="E15" s="44">
        <f t="shared" si="0"/>
        <v>0</v>
      </c>
      <c r="F15" s="44" t="s">
        <v>314</v>
      </c>
      <c r="G15" s="44"/>
      <c r="H15" s="44"/>
      <c r="I15" s="44">
        <f t="shared" si="1"/>
        <v>0</v>
      </c>
      <c r="J15" s="44"/>
      <c r="K15" s="44"/>
      <c r="L15" s="44">
        <f t="shared" si="2"/>
        <v>0</v>
      </c>
    </row>
    <row r="16" spans="1:12" x14ac:dyDescent="0.35">
      <c r="B16" s="44"/>
      <c r="C16" s="44"/>
      <c r="D16" s="44"/>
      <c r="E16" s="44">
        <f t="shared" si="0"/>
        <v>0</v>
      </c>
      <c r="F16" s="44"/>
      <c r="G16" s="44"/>
      <c r="H16" s="44"/>
      <c r="I16" s="44">
        <f t="shared" si="1"/>
        <v>0</v>
      </c>
      <c r="J16" s="44"/>
      <c r="K16" s="44"/>
      <c r="L16" s="44">
        <f t="shared" si="2"/>
        <v>0</v>
      </c>
    </row>
    <row r="17" spans="2:12" x14ac:dyDescent="0.35">
      <c r="B17" s="44"/>
      <c r="C17" s="44"/>
      <c r="D17" s="44"/>
      <c r="E17" s="44">
        <f t="shared" si="0"/>
        <v>0</v>
      </c>
      <c r="F17" s="44"/>
      <c r="G17" s="44"/>
      <c r="H17" s="44"/>
      <c r="I17" s="44">
        <f t="shared" si="1"/>
        <v>0</v>
      </c>
      <c r="J17" s="44"/>
      <c r="K17" s="44"/>
      <c r="L17" s="44">
        <f t="shared" si="2"/>
        <v>0</v>
      </c>
    </row>
    <row r="18" spans="2:12" x14ac:dyDescent="0.35">
      <c r="B18" s="44" t="s">
        <v>316</v>
      </c>
      <c r="C18" s="44"/>
      <c r="D18" s="44"/>
      <c r="E18" s="44">
        <f t="shared" si="0"/>
        <v>0</v>
      </c>
      <c r="F18" s="44" t="s">
        <v>312</v>
      </c>
      <c r="G18" s="44"/>
      <c r="H18" s="44"/>
      <c r="I18" s="44">
        <f t="shared" si="1"/>
        <v>0</v>
      </c>
      <c r="J18" s="44"/>
      <c r="K18" s="44"/>
      <c r="L18" s="44">
        <f t="shared" si="2"/>
        <v>0</v>
      </c>
    </row>
    <row r="19" spans="2:12" x14ac:dyDescent="0.35">
      <c r="B19" s="44"/>
      <c r="C19" s="44"/>
      <c r="D19" s="44"/>
      <c r="E19" s="44">
        <f t="shared" si="0"/>
        <v>0</v>
      </c>
      <c r="F19" s="44" t="s">
        <v>314</v>
      </c>
      <c r="G19" s="44"/>
      <c r="H19" s="44"/>
      <c r="I19" s="44">
        <f t="shared" si="1"/>
        <v>0</v>
      </c>
      <c r="J19" s="44"/>
      <c r="K19" s="44"/>
      <c r="L19" s="44">
        <f t="shared" si="2"/>
        <v>0</v>
      </c>
    </row>
    <row r="20" spans="2:12" x14ac:dyDescent="0.35">
      <c r="B20" s="44"/>
      <c r="C20" s="44"/>
      <c r="D20" s="44"/>
      <c r="E20" s="44">
        <f t="shared" si="0"/>
        <v>0</v>
      </c>
      <c r="F20" s="44"/>
      <c r="G20" s="44"/>
      <c r="H20" s="44"/>
      <c r="I20" s="44">
        <f t="shared" si="1"/>
        <v>0</v>
      </c>
      <c r="J20" s="44"/>
      <c r="K20" s="44"/>
      <c r="L20" s="44">
        <f t="shared" si="2"/>
        <v>0</v>
      </c>
    </row>
    <row r="21" spans="2:12" x14ac:dyDescent="0.35">
      <c r="B21" s="44" t="s">
        <v>317</v>
      </c>
      <c r="C21" s="44"/>
      <c r="D21" s="44"/>
      <c r="E21" s="44">
        <f t="shared" si="0"/>
        <v>0</v>
      </c>
      <c r="F21" s="44" t="s">
        <v>312</v>
      </c>
      <c r="G21" s="44"/>
      <c r="H21" s="44"/>
      <c r="I21" s="44">
        <f t="shared" si="1"/>
        <v>0</v>
      </c>
      <c r="J21" s="44"/>
      <c r="K21" s="44"/>
      <c r="L21" s="44">
        <f t="shared" si="2"/>
        <v>0</v>
      </c>
    </row>
    <row r="22" spans="2:12" x14ac:dyDescent="0.35">
      <c r="B22" s="44"/>
      <c r="C22" s="44"/>
      <c r="D22" s="44"/>
      <c r="E22" s="44">
        <f t="shared" si="0"/>
        <v>0</v>
      </c>
      <c r="F22" s="44" t="s">
        <v>314</v>
      </c>
      <c r="G22" s="44"/>
      <c r="H22" s="44"/>
      <c r="I22" s="44">
        <f t="shared" si="1"/>
        <v>0</v>
      </c>
      <c r="J22" s="44"/>
      <c r="K22" s="44"/>
      <c r="L22" s="44">
        <f t="shared" si="2"/>
        <v>0</v>
      </c>
    </row>
    <row r="23" spans="2:12" x14ac:dyDescent="0.35">
      <c r="B23" s="44"/>
      <c r="C23" s="44"/>
      <c r="D23" s="44"/>
      <c r="E23" s="44">
        <f t="shared" si="0"/>
        <v>0</v>
      </c>
      <c r="F23" s="44"/>
      <c r="G23" s="44"/>
      <c r="H23" s="44"/>
      <c r="I23" s="44">
        <f t="shared" si="1"/>
        <v>0</v>
      </c>
      <c r="J23" s="44"/>
      <c r="K23" s="44"/>
      <c r="L23" s="44">
        <f t="shared" si="2"/>
        <v>0</v>
      </c>
    </row>
    <row r="24" spans="2:12" x14ac:dyDescent="0.35">
      <c r="B24" s="44" t="s">
        <v>318</v>
      </c>
      <c r="C24" s="44"/>
      <c r="D24" s="44"/>
      <c r="E24" s="44">
        <f t="shared" si="0"/>
        <v>0</v>
      </c>
      <c r="F24" s="44" t="s">
        <v>319</v>
      </c>
      <c r="G24" s="44"/>
      <c r="H24" s="44"/>
      <c r="I24" s="44">
        <f t="shared" si="1"/>
        <v>0</v>
      </c>
      <c r="J24" s="44"/>
      <c r="K24" s="44"/>
      <c r="L24" s="44">
        <f t="shared" si="2"/>
        <v>0</v>
      </c>
    </row>
    <row r="25" spans="2:12" x14ac:dyDescent="0.35">
      <c r="B25" s="44"/>
      <c r="C25" s="44"/>
      <c r="D25" s="44"/>
      <c r="E25" s="44">
        <f t="shared" ref="E25:E27" si="3">C25*D25</f>
        <v>0</v>
      </c>
      <c r="F25" s="44" t="s">
        <v>319</v>
      </c>
      <c r="G25" s="44"/>
      <c r="H25" s="44"/>
      <c r="I25" s="44">
        <f t="shared" ref="I25:I27" si="4">G25*H25</f>
        <v>0</v>
      </c>
      <c r="J25" s="44"/>
      <c r="K25" s="44"/>
      <c r="L25" s="44">
        <f t="shared" ref="L25:L27" si="5">J25*K25</f>
        <v>0</v>
      </c>
    </row>
    <row r="26" spans="2:12" x14ac:dyDescent="0.35">
      <c r="B26" s="44"/>
      <c r="C26" s="44"/>
      <c r="D26" s="44"/>
      <c r="E26" s="44">
        <f t="shared" si="3"/>
        <v>0</v>
      </c>
      <c r="F26" s="44" t="s">
        <v>319</v>
      </c>
      <c r="G26" s="44"/>
      <c r="H26" s="44"/>
      <c r="I26" s="44">
        <f t="shared" si="4"/>
        <v>0</v>
      </c>
      <c r="J26" s="44"/>
      <c r="K26" s="44"/>
      <c r="L26" s="44">
        <f t="shared" si="5"/>
        <v>0</v>
      </c>
    </row>
    <row r="27" spans="2:12" x14ac:dyDescent="0.35">
      <c r="B27" s="44"/>
      <c r="C27" s="44"/>
      <c r="D27" s="44"/>
      <c r="E27" s="44">
        <f t="shared" si="3"/>
        <v>0</v>
      </c>
      <c r="F27" s="44" t="s">
        <v>319</v>
      </c>
      <c r="G27" s="44"/>
      <c r="H27" s="44"/>
      <c r="I27" s="44">
        <f t="shared" si="4"/>
        <v>0</v>
      </c>
      <c r="J27" s="44"/>
      <c r="K27" s="44"/>
      <c r="L27" s="44">
        <f t="shared" si="5"/>
        <v>0</v>
      </c>
    </row>
    <row r="28" spans="2:12" x14ac:dyDescent="0.35">
      <c r="B28" s="44" t="s">
        <v>320</v>
      </c>
      <c r="C28" s="44"/>
      <c r="D28" s="44"/>
      <c r="E28" s="44">
        <f t="shared" si="0"/>
        <v>0</v>
      </c>
      <c r="F28" s="44" t="s">
        <v>319</v>
      </c>
      <c r="G28" s="44"/>
      <c r="H28" s="44"/>
      <c r="I28" s="44">
        <f t="shared" si="1"/>
        <v>0</v>
      </c>
      <c r="J28" s="44"/>
      <c r="K28" s="44"/>
      <c r="L28" s="44">
        <f t="shared" si="2"/>
        <v>0</v>
      </c>
    </row>
    <row r="29" spans="2:12" x14ac:dyDescent="0.35">
      <c r="B29" s="44" t="s">
        <v>321</v>
      </c>
      <c r="C29" s="44"/>
      <c r="D29" s="44"/>
      <c r="E29" s="44">
        <f t="shared" si="0"/>
        <v>0</v>
      </c>
      <c r="F29" s="44" t="s">
        <v>319</v>
      </c>
      <c r="G29" s="44"/>
      <c r="H29" s="44"/>
      <c r="I29" s="44">
        <f t="shared" si="1"/>
        <v>0</v>
      </c>
      <c r="J29" s="44"/>
      <c r="K29" s="44"/>
      <c r="L29" s="44">
        <f t="shared" si="2"/>
        <v>0</v>
      </c>
    </row>
    <row r="30" spans="2:12" x14ac:dyDescent="0.35">
      <c r="B30" s="44" t="s">
        <v>325</v>
      </c>
      <c r="C30" s="44"/>
      <c r="D30" s="44"/>
      <c r="E30" s="44">
        <f t="shared" si="0"/>
        <v>0</v>
      </c>
      <c r="F30" s="44"/>
      <c r="G30" s="44"/>
      <c r="H30" s="44"/>
      <c r="I30" s="44">
        <f t="shared" si="1"/>
        <v>0</v>
      </c>
      <c r="J30" s="44"/>
      <c r="K30" s="44"/>
      <c r="L30" s="44">
        <f t="shared" si="2"/>
        <v>0</v>
      </c>
    </row>
    <row r="31" spans="2:12" x14ac:dyDescent="0.35">
      <c r="B31" s="44"/>
      <c r="C31" s="44"/>
      <c r="D31" s="44"/>
      <c r="E31" s="44">
        <f t="shared" ref="E31:E32" si="6">C31*D31</f>
        <v>0</v>
      </c>
      <c r="F31" s="44"/>
      <c r="G31" s="44"/>
      <c r="H31" s="44"/>
      <c r="I31" s="44">
        <f t="shared" ref="I31:I32" si="7">G31*H31</f>
        <v>0</v>
      </c>
      <c r="J31" s="44"/>
      <c r="K31" s="44"/>
      <c r="L31" s="44">
        <f t="shared" ref="L31:L32" si="8">J31*K31</f>
        <v>0</v>
      </c>
    </row>
    <row r="32" spans="2:12" x14ac:dyDescent="0.35">
      <c r="B32" s="44"/>
      <c r="C32" s="44"/>
      <c r="D32" s="44"/>
      <c r="E32" s="44">
        <f t="shared" si="6"/>
        <v>0</v>
      </c>
      <c r="F32" s="44"/>
      <c r="G32" s="44"/>
      <c r="H32" s="44"/>
      <c r="I32" s="44">
        <f t="shared" si="7"/>
        <v>0</v>
      </c>
      <c r="J32" s="44"/>
      <c r="K32" s="44"/>
      <c r="L32" s="44">
        <f t="shared" si="8"/>
        <v>0</v>
      </c>
    </row>
    <row r="33" spans="2:12" x14ac:dyDescent="0.35">
      <c r="B33" s="44" t="s">
        <v>322</v>
      </c>
      <c r="C33" s="44"/>
      <c r="D33" s="44"/>
      <c r="E33" s="44">
        <f t="shared" si="0"/>
        <v>0</v>
      </c>
      <c r="F33" s="44"/>
      <c r="G33" s="44"/>
      <c r="H33" s="44"/>
      <c r="I33" s="44">
        <f t="shared" si="1"/>
        <v>0</v>
      </c>
      <c r="J33" s="44"/>
      <c r="K33" s="44"/>
      <c r="L33" s="44">
        <f t="shared" si="2"/>
        <v>0</v>
      </c>
    </row>
    <row r="34" spans="2:12" x14ac:dyDescent="0.35">
      <c r="B34" s="44" t="s">
        <v>326</v>
      </c>
      <c r="C34" s="44"/>
      <c r="D34" s="44"/>
      <c r="E34" s="44">
        <f t="shared" si="0"/>
        <v>0</v>
      </c>
      <c r="F34" s="44"/>
      <c r="G34" s="44"/>
      <c r="H34" s="44"/>
      <c r="I34" s="44">
        <f t="shared" si="1"/>
        <v>0</v>
      </c>
      <c r="J34" s="44"/>
      <c r="K34" s="44"/>
      <c r="L34" s="44">
        <f t="shared" si="2"/>
        <v>0</v>
      </c>
    </row>
    <row r="35" spans="2:12" x14ac:dyDescent="0.35">
      <c r="B35" s="44" t="s">
        <v>323</v>
      </c>
      <c r="C35" s="44"/>
      <c r="D35" s="44"/>
      <c r="E35" s="44">
        <f t="shared" si="0"/>
        <v>0</v>
      </c>
      <c r="F35" s="44"/>
      <c r="G35" s="44"/>
      <c r="H35" s="44"/>
      <c r="I35" s="44">
        <f t="shared" si="1"/>
        <v>0</v>
      </c>
      <c r="J35" s="44"/>
      <c r="K35" s="44"/>
      <c r="L35" s="44">
        <f t="shared" si="2"/>
        <v>0</v>
      </c>
    </row>
    <row r="36" spans="2:12" x14ac:dyDescent="0.35">
      <c r="B36" s="44" t="s">
        <v>324</v>
      </c>
      <c r="C36" s="44"/>
      <c r="D36" s="44"/>
      <c r="E36" s="44">
        <f t="shared" si="0"/>
        <v>0</v>
      </c>
      <c r="F36" s="44"/>
      <c r="G36" s="44"/>
      <c r="H36" s="44"/>
      <c r="I36" s="44">
        <f>G36*H36</f>
        <v>0</v>
      </c>
      <c r="J36" s="44"/>
      <c r="K36" s="44"/>
      <c r="L36" s="44">
        <f>J36*K36</f>
        <v>0</v>
      </c>
    </row>
    <row r="37" spans="2:12" x14ac:dyDescent="0.35">
      <c r="B37" s="44"/>
      <c r="C37" s="44"/>
      <c r="D37" s="44"/>
      <c r="E37" s="44">
        <f t="shared" ref="E37:E38" si="9">C37*D37</f>
        <v>0</v>
      </c>
      <c r="F37" s="44"/>
      <c r="G37" s="44"/>
      <c r="H37" s="44"/>
      <c r="I37" s="44">
        <f t="shared" ref="I37:I38" si="10">G37*H37</f>
        <v>0</v>
      </c>
      <c r="J37" s="44"/>
      <c r="K37" s="44"/>
      <c r="L37" s="44">
        <f t="shared" ref="L37:L38" si="11">J37*K37</f>
        <v>0</v>
      </c>
    </row>
    <row r="38" spans="2:12" x14ac:dyDescent="0.35">
      <c r="B38" s="44" t="s">
        <v>327</v>
      </c>
      <c r="C38" s="44"/>
      <c r="D38" s="44"/>
      <c r="E38" s="44">
        <f t="shared" si="9"/>
        <v>0</v>
      </c>
      <c r="F38" s="44"/>
      <c r="G38" s="44"/>
      <c r="H38" s="44"/>
      <c r="I38" s="44">
        <f t="shared" si="10"/>
        <v>0</v>
      </c>
      <c r="J38" s="44"/>
      <c r="K38" s="44"/>
      <c r="L38" s="44">
        <f t="shared" si="11"/>
        <v>0</v>
      </c>
    </row>
    <row r="39" spans="2:12" x14ac:dyDescent="0.35">
      <c r="B39" s="44"/>
      <c r="C39" s="44"/>
      <c r="D39" s="44"/>
      <c r="E39" s="44">
        <f t="shared" si="0"/>
        <v>0</v>
      </c>
      <c r="F39" s="44"/>
      <c r="G39" s="44"/>
      <c r="H39" s="44"/>
      <c r="I39" s="44">
        <f>G39*H39</f>
        <v>0</v>
      </c>
      <c r="J39" s="44"/>
      <c r="K39" s="44"/>
      <c r="L39" s="44">
        <f>J39*K39</f>
        <v>0</v>
      </c>
    </row>
    <row r="40" spans="2:12" x14ac:dyDescent="0.35">
      <c r="B40" s="44"/>
      <c r="C40" s="44"/>
      <c r="D40" s="44"/>
      <c r="E40" s="44">
        <f t="shared" si="0"/>
        <v>0</v>
      </c>
      <c r="F40" s="44"/>
      <c r="G40" s="44"/>
      <c r="H40" s="44"/>
      <c r="I40" s="44">
        <f>G40*H40</f>
        <v>0</v>
      </c>
      <c r="J40" s="44"/>
      <c r="K40" s="44"/>
      <c r="L40" s="44">
        <f>J40*K40</f>
        <v>0</v>
      </c>
    </row>
    <row r="41" spans="2:12" x14ac:dyDescent="0.35">
      <c r="B41" s="44"/>
      <c r="C41" s="44"/>
      <c r="D41" s="44"/>
      <c r="E41" s="44">
        <f t="shared" si="0"/>
        <v>0</v>
      </c>
      <c r="F41" s="44"/>
      <c r="G41" s="44"/>
      <c r="H41" s="44"/>
      <c r="I41" s="44">
        <f>G41*H41</f>
        <v>0</v>
      </c>
      <c r="J41" s="44"/>
      <c r="K41" s="44"/>
      <c r="L41" s="44">
        <f>J41*K41</f>
        <v>0</v>
      </c>
    </row>
    <row r="42" spans="2:12" x14ac:dyDescent="0.35">
      <c r="B42" s="44" t="s">
        <v>149</v>
      </c>
      <c r="C42" s="44"/>
      <c r="D42" s="44">
        <f>E42*10.764</f>
        <v>0</v>
      </c>
      <c r="E42" s="59">
        <f>SUM(E6:E41)</f>
        <v>0</v>
      </c>
      <c r="F42" s="44"/>
      <c r="G42" s="44"/>
      <c r="H42" s="44">
        <f>I42*10.764</f>
        <v>0</v>
      </c>
      <c r="I42" s="58">
        <f>SUM(I6:I41)</f>
        <v>0</v>
      </c>
      <c r="J42" s="44"/>
      <c r="K42" s="44">
        <f>L42*10.764</f>
        <v>0</v>
      </c>
      <c r="L42" s="57">
        <f>SUM(L6:L41)</f>
        <v>0</v>
      </c>
    </row>
    <row r="44" spans="2:12" x14ac:dyDescent="0.35">
      <c r="D44" s="43">
        <f>D42+H42</f>
        <v>0</v>
      </c>
      <c r="E44" s="43">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2025-09-18T10:46:11Z</cp:lastPrinted>
  <dcterms:created xsi:type="dcterms:W3CDTF">2019-07-16T09:29:46Z</dcterms:created>
  <dcterms:modified xsi:type="dcterms:W3CDTF">2025-09-26T09:29:44Z</dcterms:modified>
</cp:coreProperties>
</file>