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VSJCV\Making\AXIS\2025-26\Axis\APF Old\August 2025\22-08-2025\"/>
    </mc:Choice>
  </mc:AlternateContent>
  <bookViews>
    <workbookView xWindow="0" yWindow="0" windowWidth="19200" windowHeight="6640" tabRatio="725"/>
  </bookViews>
  <sheets>
    <sheet name="Report" sheetId="10" r:id="rId1"/>
    <sheet name="AXIS" sheetId="13" r:id="rId2"/>
    <sheet name="Flat detail" sheetId="14" r:id="rId3"/>
    <sheet name="valuation" sheetId="15" r:id="rId4"/>
    <sheet name="Note" sheetId="16" r:id="rId5"/>
  </sheets>
  <definedNames>
    <definedName name="_xlnm.Print_Area" localSheetId="0">Report!$A$1:$H$402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6" i="10" l="1"/>
  <c r="C100" i="10"/>
  <c r="C70" i="10" l="1"/>
  <c r="G12" i="15" l="1"/>
  <c r="G11" i="15"/>
  <c r="F11" i="15"/>
  <c r="G10" i="15"/>
  <c r="F10" i="15"/>
  <c r="G9" i="15"/>
  <c r="F9" i="15"/>
  <c r="F8" i="15"/>
  <c r="G8" i="15" s="1"/>
  <c r="G7" i="15"/>
  <c r="F7" i="15"/>
  <c r="G6" i="15"/>
  <c r="F6" i="15"/>
  <c r="G5" i="15"/>
  <c r="F5" i="15"/>
  <c r="L33" i="14"/>
  <c r="I33" i="14"/>
  <c r="E33" i="14"/>
  <c r="L32" i="14"/>
  <c r="I32" i="14"/>
  <c r="E32" i="14"/>
  <c r="L31" i="14"/>
  <c r="I31" i="14"/>
  <c r="E31" i="14"/>
  <c r="L30" i="14"/>
  <c r="I30" i="14"/>
  <c r="E30" i="14"/>
  <c r="L29" i="14"/>
  <c r="I29" i="14"/>
  <c r="E29" i="14"/>
  <c r="L28" i="14"/>
  <c r="I28" i="14"/>
  <c r="E28" i="14"/>
  <c r="L27" i="14"/>
  <c r="I27" i="14"/>
  <c r="E27" i="14"/>
  <c r="L26" i="14"/>
  <c r="I26" i="14"/>
  <c r="E26" i="14"/>
  <c r="L25" i="14"/>
  <c r="I25" i="14"/>
  <c r="E25" i="14"/>
  <c r="L24" i="14"/>
  <c r="I24" i="14"/>
  <c r="E24" i="14"/>
  <c r="L23" i="14"/>
  <c r="I23" i="14"/>
  <c r="E23" i="14"/>
  <c r="L22" i="14"/>
  <c r="I22" i="14"/>
  <c r="E22" i="14"/>
  <c r="L21" i="14"/>
  <c r="I21" i="14"/>
  <c r="E21" i="14"/>
  <c r="L20" i="14"/>
  <c r="I20" i="14"/>
  <c r="E20" i="14"/>
  <c r="L19" i="14"/>
  <c r="I19" i="14"/>
  <c r="E19" i="14"/>
  <c r="L18" i="14"/>
  <c r="I18" i="14"/>
  <c r="E18" i="14"/>
  <c r="L17" i="14"/>
  <c r="I17" i="14"/>
  <c r="E17" i="14"/>
  <c r="L16" i="14"/>
  <c r="I16" i="14"/>
  <c r="E16" i="14"/>
  <c r="L15" i="14"/>
  <c r="I15" i="14"/>
  <c r="E15" i="14"/>
  <c r="L14" i="14"/>
  <c r="I14" i="14"/>
  <c r="E14" i="14"/>
  <c r="L13" i="14"/>
  <c r="I13" i="14"/>
  <c r="E13" i="14"/>
  <c r="L12" i="14"/>
  <c r="I12" i="14"/>
  <c r="E12" i="14"/>
  <c r="L11" i="14"/>
  <c r="I11" i="14"/>
  <c r="E11" i="14"/>
  <c r="L10" i="14"/>
  <c r="I10" i="14"/>
  <c r="E10" i="14"/>
  <c r="L9" i="14"/>
  <c r="I9" i="14"/>
  <c r="E9" i="14"/>
  <c r="L8" i="14"/>
  <c r="I8" i="14"/>
  <c r="E8" i="14"/>
  <c r="L7" i="14"/>
  <c r="I7" i="14"/>
  <c r="E7" i="14"/>
  <c r="L6" i="14"/>
  <c r="L34" i="14" s="1"/>
  <c r="K34" i="14" s="1"/>
  <c r="I6" i="14"/>
  <c r="I34" i="14" s="1"/>
  <c r="H34" i="14" s="1"/>
  <c r="E6" i="14"/>
  <c r="E34" i="14" s="1"/>
  <c r="E44" i="13"/>
  <c r="C44" i="13"/>
  <c r="H43" i="13"/>
  <c r="F43" i="13"/>
  <c r="I43" i="13" s="1"/>
  <c r="H42" i="13"/>
  <c r="F42" i="13"/>
  <c r="I42" i="13" s="1"/>
  <c r="H41" i="13"/>
  <c r="F41" i="13"/>
  <c r="I41" i="13" s="1"/>
  <c r="I40" i="13"/>
  <c r="H40" i="13"/>
  <c r="F40" i="13"/>
  <c r="F39" i="13"/>
  <c r="I39" i="13" s="1"/>
  <c r="F38" i="13"/>
  <c r="I38" i="13" s="1"/>
  <c r="I37" i="13"/>
  <c r="H37" i="13"/>
  <c r="F37" i="13"/>
  <c r="I36" i="13"/>
  <c r="H36" i="13"/>
  <c r="B36" i="13"/>
  <c r="B37" i="13" s="1"/>
  <c r="I35" i="13"/>
  <c r="D35" i="13" s="1"/>
  <c r="D36" i="13" s="1"/>
  <c r="D37" i="13" s="1"/>
  <c r="H35" i="13"/>
  <c r="F35" i="13"/>
  <c r="I34" i="13"/>
  <c r="E27" i="13"/>
  <c r="C27" i="13"/>
  <c r="I26" i="13"/>
  <c r="H26" i="13"/>
  <c r="F26" i="13"/>
  <c r="I25" i="13"/>
  <c r="H25" i="13"/>
  <c r="F25" i="13"/>
  <c r="H23" i="13"/>
  <c r="F23" i="13"/>
  <c r="I23" i="13" s="1"/>
  <c r="H22" i="13"/>
  <c r="F22" i="13"/>
  <c r="I22" i="13" s="1"/>
  <c r="F20" i="13"/>
  <c r="I20" i="13" s="1"/>
  <c r="I19" i="13"/>
  <c r="H19" i="13"/>
  <c r="B19" i="13"/>
  <c r="H18" i="13"/>
  <c r="F18" i="13"/>
  <c r="I18" i="13" s="1"/>
  <c r="I17" i="13"/>
  <c r="E12" i="13"/>
  <c r="C12" i="13"/>
  <c r="I11" i="13"/>
  <c r="H11" i="13"/>
  <c r="F11" i="13"/>
  <c r="F10" i="13"/>
  <c r="I10" i="13" s="1"/>
  <c r="F9" i="13"/>
  <c r="I9" i="13" s="1"/>
  <c r="I8" i="13"/>
  <c r="H8" i="13"/>
  <c r="F8" i="13"/>
  <c r="H7" i="13"/>
  <c r="F7" i="13"/>
  <c r="I7" i="13" s="1"/>
  <c r="I6" i="13"/>
  <c r="H6" i="13"/>
  <c r="I5" i="13"/>
  <c r="H5" i="13"/>
  <c r="F5" i="13"/>
  <c r="I4" i="13"/>
  <c r="D314" i="10"/>
  <c r="D286" i="10"/>
  <c r="F286" i="10" s="1"/>
  <c r="D285" i="10"/>
  <c r="F285" i="10" s="1"/>
  <c r="F284" i="10"/>
  <c r="D284" i="10"/>
  <c r="F283" i="10"/>
  <c r="E283" i="10"/>
  <c r="D283" i="10"/>
  <c r="N282" i="10"/>
  <c r="N283" i="10" s="1"/>
  <c r="N284" i="10" s="1"/>
  <c r="N285" i="10" s="1"/>
  <c r="N286" i="10" s="1"/>
  <c r="D282" i="10"/>
  <c r="F282" i="10" s="1"/>
  <c r="G281" i="10"/>
  <c r="D281" i="10"/>
  <c r="F281" i="10" s="1"/>
  <c r="O280" i="10"/>
  <c r="D279" i="10"/>
  <c r="F279" i="10" s="1"/>
  <c r="N278" i="10"/>
  <c r="N279" i="10" s="1"/>
  <c r="F278" i="10"/>
  <c r="D278" i="10"/>
  <c r="N277" i="10"/>
  <c r="F277" i="10"/>
  <c r="D277" i="10"/>
  <c r="N276" i="10"/>
  <c r="D276" i="10"/>
  <c r="F276" i="10" s="1"/>
  <c r="G275" i="10"/>
  <c r="D275" i="10"/>
  <c r="F275" i="10" s="1"/>
  <c r="O274" i="10"/>
  <c r="D273" i="10"/>
  <c r="F273" i="10" s="1"/>
  <c r="F272" i="10"/>
  <c r="D272" i="10"/>
  <c r="F271" i="10"/>
  <c r="D271" i="10"/>
  <c r="D270" i="10"/>
  <c r="C153" i="10" s="1"/>
  <c r="N269" i="10"/>
  <c r="N270" i="10" s="1"/>
  <c r="N271" i="10" s="1"/>
  <c r="N272" i="10" s="1"/>
  <c r="N273" i="10" s="1"/>
  <c r="D269" i="10"/>
  <c r="F269" i="10" s="1"/>
  <c r="I268" i="10"/>
  <c r="G268" i="10"/>
  <c r="D268" i="10"/>
  <c r="F268" i="10" s="1"/>
  <c r="O267" i="10"/>
  <c r="D263" i="10"/>
  <c r="F263" i="10" s="1"/>
  <c r="F262" i="10"/>
  <c r="D262" i="10"/>
  <c r="F261" i="10"/>
  <c r="D261" i="10"/>
  <c r="D260" i="10"/>
  <c r="F260" i="10" s="1"/>
  <c r="N259" i="10"/>
  <c r="N260" i="10" s="1"/>
  <c r="N261" i="10" s="1"/>
  <c r="N262" i="10" s="1"/>
  <c r="N263" i="10" s="1"/>
  <c r="P258" i="10"/>
  <c r="G258" i="10"/>
  <c r="F258" i="10"/>
  <c r="D258" i="10"/>
  <c r="Q257" i="10"/>
  <c r="K257" i="10"/>
  <c r="D256" i="10"/>
  <c r="F256" i="10" s="1"/>
  <c r="N254" i="10"/>
  <c r="N255" i="10" s="1"/>
  <c r="N256" i="10" s="1"/>
  <c r="F254" i="10"/>
  <c r="D254" i="10"/>
  <c r="N253" i="10"/>
  <c r="F253" i="10"/>
  <c r="D253" i="10"/>
  <c r="N252" i="10"/>
  <c r="D252" i="10"/>
  <c r="F252" i="10" s="1"/>
  <c r="P251" i="10"/>
  <c r="G251" i="10"/>
  <c r="D251" i="10"/>
  <c r="F251" i="10" s="1"/>
  <c r="Q250" i="10"/>
  <c r="K250" i="10"/>
  <c r="F249" i="10"/>
  <c r="D249" i="10"/>
  <c r="D248" i="10"/>
  <c r="F248" i="10" s="1"/>
  <c r="F247" i="10"/>
  <c r="D247" i="10"/>
  <c r="N246" i="10"/>
  <c r="N247" i="10" s="1"/>
  <c r="N248" i="10" s="1"/>
  <c r="N249" i="10" s="1"/>
  <c r="F246" i="10"/>
  <c r="D246" i="10"/>
  <c r="N245" i="10"/>
  <c r="F245" i="10"/>
  <c r="D245" i="10"/>
  <c r="G244" i="10"/>
  <c r="D244" i="10"/>
  <c r="E152" i="10" s="1"/>
  <c r="O243" i="10"/>
  <c r="D240" i="10"/>
  <c r="F240" i="10" s="1"/>
  <c r="F239" i="10"/>
  <c r="D239" i="10"/>
  <c r="F238" i="10"/>
  <c r="D238" i="10"/>
  <c r="F237" i="10"/>
  <c r="D237" i="10"/>
  <c r="D236" i="10"/>
  <c r="F236" i="10" s="1"/>
  <c r="N235" i="10"/>
  <c r="N236" i="10" s="1"/>
  <c r="N237" i="10" s="1"/>
  <c r="N238" i="10" s="1"/>
  <c r="N239" i="10" s="1"/>
  <c r="N240" i="10" s="1"/>
  <c r="P234" i="10"/>
  <c r="G234" i="10"/>
  <c r="F234" i="10"/>
  <c r="D234" i="10"/>
  <c r="Q233" i="10"/>
  <c r="K233" i="10"/>
  <c r="F232" i="10"/>
  <c r="D232" i="10"/>
  <c r="F231" i="10"/>
  <c r="D231" i="10"/>
  <c r="D230" i="10"/>
  <c r="F230" i="10" s="1"/>
  <c r="N229" i="10"/>
  <c r="N230" i="10" s="1"/>
  <c r="N231" i="10" s="1"/>
  <c r="N232" i="10" s="1"/>
  <c r="D229" i="10"/>
  <c r="F229" i="10" s="1"/>
  <c r="N228" i="10"/>
  <c r="N227" i="10"/>
  <c r="F227" i="10"/>
  <c r="D227" i="10"/>
  <c r="P226" i="10"/>
  <c r="G226" i="10"/>
  <c r="D226" i="10"/>
  <c r="F226" i="10" s="1"/>
  <c r="Q225" i="10"/>
  <c r="K225" i="10"/>
  <c r="D224" i="10"/>
  <c r="F224" i="10" s="1"/>
  <c r="D223" i="10"/>
  <c r="F223" i="10" s="1"/>
  <c r="D222" i="10"/>
  <c r="F222" i="10" s="1"/>
  <c r="F221" i="10"/>
  <c r="D221" i="10"/>
  <c r="N220" i="10"/>
  <c r="N221" i="10" s="1"/>
  <c r="N222" i="10" s="1"/>
  <c r="N223" i="10" s="1"/>
  <c r="N224" i="10" s="1"/>
  <c r="D220" i="10"/>
  <c r="F220" i="10" s="1"/>
  <c r="N219" i="10"/>
  <c r="F219" i="10"/>
  <c r="D219" i="10"/>
  <c r="G218" i="10"/>
  <c r="F218" i="10"/>
  <c r="G151" i="10" s="1"/>
  <c r="D218" i="10"/>
  <c r="O217" i="10"/>
  <c r="D214" i="10"/>
  <c r="F214" i="10" s="1"/>
  <c r="F213" i="10"/>
  <c r="D213" i="10"/>
  <c r="F212" i="10"/>
  <c r="D212" i="10"/>
  <c r="F211" i="10"/>
  <c r="D211" i="10"/>
  <c r="N210" i="10"/>
  <c r="N211" i="10" s="1"/>
  <c r="N212" i="10" s="1"/>
  <c r="N213" i="10" s="1"/>
  <c r="N214" i="10" s="1"/>
  <c r="F210" i="10"/>
  <c r="D210" i="10"/>
  <c r="N209" i="10"/>
  <c r="F209" i="10"/>
  <c r="D209" i="10"/>
  <c r="N208" i="10"/>
  <c r="P207" i="10"/>
  <c r="G207" i="10"/>
  <c r="F207" i="10"/>
  <c r="D207" i="10"/>
  <c r="Q206" i="10"/>
  <c r="K206" i="10"/>
  <c r="F205" i="10"/>
  <c r="D205" i="10"/>
  <c r="F204" i="10"/>
  <c r="D204" i="10"/>
  <c r="F203" i="10"/>
  <c r="D203" i="10"/>
  <c r="D202" i="10"/>
  <c r="F202" i="10" s="1"/>
  <c r="N201" i="10"/>
  <c r="N202" i="10" s="1"/>
  <c r="N203" i="10" s="1"/>
  <c r="N204" i="10" s="1"/>
  <c r="N205" i="10" s="1"/>
  <c r="D201" i="10"/>
  <c r="F201" i="10" s="1"/>
  <c r="N200" i="10"/>
  <c r="D200" i="10"/>
  <c r="F200" i="10" s="1"/>
  <c r="N199" i="10"/>
  <c r="F199" i="10"/>
  <c r="D199" i="10"/>
  <c r="G198" i="10"/>
  <c r="F198" i="10"/>
  <c r="D198" i="10"/>
  <c r="O197" i="10"/>
  <c r="D196" i="10"/>
  <c r="F196" i="10" s="1"/>
  <c r="D195" i="10"/>
  <c r="F195" i="10" s="1"/>
  <c r="D194" i="10"/>
  <c r="F194" i="10" s="1"/>
  <c r="F193" i="10"/>
  <c r="D193" i="10"/>
  <c r="F192" i="10"/>
  <c r="D192" i="10"/>
  <c r="F191" i="10"/>
  <c r="D191" i="10"/>
  <c r="N190" i="10"/>
  <c r="N191" i="10" s="1"/>
  <c r="N192" i="10" s="1"/>
  <c r="N193" i="10" s="1"/>
  <c r="N194" i="10" s="1"/>
  <c r="N195" i="10" s="1"/>
  <c r="N196" i="10" s="1"/>
  <c r="P189" i="10"/>
  <c r="G189" i="10"/>
  <c r="F189" i="10"/>
  <c r="D189" i="10"/>
  <c r="F187" i="10"/>
  <c r="D187" i="10"/>
  <c r="F186" i="10"/>
  <c r="D186" i="10"/>
  <c r="F185" i="10"/>
  <c r="D185" i="10"/>
  <c r="D184" i="10"/>
  <c r="F184" i="10" s="1"/>
  <c r="N183" i="10"/>
  <c r="N184" i="10" s="1"/>
  <c r="N185" i="10" s="1"/>
  <c r="N186" i="10" s="1"/>
  <c r="N187" i="10" s="1"/>
  <c r="D183" i="10"/>
  <c r="F183" i="10" s="1"/>
  <c r="N182" i="10"/>
  <c r="D182" i="10"/>
  <c r="F182" i="10" s="1"/>
  <c r="G150" i="10" s="1"/>
  <c r="N181" i="10"/>
  <c r="F181" i="10"/>
  <c r="D181" i="10"/>
  <c r="P180" i="10"/>
  <c r="G180" i="10"/>
  <c r="F180" i="10"/>
  <c r="D180" i="10"/>
  <c r="D178" i="10"/>
  <c r="F178" i="10" s="1"/>
  <c r="D177" i="10"/>
  <c r="F177" i="10" s="1"/>
  <c r="D176" i="10"/>
  <c r="F176" i="10" s="1"/>
  <c r="F175" i="10"/>
  <c r="D175" i="10"/>
  <c r="E150" i="10" s="1"/>
  <c r="F174" i="10"/>
  <c r="D174" i="10"/>
  <c r="F173" i="10"/>
  <c r="D173" i="10"/>
  <c r="N172" i="10"/>
  <c r="N173" i="10" s="1"/>
  <c r="N174" i="10" s="1"/>
  <c r="N175" i="10" s="1"/>
  <c r="N176" i="10" s="1"/>
  <c r="N177" i="10" s="1"/>
  <c r="N178" i="10" s="1"/>
  <c r="F172" i="10"/>
  <c r="D172" i="10"/>
  <c r="P171" i="10"/>
  <c r="G171" i="10"/>
  <c r="D171" i="10"/>
  <c r="F171" i="10" s="1"/>
  <c r="Q170" i="10"/>
  <c r="K170" i="10"/>
  <c r="D169" i="10"/>
  <c r="F169" i="10" s="1"/>
  <c r="D168" i="10"/>
  <c r="F168" i="10" s="1"/>
  <c r="F167" i="10"/>
  <c r="D167" i="10"/>
  <c r="F166" i="10"/>
  <c r="D166" i="10"/>
  <c r="F165" i="10"/>
  <c r="D165" i="10"/>
  <c r="F164" i="10"/>
  <c r="D164" i="10"/>
  <c r="N163" i="10"/>
  <c r="N164" i="10" s="1"/>
  <c r="N165" i="10" s="1"/>
  <c r="N166" i="10" s="1"/>
  <c r="N167" i="10" s="1"/>
  <c r="N168" i="10" s="1"/>
  <c r="N169" i="10" s="1"/>
  <c r="K163" i="10"/>
  <c r="J163" i="10"/>
  <c r="F163" i="10"/>
  <c r="D163" i="10"/>
  <c r="I162" i="10"/>
  <c r="G162" i="10"/>
  <c r="D162" i="10"/>
  <c r="F162" i="10" s="1"/>
  <c r="O161" i="10"/>
  <c r="E153" i="10"/>
  <c r="C151" i="10"/>
  <c r="C150" i="10"/>
  <c r="F146" i="10"/>
  <c r="I137" i="10"/>
  <c r="J127" i="10"/>
  <c r="J126" i="10"/>
  <c r="J125" i="10"/>
  <c r="J124" i="10"/>
  <c r="C114" i="10"/>
  <c r="J111" i="10"/>
  <c r="J110" i="10"/>
  <c r="J109" i="10"/>
  <c r="J108" i="10"/>
  <c r="C98" i="10"/>
  <c r="C84" i="10"/>
  <c r="C68" i="10"/>
  <c r="C47" i="10"/>
  <c r="E42" i="10"/>
  <c r="E41" i="10"/>
  <c r="I40" i="10"/>
  <c r="E25" i="10"/>
  <c r="E23" i="10"/>
  <c r="C14" i="10"/>
  <c r="E7" i="10"/>
  <c r="E3" i="10"/>
  <c r="P243" i="10"/>
  <c r="O275" i="10"/>
  <c r="O244" i="10"/>
  <c r="O162" i="10"/>
  <c r="O281" i="10"/>
  <c r="O258" i="10"/>
  <c r="H69" i="10"/>
  <c r="O198" i="10"/>
  <c r="O251" i="10"/>
  <c r="P274" i="10"/>
  <c r="P197" i="10"/>
  <c r="O207" i="10"/>
  <c r="H99" i="10"/>
  <c r="O218" i="10"/>
  <c r="O189" i="10"/>
  <c r="O171" i="10"/>
  <c r="O268" i="10"/>
  <c r="P217" i="10"/>
  <c r="P161" i="10"/>
  <c r="P267" i="10"/>
  <c r="P280" i="10"/>
  <c r="H85" i="10"/>
  <c r="O226" i="10"/>
  <c r="H115" i="10"/>
  <c r="O234" i="10"/>
  <c r="O180" i="10"/>
  <c r="I12" i="13" l="1"/>
  <c r="D38" i="13"/>
  <c r="D39" i="13" s="1"/>
  <c r="D40" i="13" s="1"/>
  <c r="D41" i="13" s="1"/>
  <c r="D42" i="13" s="1"/>
  <c r="D18" i="13"/>
  <c r="D19" i="13" s="1"/>
  <c r="D20" i="13" s="1"/>
  <c r="G149" i="10"/>
  <c r="D34" i="14"/>
  <c r="D36" i="14" s="1"/>
  <c r="E36" i="14"/>
  <c r="I44" i="13"/>
  <c r="E151" i="10"/>
  <c r="F244" i="10"/>
  <c r="G152" i="10" s="1"/>
  <c r="F270" i="10"/>
  <c r="G153" i="10" s="1"/>
  <c r="H10" i="13"/>
  <c r="H12" i="13" s="1"/>
  <c r="F24" i="13"/>
  <c r="H38" i="13"/>
  <c r="B38" i="13" s="1"/>
  <c r="B39" i="13" s="1"/>
  <c r="B40" i="13" s="1"/>
  <c r="B41" i="13" s="1"/>
  <c r="B42" i="13" s="1"/>
  <c r="C149" i="10"/>
  <c r="F21" i="13"/>
  <c r="E149" i="10"/>
  <c r="E154" i="10" s="1"/>
  <c r="C152" i="10"/>
  <c r="H9" i="13"/>
  <c r="H20" i="13"/>
  <c r="H39" i="13"/>
  <c r="H44" i="13" s="1"/>
  <c r="O172" i="10"/>
  <c r="L171" i="10"/>
  <c r="D129" i="10"/>
  <c r="K128" i="10"/>
  <c r="D126" i="10"/>
  <c r="D123" i="10"/>
  <c r="E120" i="10"/>
  <c r="D128" i="10"/>
  <c r="K125" i="10"/>
  <c r="K122" i="10"/>
  <c r="J122" i="10"/>
  <c r="J123" i="10" s="1"/>
  <c r="J128" i="10" s="1"/>
  <c r="J129" i="10" s="1"/>
  <c r="C120" i="10" s="1"/>
  <c r="K126" i="10"/>
  <c r="K123" i="10"/>
  <c r="J120" i="10"/>
  <c r="D127" i="10"/>
  <c r="D121" i="10"/>
  <c r="J119" i="10"/>
  <c r="D125" i="10"/>
  <c r="D124" i="10"/>
  <c r="K127" i="10"/>
  <c r="D122" i="10"/>
  <c r="J121" i="10"/>
  <c r="O252" i="10"/>
  <c r="L251" i="10"/>
  <c r="O181" i="10"/>
  <c r="L180" i="10"/>
  <c r="L258" i="10"/>
  <c r="O259" i="10"/>
  <c r="O269" i="10"/>
  <c r="O199" i="10"/>
  <c r="K81" i="10"/>
  <c r="D77" i="10"/>
  <c r="D80" i="10"/>
  <c r="D81" i="10"/>
  <c r="K76" i="10"/>
  <c r="K80" i="10"/>
  <c r="D76" i="10"/>
  <c r="D82" i="10"/>
  <c r="K77" i="10"/>
  <c r="C74" i="10" s="1"/>
  <c r="D74" i="10" s="1"/>
  <c r="K79" i="10"/>
  <c r="D79" i="10"/>
  <c r="D78" i="10"/>
  <c r="D83" i="10"/>
  <c r="K82" i="10"/>
  <c r="C75" i="10" s="1"/>
  <c r="D75" i="10" s="1"/>
  <c r="K95" i="10"/>
  <c r="D91" i="10"/>
  <c r="D94" i="10"/>
  <c r="D95" i="10"/>
  <c r="K90" i="10"/>
  <c r="K94" i="10"/>
  <c r="D90" i="10"/>
  <c r="D96" i="10"/>
  <c r="K91" i="10"/>
  <c r="C88" i="10" s="1"/>
  <c r="D88" i="10" s="1"/>
  <c r="D93" i="10"/>
  <c r="D92" i="10"/>
  <c r="D97" i="10"/>
  <c r="K96" i="10"/>
  <c r="C89" i="10" s="1"/>
  <c r="D89" i="10" s="1"/>
  <c r="K93" i="10"/>
  <c r="D111" i="10"/>
  <c r="D108" i="10"/>
  <c r="J105" i="10"/>
  <c r="C104" i="10" s="1"/>
  <c r="D104" i="10" s="1"/>
  <c r="J103" i="10"/>
  <c r="K112" i="10"/>
  <c r="J104" i="10"/>
  <c r="K110" i="10"/>
  <c r="K107" i="10"/>
  <c r="D107" i="10"/>
  <c r="D113" i="10"/>
  <c r="D110" i="10"/>
  <c r="C106" i="10"/>
  <c r="D106" i="10" s="1"/>
  <c r="D109" i="10"/>
  <c r="K109" i="10"/>
  <c r="D112" i="10"/>
  <c r="K106" i="10"/>
  <c r="K111" i="10"/>
  <c r="J106" i="10"/>
  <c r="J107" i="10" s="1"/>
  <c r="J112" i="10" s="1"/>
  <c r="J113" i="10" s="1"/>
  <c r="C105" i="10" s="1"/>
  <c r="O163" i="10"/>
  <c r="O190" i="10"/>
  <c r="L189" i="10"/>
  <c r="O245" i="10"/>
  <c r="L207" i="10"/>
  <c r="O208" i="10"/>
  <c r="O276" i="10"/>
  <c r="O282" i="10"/>
  <c r="O227" i="10"/>
  <c r="L226" i="10"/>
  <c r="O219" i="10"/>
  <c r="L234" i="10"/>
  <c r="O235" i="10"/>
  <c r="P244" i="10"/>
  <c r="P275" i="10"/>
  <c r="P162" i="10"/>
  <c r="P218" i="10"/>
  <c r="P198" i="10"/>
  <c r="P268" i="10"/>
  <c r="P281" i="10"/>
  <c r="I114" i="10" l="1"/>
  <c r="C117" i="10"/>
  <c r="G154" i="10"/>
  <c r="I21" i="13"/>
  <c r="H21" i="13"/>
  <c r="H27" i="13" s="1"/>
  <c r="C154" i="10"/>
  <c r="B20" i="13"/>
  <c r="I24" i="13"/>
  <c r="H24" i="13"/>
  <c r="P282" i="10"/>
  <c r="P283" i="10" s="1"/>
  <c r="P284" i="10" s="1"/>
  <c r="P285" i="10" s="1"/>
  <c r="P286" i="10" s="1"/>
  <c r="L281" i="10"/>
  <c r="P269" i="10"/>
  <c r="P270" i="10" s="1"/>
  <c r="P271" i="10" s="1"/>
  <c r="P272" i="10" s="1"/>
  <c r="P273" i="10" s="1"/>
  <c r="L268" i="10"/>
  <c r="P163" i="10"/>
  <c r="P164" i="10" s="1"/>
  <c r="P165" i="10" s="1"/>
  <c r="P166" i="10" s="1"/>
  <c r="P167" i="10" s="1"/>
  <c r="P168" i="10" s="1"/>
  <c r="P169" i="10" s="1"/>
  <c r="L162" i="10"/>
  <c r="P276" i="10"/>
  <c r="P277" i="10" s="1"/>
  <c r="P278" i="10" s="1"/>
  <c r="P279" i="10" s="1"/>
  <c r="L275" i="10"/>
  <c r="P199" i="10"/>
  <c r="P200" i="10" s="1"/>
  <c r="P201" i="10" s="1"/>
  <c r="P202" i="10" s="1"/>
  <c r="P203" i="10" s="1"/>
  <c r="P204" i="10" s="1"/>
  <c r="P205" i="10" s="1"/>
  <c r="L198" i="10"/>
  <c r="P245" i="10"/>
  <c r="P246" i="10" s="1"/>
  <c r="P247" i="10" s="1"/>
  <c r="P248" i="10" s="1"/>
  <c r="P249" i="10" s="1"/>
  <c r="L244" i="10"/>
  <c r="P219" i="10"/>
  <c r="P220" i="10" s="1"/>
  <c r="P221" i="10" s="1"/>
  <c r="P222" i="10" s="1"/>
  <c r="P223" i="10" s="1"/>
  <c r="P224" i="10" s="1"/>
  <c r="L218" i="10"/>
  <c r="E104" i="10"/>
  <c r="D105" i="10"/>
  <c r="G120" i="10"/>
  <c r="G117" i="10" s="1"/>
  <c r="D120" i="10"/>
  <c r="L227" i="10"/>
  <c r="O228" i="10"/>
  <c r="L181" i="10"/>
  <c r="O182" i="10"/>
  <c r="O236" i="10"/>
  <c r="L235" i="10"/>
  <c r="O283" i="10"/>
  <c r="O246" i="10"/>
  <c r="O270" i="10"/>
  <c r="O200" i="10"/>
  <c r="O209" i="10"/>
  <c r="L208" i="10"/>
  <c r="O220" i="10"/>
  <c r="O277" i="10"/>
  <c r="O191" i="10"/>
  <c r="L190" i="10"/>
  <c r="G104" i="10"/>
  <c r="G101" i="10" s="1"/>
  <c r="L259" i="10"/>
  <c r="O260" i="10"/>
  <c r="L252" i="10"/>
  <c r="O253" i="10"/>
  <c r="O164" i="10"/>
  <c r="I84" i="10"/>
  <c r="C86" i="10" s="1"/>
  <c r="E88" i="10" s="1"/>
  <c r="G88" i="10"/>
  <c r="I68" i="10"/>
  <c r="E74" i="10" s="1"/>
  <c r="C71" i="10" s="1"/>
  <c r="G74" i="10"/>
  <c r="G71" i="10" s="1"/>
  <c r="O173" i="10"/>
  <c r="L172" i="10"/>
  <c r="I98" i="10" l="1"/>
  <c r="C101" i="10"/>
  <c r="B21" i="13"/>
  <c r="B22" i="13" s="1"/>
  <c r="B23" i="13" s="1"/>
  <c r="B24" i="13" s="1"/>
  <c r="B25" i="13" s="1"/>
  <c r="I27" i="13"/>
  <c r="D21" i="13"/>
  <c r="D22" i="13" s="1"/>
  <c r="D23" i="13" s="1"/>
  <c r="D24" i="13" s="1"/>
  <c r="D25" i="13" s="1"/>
  <c r="L269" i="10"/>
  <c r="L163" i="10"/>
  <c r="L199" i="10"/>
  <c r="L219" i="10"/>
  <c r="O284" i="10"/>
  <c r="L283" i="10"/>
  <c r="L182" i="10"/>
  <c r="O183" i="10"/>
  <c r="O254" i="10"/>
  <c r="L253" i="10"/>
  <c r="L276" i="10"/>
  <c r="O271" i="10"/>
  <c r="L270" i="10"/>
  <c r="O192" i="10"/>
  <c r="L191" i="10"/>
  <c r="O201" i="10"/>
  <c r="L200" i="10"/>
  <c r="L236" i="10"/>
  <c r="O237" i="10"/>
  <c r="L164" i="10"/>
  <c r="O165" i="10"/>
  <c r="O278" i="10"/>
  <c r="L277" i="10"/>
  <c r="L173" i="10"/>
  <c r="O174" i="10"/>
  <c r="L245" i="10"/>
  <c r="L228" i="10"/>
  <c r="O229" i="10"/>
  <c r="L260" i="10"/>
  <c r="O261" i="10"/>
  <c r="O221" i="10"/>
  <c r="L220" i="10"/>
  <c r="O247" i="10"/>
  <c r="L246" i="10"/>
  <c r="F130" i="10"/>
  <c r="D67" i="10"/>
  <c r="L282" i="10"/>
  <c r="L209" i="10"/>
  <c r="O210" i="10"/>
  <c r="O272" i="10" l="1"/>
  <c r="L271" i="10"/>
  <c r="O166" i="10"/>
  <c r="L165" i="10"/>
  <c r="O285" i="10"/>
  <c r="L284" i="10"/>
  <c r="L229" i="10"/>
  <c r="O230" i="10"/>
  <c r="L237" i="10"/>
  <c r="O238" i="10"/>
  <c r="L247" i="10"/>
  <c r="O248" i="10"/>
  <c r="L174" i="10"/>
  <c r="O175" i="10"/>
  <c r="L254" i="10"/>
  <c r="O255" i="10"/>
  <c r="O202" i="10"/>
  <c r="L201" i="10"/>
  <c r="O184" i="10"/>
  <c r="L183" i="10"/>
  <c r="L210" i="10"/>
  <c r="O211" i="10"/>
  <c r="O222" i="10"/>
  <c r="L221" i="10"/>
  <c r="O262" i="10"/>
  <c r="L261" i="10"/>
  <c r="O279" i="10"/>
  <c r="L279" i="10" s="1"/>
  <c r="L278" i="10"/>
  <c r="L192" i="10"/>
  <c r="O193" i="10"/>
  <c r="L230" i="10" l="1"/>
  <c r="O231" i="10"/>
  <c r="O263" i="10"/>
  <c r="L263" i="10" s="1"/>
  <c r="L262" i="10"/>
  <c r="O256" i="10"/>
  <c r="L256" i="10" s="1"/>
  <c r="L255" i="10"/>
  <c r="O223" i="10"/>
  <c r="L222" i="10"/>
  <c r="L193" i="10"/>
  <c r="O194" i="10"/>
  <c r="L211" i="10"/>
  <c r="O212" i="10"/>
  <c r="O176" i="10"/>
  <c r="L175" i="10"/>
  <c r="O286" i="10"/>
  <c r="L286" i="10" s="1"/>
  <c r="L285" i="10"/>
  <c r="L202" i="10"/>
  <c r="O203" i="10"/>
  <c r="L248" i="10"/>
  <c r="O249" i="10"/>
  <c r="L249" i="10" s="1"/>
  <c r="O185" i="10"/>
  <c r="L184" i="10"/>
  <c r="O167" i="10"/>
  <c r="L166" i="10"/>
  <c r="O239" i="10"/>
  <c r="L238" i="10"/>
  <c r="O273" i="10"/>
  <c r="L273" i="10" s="1"/>
  <c r="L272" i="10"/>
  <c r="O224" i="10" l="1"/>
  <c r="L224" i="10" s="1"/>
  <c r="L223" i="10"/>
  <c r="O177" i="10"/>
  <c r="L176" i="10"/>
  <c r="L212" i="10"/>
  <c r="O213" i="10"/>
  <c r="L185" i="10"/>
  <c r="O186" i="10"/>
  <c r="L239" i="10"/>
  <c r="O240" i="10"/>
  <c r="L240" i="10" s="1"/>
  <c r="L167" i="10"/>
  <c r="O168" i="10"/>
  <c r="O204" i="10"/>
  <c r="L203" i="10"/>
  <c r="O195" i="10"/>
  <c r="L194" i="10"/>
  <c r="O232" i="10"/>
  <c r="L232" i="10" s="1"/>
  <c r="L231" i="10"/>
  <c r="L168" i="10" l="1"/>
  <c r="O169" i="10"/>
  <c r="L169" i="10" s="1"/>
  <c r="L177" i="10"/>
  <c r="O178" i="10"/>
  <c r="L178" i="10" s="1"/>
  <c r="L186" i="10"/>
  <c r="O187" i="10"/>
  <c r="L187" i="10" s="1"/>
  <c r="O214" i="10"/>
  <c r="L214" i="10" s="1"/>
  <c r="L213" i="10"/>
  <c r="L195" i="10"/>
  <c r="O196" i="10"/>
  <c r="L196" i="10" s="1"/>
  <c r="O205" i="10"/>
  <c r="L205" i="10" s="1"/>
  <c r="L204" i="10"/>
</calcChain>
</file>

<file path=xl/comments1.xml><?xml version="1.0" encoding="utf-8"?>
<comments xmlns="http://schemas.openxmlformats.org/spreadsheetml/2006/main">
  <authors>
    <author xml:space="preserve"> </author>
  </authors>
  <commentList>
    <comment ref="F4" authorId="0" shapeId="0">
      <text>
        <r>
          <rPr>
            <sz val="10"/>
            <rFont val="Arial"/>
            <family val="2"/>
          </rPr>
          <t>No of habitable floors</t>
        </r>
      </text>
    </comment>
    <comment ref="F6" authorId="0" shapeId="0">
      <text>
        <r>
          <rPr>
            <sz val="10"/>
            <rFont val="Arial"/>
            <family val="2"/>
          </rPr>
          <t>No of RCC slabs including podiums</t>
        </r>
      </text>
    </comment>
    <comment ref="G6" authorId="0" shapeId="0">
      <text>
        <r>
          <rPr>
            <sz val="10"/>
            <rFont val="Arial"/>
            <family val="2"/>
          </rPr>
          <t>No of constructed RCC slabs including podium</t>
        </r>
      </text>
    </comment>
    <comment ref="F17" authorId="0" shapeId="0">
      <text>
        <r>
          <rPr>
            <sz val="10"/>
            <rFont val="Arial"/>
            <family val="2"/>
          </rPr>
          <t>No of habitable floors</t>
        </r>
      </text>
    </comment>
    <comment ref="F19" authorId="0" shapeId="0">
      <text>
        <r>
          <rPr>
            <sz val="10"/>
            <rFont val="Arial"/>
            <family val="2"/>
          </rPr>
          <t>No of RCC slabs including podiums</t>
        </r>
      </text>
    </comment>
    <comment ref="G19" authorId="0" shapeId="0">
      <text>
        <r>
          <rPr>
            <sz val="10"/>
            <rFont val="Arial"/>
            <family val="2"/>
          </rPr>
          <t>No of constructed RCC slabs including podium</t>
        </r>
      </text>
    </comment>
    <comment ref="F34" authorId="0" shapeId="0">
      <text>
        <r>
          <rPr>
            <sz val="10"/>
            <rFont val="Arial"/>
            <family val="2"/>
          </rPr>
          <t>No of habitable floors</t>
        </r>
      </text>
    </comment>
    <comment ref="F36" authorId="0" shapeId="0">
      <text>
        <r>
          <rPr>
            <sz val="10"/>
            <rFont val="Arial"/>
            <family val="2"/>
          </rPr>
          <t>No of RCC slabs including podiums</t>
        </r>
      </text>
    </comment>
    <comment ref="G36" authorId="0" shapeId="0">
      <text>
        <r>
          <rPr>
            <sz val="10"/>
            <rFont val="Arial"/>
            <family val="2"/>
          </rPr>
          <t>No of constructed RCC slabs including podium</t>
        </r>
      </text>
    </comment>
  </commentList>
</comments>
</file>

<file path=xl/sharedStrings.xml><?xml version="1.0" encoding="utf-8"?>
<sst xmlns="http://schemas.openxmlformats.org/spreadsheetml/2006/main" count="699" uniqueCount="297">
  <si>
    <t>Office No. 1031, Wing J, Akshar Business Park, Plot No. 03 Sector 25, Near APMC Market, 
Vashi, Navi Mumbai, Maharashtra 400703 TEL: 022-46090378/79/8
E mail : vsjcapf@gmail.com. Web site : www.vsjadon.com</t>
  </si>
  <si>
    <t xml:space="preserve">Valuation Report </t>
  </si>
  <si>
    <t>Date:</t>
  </si>
  <si>
    <t>CPC Name:</t>
  </si>
  <si>
    <t>Axis Goregaon</t>
  </si>
  <si>
    <t>Date Of Property Visit</t>
  </si>
  <si>
    <t>Name of the builder group</t>
  </si>
  <si>
    <t>M/s. Poonam Skyline Construction</t>
  </si>
  <si>
    <t>Name of the builder company</t>
  </si>
  <si>
    <t>Name of the Project</t>
  </si>
  <si>
    <t>Poonam Imperia Phase I</t>
  </si>
  <si>
    <t>Contact Details ( Name &amp; Contact No.)</t>
  </si>
  <si>
    <t>Mr.Suresh - 9967912121</t>
  </si>
  <si>
    <t>Site Meet Person Contact Details ( Name &amp; Contact No.)</t>
  </si>
  <si>
    <t>Name / No of the Building</t>
  </si>
  <si>
    <t>Building No.1 - Wing A, B, C 
Building No.3 (MHADA) - Wing H</t>
  </si>
  <si>
    <t>Docouments Provided</t>
  </si>
  <si>
    <t>Approved Plans, CC, Sale Plans, Cost Sheet</t>
  </si>
  <si>
    <t>RERA No.</t>
  </si>
  <si>
    <t xml:space="preserve">P99000017908
</t>
  </si>
  <si>
    <t xml:space="preserve">Project location details       </t>
  </si>
  <si>
    <t>Survey No</t>
  </si>
  <si>
    <t>27, H.No.3A</t>
  </si>
  <si>
    <t>Road</t>
  </si>
  <si>
    <t>Vitthal Mandir Road</t>
  </si>
  <si>
    <t>Locality/Village</t>
  </si>
  <si>
    <t>Waliv</t>
  </si>
  <si>
    <t>City</t>
  </si>
  <si>
    <t>Vasai</t>
  </si>
  <si>
    <t>District</t>
  </si>
  <si>
    <t>Palghar</t>
  </si>
  <si>
    <t>Taluka</t>
  </si>
  <si>
    <t>Pin Code</t>
  </si>
  <si>
    <t>Nearby Landmark</t>
  </si>
  <si>
    <t>Hayaat garden</t>
  </si>
  <si>
    <t xml:space="preserve">Distance from city centre: </t>
  </si>
  <si>
    <t>7.3Km from Vasai Railway Station</t>
  </si>
  <si>
    <t>Accessibility to the Project from the City: (Proximity to civic amenities like school, hospital, market, etc.)</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</si>
  <si>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</si>
  <si>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</si>
  <si>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</si>
  <si>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</si>
  <si>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</si>
  <si>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</si>
  <si>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</si>
  <si>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</si>
  <si>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</si>
  <si>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Type of Structure</t>
  </si>
  <si>
    <t>RCC Frame Structure</t>
  </si>
  <si>
    <t xml:space="preserve">Approved usage of the Property:                                                                                                                                             </t>
  </si>
  <si>
    <t xml:space="preserve">Residential </t>
  </si>
  <si>
    <t>Restrictive Covenants in regard to Land Use</t>
  </si>
  <si>
    <t>No</t>
  </si>
  <si>
    <t>Boundries</t>
  </si>
  <si>
    <t>As per deed</t>
  </si>
  <si>
    <t>At site</t>
  </si>
  <si>
    <t>East</t>
  </si>
  <si>
    <t>NA</t>
  </si>
  <si>
    <t>Hayat Garden</t>
  </si>
  <si>
    <t>West</t>
  </si>
  <si>
    <t>Internal Road</t>
  </si>
  <si>
    <t>North</t>
  </si>
  <si>
    <t>Dreams Valley</t>
  </si>
  <si>
    <t>South</t>
  </si>
  <si>
    <t>Does the boundaries at site match, as mentioned in the Docoumentation: NA</t>
  </si>
  <si>
    <t>Latitude,Longitude</t>
  </si>
  <si>
    <t>19.4215332769,72.86160573</t>
  </si>
  <si>
    <t>Location Link</t>
  </si>
  <si>
    <t>https://goo.gl/maps/kf8ULukEmJ629AAa7</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</si>
  <si>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</si>
  <si>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</si>
  <si>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</si>
  <si>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</si>
  <si>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</si>
  <si>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</si>
  <si>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</si>
  <si>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4 Wings</t>
  </si>
  <si>
    <t xml:space="preserve">Approval Detail : Plan approval </t>
  </si>
  <si>
    <t xml:space="preserve">Layout Approval No     </t>
  </si>
  <si>
    <t>VVCMC/TP/AMEND/VP/5155/291/2022-23</t>
  </si>
  <si>
    <t>Dated</t>
  </si>
  <si>
    <t>08/08/2022.</t>
  </si>
  <si>
    <r>
      <rPr>
        <sz val="12"/>
        <rFont val="Times New Roman"/>
        <family val="1"/>
      </rPr>
      <t xml:space="preserve">Approved Floor plan No. for
</t>
    </r>
    <r>
      <rPr>
        <b/>
        <sz val="12"/>
        <rFont val="Times New Roman"/>
        <family val="1"/>
      </rPr>
      <t>Bldg No.1 (Wing A)
Bldg No.3 (Wing H)</t>
    </r>
  </si>
  <si>
    <t>24/11/2020.</t>
  </si>
  <si>
    <r>
      <rPr>
        <sz val="12"/>
        <rFont val="Times New Roman"/>
        <family val="1"/>
      </rPr>
      <t xml:space="preserve">Approved Floor plan No. </t>
    </r>
    <r>
      <rPr>
        <b/>
        <sz val="12"/>
        <rFont val="Times New Roman"/>
        <family val="1"/>
      </rPr>
      <t>Bldg No.1 Wing B &amp; C</t>
    </r>
  </si>
  <si>
    <t>VVCMC/AMEND/BP/VP.5155/71/2018-19</t>
  </si>
  <si>
    <t>22/06/2018.</t>
  </si>
  <si>
    <r>
      <rPr>
        <sz val="12"/>
        <rFont val="Times New Roman"/>
        <family val="1"/>
      </rPr>
      <t xml:space="preserve">Approved Floor plan No. </t>
    </r>
    <r>
      <rPr>
        <b/>
        <sz val="12"/>
        <rFont val="Times New Roman"/>
        <family val="1"/>
      </rPr>
      <t>Bldg No.1 Wing A</t>
    </r>
  </si>
  <si>
    <t xml:space="preserve">Commencement Certificate No.
Valid Up to:  </t>
  </si>
  <si>
    <t>VVCMC/TP/RDP/VP-5155/291/2022-23</t>
  </si>
  <si>
    <r>
      <rPr>
        <b/>
        <u/>
        <sz val="12"/>
        <rFont val="Times New Roman"/>
        <family val="1"/>
      </rPr>
      <t>Building No.1</t>
    </r>
    <r>
      <rPr>
        <sz val="12"/>
        <rFont val="Times New Roman"/>
        <family val="1"/>
      </rPr>
      <t xml:space="preserve">
</t>
    </r>
    <r>
      <rPr>
        <b/>
        <sz val="12"/>
        <rFont val="Times New Roman"/>
        <family val="1"/>
      </rPr>
      <t>Wing A</t>
    </r>
    <r>
      <rPr>
        <sz val="12"/>
        <rFont val="Times New Roman"/>
        <family val="1"/>
      </rPr>
      <t xml:space="preserve"> = St + 3rd (Pt) to 14th Floor
</t>
    </r>
    <r>
      <rPr>
        <b/>
        <sz val="12"/>
        <rFont val="Times New Roman"/>
        <family val="1"/>
      </rPr>
      <t>Wing B &amp; C</t>
    </r>
    <r>
      <rPr>
        <sz val="12"/>
        <rFont val="Times New Roman"/>
        <family val="1"/>
      </rPr>
      <t xml:space="preserve"> = St + 1st to 14th Floor
</t>
    </r>
    <r>
      <rPr>
        <b/>
        <u/>
        <sz val="12"/>
        <rFont val="Times New Roman"/>
        <family val="1"/>
      </rPr>
      <t>Building No. 1 &amp; 3 (Mhada)</t>
    </r>
    <r>
      <rPr>
        <sz val="12"/>
        <rFont val="Times New Roman"/>
        <family val="1"/>
      </rPr>
      <t xml:space="preserve">
</t>
    </r>
    <r>
      <rPr>
        <b/>
        <sz val="12"/>
        <rFont val="Times New Roman"/>
        <family val="1"/>
      </rPr>
      <t>Wing A</t>
    </r>
    <r>
      <rPr>
        <sz val="12"/>
        <rFont val="Times New Roman"/>
        <family val="1"/>
      </rPr>
      <t xml:space="preserve"> = 1st to 3rd Floor (Pt)
</t>
    </r>
    <r>
      <rPr>
        <b/>
        <sz val="12"/>
        <rFont val="Times New Roman"/>
        <family val="1"/>
      </rPr>
      <t>Wing H</t>
    </r>
    <r>
      <rPr>
        <sz val="12"/>
        <rFont val="Times New Roman"/>
        <family val="1"/>
      </rPr>
      <t xml:space="preserve"> = Stilt + 1st to 7th Floor             </t>
    </r>
  </si>
  <si>
    <t xml:space="preserve">Date of approval: </t>
  </si>
  <si>
    <t>Building wise Construction details</t>
  </si>
  <si>
    <t>Approved no of units</t>
  </si>
  <si>
    <t>Sale Flats - 267, Mhada Flats = 62</t>
  </si>
  <si>
    <t>Approved no of Floors</t>
  </si>
  <si>
    <t>Building No.1 - Wing A = St + 1st to 14th Floor
Building No.1 - Wing B &amp; C = St + 1st to 14th Floor
Building No.3 (MHADA) - Wing H =  Stilt + 1st to 7th Floor</t>
  </si>
  <si>
    <t>Proposed no of Floors</t>
  </si>
  <si>
    <t>Building No.1 - Wing A = St + 1st to 14th Floor</t>
  </si>
  <si>
    <t>Building No.1 - Wing B &amp; C = St + 1st to 14th Floor</t>
  </si>
  <si>
    <t>Building No.3 (MHADA) - Wing H = St + 1st to 7th Floor</t>
  </si>
  <si>
    <t>Expected Completion</t>
  </si>
  <si>
    <t>Projected life of the structure</t>
  </si>
  <si>
    <t xml:space="preserve">Quality of construction: </t>
  </si>
  <si>
    <t xml:space="preserve">Material laying at Site: </t>
  </si>
  <si>
    <t>Construction details:</t>
  </si>
  <si>
    <t>Ground</t>
  </si>
  <si>
    <t>Podium</t>
  </si>
  <si>
    <t>Floors</t>
  </si>
  <si>
    <t>All work Completed. Wait For OC.</t>
  </si>
  <si>
    <t xml:space="preserve">Stage of construction: </t>
  </si>
  <si>
    <t>All work Completed. Provide OC.</t>
  </si>
  <si>
    <t>Type of Work</t>
  </si>
  <si>
    <t>Slab/Floor</t>
  </si>
  <si>
    <t>Complition %</t>
  </si>
  <si>
    <t>Progress %</t>
  </si>
  <si>
    <t>Disbursement %</t>
  </si>
  <si>
    <t>All work Completed. OC Received.</t>
  </si>
  <si>
    <t>Excavation</t>
  </si>
  <si>
    <t>Plinth</t>
  </si>
  <si>
    <t>RCC (Including podiums)</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</si>
  <si>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</si>
  <si>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</si>
  <si>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</si>
  <si>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</si>
  <si>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</si>
  <si>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</si>
  <si>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</si>
  <si>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</si>
  <si>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</si>
  <si>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</si>
  <si>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</si>
  <si>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</si>
  <si>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</si>
  <si>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</si>
  <si>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</si>
  <si>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Basement</t>
  </si>
  <si>
    <t>Piling Work in process</t>
  </si>
  <si>
    <t>Basement 1</t>
  </si>
  <si>
    <t>Basement 2</t>
  </si>
  <si>
    <t>Basement 3</t>
  </si>
  <si>
    <t>Basement 4</t>
  </si>
  <si>
    <t xml:space="preserve">Wheather the construction is as per approved Building plan : </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</si>
  <si>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</si>
  <si>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</si>
  <si>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</si>
  <si>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</si>
  <si>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</si>
  <si>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Rate changed to 4600 from 4400 by floor rise removal on 26/10/2021</t>
  </si>
  <si>
    <t>Recommended rate of the shop Per Sq. Ft. ( on Saleable area)</t>
  </si>
  <si>
    <t>Recommended rate of the Office Per Sq. Ft. ( on Saleable area)</t>
  </si>
  <si>
    <t>Floor Rise Rate Per Sq.ft  ( on Saleable area)</t>
  </si>
  <si>
    <t>30/- Starts above 7th Floor</t>
  </si>
  <si>
    <t>Development Charges</t>
  </si>
  <si>
    <t>Club Charges</t>
  </si>
  <si>
    <t>Legal Services Charges</t>
  </si>
  <si>
    <t>Gas Connection Charges</t>
  </si>
  <si>
    <t>Water, Electricity, Drainages, Sewerage Connection</t>
  </si>
  <si>
    <t>Society Formation Charges</t>
  </si>
  <si>
    <t>Other Charges</t>
  </si>
  <si>
    <t>224000/-</t>
  </si>
  <si>
    <t xml:space="preserve">Recommended rate of Parking </t>
  </si>
  <si>
    <t>100000/-</t>
  </si>
  <si>
    <t>Distressed valuation of the Property</t>
  </si>
  <si>
    <t>Residential Area Details :</t>
  </si>
  <si>
    <t>Building &amp; Wing</t>
  </si>
  <si>
    <t>No. of Units</t>
  </si>
  <si>
    <t>Total Carpet Area</t>
  </si>
  <si>
    <t>Total Saleable Area</t>
  </si>
  <si>
    <t>Wing A</t>
  </si>
  <si>
    <t>MHADA</t>
  </si>
  <si>
    <t>Sale</t>
  </si>
  <si>
    <t>Wing B</t>
  </si>
  <si>
    <t>Wing C</t>
  </si>
  <si>
    <t>Building No.3 (MHADA)
(Wing H)</t>
  </si>
  <si>
    <t xml:space="preserve">Total </t>
  </si>
  <si>
    <t>Building details Floor Wise</t>
  </si>
  <si>
    <t xml:space="preserve">Details of Flats in Building   </t>
  </si>
  <si>
    <r>
      <rPr>
        <b/>
        <sz val="12"/>
        <color indexed="8"/>
        <rFont val="Times New Roman"/>
        <family val="1"/>
      </rPr>
      <t xml:space="preserve">Flat No.
</t>
    </r>
    <r>
      <rPr>
        <b/>
        <sz val="11"/>
        <color rgb="FF000000"/>
        <rFont val="Times New Roman"/>
        <family val="1"/>
      </rPr>
      <t>(Approved Plan)</t>
    </r>
  </si>
  <si>
    <t>Sale/ MHADA</t>
  </si>
  <si>
    <t>Description</t>
  </si>
  <si>
    <t>Gross Carpet area</t>
  </si>
  <si>
    <t>Attached Terrace area</t>
  </si>
  <si>
    <t>Saleable area
Loading :</t>
  </si>
  <si>
    <t>Floor</t>
  </si>
  <si>
    <t>Ground Floor for Parking</t>
  </si>
  <si>
    <t>1st &amp; 2nd Floor for Residential</t>
  </si>
  <si>
    <t>2BHK</t>
  </si>
  <si>
    <t xml:space="preserve"> &amp; </t>
  </si>
  <si>
    <t>1BHK</t>
  </si>
  <si>
    <t>3rd Floor</t>
  </si>
  <si>
    <t>4th to 7th, 9th to 11th, 13th &amp; 14th Floor</t>
  </si>
  <si>
    <t>8th &amp; 12th Floor (Part Refuge Area)</t>
  </si>
  <si>
    <t>-</t>
  </si>
  <si>
    <t>Refuge Area</t>
  </si>
  <si>
    <t>4th to 7th, 9th to 11th Floor</t>
  </si>
  <si>
    <t xml:space="preserve"> to </t>
  </si>
  <si>
    <t>8th Floor (Part Refuge Area)</t>
  </si>
  <si>
    <t>1st to 7th, 9th to 11th, 13th to 14thFloor</t>
  </si>
  <si>
    <t>12th Floor (Part Refuge Area)</t>
  </si>
  <si>
    <t>Building No.3 (MHADA)</t>
  </si>
  <si>
    <t>Wing H</t>
  </si>
  <si>
    <t>Stilt Floor for Parking</t>
  </si>
  <si>
    <t>1st to 4th &amp; 6th Floor for Residential</t>
  </si>
  <si>
    <t>5th Floor (Part Refuge Area)</t>
  </si>
  <si>
    <t xml:space="preserve">7th Floor </t>
  </si>
  <si>
    <t>1RK</t>
  </si>
  <si>
    <t xml:space="preserve">Remarks:  </t>
  </si>
  <si>
    <t>We considered  Saleable area  as per our calculation.</t>
  </si>
  <si>
    <t>We considered Carpet area as per Approved Plan.</t>
  </si>
  <si>
    <t>We considered Gross carpet area = Net carpet + Enclose balcony + D.B Area + F.B Area.</t>
  </si>
  <si>
    <t>Recommended rate should be considered as all inclusive rate if other charges are not mentioned. (Excluding GST &amp; other government Taxes).</t>
  </si>
  <si>
    <t>We have considered rate by verifying it from market inquire.</t>
  </si>
  <si>
    <t>Car parking is subjected to authentic documentation.</t>
  </si>
  <si>
    <t>On Site, we meet Ms. Anupriya - 9467912121.</t>
  </si>
  <si>
    <t>We have updated CC &amp; approved floor plan of Building No.3 (Wing H - MHADA) (on 07/10/2023)</t>
  </si>
  <si>
    <t>We have updated latest approved floor plans &amp; CC for Building No.1 (Wing A) (On 02/04/2024).</t>
  </si>
  <si>
    <t>We refer latest approved layout plan from Rera 03/04/2024.</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</si>
  <si>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</si>
  <si>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</si>
  <si>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</si>
  <si>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</si>
  <si>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</si>
  <si>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</si>
  <si>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</si>
  <si>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</si>
  <si>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Navnath Bhatkar</t>
  </si>
  <si>
    <t>Report By :</t>
  </si>
  <si>
    <t>Authorized Signatory
Name &amp; Seal of the agency</t>
  </si>
  <si>
    <t xml:space="preserve">PHOTOGRAPHS OF PROPERTY : 
</t>
  </si>
  <si>
    <t>19.4233525, 72.8608142</t>
  </si>
  <si>
    <t>Google Map :</t>
  </si>
  <si>
    <t>Actual Stage Provided by AXIS Bank</t>
  </si>
  <si>
    <t>Stage calculator as per Revised Valuation Manual</t>
  </si>
  <si>
    <t>Completed</t>
  </si>
  <si>
    <t>Net completed</t>
  </si>
  <si>
    <t>Recommended</t>
  </si>
  <si>
    <t>Net recommended</t>
  </si>
  <si>
    <t>No of floors in building</t>
  </si>
  <si>
    <t>No of constructed floors</t>
  </si>
  <si>
    <t>Completed (%)</t>
  </si>
  <si>
    <t>Recommended (%)</t>
  </si>
  <si>
    <t>External Plaster &amp; Plumbing &amp; Painting</t>
  </si>
  <si>
    <t>Final Stage (%)</t>
  </si>
  <si>
    <t>Split % by Asmita ---OK By Ajinkya</t>
  </si>
  <si>
    <t>ASMITA recommendation</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</si>
  <si>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</si>
  <si>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</si>
  <si>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</si>
  <si>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</si>
  <si>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</si>
  <si>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</si>
  <si>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</si>
  <si>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</si>
  <si>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</si>
  <si>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</si>
  <si>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</si>
  <si>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</si>
  <si>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</si>
  <si>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</si>
  <si>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</si>
  <si>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</si>
  <si>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</si>
  <si>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</si>
  <si>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</si>
  <si>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</si>
  <si>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</si>
  <si>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</si>
  <si>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</si>
  <si>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</si>
  <si>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</si>
  <si>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</si>
  <si>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</si>
  <si>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</si>
  <si>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</si>
  <si>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</si>
  <si>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</si>
  <si>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</si>
  <si>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</si>
  <si>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</si>
  <si>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</si>
  <si>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</si>
  <si>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sale Flats - 267, Mhada Flats = 62</t>
  </si>
  <si>
    <t xml:space="preserve">O. Certificate No.: 
</t>
  </si>
  <si>
    <t xml:space="preserve">Approved upto : </t>
  </si>
  <si>
    <t>We have updated approved OC for Building No. 1(Wing A) on 27/01/2025.</t>
  </si>
  <si>
    <t xml:space="preserve">VVCMC/TP/OC/VP-5155/34/FO/2024/APL/00052
</t>
  </si>
  <si>
    <t>4600 to 5000 By aakash Mote on 27/01/2025.</t>
  </si>
  <si>
    <t>Pooja</t>
  </si>
  <si>
    <t>VVCMC/TP/OC/VP-5155/PO/2024/APL/00013</t>
  </si>
  <si>
    <t>Building No.1 Wing B &amp; C = Gr/St + 1st to 14th Floor
Building No.3 (MHADA Bldg) Wing H = Gr/St + 1st to 7th Floor</t>
  </si>
  <si>
    <t>Building No. 1 Wing A = Gr + 1st to 14th Floor (Flats = 110)</t>
  </si>
  <si>
    <t>59 Years</t>
  </si>
  <si>
    <t>Wing A = All work completed. OC Received.
Wing B, C &amp; H = All work completed. OC Received.</t>
  </si>
  <si>
    <t>We have updated OC from rera for Wing B, C &amp; H (On 08/05/2025).</t>
  </si>
  <si>
    <t>RATE 5400 by AKASH MOTE VERBAL on 27/05/2025</t>
  </si>
  <si>
    <t>Recommended Rates/Other Charges of the Property have been revised on 27/01/2025 &amp; 27/05/2025.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</si>
</sst>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_(* #,##0_);_(* \(#,##0\);_(* &quot;-&quot;??_);_(@_)"/>
    <numFmt numFmtId="166" formatCode="0.0"/>
    <numFmt numFmtId="167" formatCode="dd\/mm\/yyyy"/>
  </numFmts>
  <fonts count="26">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b/>
      <sz val="15"/>
      <color rgb="FF000000"/>
      <name val="Calibri"/>
      <family val="2"/>
    </font>
    <font>
      <b/>
      <sz val="11"/>
      <name val="Arial"/>
      <family val="2"/>
    </font>
    <font>
      <b/>
      <sz val="10"/>
      <name val="Arial"/>
      <family val="2"/>
    </font>
    <font>
      <b/>
      <sz val="10"/>
      <color theme="0"/>
      <name val="Arial"/>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sz val="11"/>
      <color rgb="FF000000"/>
      <name val="Times New Roman"/>
      <family val="1"/>
    </font>
    <font>
      <b/>
      <sz val="11"/>
      <color indexed="8"/>
      <name val="Times New Roman"/>
      <family val="1"/>
    </font>
    <font>
      <sz val="10"/>
      <name val="Arial"/>
      <family val="2"/>
    </font>
    <font>
      <b/>
      <sz val="11"/>
      <color rgb="FF000000"/>
      <name val="Times New Roman"/>
      <family val="1"/>
    </font>
    <font>
      <b/>
      <u/>
      <sz val="12"/>
      <name val="Times New Roman"/>
      <family val="1"/>
    </font>
    <font>
      <sz val="11"/>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indexed="46"/>
        <bgColor indexed="22"/>
      </patternFill>
    </fill>
    <fill>
      <patternFill patternType="solid">
        <fgColor indexed="26"/>
        <bgColor indexed="9"/>
      </patternFill>
    </fill>
    <fill>
      <patternFill patternType="solid">
        <fgColor indexed="13"/>
        <bgColor indexed="34"/>
      </patternFill>
    </fill>
    <fill>
      <patternFill patternType="solid">
        <fgColor indexed="45"/>
        <bgColor indexed="29"/>
      </patternFill>
    </fill>
    <fill>
      <patternFill patternType="solid">
        <fgColor indexed="27"/>
        <bgColor indexed="41"/>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s>
  <cellStyleXfs count="14">
    <xf numFmtId="0" fontId="0" fillId="0" borderId="0"/>
    <xf numFmtId="0" fontId="19" fillId="0" borderId="0" applyNumberForma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 fillId="0" borderId="0"/>
    <xf numFmtId="0" fontId="25" fillId="0" borderId="0"/>
    <xf numFmtId="0" fontId="2" fillId="0" borderId="0"/>
    <xf numFmtId="0" fontId="2" fillId="0" borderId="0"/>
    <xf numFmtId="0" fontId="22" fillId="0" borderId="0"/>
    <xf numFmtId="0" fontId="2" fillId="0" borderId="0"/>
    <xf numFmtId="0" fontId="2" fillId="0" borderId="0"/>
    <xf numFmtId="9" fontId="25" fillId="0" borderId="0" applyFont="0" applyFill="0" applyBorder="0" applyAlignment="0" applyProtection="0"/>
  </cellStyleXfs>
  <cellXfs count="295">
    <xf numFmtId="0" fontId="0" fillId="0" borderId="0" xfId="0"/>
    <xf numFmtId="0" fontId="25" fillId="0" borderId="0" xfId="7"/>
    <xf numFmtId="0" fontId="1" fillId="0" borderId="0" xfId="5"/>
    <xf numFmtId="0" fontId="2" fillId="0" borderId="0" xfId="12"/>
    <xf numFmtId="0" fontId="3" fillId="0" borderId="1" xfId="12" applyFont="1" applyBorder="1" applyAlignment="1">
      <alignment horizontal="center" vertical="top" wrapText="1"/>
    </xf>
    <xf numFmtId="0" fontId="2" fillId="0" borderId="1" xfId="12" applyBorder="1" applyAlignment="1">
      <alignment horizontal="center" vertical="center"/>
    </xf>
    <xf numFmtId="0" fontId="2" fillId="0" borderId="1" xfId="12" applyBorder="1" applyAlignment="1">
      <alignment horizontal="left" vertical="center"/>
    </xf>
    <xf numFmtId="1" fontId="2" fillId="0" borderId="1" xfId="12" applyNumberFormat="1" applyBorder="1" applyAlignment="1">
      <alignment horizontal="center" vertical="center"/>
    </xf>
    <xf numFmtId="165" fontId="2" fillId="0" borderId="1" xfId="3" applyNumberFormat="1" applyFont="1" applyBorder="1" applyAlignment="1">
      <alignment horizontal="right" vertical="center"/>
    </xf>
    <xf numFmtId="0" fontId="2" fillId="0" borderId="1" xfId="12" applyBorder="1" applyAlignment="1">
      <alignment horizontal="left" vertical="center" wrapText="1"/>
    </xf>
    <xf numFmtId="0" fontId="3" fillId="0" borderId="1" xfId="12" applyFont="1" applyBorder="1" applyAlignment="1">
      <alignment horizontal="center" vertical="center"/>
    </xf>
    <xf numFmtId="1" fontId="4" fillId="0" borderId="1" xfId="12" applyNumberFormat="1" applyFont="1" applyBorder="1" applyAlignment="1">
      <alignment horizontal="center" vertical="center"/>
    </xf>
    <xf numFmtId="0" fontId="1" fillId="0" borderId="1" xfId="5" applyBorder="1" applyAlignment="1">
      <alignment horizontal="center" vertical="center"/>
    </xf>
    <xf numFmtId="0" fontId="5" fillId="0" borderId="0" xfId="5" applyFont="1"/>
    <xf numFmtId="0" fontId="25" fillId="2" borderId="1" xfId="7" applyFill="1" applyBorder="1"/>
    <xf numFmtId="0" fontId="25" fillId="0" borderId="2" xfId="7" applyBorder="1"/>
    <xf numFmtId="0" fontId="3" fillId="0" borderId="1" xfId="7" applyFont="1" applyBorder="1"/>
    <xf numFmtId="0" fontId="3" fillId="0" borderId="1" xfId="7" applyFont="1" applyBorder="1" applyAlignment="1">
      <alignment horizontal="center"/>
    </xf>
    <xf numFmtId="0" fontId="25" fillId="0" borderId="1" xfId="7" applyBorder="1"/>
    <xf numFmtId="0" fontId="8" fillId="3" borderId="4" xfId="7" applyFont="1" applyFill="1" applyBorder="1" applyAlignment="1">
      <alignment horizontal="left" vertical="top" wrapText="1"/>
    </xf>
    <xf numFmtId="0" fontId="8" fillId="4" borderId="4" xfId="7" applyFont="1" applyFill="1" applyBorder="1" applyAlignment="1">
      <alignment horizontal="center" vertical="top" wrapText="1"/>
    </xf>
    <xf numFmtId="0" fontId="8" fillId="4" borderId="4" xfId="7" applyFont="1" applyFill="1" applyBorder="1" applyAlignment="1" applyProtection="1">
      <alignment horizontal="center" vertical="top" wrapText="1"/>
      <protection locked="0"/>
    </xf>
    <xf numFmtId="0" fontId="8" fillId="3" borderId="4" xfId="7" applyFont="1" applyFill="1" applyBorder="1" applyAlignment="1">
      <alignment horizontal="center" vertical="center" wrapText="1"/>
    </xf>
    <xf numFmtId="0" fontId="8" fillId="4" borderId="4" xfId="7" applyFont="1" applyFill="1" applyBorder="1" applyAlignment="1">
      <alignment horizontal="center" vertical="center" wrapText="1"/>
    </xf>
    <xf numFmtId="0" fontId="8" fillId="5" borderId="4" xfId="7" applyFont="1" applyFill="1" applyBorder="1" applyAlignment="1" applyProtection="1">
      <alignment horizontal="center" vertical="center" wrapText="1"/>
      <protection locked="0"/>
    </xf>
    <xf numFmtId="0" fontId="8" fillId="6" borderId="4" xfId="7" applyFont="1" applyFill="1" applyBorder="1" applyAlignment="1" applyProtection="1">
      <alignment horizontal="center" vertical="center" wrapText="1"/>
      <protection locked="0"/>
    </xf>
    <xf numFmtId="166" fontId="8" fillId="4" borderId="4" xfId="7" applyNumberFormat="1" applyFont="1" applyFill="1" applyBorder="1" applyAlignment="1">
      <alignment horizontal="center" vertical="center" wrapText="1"/>
    </xf>
    <xf numFmtId="0" fontId="9" fillId="3" borderId="4" xfId="7" applyFont="1" applyFill="1" applyBorder="1" applyAlignment="1">
      <alignment horizontal="center" vertical="center" wrapText="1"/>
    </xf>
    <xf numFmtId="0" fontId="8" fillId="0" borderId="4" xfId="7" applyFont="1" applyBorder="1" applyAlignment="1">
      <alignment horizontal="center" vertical="center" wrapText="1"/>
    </xf>
    <xf numFmtId="0" fontId="8" fillId="7" borderId="4" xfId="7" applyFont="1" applyFill="1" applyBorder="1" applyAlignment="1">
      <alignment horizontal="center" vertical="center" wrapText="1"/>
    </xf>
    <xf numFmtId="1" fontId="8" fillId="7" borderId="4" xfId="7" applyNumberFormat="1" applyFont="1" applyFill="1" applyBorder="1" applyAlignment="1">
      <alignment horizontal="center" vertical="center" wrapText="1"/>
    </xf>
    <xf numFmtId="0" fontId="8" fillId="4" borderId="4" xfId="7" applyFont="1" applyFill="1" applyBorder="1" applyAlignment="1" applyProtection="1">
      <alignment horizontal="center" vertical="center" wrapText="1"/>
      <protection locked="0"/>
    </xf>
    <xf numFmtId="1" fontId="8" fillId="4" borderId="4" xfId="7" applyNumberFormat="1" applyFont="1" applyFill="1" applyBorder="1" applyAlignment="1">
      <alignment horizontal="center" vertical="center" wrapText="1"/>
    </xf>
    <xf numFmtId="0" fontId="25" fillId="2" borderId="0" xfId="7" applyFill="1"/>
    <xf numFmtId="166" fontId="8" fillId="4" borderId="4" xfId="7" applyNumberFormat="1" applyFont="1" applyFill="1" applyBorder="1" applyAlignment="1">
      <alignment horizontal="center" vertical="top" wrapText="1"/>
    </xf>
    <xf numFmtId="0" fontId="10" fillId="0" borderId="0" xfId="9" applyFont="1"/>
    <xf numFmtId="0" fontId="11" fillId="0" borderId="0" xfId="9" applyFont="1"/>
    <xf numFmtId="0" fontId="12" fillId="0" borderId="0" xfId="9" applyFont="1"/>
    <xf numFmtId="0" fontId="13" fillId="0" borderId="0" xfId="4" applyFont="1"/>
    <xf numFmtId="0" fontId="14" fillId="0" borderId="0" xfId="7" applyFont="1" applyAlignment="1">
      <alignment horizontal="center" vertical="center"/>
    </xf>
    <xf numFmtId="0" fontId="15" fillId="0" borderId="0" xfId="7" applyFont="1" applyAlignment="1">
      <alignment horizontal="center" vertical="center"/>
    </xf>
    <xf numFmtId="0" fontId="14" fillId="0" borderId="0" xfId="9" applyFont="1" applyAlignment="1">
      <alignment horizontal="center" vertical="center"/>
    </xf>
    <xf numFmtId="0" fontId="14" fillId="0" borderId="0" xfId="9" applyFont="1" applyProtection="1">
      <protection locked="0"/>
    </xf>
    <xf numFmtId="0" fontId="14" fillId="0" borderId="0" xfId="9" applyFont="1"/>
    <xf numFmtId="0" fontId="11" fillId="0" borderId="1" xfId="9" applyFont="1" applyBorder="1" applyAlignment="1" applyProtection="1">
      <alignment horizontal="center" vertical="top"/>
      <protection locked="0"/>
    </xf>
    <xf numFmtId="0" fontId="11" fillId="8" borderId="1" xfId="9" applyFont="1" applyFill="1" applyBorder="1" applyAlignment="1" applyProtection="1">
      <alignment horizontal="left" vertical="top"/>
      <protection locked="0"/>
    </xf>
    <xf numFmtId="0" fontId="11" fillId="8" borderId="1" xfId="9" applyFont="1" applyFill="1" applyBorder="1" applyAlignment="1" applyProtection="1">
      <alignment vertical="top"/>
      <protection locked="0"/>
    </xf>
    <xf numFmtId="0" fontId="18" fillId="8" borderId="1" xfId="9" applyFont="1" applyFill="1" applyBorder="1" applyAlignment="1" applyProtection="1">
      <alignment horizontal="left" vertical="top"/>
      <protection locked="0"/>
    </xf>
    <xf numFmtId="1" fontId="14" fillId="0" borderId="0" xfId="9" applyNumberFormat="1" applyFont="1"/>
    <xf numFmtId="14" fontId="14" fillId="0" borderId="0" xfId="9" applyNumberFormat="1" applyFont="1"/>
    <xf numFmtId="167" fontId="14" fillId="0" borderId="0" xfId="9" applyNumberFormat="1" applyFont="1"/>
    <xf numFmtId="0" fontId="14" fillId="0" borderId="0" xfId="9" applyFont="1" applyProtection="1">
      <protection hidden="1"/>
    </xf>
    <xf numFmtId="0" fontId="14" fillId="0" borderId="23" xfId="9" applyFont="1" applyBorder="1" applyProtection="1">
      <protection hidden="1"/>
    </xf>
    <xf numFmtId="0" fontId="14" fillId="0" borderId="24" xfId="9" applyFont="1" applyBorder="1" applyProtection="1">
      <protection hidden="1"/>
    </xf>
    <xf numFmtId="0" fontId="11" fillId="0" borderId="26" xfId="9" applyFont="1" applyBorder="1" applyAlignment="1" applyProtection="1">
      <alignment horizontal="center" vertical="top"/>
      <protection locked="0"/>
    </xf>
    <xf numFmtId="0" fontId="14" fillId="0" borderId="1" xfId="9" applyFont="1" applyBorder="1" applyAlignment="1" applyProtection="1">
      <alignment horizontal="center" vertical="top" wrapText="1"/>
      <protection locked="0"/>
    </xf>
    <xf numFmtId="0" fontId="11" fillId="0" borderId="1" xfId="9" applyFont="1" applyBorder="1" applyAlignment="1" applyProtection="1">
      <alignment horizontal="center" wrapText="1"/>
      <protection locked="0"/>
    </xf>
    <xf numFmtId="9" fontId="14" fillId="8" borderId="1" xfId="9" applyNumberFormat="1" applyFont="1" applyFill="1" applyBorder="1" applyAlignment="1" applyProtection="1">
      <alignment horizontal="center" vertical="center" wrapText="1"/>
      <protection hidden="1"/>
    </xf>
    <xf numFmtId="1" fontId="11" fillId="0" borderId="1" xfId="9" applyNumberFormat="1" applyFont="1" applyBorder="1" applyAlignment="1" applyProtection="1">
      <alignment horizontal="center" wrapText="1"/>
      <protection locked="0"/>
    </xf>
    <xf numFmtId="0" fontId="11" fillId="0" borderId="28" xfId="9" applyFont="1" applyBorder="1" applyAlignment="1" applyProtection="1">
      <alignment horizontal="center" wrapText="1"/>
      <protection locked="0"/>
    </xf>
    <xf numFmtId="9" fontId="14" fillId="8" borderId="28" xfId="9" applyNumberFormat="1" applyFont="1" applyFill="1" applyBorder="1" applyAlignment="1" applyProtection="1">
      <alignment horizontal="center" vertical="center" wrapText="1"/>
      <protection hidden="1"/>
    </xf>
    <xf numFmtId="9" fontId="11" fillId="8" borderId="1" xfId="9" applyNumberFormat="1" applyFont="1" applyFill="1" applyBorder="1" applyAlignment="1" applyProtection="1">
      <alignment horizontal="center" vertical="center" wrapText="1"/>
      <protection hidden="1"/>
    </xf>
    <xf numFmtId="9" fontId="11" fillId="8" borderId="28" xfId="9" applyNumberFormat="1" applyFont="1" applyFill="1" applyBorder="1" applyAlignment="1" applyProtection="1">
      <alignment horizontal="center" vertical="center" wrapText="1"/>
      <protection hidden="1"/>
    </xf>
    <xf numFmtId="0" fontId="11" fillId="0" borderId="25" xfId="8" applyFont="1" applyBorder="1" applyAlignment="1" applyProtection="1">
      <alignment horizontal="center" vertical="top"/>
      <protection locked="0"/>
    </xf>
    <xf numFmtId="0" fontId="11" fillId="0" borderId="1" xfId="8" applyFont="1" applyBorder="1" applyAlignment="1" applyProtection="1">
      <alignment horizontal="center" vertical="top"/>
      <protection locked="0"/>
    </xf>
    <xf numFmtId="0" fontId="11" fillId="0" borderId="26" xfId="8" applyFont="1" applyBorder="1" applyAlignment="1" applyProtection="1">
      <alignment horizontal="center" vertical="top"/>
      <protection locked="0"/>
    </xf>
    <xf numFmtId="0" fontId="11" fillId="0" borderId="1" xfId="8" applyFont="1" applyBorder="1" applyAlignment="1" applyProtection="1">
      <alignment horizontal="center" vertical="top" wrapText="1"/>
      <protection locked="0"/>
    </xf>
    <xf numFmtId="0" fontId="11" fillId="0" borderId="1" xfId="8" applyFont="1" applyBorder="1" applyAlignment="1" applyProtection="1">
      <alignment horizontal="center" wrapText="1"/>
      <protection locked="0"/>
    </xf>
    <xf numFmtId="9" fontId="11" fillId="8" borderId="1" xfId="8" applyNumberFormat="1" applyFont="1" applyFill="1" applyBorder="1" applyAlignment="1" applyProtection="1">
      <alignment horizontal="center" vertical="center" wrapText="1"/>
      <protection hidden="1"/>
    </xf>
    <xf numFmtId="1" fontId="11" fillId="0" borderId="1" xfId="8" applyNumberFormat="1" applyFont="1" applyBorder="1" applyAlignment="1" applyProtection="1">
      <alignment horizontal="center" wrapText="1"/>
      <protection locked="0"/>
    </xf>
    <xf numFmtId="0" fontId="11" fillId="0" borderId="28" xfId="8" applyFont="1" applyBorder="1" applyAlignment="1" applyProtection="1">
      <alignment horizontal="center" wrapText="1"/>
      <protection locked="0"/>
    </xf>
    <xf numFmtId="9" fontId="11" fillId="8" borderId="28" xfId="8" applyNumberFormat="1" applyFont="1" applyFill="1" applyBorder="1" applyAlignment="1" applyProtection="1">
      <alignment horizontal="center" vertical="center" wrapText="1"/>
      <protection hidden="1"/>
    </xf>
    <xf numFmtId="0" fontId="14" fillId="0" borderId="30" xfId="9" applyFont="1" applyBorder="1" applyProtection="1">
      <protection hidden="1"/>
    </xf>
    <xf numFmtId="0" fontId="14" fillId="0" borderId="30" xfId="9" applyFont="1" applyBorder="1"/>
    <xf numFmtId="0" fontId="20" fillId="0" borderId="0" xfId="7" applyFont="1" applyProtection="1">
      <protection hidden="1"/>
    </xf>
    <xf numFmtId="9" fontId="20" fillId="0" borderId="0" xfId="7" applyNumberFormat="1" applyFont="1" applyProtection="1">
      <protection hidden="1"/>
    </xf>
    <xf numFmtId="0" fontId="20" fillId="0" borderId="30" xfId="7" applyFont="1" applyBorder="1" applyProtection="1">
      <protection hidden="1"/>
    </xf>
    <xf numFmtId="0" fontId="25" fillId="0" borderId="31" xfId="7" applyBorder="1"/>
    <xf numFmtId="0" fontId="25" fillId="0" borderId="32" xfId="7" applyBorder="1"/>
    <xf numFmtId="0" fontId="14" fillId="0" borderId="23" xfId="8" applyFont="1" applyBorder="1" applyProtection="1">
      <protection hidden="1"/>
    </xf>
    <xf numFmtId="0" fontId="14" fillId="0" borderId="24" xfId="8" applyFont="1" applyBorder="1" applyProtection="1">
      <protection hidden="1"/>
    </xf>
    <xf numFmtId="0" fontId="14" fillId="0" borderId="0" xfId="8" applyFont="1" applyProtection="1">
      <protection hidden="1"/>
    </xf>
    <xf numFmtId="0" fontId="14" fillId="0" borderId="30" xfId="8" applyFont="1" applyBorder="1" applyProtection="1">
      <protection hidden="1"/>
    </xf>
    <xf numFmtId="0" fontId="20" fillId="0" borderId="0" xfId="0" applyFont="1" applyProtection="1">
      <protection hidden="1"/>
    </xf>
    <xf numFmtId="0" fontId="14" fillId="0" borderId="30" xfId="8" applyFont="1" applyBorder="1"/>
    <xf numFmtId="0" fontId="20" fillId="0" borderId="30" xfId="0" applyFont="1" applyBorder="1" applyProtection="1">
      <protection hidden="1"/>
    </xf>
    <xf numFmtId="1" fontId="0" fillId="0" borderId="30" xfId="0" applyNumberFormat="1" applyBorder="1"/>
    <xf numFmtId="1" fontId="0" fillId="0" borderId="30" xfId="0" applyNumberFormat="1" applyBorder="1" applyAlignment="1">
      <alignment horizontal="right"/>
    </xf>
    <xf numFmtId="0" fontId="20" fillId="0" borderId="31" xfId="0" applyFont="1" applyBorder="1" applyProtection="1">
      <protection hidden="1"/>
    </xf>
    <xf numFmtId="1" fontId="0" fillId="0" borderId="32" xfId="0" applyNumberFormat="1" applyBorder="1"/>
    <xf numFmtId="1" fontId="13" fillId="0" borderId="1" xfId="7" applyNumberFormat="1" applyFont="1" applyBorder="1" applyAlignment="1" applyProtection="1">
      <alignment horizontal="center" vertical="center" wrapText="1"/>
      <protection locked="0"/>
    </xf>
    <xf numFmtId="1" fontId="17" fillId="0" borderId="1" xfId="7" applyNumberFormat="1" applyFont="1" applyBorder="1" applyAlignment="1" applyProtection="1">
      <alignment horizontal="center" vertical="center" wrapText="1"/>
      <protection locked="0"/>
    </xf>
    <xf numFmtId="1" fontId="17" fillId="0" borderId="17" xfId="9" applyNumberFormat="1" applyFont="1" applyBorder="1" applyAlignment="1" applyProtection="1">
      <alignment horizontal="center" vertical="top" wrapText="1"/>
      <protection locked="0"/>
    </xf>
    <xf numFmtId="9" fontId="17" fillId="0" borderId="16" xfId="13" applyFont="1" applyFill="1" applyBorder="1" applyAlignment="1" applyProtection="1">
      <alignment horizontal="center" vertical="top" wrapText="1"/>
      <protection locked="0"/>
    </xf>
    <xf numFmtId="1" fontId="17" fillId="0" borderId="1" xfId="9" applyNumberFormat="1" applyFont="1" applyBorder="1" applyAlignment="1" applyProtection="1">
      <alignment horizontal="center" vertical="center" wrapText="1"/>
      <protection locked="0"/>
    </xf>
    <xf numFmtId="1" fontId="13" fillId="0" borderId="1" xfId="9" applyNumberFormat="1" applyFont="1" applyBorder="1" applyAlignment="1" applyProtection="1">
      <alignment horizontal="center" vertical="center" wrapText="1"/>
      <protection locked="0"/>
    </xf>
    <xf numFmtId="1" fontId="14" fillId="0" borderId="1" xfId="9" applyNumberFormat="1" applyFont="1" applyBorder="1" applyAlignment="1" applyProtection="1">
      <alignment horizontal="center" vertical="center" wrapText="1"/>
      <protection locked="0"/>
    </xf>
    <xf numFmtId="1" fontId="15" fillId="0" borderId="1" xfId="9" applyNumberFormat="1" applyFont="1" applyBorder="1" applyAlignment="1" applyProtection="1">
      <alignment horizontal="center" vertical="center" wrapText="1"/>
      <protection locked="0"/>
    </xf>
    <xf numFmtId="1" fontId="14" fillId="0" borderId="0" xfId="9" applyNumberFormat="1" applyFont="1" applyAlignment="1">
      <alignment horizontal="center" vertical="center"/>
    </xf>
    <xf numFmtId="1" fontId="14" fillId="0" borderId="1" xfId="9" applyNumberFormat="1" applyFont="1" applyBorder="1" applyAlignment="1">
      <alignment horizontal="center" vertical="center"/>
    </xf>
    <xf numFmtId="0" fontId="17" fillId="0" borderId="0" xfId="9" applyFont="1" applyAlignment="1" applyProtection="1">
      <alignment vertical="top"/>
      <protection locked="0"/>
    </xf>
    <xf numFmtId="0" fontId="17" fillId="0" borderId="0" xfId="9" applyFont="1" applyAlignment="1" applyProtection="1">
      <alignment vertical="top" wrapText="1"/>
      <protection locked="0"/>
    </xf>
    <xf numFmtId="0" fontId="15" fillId="0" borderId="0" xfId="9" applyFont="1" applyProtection="1">
      <protection locked="0"/>
    </xf>
    <xf numFmtId="1" fontId="17" fillId="0" borderId="1" xfId="7" applyNumberFormat="1" applyFont="1" applyBorder="1" applyAlignment="1" applyProtection="1">
      <alignment horizontal="center" vertical="center" wrapText="1"/>
      <protection locked="0"/>
    </xf>
    <xf numFmtId="1" fontId="17" fillId="0" borderId="1" xfId="7" applyNumberFormat="1" applyFont="1" applyBorder="1" applyAlignment="1" applyProtection="1">
      <alignment horizontal="center" vertical="center" wrapText="1"/>
      <protection locked="0"/>
    </xf>
    <xf numFmtId="0" fontId="14" fillId="0" borderId="0" xfId="8" applyFont="1"/>
    <xf numFmtId="1" fontId="14" fillId="0" borderId="0" xfId="8" applyNumberFormat="1" applyFont="1"/>
    <xf numFmtId="0" fontId="18" fillId="8" borderId="1" xfId="9" applyFont="1" applyFill="1" applyBorder="1" applyAlignment="1" applyProtection="1">
      <alignment horizontal="left" vertical="top"/>
      <protection locked="0"/>
    </xf>
    <xf numFmtId="1" fontId="17" fillId="0" borderId="1" xfId="7" applyNumberFormat="1" applyFont="1" applyBorder="1" applyAlignment="1" applyProtection="1">
      <alignment horizontal="center" vertical="center" wrapText="1"/>
      <protection locked="0"/>
    </xf>
    <xf numFmtId="0" fontId="11" fillId="0" borderId="1" xfId="9" applyFont="1" applyBorder="1" applyAlignment="1" applyProtection="1">
      <alignment horizontal="center" vertical="top"/>
      <protection locked="0"/>
    </xf>
    <xf numFmtId="0" fontId="13" fillId="0" borderId="1" xfId="9" applyFont="1" applyBorder="1" applyAlignment="1" applyProtection="1">
      <alignment horizontal="center" vertical="top"/>
      <protection locked="0"/>
    </xf>
    <xf numFmtId="1" fontId="13" fillId="0" borderId="1" xfId="9" applyNumberFormat="1" applyFont="1" applyBorder="1" applyAlignment="1" applyProtection="1">
      <alignment horizontal="center" vertical="center" wrapText="1"/>
      <protection locked="0"/>
    </xf>
    <xf numFmtId="0" fontId="18" fillId="0" borderId="1" xfId="9" applyFont="1" applyBorder="1" applyAlignment="1" applyProtection="1">
      <alignment horizontal="center" vertical="top" wrapText="1"/>
      <protection locked="0"/>
    </xf>
    <xf numFmtId="1" fontId="13" fillId="0" borderId="9" xfId="9" applyNumberFormat="1" applyFont="1" applyBorder="1" applyAlignment="1" applyProtection="1">
      <alignment horizontal="center" vertical="center" wrapText="1"/>
      <protection locked="0"/>
    </xf>
    <xf numFmtId="1" fontId="13" fillId="0" borderId="11" xfId="9" applyNumberFormat="1" applyFont="1" applyBorder="1" applyAlignment="1" applyProtection="1">
      <alignment horizontal="center" vertical="center" wrapText="1"/>
      <protection locked="0"/>
    </xf>
    <xf numFmtId="1" fontId="13" fillId="0" borderId="12" xfId="9" applyNumberFormat="1" applyFont="1" applyBorder="1" applyAlignment="1" applyProtection="1">
      <alignment horizontal="center" vertical="center" wrapText="1"/>
      <protection locked="0"/>
    </xf>
    <xf numFmtId="1" fontId="13" fillId="0" borderId="13" xfId="9" applyNumberFormat="1" applyFont="1" applyBorder="1" applyAlignment="1" applyProtection="1">
      <alignment horizontal="center" vertical="center" wrapText="1"/>
      <protection locked="0"/>
    </xf>
    <xf numFmtId="1" fontId="13" fillId="0" borderId="14" xfId="9" applyNumberFormat="1" applyFont="1" applyBorder="1" applyAlignment="1" applyProtection="1">
      <alignment horizontal="center" vertical="center" wrapText="1"/>
      <protection locked="0"/>
    </xf>
    <xf numFmtId="1" fontId="13" fillId="0" borderId="15" xfId="9" applyNumberFormat="1" applyFont="1" applyBorder="1" applyAlignment="1" applyProtection="1">
      <alignment horizontal="center" vertical="center" wrapText="1"/>
      <protection locked="0"/>
    </xf>
    <xf numFmtId="1" fontId="13" fillId="0" borderId="1" xfId="9" applyNumberFormat="1" applyFont="1" applyBorder="1" applyAlignment="1" applyProtection="1">
      <alignment horizontal="center" vertical="center" wrapText="1"/>
      <protection locked="0"/>
    </xf>
    <xf numFmtId="0" fontId="13" fillId="0" borderId="1" xfId="9" applyFont="1" applyBorder="1" applyAlignment="1" applyProtection="1">
      <alignment horizontal="left" vertical="top"/>
      <protection locked="0"/>
    </xf>
    <xf numFmtId="0" fontId="13" fillId="0" borderId="1" xfId="9" applyFont="1" applyBorder="1" applyAlignment="1" applyProtection="1">
      <alignment horizontal="left" vertical="top" wrapText="1"/>
      <protection locked="0"/>
    </xf>
    <xf numFmtId="0" fontId="11" fillId="0" borderId="1" xfId="9" applyFont="1" applyBorder="1" applyAlignment="1" applyProtection="1">
      <alignment horizontal="center" vertical="top" wrapText="1"/>
      <protection locked="0"/>
    </xf>
    <xf numFmtId="1" fontId="18" fillId="0" borderId="5" xfId="7" applyNumberFormat="1" applyFont="1" applyBorder="1" applyAlignment="1" applyProtection="1">
      <alignment vertical="top" wrapText="1"/>
      <protection locked="0"/>
    </xf>
    <xf numFmtId="1" fontId="18" fillId="0" borderId="6" xfId="7" applyNumberFormat="1" applyFont="1" applyBorder="1" applyAlignment="1" applyProtection="1">
      <alignment vertical="top" wrapText="1"/>
      <protection locked="0"/>
    </xf>
    <xf numFmtId="1" fontId="18" fillId="0" borderId="8" xfId="7" applyNumberFormat="1" applyFont="1" applyBorder="1" applyAlignment="1" applyProtection="1">
      <alignment vertical="top" wrapText="1"/>
      <protection locked="0"/>
    </xf>
    <xf numFmtId="1" fontId="17" fillId="0" borderId="5" xfId="7" applyNumberFormat="1" applyFont="1" applyBorder="1" applyAlignment="1" applyProtection="1">
      <alignment vertical="top" wrapText="1"/>
      <protection locked="0"/>
    </xf>
    <xf numFmtId="1" fontId="17" fillId="0" borderId="6" xfId="7" applyNumberFormat="1" applyFont="1" applyBorder="1" applyAlignment="1" applyProtection="1">
      <alignment vertical="top" wrapText="1"/>
      <protection locked="0"/>
    </xf>
    <xf numFmtId="1" fontId="17" fillId="0" borderId="8" xfId="7" applyNumberFormat="1" applyFont="1" applyBorder="1" applyAlignment="1" applyProtection="1">
      <alignment vertical="top" wrapText="1"/>
      <protection locked="0"/>
    </xf>
    <xf numFmtId="0" fontId="11" fillId="0" borderId="1" xfId="9" applyFont="1" applyBorder="1" applyAlignment="1" applyProtection="1">
      <alignment horizontal="left" vertical="top" wrapText="1"/>
      <protection locked="0"/>
    </xf>
    <xf numFmtId="0" fontId="11" fillId="0" borderId="1" xfId="9" applyFont="1" applyBorder="1" applyAlignment="1" applyProtection="1">
      <alignment horizontal="left" vertical="top"/>
      <protection locked="0"/>
    </xf>
    <xf numFmtId="9" fontId="11" fillId="8" borderId="1" xfId="9" applyNumberFormat="1" applyFont="1" applyFill="1" applyBorder="1" applyAlignment="1" applyProtection="1">
      <alignment horizontal="center" vertical="center" wrapText="1"/>
      <protection hidden="1"/>
    </xf>
    <xf numFmtId="9" fontId="11" fillId="8" borderId="28" xfId="9" applyNumberFormat="1" applyFont="1" applyFill="1" applyBorder="1" applyAlignment="1" applyProtection="1">
      <alignment horizontal="center" vertical="center" wrapText="1"/>
      <protection hidden="1"/>
    </xf>
    <xf numFmtId="9" fontId="11" fillId="8" borderId="26" xfId="9" applyNumberFormat="1" applyFont="1" applyFill="1" applyBorder="1" applyAlignment="1" applyProtection="1">
      <alignment horizontal="center" vertical="center" wrapText="1"/>
      <protection hidden="1"/>
    </xf>
    <xf numFmtId="9" fontId="11" fillId="8" borderId="29" xfId="9" applyNumberFormat="1" applyFont="1" applyFill="1" applyBorder="1" applyAlignment="1" applyProtection="1">
      <alignment horizontal="center" vertical="center" wrapText="1"/>
      <protection hidden="1"/>
    </xf>
    <xf numFmtId="9" fontId="11" fillId="8" borderId="1" xfId="8" applyNumberFormat="1" applyFont="1" applyFill="1" applyBorder="1" applyAlignment="1" applyProtection="1">
      <alignment horizontal="center" vertical="center" wrapText="1"/>
      <protection hidden="1"/>
    </xf>
    <xf numFmtId="9" fontId="11" fillId="8" borderId="28" xfId="8" applyNumberFormat="1" applyFont="1" applyFill="1" applyBorder="1" applyAlignment="1" applyProtection="1">
      <alignment horizontal="center" vertical="center" wrapText="1"/>
      <protection hidden="1"/>
    </xf>
    <xf numFmtId="9" fontId="11" fillId="8" borderId="26" xfId="8" applyNumberFormat="1" applyFont="1" applyFill="1" applyBorder="1" applyAlignment="1" applyProtection="1">
      <alignment horizontal="center" vertical="center" wrapText="1"/>
      <protection hidden="1"/>
    </xf>
    <xf numFmtId="9" fontId="11" fillId="8" borderId="29" xfId="8" applyNumberFormat="1" applyFont="1" applyFill="1" applyBorder="1" applyAlignment="1" applyProtection="1">
      <alignment horizontal="center" vertical="center" wrapText="1"/>
      <protection hidden="1"/>
    </xf>
    <xf numFmtId="0" fontId="11" fillId="0" borderId="25" xfId="8" applyFont="1" applyBorder="1" applyAlignment="1" applyProtection="1">
      <alignment horizontal="center" vertical="top"/>
      <protection locked="0"/>
    </xf>
    <xf numFmtId="0" fontId="11" fillId="0" borderId="1" xfId="8" applyFont="1" applyBorder="1" applyAlignment="1" applyProtection="1">
      <alignment horizontal="center" vertical="top"/>
      <protection locked="0"/>
    </xf>
    <xf numFmtId="0" fontId="11" fillId="0" borderId="25" xfId="8" applyFont="1" applyBorder="1" applyAlignment="1" applyProtection="1">
      <alignment horizontal="center" vertical="top" wrapText="1"/>
      <protection locked="0"/>
    </xf>
    <xf numFmtId="0" fontId="11" fillId="0" borderId="1" xfId="8" applyFont="1" applyBorder="1" applyAlignment="1" applyProtection="1">
      <alignment horizontal="center" vertical="top" wrapText="1"/>
      <protection locked="0"/>
    </xf>
    <xf numFmtId="0" fontId="11" fillId="0" borderId="27" xfId="8" applyFont="1" applyBorder="1" applyAlignment="1" applyProtection="1">
      <alignment horizontal="center" vertical="top" wrapText="1"/>
      <protection locked="0"/>
    </xf>
    <xf numFmtId="0" fontId="11" fillId="0" borderId="28" xfId="8" applyFont="1" applyBorder="1" applyAlignment="1" applyProtection="1">
      <alignment horizontal="center" vertical="top" wrapText="1"/>
      <protection locked="0"/>
    </xf>
    <xf numFmtId="0" fontId="18" fillId="0" borderId="18" xfId="8" applyFont="1" applyBorder="1" applyAlignment="1" applyProtection="1">
      <alignment horizontal="left" vertical="top" wrapText="1"/>
      <protection locked="0"/>
    </xf>
    <xf numFmtId="0" fontId="18" fillId="0" borderId="19" xfId="8" applyFont="1" applyBorder="1" applyAlignment="1" applyProtection="1">
      <alignment horizontal="left" vertical="top" wrapText="1"/>
      <protection locked="0"/>
    </xf>
    <xf numFmtId="0" fontId="18" fillId="0" borderId="20" xfId="8" applyFont="1" applyBorder="1" applyAlignment="1" applyProtection="1">
      <alignment horizontal="left" vertical="top" wrapText="1"/>
      <protection locked="0"/>
    </xf>
    <xf numFmtId="0" fontId="18" fillId="0" borderId="21" xfId="8" applyFont="1" applyBorder="1" applyAlignment="1" applyProtection="1">
      <alignment horizontal="left" vertical="top" wrapText="1"/>
      <protection locked="0"/>
    </xf>
    <xf numFmtId="0" fontId="18" fillId="0" borderId="22" xfId="8" applyFont="1" applyBorder="1" applyAlignment="1" applyProtection="1">
      <alignment horizontal="left" vertical="top" wrapText="1"/>
      <protection locked="0"/>
    </xf>
    <xf numFmtId="0" fontId="18" fillId="0" borderId="25" xfId="8" applyFont="1" applyBorder="1" applyAlignment="1" applyProtection="1">
      <alignment horizontal="left" vertical="top"/>
      <protection locked="0"/>
    </xf>
    <xf numFmtId="0" fontId="18" fillId="0" borderId="1" xfId="8" applyFont="1" applyBorder="1" applyAlignment="1" applyProtection="1">
      <alignment horizontal="left" vertical="top"/>
      <protection locked="0"/>
    </xf>
    <xf numFmtId="0" fontId="18" fillId="0" borderId="1" xfId="8" applyFont="1" applyBorder="1" applyAlignment="1" applyProtection="1">
      <alignment horizontal="left" vertical="top" wrapText="1"/>
      <protection locked="0"/>
    </xf>
    <xf numFmtId="0" fontId="18" fillId="0" borderId="26" xfId="8" applyFont="1" applyBorder="1" applyAlignment="1" applyProtection="1">
      <alignment horizontal="left" vertical="top" wrapText="1"/>
      <protection locked="0"/>
    </xf>
    <xf numFmtId="1" fontId="17" fillId="0" borderId="5" xfId="9" applyNumberFormat="1" applyFont="1" applyBorder="1" applyAlignment="1" applyProtection="1">
      <alignment horizontal="center" vertical="center" wrapText="1"/>
      <protection locked="0"/>
    </xf>
    <xf numFmtId="1" fontId="17" fillId="0" borderId="6" xfId="9" applyNumberFormat="1" applyFont="1" applyBorder="1" applyAlignment="1" applyProtection="1">
      <alignment horizontal="center" vertical="center" wrapText="1"/>
      <protection locked="0"/>
    </xf>
    <xf numFmtId="1" fontId="17" fillId="0" borderId="8" xfId="9" applyNumberFormat="1" applyFont="1" applyBorder="1" applyAlignment="1" applyProtection="1">
      <alignment horizontal="center" vertical="center" wrapText="1"/>
      <protection locked="0"/>
    </xf>
    <xf numFmtId="1" fontId="13" fillId="0" borderId="5" xfId="9" applyNumberFormat="1" applyFont="1" applyBorder="1" applyAlignment="1" applyProtection="1">
      <alignment horizontal="center" vertical="center" wrapText="1"/>
      <protection locked="0"/>
    </xf>
    <xf numFmtId="1" fontId="13" fillId="0" borderId="8" xfId="9" applyNumberFormat="1" applyFont="1" applyBorder="1" applyAlignment="1" applyProtection="1">
      <alignment horizontal="center" vertical="center" wrapText="1"/>
      <protection locked="0"/>
    </xf>
    <xf numFmtId="0" fontId="17" fillId="0" borderId="1" xfId="9" applyFont="1" applyBorder="1" applyAlignment="1" applyProtection="1">
      <alignment vertical="top"/>
      <protection locked="0"/>
    </xf>
    <xf numFmtId="0" fontId="13" fillId="0" borderId="1" xfId="9" applyFont="1" applyBorder="1" applyAlignment="1" applyProtection="1">
      <alignment vertical="top"/>
      <protection locked="0"/>
    </xf>
    <xf numFmtId="1" fontId="17" fillId="0" borderId="1" xfId="7" applyNumberFormat="1" applyFont="1" applyBorder="1" applyAlignment="1" applyProtection="1">
      <alignment horizontal="left" vertical="top" wrapText="1"/>
      <protection locked="0"/>
    </xf>
    <xf numFmtId="1" fontId="17" fillId="0" borderId="1" xfId="9" applyNumberFormat="1" applyFont="1" applyBorder="1" applyAlignment="1" applyProtection="1">
      <alignment horizontal="center" vertical="center" wrapText="1"/>
      <protection locked="0"/>
    </xf>
    <xf numFmtId="0" fontId="14" fillId="0" borderId="0" xfId="9" applyFont="1" applyAlignment="1">
      <alignment horizontal="center" vertical="center"/>
    </xf>
    <xf numFmtId="1" fontId="13" fillId="0" borderId="6" xfId="9" applyNumberFormat="1" applyFont="1" applyBorder="1" applyAlignment="1" applyProtection="1">
      <alignment horizontal="center" vertical="center" wrapText="1"/>
      <protection locked="0"/>
    </xf>
    <xf numFmtId="1" fontId="14" fillId="0" borderId="5" xfId="9" applyNumberFormat="1" applyFont="1" applyBorder="1" applyAlignment="1" applyProtection="1">
      <alignment horizontal="center" vertical="center" wrapText="1"/>
      <protection locked="0"/>
    </xf>
    <xf numFmtId="1" fontId="14" fillId="0" borderId="6" xfId="9" applyNumberFormat="1" applyFont="1" applyBorder="1" applyAlignment="1" applyProtection="1">
      <alignment horizontal="center" vertical="center" wrapText="1"/>
      <protection locked="0"/>
    </xf>
    <xf numFmtId="1" fontId="14" fillId="0" borderId="8" xfId="9" applyNumberFormat="1" applyFont="1" applyBorder="1" applyAlignment="1" applyProtection="1">
      <alignment horizontal="center" vertical="center" wrapText="1"/>
      <protection locked="0"/>
    </xf>
    <xf numFmtId="1" fontId="17" fillId="2" borderId="5" xfId="9" applyNumberFormat="1" applyFont="1" applyFill="1" applyBorder="1" applyAlignment="1" applyProtection="1">
      <alignment horizontal="center" vertical="center" wrapText="1"/>
      <protection locked="0"/>
    </xf>
    <xf numFmtId="1" fontId="17" fillId="2" borderId="6" xfId="9" applyNumberFormat="1" applyFont="1" applyFill="1" applyBorder="1" applyAlignment="1" applyProtection="1">
      <alignment horizontal="center" vertical="center" wrapText="1"/>
      <protection locked="0"/>
    </xf>
    <xf numFmtId="1" fontId="17" fillId="2" borderId="8" xfId="9" applyNumberFormat="1" applyFont="1" applyFill="1" applyBorder="1" applyAlignment="1" applyProtection="1">
      <alignment horizontal="center" vertical="center" wrapText="1"/>
      <protection locked="0"/>
    </xf>
    <xf numFmtId="0" fontId="17" fillId="0" borderId="1" xfId="9" applyFont="1" applyBorder="1" applyAlignment="1" applyProtection="1">
      <alignment horizontal="center" vertical="top"/>
      <protection locked="0"/>
    </xf>
    <xf numFmtId="1" fontId="17" fillId="0" borderId="9" xfId="9" applyNumberFormat="1" applyFont="1" applyBorder="1" applyAlignment="1" applyProtection="1">
      <alignment horizontal="center" vertical="top" wrapText="1"/>
      <protection locked="0"/>
    </xf>
    <xf numFmtId="1" fontId="17" fillId="0" borderId="14" xfId="9" applyNumberFormat="1" applyFont="1" applyBorder="1" applyAlignment="1" applyProtection="1">
      <alignment horizontal="center" vertical="top" wrapText="1"/>
      <protection locked="0"/>
    </xf>
    <xf numFmtId="1" fontId="17" fillId="0" borderId="17" xfId="9" applyNumberFormat="1" applyFont="1" applyBorder="1" applyAlignment="1" applyProtection="1">
      <alignment horizontal="center" vertical="top" wrapText="1"/>
      <protection locked="0"/>
    </xf>
    <xf numFmtId="1" fontId="17" fillId="0" borderId="16" xfId="9" applyNumberFormat="1" applyFont="1" applyBorder="1" applyAlignment="1" applyProtection="1">
      <alignment horizontal="center" vertical="top" wrapText="1"/>
      <protection locked="0"/>
    </xf>
    <xf numFmtId="1" fontId="21" fillId="0" borderId="17" xfId="9" applyNumberFormat="1" applyFont="1" applyBorder="1" applyAlignment="1" applyProtection="1">
      <alignment horizontal="center" vertical="top" wrapText="1"/>
      <protection locked="0"/>
    </xf>
    <xf numFmtId="1" fontId="21" fillId="0" borderId="16" xfId="9" applyNumberFormat="1" applyFont="1" applyBorder="1" applyAlignment="1" applyProtection="1">
      <alignment horizontal="center" vertical="top" wrapText="1"/>
      <protection locked="0"/>
    </xf>
    <xf numFmtId="1" fontId="17" fillId="0" borderId="11" xfId="9" applyNumberFormat="1" applyFont="1" applyBorder="1" applyAlignment="1" applyProtection="1">
      <alignment horizontal="center" vertical="top" wrapText="1"/>
      <protection locked="0"/>
    </xf>
    <xf numFmtId="1" fontId="17" fillId="0" borderId="15" xfId="9" applyNumberFormat="1" applyFont="1" applyBorder="1" applyAlignment="1" applyProtection="1">
      <alignment horizontal="center" vertical="top" wrapText="1"/>
      <protection locked="0"/>
    </xf>
    <xf numFmtId="1" fontId="13" fillId="0" borderId="1" xfId="7" applyNumberFormat="1" applyFont="1" applyBorder="1" applyAlignment="1" applyProtection="1">
      <alignment horizontal="center" vertical="center" wrapText="1"/>
      <protection locked="0"/>
    </xf>
    <xf numFmtId="0" fontId="14" fillId="0" borderId="1" xfId="7" applyFont="1" applyBorder="1" applyAlignment="1" applyProtection="1">
      <alignment horizontal="center" vertical="center"/>
      <protection locked="0"/>
    </xf>
    <xf numFmtId="1" fontId="14" fillId="0" borderId="1" xfId="7" applyNumberFormat="1" applyFont="1" applyBorder="1" applyAlignment="1" applyProtection="1">
      <alignment horizontal="center" vertical="center" wrapText="1"/>
      <protection locked="0"/>
    </xf>
    <xf numFmtId="1" fontId="17" fillId="0" borderId="1" xfId="7" applyNumberFormat="1" applyFont="1" applyBorder="1" applyAlignment="1" applyProtection="1">
      <alignment horizontal="center" vertical="center" wrapText="1"/>
      <protection locked="0"/>
    </xf>
    <xf numFmtId="1" fontId="15" fillId="0" borderId="1" xfId="7" applyNumberFormat="1" applyFont="1" applyBorder="1" applyAlignment="1" applyProtection="1">
      <alignment horizontal="center" vertical="center"/>
      <protection locked="0"/>
    </xf>
    <xf numFmtId="0" fontId="15" fillId="0" borderId="1" xfId="7" applyFont="1" applyBorder="1" applyAlignment="1" applyProtection="1">
      <alignment horizontal="center" vertical="center"/>
      <protection locked="0"/>
    </xf>
    <xf numFmtId="1" fontId="15" fillId="0" borderId="1" xfId="7" applyNumberFormat="1" applyFont="1" applyBorder="1" applyAlignment="1" applyProtection="1">
      <alignment horizontal="center" vertical="top" wrapText="1"/>
      <protection locked="0"/>
    </xf>
    <xf numFmtId="0" fontId="15" fillId="0" borderId="1" xfId="7" applyFont="1" applyBorder="1" applyAlignment="1" applyProtection="1">
      <alignment horizontal="center" vertical="top" wrapText="1"/>
      <protection locked="0"/>
    </xf>
    <xf numFmtId="1" fontId="17" fillId="0" borderId="1" xfId="7" applyNumberFormat="1" applyFont="1" applyBorder="1" applyAlignment="1" applyProtection="1">
      <alignment horizontal="center" vertical="top" wrapText="1"/>
      <protection locked="0"/>
    </xf>
    <xf numFmtId="1" fontId="14" fillId="0" borderId="1" xfId="7" applyNumberFormat="1" applyFont="1" applyBorder="1" applyAlignment="1" applyProtection="1">
      <alignment horizontal="center" vertical="top" wrapText="1"/>
      <protection locked="0"/>
    </xf>
    <xf numFmtId="0" fontId="11" fillId="0" borderId="1" xfId="7" applyFont="1" applyBorder="1" applyAlignment="1" applyProtection="1">
      <alignment horizontal="center" vertical="center"/>
      <protection locked="0"/>
    </xf>
    <xf numFmtId="1" fontId="13" fillId="0" borderId="17" xfId="7" applyNumberFormat="1" applyFont="1" applyBorder="1" applyAlignment="1" applyProtection="1">
      <alignment horizontal="center" vertical="center" wrapText="1"/>
      <protection locked="0"/>
    </xf>
    <xf numFmtId="1" fontId="13" fillId="0" borderId="16" xfId="7" applyNumberFormat="1" applyFont="1" applyBorder="1" applyAlignment="1" applyProtection="1">
      <alignment horizontal="center" vertical="center" wrapText="1"/>
      <protection locked="0"/>
    </xf>
    <xf numFmtId="0" fontId="17" fillId="0" borderId="5" xfId="9" applyFont="1" applyBorder="1" applyAlignment="1" applyProtection="1">
      <alignment horizontal="left" vertical="top"/>
      <protection locked="0"/>
    </xf>
    <xf numFmtId="0" fontId="17" fillId="0" borderId="6" xfId="9" applyFont="1" applyBorder="1" applyAlignment="1" applyProtection="1">
      <alignment horizontal="left" vertical="top"/>
      <protection locked="0"/>
    </xf>
    <xf numFmtId="0" fontId="17" fillId="0" borderId="8" xfId="9" applyFont="1" applyBorder="1" applyAlignment="1" applyProtection="1">
      <alignment horizontal="left" vertical="top"/>
      <protection locked="0"/>
    </xf>
    <xf numFmtId="0" fontId="11" fillId="8" borderId="5" xfId="9" applyFont="1" applyFill="1" applyBorder="1" applyAlignment="1" applyProtection="1">
      <alignment horizontal="left" vertical="top"/>
      <protection locked="0"/>
    </xf>
    <xf numFmtId="0" fontId="11" fillId="8" borderId="6" xfId="9" applyFont="1" applyFill="1" applyBorder="1" applyAlignment="1" applyProtection="1">
      <alignment horizontal="left" vertical="top"/>
      <protection locked="0"/>
    </xf>
    <xf numFmtId="0" fontId="11" fillId="8" borderId="8" xfId="9" applyFont="1" applyFill="1" applyBorder="1" applyAlignment="1" applyProtection="1">
      <alignment horizontal="left" vertical="top"/>
      <protection locked="0"/>
    </xf>
    <xf numFmtId="1" fontId="17" fillId="0" borderId="5" xfId="7" applyNumberFormat="1" applyFont="1" applyBorder="1" applyAlignment="1" applyProtection="1">
      <alignment horizontal="center" vertical="center" wrapText="1"/>
      <protection locked="0"/>
    </xf>
    <xf numFmtId="1" fontId="17" fillId="0" borderId="6" xfId="7" applyNumberFormat="1" applyFont="1" applyBorder="1" applyAlignment="1" applyProtection="1">
      <alignment horizontal="center" vertical="center" wrapText="1"/>
      <protection locked="0"/>
    </xf>
    <xf numFmtId="1" fontId="17" fillId="0" borderId="8" xfId="7" applyNumberFormat="1" applyFont="1" applyBorder="1" applyAlignment="1" applyProtection="1">
      <alignment horizontal="center" vertical="center" wrapText="1"/>
      <protection locked="0"/>
    </xf>
    <xf numFmtId="1" fontId="17" fillId="0" borderId="5" xfId="7" applyNumberFormat="1" applyFont="1" applyBorder="1" applyAlignment="1" applyProtection="1">
      <alignment horizontal="center" vertical="top" wrapText="1"/>
      <protection locked="0"/>
    </xf>
    <xf numFmtId="1" fontId="17" fillId="0" borderId="8" xfId="7" applyNumberFormat="1" applyFont="1" applyBorder="1" applyAlignment="1" applyProtection="1">
      <alignment horizontal="center" vertical="top" wrapText="1"/>
      <protection locked="0"/>
    </xf>
    <xf numFmtId="0" fontId="15" fillId="0" borderId="5" xfId="7" applyFont="1" applyBorder="1" applyAlignment="1" applyProtection="1">
      <alignment horizontal="center" vertical="center"/>
      <protection locked="0"/>
    </xf>
    <xf numFmtId="0" fontId="15" fillId="0" borderId="8" xfId="7" applyFont="1" applyBorder="1" applyAlignment="1" applyProtection="1">
      <alignment horizontal="center" vertical="center"/>
      <protection locked="0"/>
    </xf>
    <xf numFmtId="0" fontId="15" fillId="0" borderId="5" xfId="7" applyFont="1" applyBorder="1" applyAlignment="1" applyProtection="1">
      <alignment horizontal="center" vertical="top" wrapText="1"/>
      <protection locked="0"/>
    </xf>
    <xf numFmtId="0" fontId="15" fillId="0" borderId="8" xfId="7" applyFont="1" applyBorder="1" applyAlignment="1" applyProtection="1">
      <alignment horizontal="center" vertical="top" wrapText="1"/>
      <protection locked="0"/>
    </xf>
    <xf numFmtId="0" fontId="11" fillId="8" borderId="1" xfId="9" applyFont="1" applyFill="1" applyBorder="1" applyAlignment="1" applyProtection="1">
      <alignment horizontal="left" vertical="top"/>
      <protection locked="0"/>
    </xf>
    <xf numFmtId="0" fontId="13" fillId="0" borderId="5" xfId="9" applyFont="1" applyBorder="1" applyAlignment="1" applyProtection="1">
      <alignment horizontal="left" vertical="top"/>
      <protection locked="0"/>
    </xf>
    <xf numFmtId="0" fontId="13" fillId="0" borderId="6" xfId="9" applyFont="1" applyBorder="1" applyAlignment="1" applyProtection="1">
      <alignment horizontal="left" vertical="top"/>
      <protection locked="0"/>
    </xf>
    <xf numFmtId="0" fontId="13" fillId="0" borderId="8" xfId="9" applyFont="1" applyBorder="1" applyAlignment="1" applyProtection="1">
      <alignment horizontal="left" vertical="top"/>
      <protection locked="0"/>
    </xf>
    <xf numFmtId="0" fontId="11" fillId="8" borderId="1" xfId="9" applyFont="1" applyFill="1" applyBorder="1" applyAlignment="1" applyProtection="1">
      <alignment horizontal="left" vertical="top" wrapText="1"/>
      <protection locked="0"/>
    </xf>
    <xf numFmtId="0" fontId="11" fillId="0" borderId="20" xfId="9" applyFont="1" applyBorder="1" applyAlignment="1" applyProtection="1">
      <alignment horizontal="left" vertical="top"/>
      <protection locked="0"/>
    </xf>
    <xf numFmtId="0" fontId="11" fillId="0" borderId="21" xfId="9" applyFont="1" applyBorder="1" applyAlignment="1" applyProtection="1">
      <alignment horizontal="left" vertical="top"/>
      <protection locked="0"/>
    </xf>
    <xf numFmtId="0" fontId="11" fillId="0" borderId="19" xfId="9" applyFont="1" applyBorder="1" applyAlignment="1" applyProtection="1">
      <alignment horizontal="left" vertical="top"/>
      <protection locked="0"/>
    </xf>
    <xf numFmtId="0" fontId="18" fillId="0" borderId="1" xfId="9" applyFont="1" applyBorder="1" applyAlignment="1" applyProtection="1">
      <alignment horizontal="left" vertical="top"/>
      <protection locked="0"/>
    </xf>
    <xf numFmtId="0" fontId="18" fillId="0" borderId="1" xfId="9" applyFont="1" applyBorder="1" applyAlignment="1" applyProtection="1">
      <alignment horizontal="left" vertical="top" wrapText="1"/>
      <protection locked="0"/>
    </xf>
    <xf numFmtId="0" fontId="17" fillId="0" borderId="1" xfId="9" applyFont="1" applyBorder="1" applyAlignment="1" applyProtection="1">
      <alignment horizontal="left" vertical="top"/>
      <protection locked="0"/>
    </xf>
    <xf numFmtId="0" fontId="18" fillId="8" borderId="1" xfId="9" applyFont="1" applyFill="1" applyBorder="1" applyAlignment="1" applyProtection="1">
      <alignment horizontal="left" vertical="top"/>
      <protection locked="0"/>
    </xf>
    <xf numFmtId="0" fontId="14" fillId="2" borderId="12" xfId="9" applyFont="1" applyFill="1" applyBorder="1" applyAlignment="1">
      <alignment horizontal="center"/>
    </xf>
    <xf numFmtId="0" fontId="14" fillId="2" borderId="0" xfId="9" applyFont="1" applyFill="1" applyAlignment="1">
      <alignment horizontal="center"/>
    </xf>
    <xf numFmtId="0" fontId="11" fillId="0" borderId="26" xfId="8" applyFont="1" applyBorder="1" applyAlignment="1" applyProtection="1">
      <alignment horizontal="center" vertical="top" wrapText="1"/>
      <protection locked="0"/>
    </xf>
    <xf numFmtId="0" fontId="18" fillId="0" borderId="1" xfId="9" applyFont="1" applyBorder="1" applyAlignment="1" applyProtection="1">
      <alignment horizontal="center" vertical="center"/>
      <protection locked="0"/>
    </xf>
    <xf numFmtId="9" fontId="18" fillId="0" borderId="1" xfId="9" applyNumberFormat="1" applyFont="1" applyBorder="1" applyAlignment="1" applyProtection="1">
      <alignment horizontal="center" vertical="center" wrapText="1"/>
      <protection locked="0"/>
    </xf>
    <xf numFmtId="0" fontId="18" fillId="0" borderId="1" xfId="9" applyFont="1" applyBorder="1" applyAlignment="1" applyProtection="1">
      <alignment horizontal="center" vertical="center" wrapText="1"/>
      <protection locked="0"/>
    </xf>
    <xf numFmtId="0" fontId="14" fillId="0" borderId="27" xfId="9" applyFont="1" applyBorder="1" applyAlignment="1" applyProtection="1">
      <alignment horizontal="center" vertical="top" wrapText="1"/>
      <protection locked="0"/>
    </xf>
    <xf numFmtId="0" fontId="14" fillId="0" borderId="28" xfId="9" applyFont="1" applyBorder="1" applyAlignment="1" applyProtection="1">
      <alignment horizontal="center" vertical="top" wrapText="1"/>
      <protection locked="0"/>
    </xf>
    <xf numFmtId="0" fontId="14" fillId="0" borderId="25" xfId="9" applyFont="1" applyBorder="1" applyAlignment="1" applyProtection="1">
      <alignment horizontal="center" vertical="top" wrapText="1"/>
      <protection locked="0"/>
    </xf>
    <xf numFmtId="0" fontId="14" fillId="0" borderId="1" xfId="9" applyFont="1" applyBorder="1" applyAlignment="1" applyProtection="1">
      <alignment horizontal="center" vertical="top" wrapText="1"/>
      <protection locked="0"/>
    </xf>
    <xf numFmtId="0" fontId="14" fillId="0" borderId="25" xfId="9" applyFont="1" applyBorder="1" applyAlignment="1" applyProtection="1">
      <alignment horizontal="center" vertical="top"/>
      <protection locked="0"/>
    </xf>
    <xf numFmtId="0" fontId="14" fillId="0" borderId="1" xfId="9" applyFont="1" applyBorder="1" applyAlignment="1" applyProtection="1">
      <alignment horizontal="center" vertical="top"/>
      <protection locked="0"/>
    </xf>
    <xf numFmtId="0" fontId="17" fillId="0" borderId="18" xfId="9" applyFont="1" applyBorder="1" applyAlignment="1" applyProtection="1">
      <alignment horizontal="left" vertical="top" wrapText="1"/>
      <protection locked="0"/>
    </xf>
    <xf numFmtId="0" fontId="17" fillId="0" borderId="19" xfId="9" applyFont="1" applyBorder="1" applyAlignment="1" applyProtection="1">
      <alignment horizontal="left" vertical="top" wrapText="1"/>
      <protection locked="0"/>
    </xf>
    <xf numFmtId="0" fontId="17" fillId="0" borderId="20" xfId="9" applyFont="1" applyBorder="1" applyAlignment="1" applyProtection="1">
      <alignment horizontal="left" vertical="top" wrapText="1"/>
      <protection locked="0"/>
    </xf>
    <xf numFmtId="0" fontId="17" fillId="0" borderId="21" xfId="9" applyFont="1" applyBorder="1" applyAlignment="1" applyProtection="1">
      <alignment horizontal="left" vertical="top" wrapText="1"/>
      <protection locked="0"/>
    </xf>
    <xf numFmtId="0" fontId="17" fillId="0" borderId="22" xfId="9" applyFont="1" applyBorder="1" applyAlignment="1" applyProtection="1">
      <alignment horizontal="left" vertical="top" wrapText="1"/>
      <protection locked="0"/>
    </xf>
    <xf numFmtId="0" fontId="13" fillId="0" borderId="25" xfId="9" applyFont="1" applyBorder="1" applyAlignment="1" applyProtection="1">
      <alignment horizontal="center" vertical="top"/>
      <protection locked="0"/>
    </xf>
    <xf numFmtId="0" fontId="13" fillId="0" borderId="1" xfId="9" applyFont="1" applyBorder="1" applyAlignment="1" applyProtection="1">
      <alignment horizontal="center" vertical="top"/>
      <protection locked="0"/>
    </xf>
    <xf numFmtId="0" fontId="11" fillId="0" borderId="1" xfId="9" applyFont="1" applyBorder="1" applyAlignment="1" applyProtection="1">
      <alignment horizontal="center" vertical="top"/>
      <protection locked="0"/>
    </xf>
    <xf numFmtId="0" fontId="18" fillId="0" borderId="25" xfId="9" applyFont="1" applyBorder="1" applyAlignment="1" applyProtection="1">
      <alignment horizontal="left" vertical="top"/>
      <protection locked="0"/>
    </xf>
    <xf numFmtId="0" fontId="18" fillId="0" borderId="26" xfId="9" applyFont="1" applyBorder="1" applyAlignment="1" applyProtection="1">
      <alignment horizontal="left" vertical="top" wrapText="1"/>
      <protection locked="0"/>
    </xf>
    <xf numFmtId="0" fontId="14" fillId="0" borderId="26" xfId="9" applyFont="1" applyBorder="1" applyAlignment="1" applyProtection="1">
      <alignment horizontal="center" vertical="top" wrapText="1"/>
      <protection locked="0"/>
    </xf>
    <xf numFmtId="9" fontId="14" fillId="8" borderId="1" xfId="9" applyNumberFormat="1" applyFont="1" applyFill="1" applyBorder="1" applyAlignment="1" applyProtection="1">
      <alignment horizontal="center" vertical="center" wrapText="1"/>
      <protection hidden="1"/>
    </xf>
    <xf numFmtId="9" fontId="14" fillId="8" borderId="28" xfId="9" applyNumberFormat="1" applyFont="1" applyFill="1" applyBorder="1" applyAlignment="1" applyProtection="1">
      <alignment horizontal="center" vertical="center" wrapText="1"/>
      <protection hidden="1"/>
    </xf>
    <xf numFmtId="9" fontId="14" fillId="8" borderId="26" xfId="9" applyNumberFormat="1" applyFont="1" applyFill="1" applyBorder="1" applyAlignment="1" applyProtection="1">
      <alignment horizontal="center" vertical="center" wrapText="1"/>
      <protection hidden="1"/>
    </xf>
    <xf numFmtId="9" fontId="14" fillId="8" borderId="29" xfId="9" applyNumberFormat="1" applyFont="1" applyFill="1" applyBorder="1" applyAlignment="1" applyProtection="1">
      <alignment horizontal="center" vertical="center" wrapText="1"/>
      <protection hidden="1"/>
    </xf>
    <xf numFmtId="0" fontId="17" fillId="0" borderId="1" xfId="9" applyFont="1" applyBorder="1" applyAlignment="1" applyProtection="1">
      <alignment horizontal="left" vertical="top" wrapText="1"/>
      <protection locked="0"/>
    </xf>
    <xf numFmtId="0" fontId="13" fillId="0" borderId="1" xfId="8" applyFont="1" applyBorder="1" applyAlignment="1" applyProtection="1">
      <alignment horizontal="left" vertical="top"/>
      <protection locked="0"/>
    </xf>
    <xf numFmtId="1" fontId="13" fillId="0" borderId="1" xfId="8" applyNumberFormat="1" applyFont="1" applyBorder="1" applyAlignment="1" applyProtection="1">
      <alignment horizontal="left" vertical="top" wrapText="1"/>
      <protection locked="0"/>
    </xf>
    <xf numFmtId="0" fontId="18" fillId="8" borderId="1" xfId="9" applyFont="1" applyFill="1" applyBorder="1" applyAlignment="1" applyProtection="1">
      <alignment horizontal="left" vertical="top" wrapText="1"/>
      <protection locked="0"/>
    </xf>
    <xf numFmtId="167" fontId="18" fillId="0" borderId="1" xfId="9" applyNumberFormat="1" applyFont="1" applyBorder="1" applyAlignment="1" applyProtection="1">
      <alignment horizontal="left" vertical="top" wrapText="1"/>
      <protection locked="0"/>
    </xf>
    <xf numFmtId="0" fontId="18" fillId="0" borderId="16" xfId="9" applyFont="1" applyBorder="1" applyAlignment="1" applyProtection="1">
      <alignment vertical="top"/>
      <protection locked="0"/>
    </xf>
    <xf numFmtId="0" fontId="18" fillId="0" borderId="1" xfId="9" applyFont="1" applyBorder="1" applyAlignment="1" applyProtection="1">
      <alignment vertical="top"/>
      <protection locked="0"/>
    </xf>
    <xf numFmtId="0" fontId="14" fillId="0" borderId="1" xfId="9" applyFont="1" applyBorder="1" applyAlignment="1" applyProtection="1">
      <alignment horizontal="left" vertical="top"/>
      <protection locked="0"/>
    </xf>
    <xf numFmtId="0" fontId="11" fillId="0" borderId="9" xfId="9" applyFont="1" applyBorder="1" applyAlignment="1" applyProtection="1">
      <alignment horizontal="left" vertical="top" wrapText="1"/>
      <protection locked="0"/>
    </xf>
    <xf numFmtId="0" fontId="11" fillId="0" borderId="10" xfId="9" applyFont="1" applyBorder="1" applyAlignment="1" applyProtection="1">
      <alignment horizontal="left" vertical="top" wrapText="1"/>
      <protection locked="0"/>
    </xf>
    <xf numFmtId="0" fontId="11" fillId="0" borderId="11" xfId="9" applyFont="1" applyBorder="1" applyAlignment="1" applyProtection="1">
      <alignment horizontal="left" vertical="top" wrapText="1"/>
      <protection locked="0"/>
    </xf>
    <xf numFmtId="0" fontId="11" fillId="0" borderId="5" xfId="9" applyFont="1" applyBorder="1" applyAlignment="1" applyProtection="1">
      <alignment horizontal="left" vertical="top" wrapText="1"/>
      <protection locked="0"/>
    </xf>
    <xf numFmtId="0" fontId="11" fillId="0" borderId="6" xfId="9" applyFont="1" applyBorder="1" applyAlignment="1" applyProtection="1">
      <alignment horizontal="left" vertical="top"/>
      <protection locked="0"/>
    </xf>
    <xf numFmtId="0" fontId="11" fillId="0" borderId="8" xfId="9" applyFont="1" applyBorder="1" applyAlignment="1" applyProtection="1">
      <alignment horizontal="left" vertical="top"/>
      <protection locked="0"/>
    </xf>
    <xf numFmtId="0" fontId="18" fillId="0" borderId="17" xfId="9" applyFont="1" applyBorder="1" applyAlignment="1" applyProtection="1">
      <alignment horizontal="left" vertical="top" wrapText="1"/>
      <protection locked="0"/>
    </xf>
    <xf numFmtId="0" fontId="18" fillId="8" borderId="5" xfId="9" applyFont="1" applyFill="1" applyBorder="1" applyAlignment="1" applyProtection="1">
      <alignment horizontal="left" vertical="top" wrapText="1"/>
      <protection locked="0"/>
    </xf>
    <xf numFmtId="0" fontId="18" fillId="8" borderId="6" xfId="9" applyFont="1" applyFill="1" applyBorder="1" applyAlignment="1" applyProtection="1">
      <alignment horizontal="left" vertical="top" wrapText="1"/>
      <protection locked="0"/>
    </xf>
    <xf numFmtId="0" fontId="18" fillId="8" borderId="8" xfId="9" applyFont="1" applyFill="1" applyBorder="1" applyAlignment="1" applyProtection="1">
      <alignment horizontal="left" vertical="top" wrapText="1"/>
      <protection locked="0"/>
    </xf>
    <xf numFmtId="0" fontId="18" fillId="0" borderId="9" xfId="9" applyFont="1" applyBorder="1" applyAlignment="1" applyProtection="1">
      <alignment horizontal="left" vertical="top" wrapText="1"/>
      <protection locked="0"/>
    </xf>
    <xf numFmtId="0" fontId="18" fillId="0" borderId="11" xfId="9" applyFont="1" applyBorder="1" applyAlignment="1" applyProtection="1">
      <alignment horizontal="left" vertical="top" wrapText="1"/>
      <protection locked="0"/>
    </xf>
    <xf numFmtId="0" fontId="18" fillId="0" borderId="14" xfId="9" applyFont="1" applyBorder="1" applyAlignment="1" applyProtection="1">
      <alignment horizontal="left" vertical="top" wrapText="1"/>
      <protection locked="0"/>
    </xf>
    <xf numFmtId="0" fontId="18" fillId="0" borderId="15" xfId="9" applyFont="1" applyBorder="1" applyAlignment="1" applyProtection="1">
      <alignment horizontal="left" vertical="top" wrapText="1"/>
      <protection locked="0"/>
    </xf>
    <xf numFmtId="167" fontId="11" fillId="0" borderId="1" xfId="9" applyNumberFormat="1" applyFont="1" applyBorder="1" applyAlignment="1" applyProtection="1">
      <alignment horizontal="left" vertical="top" wrapText="1"/>
      <protection locked="0"/>
    </xf>
    <xf numFmtId="0" fontId="11" fillId="8" borderId="5" xfId="9" applyFont="1" applyFill="1" applyBorder="1" applyAlignment="1" applyProtection="1">
      <alignment horizontal="left" vertical="top" wrapText="1"/>
      <protection locked="0"/>
    </xf>
    <xf numFmtId="0" fontId="11" fillId="8" borderId="6" xfId="9" applyFont="1" applyFill="1" applyBorder="1" applyAlignment="1" applyProtection="1">
      <alignment horizontal="left" vertical="top" wrapText="1"/>
      <protection locked="0"/>
    </xf>
    <xf numFmtId="0" fontId="11" fillId="8" borderId="8" xfId="9" applyFont="1" applyFill="1" applyBorder="1" applyAlignment="1" applyProtection="1">
      <alignment horizontal="left" vertical="top" wrapText="1"/>
      <protection locked="0"/>
    </xf>
    <xf numFmtId="2" fontId="11" fillId="0" borderId="1" xfId="9" applyNumberFormat="1" applyFont="1" applyBorder="1" applyAlignment="1" applyProtection="1">
      <alignment horizontal="left" vertical="top" wrapText="1"/>
      <protection locked="0"/>
    </xf>
    <xf numFmtId="166" fontId="11" fillId="0" borderId="1" xfId="9" applyNumberFormat="1" applyFont="1" applyBorder="1" applyAlignment="1" applyProtection="1">
      <alignment horizontal="left" vertical="top"/>
      <protection locked="0"/>
    </xf>
    <xf numFmtId="2" fontId="11" fillId="0" borderId="1" xfId="9" applyNumberFormat="1" applyFont="1" applyBorder="1" applyAlignment="1" applyProtection="1">
      <alignment horizontal="left" vertical="top"/>
      <protection locked="0"/>
    </xf>
    <xf numFmtId="0" fontId="11" fillId="0" borderId="1" xfId="9" applyFont="1" applyBorder="1" applyAlignment="1" applyProtection="1">
      <alignment horizontal="center"/>
      <protection locked="0"/>
    </xf>
    <xf numFmtId="0" fontId="11" fillId="0" borderId="1" xfId="9" applyFont="1" applyBorder="1" applyAlignment="1" applyProtection="1">
      <alignment horizontal="left" vertical="center"/>
      <protection locked="0"/>
    </xf>
    <xf numFmtId="0" fontId="18" fillId="0" borderId="1" xfId="9" applyFont="1" applyBorder="1" applyAlignment="1" applyProtection="1">
      <alignment horizontal="left"/>
      <protection locked="0"/>
    </xf>
    <xf numFmtId="0" fontId="19" fillId="0" borderId="1" xfId="1" applyBorder="1" applyAlignment="1" applyProtection="1">
      <alignment horizontal="left"/>
      <protection locked="0"/>
    </xf>
    <xf numFmtId="0" fontId="11" fillId="0" borderId="1" xfId="9" applyFont="1" applyBorder="1" applyAlignment="1" applyProtection="1">
      <alignment horizontal="left"/>
      <protection locked="0"/>
    </xf>
    <xf numFmtId="0" fontId="11" fillId="0" borderId="1" xfId="9" applyFont="1" applyBorder="1" applyAlignment="1" applyProtection="1">
      <alignment horizontal="left" vertical="center" wrapText="1"/>
      <protection locked="0"/>
    </xf>
    <xf numFmtId="0" fontId="18" fillId="0" borderId="1" xfId="9" applyFont="1" applyBorder="1" applyAlignment="1" applyProtection="1">
      <alignment horizontal="center"/>
      <protection locked="0"/>
    </xf>
    <xf numFmtId="0" fontId="18" fillId="0" borderId="1" xfId="9" applyFont="1" applyBorder="1" applyAlignment="1" applyProtection="1">
      <alignment horizontal="center" vertical="top"/>
      <protection locked="0"/>
    </xf>
    <xf numFmtId="0" fontId="16" fillId="0" borderId="1" xfId="9" applyFont="1" applyBorder="1" applyAlignment="1" applyProtection="1">
      <alignment horizontal="center" vertical="top" wrapText="1"/>
      <protection locked="0"/>
    </xf>
    <xf numFmtId="167" fontId="11" fillId="0" borderId="1" xfId="9" applyNumberFormat="1" applyFont="1" applyBorder="1" applyAlignment="1" applyProtection="1">
      <alignment horizontal="left" vertical="top"/>
      <protection locked="0"/>
    </xf>
    <xf numFmtId="0" fontId="6" fillId="2" borderId="3" xfId="7" applyFont="1" applyFill="1" applyBorder="1" applyAlignment="1">
      <alignment horizontal="center"/>
    </xf>
    <xf numFmtId="0" fontId="7" fillId="3" borderId="4" xfId="7" applyFont="1" applyFill="1" applyBorder="1" applyAlignment="1">
      <alignment horizontal="center" vertical="center" wrapText="1"/>
    </xf>
    <xf numFmtId="0" fontId="6" fillId="2" borderId="5" xfId="7" applyFont="1" applyFill="1" applyBorder="1" applyAlignment="1">
      <alignment horizontal="center"/>
    </xf>
    <xf numFmtId="0" fontId="6" fillId="2" borderId="6" xfId="7" applyFont="1" applyFill="1" applyBorder="1" applyAlignment="1">
      <alignment horizontal="center"/>
    </xf>
    <xf numFmtId="0" fontId="6" fillId="2" borderId="8" xfId="7" applyFont="1" applyFill="1" applyBorder="1" applyAlignment="1">
      <alignment horizontal="center"/>
    </xf>
    <xf numFmtId="0" fontId="7" fillId="3" borderId="7" xfId="7" applyFont="1" applyFill="1" applyBorder="1" applyAlignment="1">
      <alignment horizontal="center" vertical="center" wrapText="1"/>
    </xf>
    <xf numFmtId="0" fontId="25" fillId="2" borderId="1" xfId="7" applyFill="1" applyBorder="1" applyAlignment="1">
      <alignment horizontal="center" wrapText="1"/>
    </xf>
    <xf numFmtId="0" fontId="3" fillId="0" borderId="1" xfId="7" applyFont="1" applyBorder="1" applyAlignment="1">
      <alignment horizontal="center"/>
    </xf>
    <xf numFmtId="0" fontId="3" fillId="0" borderId="1" xfId="12" applyFont="1" applyBorder="1" applyAlignment="1">
      <alignment horizontal="left"/>
    </xf>
  </cellXfs>
  <cellStyles count="14">
    <cellStyle name="Comma 2" xfId="2"/>
    <cellStyle name="Comma 2 2" xfId="3"/>
    <cellStyle name="Excel Built-in Normal" xfId="4"/>
    <cellStyle name="Excel Built-in Normal 2" xfId="5"/>
    <cellStyle name="Hyperlink" xfId="1" builtinId="8"/>
    <cellStyle name="Normal" xfId="0" builtinId="0"/>
    <cellStyle name="Normal 2" xfId="6"/>
    <cellStyle name="Normal 2 2" xfId="7"/>
    <cellStyle name="Normal 3" xfId="8"/>
    <cellStyle name="Normal 3 2" xfId="9"/>
    <cellStyle name="Normal 3 3" xfId="10"/>
    <cellStyle name="Normal 4" xfId="11"/>
    <cellStyle name="Normal 4 2" xfId="12"/>
    <cellStyle name="Percent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517069</xdr:colOff>
      <xdr:row>379</xdr:row>
      <xdr:rowOff>157347</xdr:rowOff>
    </xdr:from>
    <xdr:to>
      <xdr:col>7</xdr:col>
      <xdr:colOff>404457</xdr:colOff>
      <xdr:row>399</xdr:row>
      <xdr:rowOff>40152</xdr:rowOff>
    </xdr:to>
    <xdr:pic>
      <xdr:nvPicPr>
        <xdr:cNvPr id="2" name="Picture 1"/>
        <xdr:cNvPicPr>
          <a:picLocks noChangeAspect="1"/>
        </xdr:cNvPicPr>
      </xdr:nvPicPr>
      <xdr:blipFill>
        <a:blip xmlns:r="http://schemas.openxmlformats.org/officeDocument/2006/relationships" r:embed="rId1" cstate="screen"/>
        <a:srcRect/>
        <a:stretch>
          <a:fillRect/>
        </a:stretch>
      </xdr:blipFill>
      <xdr:spPr>
        <a:xfrm>
          <a:off x="516890" y="71133335"/>
          <a:ext cx="5487035" cy="3883660"/>
        </a:xfrm>
        <a:prstGeom prst="rect">
          <a:avLst/>
        </a:prstGeom>
        <a:ln>
          <a:solidFill>
            <a:schemeClr val="tx1"/>
          </a:solidFill>
        </a:ln>
      </xdr:spPr>
    </xdr:pic>
    <xdr:clientData/>
  </xdr:twoCellAnchor>
  <xdr:twoCellAnchor editAs="oneCell">
    <xdr:from>
      <xdr:col>0</xdr:col>
      <xdr:colOff>517069</xdr:colOff>
      <xdr:row>360</xdr:row>
      <xdr:rowOff>0</xdr:rowOff>
    </xdr:from>
    <xdr:to>
      <xdr:col>7</xdr:col>
      <xdr:colOff>348076</xdr:colOff>
      <xdr:row>379</xdr:row>
      <xdr:rowOff>81966</xdr:rowOff>
    </xdr:to>
    <xdr:pic>
      <xdr:nvPicPr>
        <xdr:cNvPr id="3" name="Picture 2"/>
        <xdr:cNvPicPr>
          <a:picLocks noChangeAspect="1"/>
        </xdr:cNvPicPr>
      </xdr:nvPicPr>
      <xdr:blipFill>
        <a:blip xmlns:r="http://schemas.openxmlformats.org/officeDocument/2006/relationships" r:embed="rId2" cstate="screen"/>
        <a:srcRect/>
        <a:stretch>
          <a:fillRect/>
        </a:stretch>
      </xdr:blipFill>
      <xdr:spPr>
        <a:xfrm>
          <a:off x="516890" y="67176015"/>
          <a:ext cx="5431155" cy="3882390"/>
        </a:xfrm>
        <a:prstGeom prst="rect">
          <a:avLst/>
        </a:prstGeom>
        <a:ln>
          <a:solidFill>
            <a:schemeClr val="tx1"/>
          </a:solidFill>
        </a:ln>
      </xdr:spPr>
    </xdr:pic>
    <xdr:clientData/>
  </xdr:twoCellAnchor>
  <xdr:twoCellAnchor editAs="oneCell">
    <xdr:from>
      <xdr:col>8</xdr:col>
      <xdr:colOff>290369</xdr:colOff>
      <xdr:row>48</xdr:row>
      <xdr:rowOff>149802</xdr:rowOff>
    </xdr:from>
    <xdr:to>
      <xdr:col>22</xdr:col>
      <xdr:colOff>90711</xdr:colOff>
      <xdr:row>51</xdr:row>
      <xdr:rowOff>350417</xdr:rowOff>
    </xdr:to>
    <xdr:pic>
      <xdr:nvPicPr>
        <xdr:cNvPr id="4" name="Picture 3"/>
        <xdr:cNvPicPr>
          <a:picLocks noChangeAspect="1"/>
        </xdr:cNvPicPr>
      </xdr:nvPicPr>
      <xdr:blipFill>
        <a:blip xmlns:r="http://schemas.openxmlformats.org/officeDocument/2006/relationships" r:embed="rId3"/>
        <a:stretch>
          <a:fillRect/>
        </a:stretch>
      </xdr:blipFill>
      <xdr:spPr>
        <a:xfrm>
          <a:off x="7195994" y="12103677"/>
          <a:ext cx="6286867" cy="2210390"/>
        </a:xfrm>
        <a:prstGeom prst="rect">
          <a:avLst/>
        </a:prstGeom>
      </xdr:spPr>
    </xdr:pic>
    <xdr:clientData/>
  </xdr:twoCellAnchor>
  <xdr:twoCellAnchor>
    <xdr:from>
      <xdr:col>8</xdr:col>
      <xdr:colOff>831272</xdr:colOff>
      <xdr:row>318</xdr:row>
      <xdr:rowOff>0</xdr:rowOff>
    </xdr:from>
    <xdr:to>
      <xdr:col>8</xdr:col>
      <xdr:colOff>1117022</xdr:colOff>
      <xdr:row>319</xdr:row>
      <xdr:rowOff>43296</xdr:rowOff>
    </xdr:to>
    <xdr:sp macro="" textlink="">
      <xdr:nvSpPr>
        <xdr:cNvPr id="17" name="TextBox 16"/>
        <xdr:cNvSpPr txBox="1"/>
      </xdr:nvSpPr>
      <xdr:spPr>
        <a:xfrm>
          <a:off x="7727315" y="58774965"/>
          <a:ext cx="285750" cy="243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a:t>
          </a:r>
        </a:p>
      </xdr:txBody>
    </xdr:sp>
    <xdr:clientData/>
  </xdr:twoCellAnchor>
  <xdr:twoCellAnchor>
    <xdr:from>
      <xdr:col>10</xdr:col>
      <xdr:colOff>15603</xdr:colOff>
      <xdr:row>317</xdr:row>
      <xdr:rowOff>147204</xdr:rowOff>
    </xdr:from>
    <xdr:to>
      <xdr:col>10</xdr:col>
      <xdr:colOff>301353</xdr:colOff>
      <xdr:row>318</xdr:row>
      <xdr:rowOff>190500</xdr:rowOff>
    </xdr:to>
    <xdr:sp macro="" textlink="">
      <xdr:nvSpPr>
        <xdr:cNvPr id="18" name="TextBox 17"/>
        <xdr:cNvSpPr txBox="1"/>
      </xdr:nvSpPr>
      <xdr:spPr>
        <a:xfrm>
          <a:off x="9036685" y="58721625"/>
          <a:ext cx="285750" cy="243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16</xdr:col>
      <xdr:colOff>595997</xdr:colOff>
      <xdr:row>317</xdr:row>
      <xdr:rowOff>112568</xdr:rowOff>
    </xdr:from>
    <xdr:to>
      <xdr:col>17</xdr:col>
      <xdr:colOff>275610</xdr:colOff>
      <xdr:row>318</xdr:row>
      <xdr:rowOff>155864</xdr:rowOff>
    </xdr:to>
    <xdr:sp macro="" textlink="">
      <xdr:nvSpPr>
        <xdr:cNvPr id="19" name="TextBox 18"/>
        <xdr:cNvSpPr txBox="1"/>
      </xdr:nvSpPr>
      <xdr:spPr>
        <a:xfrm>
          <a:off x="10320655" y="58687335"/>
          <a:ext cx="287020" cy="243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a:t>
          </a:r>
        </a:p>
      </xdr:txBody>
    </xdr:sp>
    <xdr:clientData/>
  </xdr:twoCellAnchor>
  <xdr:twoCellAnchor>
    <xdr:from>
      <xdr:col>9</xdr:col>
      <xdr:colOff>230441</xdr:colOff>
      <xdr:row>323</xdr:row>
      <xdr:rowOff>58579</xdr:rowOff>
    </xdr:from>
    <xdr:to>
      <xdr:col>9</xdr:col>
      <xdr:colOff>516191</xdr:colOff>
      <xdr:row>324</xdr:row>
      <xdr:rowOff>101875</xdr:rowOff>
    </xdr:to>
    <xdr:sp macro="" textlink="">
      <xdr:nvSpPr>
        <xdr:cNvPr id="20" name="TextBox 19"/>
        <xdr:cNvSpPr txBox="1"/>
      </xdr:nvSpPr>
      <xdr:spPr>
        <a:xfrm>
          <a:off x="8488680" y="59833510"/>
          <a:ext cx="285750" cy="243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H</a:t>
          </a:r>
        </a:p>
      </xdr:txBody>
    </xdr:sp>
    <xdr:clientData/>
  </xdr:twoCellAnchor>
  <xdr:twoCellAnchor editAs="oneCell">
    <xdr:from>
      <xdr:col>8</xdr:col>
      <xdr:colOff>65809</xdr:colOff>
      <xdr:row>145</xdr:row>
      <xdr:rowOff>53975</xdr:rowOff>
    </xdr:from>
    <xdr:to>
      <xdr:col>21</xdr:col>
      <xdr:colOff>558584</xdr:colOff>
      <xdr:row>154</xdr:row>
      <xdr:rowOff>51674</xdr:rowOff>
    </xdr:to>
    <xdr:pic>
      <xdr:nvPicPr>
        <xdr:cNvPr id="21" name="Picture 20"/>
        <xdr:cNvPicPr>
          <a:picLocks noChangeAspect="1"/>
        </xdr:cNvPicPr>
      </xdr:nvPicPr>
      <xdr:blipFill>
        <a:blip xmlns:r="http://schemas.openxmlformats.org/officeDocument/2006/relationships" r:embed="rId4"/>
        <a:stretch>
          <a:fillRect/>
        </a:stretch>
      </xdr:blipFill>
      <xdr:spPr>
        <a:xfrm>
          <a:off x="6971434" y="27038300"/>
          <a:ext cx="6369700" cy="2245599"/>
        </a:xfrm>
        <a:prstGeom prst="rect">
          <a:avLst/>
        </a:prstGeom>
        <a:solidFill>
          <a:schemeClr val="tx1"/>
        </a:solidFill>
      </xdr:spPr>
    </xdr:pic>
    <xdr:clientData/>
  </xdr:twoCellAnchor>
  <xdr:twoCellAnchor>
    <xdr:from>
      <xdr:col>10</xdr:col>
      <xdr:colOff>145491</xdr:colOff>
      <xdr:row>332</xdr:row>
      <xdr:rowOff>181840</xdr:rowOff>
    </xdr:from>
    <xdr:to>
      <xdr:col>10</xdr:col>
      <xdr:colOff>431241</xdr:colOff>
      <xdr:row>334</xdr:row>
      <xdr:rowOff>25977</xdr:rowOff>
    </xdr:to>
    <xdr:sp macro="" textlink="">
      <xdr:nvSpPr>
        <xdr:cNvPr id="43" name="TextBox 42"/>
        <xdr:cNvSpPr txBox="1"/>
      </xdr:nvSpPr>
      <xdr:spPr>
        <a:xfrm>
          <a:off x="9166860" y="61756925"/>
          <a:ext cx="285750" cy="243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editAs="oneCell">
    <xdr:from>
      <xdr:col>8</xdr:col>
      <xdr:colOff>200025</xdr:colOff>
      <xdr:row>185</xdr:row>
      <xdr:rowOff>0</xdr:rowOff>
    </xdr:from>
    <xdr:to>
      <xdr:col>25</xdr:col>
      <xdr:colOff>390345</xdr:colOff>
      <xdr:row>226</xdr:row>
      <xdr:rowOff>161208</xdr:rowOff>
    </xdr:to>
    <xdr:pic>
      <xdr:nvPicPr>
        <xdr:cNvPr id="32" name="Picture 31"/>
        <xdr:cNvPicPr>
          <a:picLocks noChangeAspect="1"/>
        </xdr:cNvPicPr>
      </xdr:nvPicPr>
      <xdr:blipFill>
        <a:blip xmlns:r="http://schemas.openxmlformats.org/officeDocument/2006/relationships" r:embed="rId5"/>
        <a:srcRect l="11734" t="25040" r="22894" b="9866"/>
        <a:stretch>
          <a:fillRect/>
        </a:stretch>
      </xdr:blipFill>
      <xdr:spPr>
        <a:xfrm>
          <a:off x="7096125" y="35914965"/>
          <a:ext cx="8482330" cy="4761230"/>
        </a:xfrm>
        <a:prstGeom prst="rect">
          <a:avLst/>
        </a:prstGeom>
        <a:ln>
          <a:solidFill>
            <a:schemeClr val="tx1"/>
          </a:solidFill>
        </a:ln>
      </xdr:spPr>
    </xdr:pic>
    <xdr:clientData/>
  </xdr:twoCellAnchor>
  <xdr:twoCellAnchor>
    <xdr:from>
      <xdr:col>9</xdr:col>
      <xdr:colOff>390525</xdr:colOff>
      <xdr:row>191</xdr:row>
      <xdr:rowOff>133350</xdr:rowOff>
    </xdr:from>
    <xdr:to>
      <xdr:col>10</xdr:col>
      <xdr:colOff>295275</xdr:colOff>
      <xdr:row>194</xdr:row>
      <xdr:rowOff>9525</xdr:rowOff>
    </xdr:to>
    <xdr:sp macro="" textlink="">
      <xdr:nvSpPr>
        <xdr:cNvPr id="5" name="Rectangle 4"/>
        <xdr:cNvSpPr/>
      </xdr:nvSpPr>
      <xdr:spPr>
        <a:xfrm>
          <a:off x="8649335" y="37248465"/>
          <a:ext cx="66738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1</a:t>
          </a:r>
        </a:p>
      </xdr:txBody>
    </xdr:sp>
    <xdr:clientData/>
  </xdr:twoCellAnchor>
  <xdr:twoCellAnchor>
    <xdr:from>
      <xdr:col>10</xdr:col>
      <xdr:colOff>600075</xdr:colOff>
      <xdr:row>191</xdr:row>
      <xdr:rowOff>123825</xdr:rowOff>
    </xdr:from>
    <xdr:to>
      <xdr:col>16</xdr:col>
      <xdr:colOff>561975</xdr:colOff>
      <xdr:row>194</xdr:row>
      <xdr:rowOff>0</xdr:rowOff>
    </xdr:to>
    <xdr:sp macro="" textlink="">
      <xdr:nvSpPr>
        <xdr:cNvPr id="33" name="Rectangle 32"/>
        <xdr:cNvSpPr/>
      </xdr:nvSpPr>
      <xdr:spPr>
        <a:xfrm>
          <a:off x="9621520" y="37238940"/>
          <a:ext cx="66548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2</a:t>
          </a:r>
        </a:p>
      </xdr:txBody>
    </xdr:sp>
    <xdr:clientData/>
  </xdr:twoCellAnchor>
  <xdr:twoCellAnchor>
    <xdr:from>
      <xdr:col>20</xdr:col>
      <xdr:colOff>571500</xdr:colOff>
      <xdr:row>191</xdr:row>
      <xdr:rowOff>171450</xdr:rowOff>
    </xdr:from>
    <xdr:to>
      <xdr:col>22</xdr:col>
      <xdr:colOff>19050</xdr:colOff>
      <xdr:row>194</xdr:row>
      <xdr:rowOff>47625</xdr:rowOff>
    </xdr:to>
    <xdr:sp macro="" textlink="">
      <xdr:nvSpPr>
        <xdr:cNvPr id="34" name="Rectangle 33"/>
        <xdr:cNvSpPr/>
      </xdr:nvSpPr>
      <xdr:spPr>
        <a:xfrm>
          <a:off x="12724765" y="37286565"/>
          <a:ext cx="66167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3</a:t>
          </a:r>
        </a:p>
      </xdr:txBody>
    </xdr:sp>
    <xdr:clientData/>
  </xdr:twoCellAnchor>
  <xdr:twoCellAnchor>
    <xdr:from>
      <xdr:col>22</xdr:col>
      <xdr:colOff>190500</xdr:colOff>
      <xdr:row>191</xdr:row>
      <xdr:rowOff>161925</xdr:rowOff>
    </xdr:from>
    <xdr:to>
      <xdr:col>23</xdr:col>
      <xdr:colOff>247650</xdr:colOff>
      <xdr:row>194</xdr:row>
      <xdr:rowOff>38100</xdr:rowOff>
    </xdr:to>
    <xdr:sp macro="" textlink="">
      <xdr:nvSpPr>
        <xdr:cNvPr id="35" name="Rectangle 34"/>
        <xdr:cNvSpPr/>
      </xdr:nvSpPr>
      <xdr:spPr>
        <a:xfrm>
          <a:off x="13557885" y="37277040"/>
          <a:ext cx="66421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4</a:t>
          </a:r>
        </a:p>
      </xdr:txBody>
    </xdr:sp>
    <xdr:clientData/>
  </xdr:twoCellAnchor>
  <xdr:twoCellAnchor>
    <xdr:from>
      <xdr:col>22</xdr:col>
      <xdr:colOff>161925</xdr:colOff>
      <xdr:row>216</xdr:row>
      <xdr:rowOff>47625</xdr:rowOff>
    </xdr:from>
    <xdr:to>
      <xdr:col>23</xdr:col>
      <xdr:colOff>219075</xdr:colOff>
      <xdr:row>218</xdr:row>
      <xdr:rowOff>123825</xdr:rowOff>
    </xdr:to>
    <xdr:sp macro="" textlink="">
      <xdr:nvSpPr>
        <xdr:cNvPr id="36" name="Rectangle 35"/>
        <xdr:cNvSpPr/>
      </xdr:nvSpPr>
      <xdr:spPr>
        <a:xfrm>
          <a:off x="13529310" y="38562915"/>
          <a:ext cx="66421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5</a:t>
          </a:r>
        </a:p>
      </xdr:txBody>
    </xdr:sp>
    <xdr:clientData/>
  </xdr:twoCellAnchor>
  <xdr:twoCellAnchor>
    <xdr:from>
      <xdr:col>20</xdr:col>
      <xdr:colOff>581025</xdr:colOff>
      <xdr:row>216</xdr:row>
      <xdr:rowOff>47625</xdr:rowOff>
    </xdr:from>
    <xdr:to>
      <xdr:col>22</xdr:col>
      <xdr:colOff>28575</xdr:colOff>
      <xdr:row>218</xdr:row>
      <xdr:rowOff>123825</xdr:rowOff>
    </xdr:to>
    <xdr:sp macro="" textlink="">
      <xdr:nvSpPr>
        <xdr:cNvPr id="37" name="Rectangle 36"/>
        <xdr:cNvSpPr/>
      </xdr:nvSpPr>
      <xdr:spPr>
        <a:xfrm>
          <a:off x="12734290" y="38562915"/>
          <a:ext cx="66167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6</a:t>
          </a:r>
        </a:p>
      </xdr:txBody>
    </xdr:sp>
    <xdr:clientData/>
  </xdr:twoCellAnchor>
  <xdr:twoCellAnchor>
    <xdr:from>
      <xdr:col>10</xdr:col>
      <xdr:colOff>571500</xdr:colOff>
      <xdr:row>216</xdr:row>
      <xdr:rowOff>95250</xdr:rowOff>
    </xdr:from>
    <xdr:to>
      <xdr:col>16</xdr:col>
      <xdr:colOff>533400</xdr:colOff>
      <xdr:row>218</xdr:row>
      <xdr:rowOff>171450</xdr:rowOff>
    </xdr:to>
    <xdr:sp macro="" textlink="">
      <xdr:nvSpPr>
        <xdr:cNvPr id="38" name="Rectangle 37"/>
        <xdr:cNvSpPr/>
      </xdr:nvSpPr>
      <xdr:spPr>
        <a:xfrm>
          <a:off x="9592945" y="38610540"/>
          <a:ext cx="66548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7</a:t>
          </a:r>
        </a:p>
      </xdr:txBody>
    </xdr:sp>
    <xdr:clientData/>
  </xdr:twoCellAnchor>
  <xdr:twoCellAnchor>
    <xdr:from>
      <xdr:col>9</xdr:col>
      <xdr:colOff>438150</xdr:colOff>
      <xdr:row>216</xdr:row>
      <xdr:rowOff>66675</xdr:rowOff>
    </xdr:from>
    <xdr:to>
      <xdr:col>10</xdr:col>
      <xdr:colOff>342900</xdr:colOff>
      <xdr:row>218</xdr:row>
      <xdr:rowOff>142875</xdr:rowOff>
    </xdr:to>
    <xdr:sp macro="" textlink="">
      <xdr:nvSpPr>
        <xdr:cNvPr id="39" name="Rectangle 38"/>
        <xdr:cNvSpPr/>
      </xdr:nvSpPr>
      <xdr:spPr>
        <a:xfrm>
          <a:off x="8696960" y="38581965"/>
          <a:ext cx="66738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000" b="1">
              <a:solidFill>
                <a:srgbClr val="C00000"/>
              </a:solidFill>
            </a:rPr>
            <a:t>8</a:t>
          </a:r>
        </a:p>
      </xdr:txBody>
    </xdr:sp>
    <xdr:clientData/>
  </xdr:twoCellAnchor>
  <xdr:twoCellAnchor editAs="oneCell">
    <xdr:from>
      <xdr:col>8</xdr:col>
      <xdr:colOff>775119</xdr:colOff>
      <xdr:row>156</xdr:row>
      <xdr:rowOff>209550</xdr:rowOff>
    </xdr:from>
    <xdr:to>
      <xdr:col>18</xdr:col>
      <xdr:colOff>289752</xdr:colOff>
      <xdr:row>169</xdr:row>
      <xdr:rowOff>89175</xdr:rowOff>
    </xdr:to>
    <xdr:pic>
      <xdr:nvPicPr>
        <xdr:cNvPr id="45" name="Picture 44"/>
        <xdr:cNvPicPr>
          <a:picLocks noChangeAspect="1"/>
        </xdr:cNvPicPr>
      </xdr:nvPicPr>
      <xdr:blipFill>
        <a:blip xmlns:r="http://schemas.openxmlformats.org/officeDocument/2006/relationships" r:embed="rId6" cstate="screen"/>
        <a:srcRect/>
        <a:stretch>
          <a:fillRect/>
        </a:stretch>
      </xdr:blipFill>
      <xdr:spPr>
        <a:xfrm>
          <a:off x="7670800" y="29923740"/>
          <a:ext cx="3557905" cy="2879725"/>
        </a:xfrm>
        <a:prstGeom prst="rect">
          <a:avLst/>
        </a:prstGeom>
        <a:ln>
          <a:solidFill>
            <a:schemeClr val="tx1"/>
          </a:solidFill>
        </a:ln>
      </xdr:spPr>
    </xdr:pic>
    <xdr:clientData/>
  </xdr:twoCellAnchor>
  <xdr:twoCellAnchor editAs="oneCell">
    <xdr:from>
      <xdr:col>8</xdr:col>
      <xdr:colOff>609600</xdr:colOff>
      <xdr:row>169</xdr:row>
      <xdr:rowOff>186906</xdr:rowOff>
    </xdr:from>
    <xdr:to>
      <xdr:col>19</xdr:col>
      <xdr:colOff>256873</xdr:colOff>
      <xdr:row>184</xdr:row>
      <xdr:rowOff>66531</xdr:rowOff>
    </xdr:to>
    <xdr:pic>
      <xdr:nvPicPr>
        <xdr:cNvPr id="46" name="Picture 45"/>
        <xdr:cNvPicPr>
          <a:picLocks noChangeAspect="1"/>
        </xdr:cNvPicPr>
      </xdr:nvPicPr>
      <xdr:blipFill>
        <a:blip xmlns:r="http://schemas.openxmlformats.org/officeDocument/2006/relationships" r:embed="rId7" cstate="screen"/>
        <a:srcRect/>
        <a:stretch>
          <a:fillRect/>
        </a:stretch>
      </xdr:blipFill>
      <xdr:spPr>
        <a:xfrm>
          <a:off x="7505700" y="32901255"/>
          <a:ext cx="4297045" cy="2879725"/>
        </a:xfrm>
        <a:prstGeom prst="rect">
          <a:avLst/>
        </a:prstGeom>
        <a:ln>
          <a:solidFill>
            <a:schemeClr val="tx1"/>
          </a:solidFill>
        </a:ln>
      </xdr:spPr>
    </xdr:pic>
    <xdr:clientData/>
  </xdr:twoCellAnchor>
  <xdr:twoCellAnchor>
    <xdr:from>
      <xdr:col>8</xdr:col>
      <xdr:colOff>153035</xdr:colOff>
      <xdr:row>314</xdr:row>
      <xdr:rowOff>142875</xdr:rowOff>
    </xdr:from>
    <xdr:to>
      <xdr:col>22</xdr:col>
      <xdr:colOff>224790</xdr:colOff>
      <xdr:row>357</xdr:row>
      <xdr:rowOff>183515</xdr:rowOff>
    </xdr:to>
    <xdr:grpSp>
      <xdr:nvGrpSpPr>
        <xdr:cNvPr id="16" name="Group 15"/>
        <xdr:cNvGrpSpPr/>
      </xdr:nvGrpSpPr>
      <xdr:grpSpPr>
        <a:xfrm>
          <a:off x="7392035" y="53743225"/>
          <a:ext cx="6885305" cy="8498840"/>
          <a:chOff x="172085" y="57997725"/>
          <a:chExt cx="6558280" cy="8632190"/>
        </a:xfrm>
      </xdr:grpSpPr>
      <xdr:grpSp>
        <xdr:nvGrpSpPr>
          <xdr:cNvPr id="15" name="Group 14"/>
          <xdr:cNvGrpSpPr/>
        </xdr:nvGrpSpPr>
        <xdr:grpSpPr>
          <a:xfrm>
            <a:off x="172085" y="57997725"/>
            <a:ext cx="6558280" cy="8632190"/>
            <a:chOff x="172085" y="57997725"/>
            <a:chExt cx="6558280" cy="8632190"/>
          </a:xfrm>
        </xdr:grpSpPr>
        <xdr:pic>
          <xdr:nvPicPr>
            <xdr:cNvPr id="6" name="Picture 72" descr="https://vsjcllp.vsjadon.com/upload/insp-200552-1525.jpg"/>
            <xdr:cNvPicPr>
              <a:picLocks noChangeAspect="1" noChangeArrowheads="1"/>
            </xdr:cNvPicPr>
          </xdr:nvPicPr>
          <xdr:blipFill>
            <a:blip xmlns:r="http://schemas.openxmlformats.org/officeDocument/2006/relationships" r:embed="rId8" cstate="print"/>
            <a:srcRect/>
            <a:stretch>
              <a:fillRect/>
            </a:stretch>
          </xdr:blipFill>
          <xdr:spPr bwMode="auto">
            <a:xfrm>
              <a:off x="4532630" y="64074675"/>
              <a:ext cx="1918970" cy="25552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74" descr="https://vsjcllp.vsjadon.com/upload/insp-200552-843.jpg"/>
            <xdr:cNvPicPr>
              <a:picLocks noChangeAspect="1" noChangeArrowheads="1"/>
            </xdr:cNvPicPr>
          </xdr:nvPicPr>
          <xdr:blipFill>
            <a:blip xmlns:r="http://schemas.openxmlformats.org/officeDocument/2006/relationships" r:embed="rId9" cstate="print"/>
            <a:srcRect/>
            <a:stretch>
              <a:fillRect/>
            </a:stretch>
          </xdr:blipFill>
          <xdr:spPr bwMode="auto">
            <a:xfrm>
              <a:off x="172085" y="57997725"/>
              <a:ext cx="4120515" cy="30905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6" descr="https://vsjcllp.vsjadon.com/upload/insp-200552-845.jpg"/>
            <xdr:cNvPicPr>
              <a:picLocks noChangeAspect="1" noChangeArrowheads="1"/>
            </xdr:cNvPicPr>
          </xdr:nvPicPr>
          <xdr:blipFill>
            <a:blip xmlns:r="http://schemas.openxmlformats.org/officeDocument/2006/relationships" r:embed="rId10" cstate="print"/>
            <a:srcRect/>
            <a:stretch>
              <a:fillRect/>
            </a:stretch>
          </xdr:blipFill>
          <xdr:spPr bwMode="auto">
            <a:xfrm>
              <a:off x="210185" y="61198125"/>
              <a:ext cx="2084070" cy="27832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78" descr="https://vsjcllp.vsjadon.com/upload/insp-200552-844.jpg"/>
            <xdr:cNvPicPr>
              <a:picLocks noChangeAspect="1" noChangeArrowheads="1"/>
            </xdr:cNvPicPr>
          </xdr:nvPicPr>
          <xdr:blipFill>
            <a:blip xmlns:r="http://schemas.openxmlformats.org/officeDocument/2006/relationships" r:embed="rId11" cstate="print"/>
            <a:srcRect/>
            <a:stretch>
              <a:fillRect/>
            </a:stretch>
          </xdr:blipFill>
          <xdr:spPr bwMode="auto">
            <a:xfrm>
              <a:off x="4408805" y="57997725"/>
              <a:ext cx="2321560" cy="30905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80" descr="https://vsjcllp.vsjadon.com/upload/insp-200552-861.jpg"/>
            <xdr:cNvPicPr>
              <a:picLocks noChangeAspect="1" noChangeArrowheads="1"/>
            </xdr:cNvPicPr>
          </xdr:nvPicPr>
          <xdr:blipFill>
            <a:blip xmlns:r="http://schemas.openxmlformats.org/officeDocument/2006/relationships" r:embed="rId12" cstate="print"/>
            <a:srcRect/>
            <a:stretch>
              <a:fillRect/>
            </a:stretch>
          </xdr:blipFill>
          <xdr:spPr bwMode="auto">
            <a:xfrm>
              <a:off x="4612005" y="61210825"/>
              <a:ext cx="2091055" cy="27832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82" descr="https://vsjcllp.vsjadon.com/upload/insp-200552-860.jpg"/>
            <xdr:cNvPicPr>
              <a:picLocks noChangeAspect="1" noChangeArrowheads="1"/>
            </xdr:cNvPicPr>
          </xdr:nvPicPr>
          <xdr:blipFill>
            <a:blip xmlns:r="http://schemas.openxmlformats.org/officeDocument/2006/relationships" r:embed="rId13" cstate="print"/>
            <a:srcRect/>
            <a:stretch>
              <a:fillRect/>
            </a:stretch>
          </xdr:blipFill>
          <xdr:spPr bwMode="auto">
            <a:xfrm>
              <a:off x="2404110" y="61198125"/>
              <a:ext cx="2089150" cy="27832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84" descr="https://vsjcllp.vsjadon.com/upload/insp-200552-874.jpg"/>
            <xdr:cNvPicPr>
              <a:picLocks noChangeAspect="1" noChangeArrowheads="1"/>
            </xdr:cNvPicPr>
          </xdr:nvPicPr>
          <xdr:blipFill>
            <a:blip xmlns:r="http://schemas.openxmlformats.org/officeDocument/2006/relationships" r:embed="rId14" cstate="print"/>
            <a:srcRect/>
            <a:stretch>
              <a:fillRect/>
            </a:stretch>
          </xdr:blipFill>
          <xdr:spPr bwMode="auto">
            <a:xfrm>
              <a:off x="486410" y="64074675"/>
              <a:ext cx="1913255" cy="25552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86" descr="https://vsjcllp.vsjadon.com/upload/insp-200552-880.jpg"/>
            <xdr:cNvPicPr>
              <a:picLocks noChangeAspect="1" noChangeArrowheads="1"/>
            </xdr:cNvPicPr>
          </xdr:nvPicPr>
          <xdr:blipFill>
            <a:blip xmlns:r="http://schemas.openxmlformats.org/officeDocument/2006/relationships" r:embed="rId15" cstate="print"/>
            <a:srcRect/>
            <a:stretch>
              <a:fillRect/>
            </a:stretch>
          </xdr:blipFill>
          <xdr:spPr bwMode="auto">
            <a:xfrm>
              <a:off x="2508250" y="64074675"/>
              <a:ext cx="1914525" cy="25546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4" name="TextBox 36"/>
          <xdr:cNvSpPr txBox="1"/>
        </xdr:nvSpPr>
        <xdr:spPr>
          <a:xfrm>
            <a:off x="5932805" y="58044715"/>
            <a:ext cx="765175" cy="30289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grpSp>
    <xdr:clientData/>
  </xdr:twoCellAnchor>
  <xdr:twoCellAnchor>
    <xdr:from>
      <xdr:col>0</xdr:col>
      <xdr:colOff>425450</xdr:colOff>
      <xdr:row>315</xdr:row>
      <xdr:rowOff>44450</xdr:rowOff>
    </xdr:from>
    <xdr:to>
      <xdr:col>7</xdr:col>
      <xdr:colOff>925469</xdr:colOff>
      <xdr:row>355</xdr:row>
      <xdr:rowOff>139263</xdr:rowOff>
    </xdr:to>
    <xdr:grpSp>
      <xdr:nvGrpSpPr>
        <xdr:cNvPr id="22" name="Group 21"/>
        <xdr:cNvGrpSpPr/>
      </xdr:nvGrpSpPr>
      <xdr:grpSpPr>
        <a:xfrm>
          <a:off x="425450" y="53841650"/>
          <a:ext cx="6380119" cy="7962463"/>
          <a:chOff x="425450" y="53841650"/>
          <a:chExt cx="6380119" cy="7962463"/>
        </a:xfrm>
      </xdr:grpSpPr>
      <xdr:pic>
        <xdr:nvPicPr>
          <xdr:cNvPr id="41" name="Picture 4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806352" y="59644113"/>
            <a:ext cx="1618313" cy="216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14221" y="53841650"/>
            <a:ext cx="2157751" cy="288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95975" y="53841650"/>
            <a:ext cx="3836444" cy="288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782678" y="56827695"/>
            <a:ext cx="2022891" cy="270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25450" y="56827695"/>
            <a:ext cx="2022891" cy="270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604064" y="56827695"/>
            <a:ext cx="2022891" cy="270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kf8ULukEmJ629AAa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9"/>
  <sheetViews>
    <sheetView tabSelected="1" view="pageBreakPreview" zoomScaleNormal="100" zoomScalePageLayoutView="85" workbookViewId="0">
      <selection activeCell="E9" sqref="E9:H9"/>
    </sheetView>
  </sheetViews>
  <sheetFormatPr defaultColWidth="9.1796875" defaultRowHeight="15.5"/>
  <cols>
    <col min="1" max="1" width="11.453125" style="42" customWidth="1"/>
    <col min="2" max="2" width="12" style="42" customWidth="1"/>
    <col min="3" max="3" width="12.7265625" style="42" customWidth="1"/>
    <col min="4" max="4" width="12.81640625" style="42" customWidth="1"/>
    <col min="5" max="7" width="11.7265625" style="42" customWidth="1"/>
    <col min="8" max="8" width="19.453125" style="42" customWidth="1"/>
    <col min="9" max="9" width="20.453125" style="43" customWidth="1"/>
    <col min="10" max="10" width="11.453125" style="43" customWidth="1"/>
    <col min="11" max="11" width="10.54296875" style="43" customWidth="1"/>
    <col min="12" max="12" width="12.81640625" style="43" hidden="1" customWidth="1"/>
    <col min="13" max="14" width="9.1796875" style="43" hidden="1" customWidth="1"/>
    <col min="15" max="15" width="10.7265625" style="43" hidden="1" customWidth="1"/>
    <col min="16" max="16" width="13.453125" style="43" hidden="1" customWidth="1"/>
    <col min="17" max="247" width="9.1796875" style="43"/>
    <col min="248" max="248" width="8.7265625" style="43" customWidth="1"/>
    <col min="249" max="249" width="9.81640625" style="43" customWidth="1"/>
    <col min="250" max="250" width="14.453125" style="43" customWidth="1"/>
    <col min="251" max="251" width="7.26953125" style="43" customWidth="1"/>
    <col min="252" max="252" width="5.54296875" style="43" customWidth="1"/>
    <col min="253" max="253" width="9" style="43" customWidth="1"/>
    <col min="254" max="255" width="9.81640625" style="43" customWidth="1"/>
    <col min="256" max="256" width="11.1796875" style="43" customWidth="1"/>
    <col min="257" max="257" width="2.81640625" style="43" customWidth="1"/>
    <col min="258" max="258" width="3.54296875" style="43" customWidth="1"/>
    <col min="259" max="503" width="9.1796875" style="43"/>
    <col min="504" max="504" width="8.7265625" style="43" customWidth="1"/>
    <col min="505" max="505" width="9.81640625" style="43" customWidth="1"/>
    <col min="506" max="506" width="14.453125" style="43" customWidth="1"/>
    <col min="507" max="507" width="7.26953125" style="43" customWidth="1"/>
    <col min="508" max="508" width="5.54296875" style="43" customWidth="1"/>
    <col min="509" max="509" width="9" style="43" customWidth="1"/>
    <col min="510" max="511" width="9.81640625" style="43" customWidth="1"/>
    <col min="512" max="512" width="11.1796875" style="43" customWidth="1"/>
    <col min="513" max="513" width="2.81640625" style="43" customWidth="1"/>
    <col min="514" max="514" width="3.54296875" style="43" customWidth="1"/>
    <col min="515" max="759" width="9.1796875" style="43"/>
    <col min="760" max="760" width="8.7265625" style="43" customWidth="1"/>
    <col min="761" max="761" width="9.81640625" style="43" customWidth="1"/>
    <col min="762" max="762" width="14.453125" style="43" customWidth="1"/>
    <col min="763" max="763" width="7.26953125" style="43" customWidth="1"/>
    <col min="764" max="764" width="5.54296875" style="43" customWidth="1"/>
    <col min="765" max="765" width="9" style="43" customWidth="1"/>
    <col min="766" max="767" width="9.81640625" style="43" customWidth="1"/>
    <col min="768" max="768" width="11.1796875" style="43" customWidth="1"/>
    <col min="769" max="769" width="2.81640625" style="43" customWidth="1"/>
    <col min="770" max="770" width="3.54296875" style="43" customWidth="1"/>
    <col min="771" max="1015" width="9.1796875" style="43"/>
    <col min="1016" max="1016" width="8.7265625" style="43" customWidth="1"/>
    <col min="1017" max="1017" width="9.81640625" style="43" customWidth="1"/>
    <col min="1018" max="1018" width="14.453125" style="43" customWidth="1"/>
    <col min="1019" max="1019" width="7.26953125" style="43" customWidth="1"/>
    <col min="1020" max="1020" width="5.54296875" style="43" customWidth="1"/>
    <col min="1021" max="1021" width="9" style="43" customWidth="1"/>
    <col min="1022" max="1023" width="9.81640625" style="43" customWidth="1"/>
    <col min="1024" max="1024" width="11.1796875" style="43" customWidth="1"/>
    <col min="1025" max="1025" width="2.81640625" style="43" customWidth="1"/>
    <col min="1026" max="1026" width="3.54296875" style="43" customWidth="1"/>
    <col min="1027" max="1271" width="9.1796875" style="43"/>
    <col min="1272" max="1272" width="8.7265625" style="43" customWidth="1"/>
    <col min="1273" max="1273" width="9.81640625" style="43" customWidth="1"/>
    <col min="1274" max="1274" width="14.453125" style="43" customWidth="1"/>
    <col min="1275" max="1275" width="7.26953125" style="43" customWidth="1"/>
    <col min="1276" max="1276" width="5.54296875" style="43" customWidth="1"/>
    <col min="1277" max="1277" width="9" style="43" customWidth="1"/>
    <col min="1278" max="1279" width="9.81640625" style="43" customWidth="1"/>
    <col min="1280" max="1280" width="11.1796875" style="43" customWidth="1"/>
    <col min="1281" max="1281" width="2.81640625" style="43" customWidth="1"/>
    <col min="1282" max="1282" width="3.54296875" style="43" customWidth="1"/>
    <col min="1283" max="1527" width="9.1796875" style="43"/>
    <col min="1528" max="1528" width="8.7265625" style="43" customWidth="1"/>
    <col min="1529" max="1529" width="9.81640625" style="43" customWidth="1"/>
    <col min="1530" max="1530" width="14.453125" style="43" customWidth="1"/>
    <col min="1531" max="1531" width="7.26953125" style="43" customWidth="1"/>
    <col min="1532" max="1532" width="5.54296875" style="43" customWidth="1"/>
    <col min="1533" max="1533" width="9" style="43" customWidth="1"/>
    <col min="1534" max="1535" width="9.81640625" style="43" customWidth="1"/>
    <col min="1536" max="1536" width="11.1796875" style="43" customWidth="1"/>
    <col min="1537" max="1537" width="2.81640625" style="43" customWidth="1"/>
    <col min="1538" max="1538" width="3.54296875" style="43" customWidth="1"/>
    <col min="1539" max="1783" width="9.1796875" style="43"/>
    <col min="1784" max="1784" width="8.7265625" style="43" customWidth="1"/>
    <col min="1785" max="1785" width="9.81640625" style="43" customWidth="1"/>
    <col min="1786" max="1786" width="14.453125" style="43" customWidth="1"/>
    <col min="1787" max="1787" width="7.26953125" style="43" customWidth="1"/>
    <col min="1788" max="1788" width="5.54296875" style="43" customWidth="1"/>
    <col min="1789" max="1789" width="9" style="43" customWidth="1"/>
    <col min="1790" max="1791" width="9.81640625" style="43" customWidth="1"/>
    <col min="1792" max="1792" width="11.1796875" style="43" customWidth="1"/>
    <col min="1793" max="1793" width="2.81640625" style="43" customWidth="1"/>
    <col min="1794" max="1794" width="3.54296875" style="43" customWidth="1"/>
    <col min="1795" max="2039" width="9.1796875" style="43"/>
    <col min="2040" max="2040" width="8.7265625" style="43" customWidth="1"/>
    <col min="2041" max="2041" width="9.81640625" style="43" customWidth="1"/>
    <col min="2042" max="2042" width="14.453125" style="43" customWidth="1"/>
    <col min="2043" max="2043" width="7.26953125" style="43" customWidth="1"/>
    <col min="2044" max="2044" width="5.54296875" style="43" customWidth="1"/>
    <col min="2045" max="2045" width="9" style="43" customWidth="1"/>
    <col min="2046" max="2047" width="9.81640625" style="43" customWidth="1"/>
    <col min="2048" max="2048" width="11.1796875" style="43" customWidth="1"/>
    <col min="2049" max="2049" width="2.81640625" style="43" customWidth="1"/>
    <col min="2050" max="2050" width="3.54296875" style="43" customWidth="1"/>
    <col min="2051" max="2295" width="9.1796875" style="43"/>
    <col min="2296" max="2296" width="8.7265625" style="43" customWidth="1"/>
    <col min="2297" max="2297" width="9.81640625" style="43" customWidth="1"/>
    <col min="2298" max="2298" width="14.453125" style="43" customWidth="1"/>
    <col min="2299" max="2299" width="7.26953125" style="43" customWidth="1"/>
    <col min="2300" max="2300" width="5.54296875" style="43" customWidth="1"/>
    <col min="2301" max="2301" width="9" style="43" customWidth="1"/>
    <col min="2302" max="2303" width="9.81640625" style="43" customWidth="1"/>
    <col min="2304" max="2304" width="11.1796875" style="43" customWidth="1"/>
    <col min="2305" max="2305" width="2.81640625" style="43" customWidth="1"/>
    <col min="2306" max="2306" width="3.54296875" style="43" customWidth="1"/>
    <col min="2307" max="2551" width="9.1796875" style="43"/>
    <col min="2552" max="2552" width="8.7265625" style="43" customWidth="1"/>
    <col min="2553" max="2553" width="9.81640625" style="43" customWidth="1"/>
    <col min="2554" max="2554" width="14.453125" style="43" customWidth="1"/>
    <col min="2555" max="2555" width="7.26953125" style="43" customWidth="1"/>
    <col min="2556" max="2556" width="5.54296875" style="43" customWidth="1"/>
    <col min="2557" max="2557" width="9" style="43" customWidth="1"/>
    <col min="2558" max="2559" width="9.81640625" style="43" customWidth="1"/>
    <col min="2560" max="2560" width="11.1796875" style="43" customWidth="1"/>
    <col min="2561" max="2561" width="2.81640625" style="43" customWidth="1"/>
    <col min="2562" max="2562" width="3.54296875" style="43" customWidth="1"/>
    <col min="2563" max="2807" width="9.1796875" style="43"/>
    <col min="2808" max="2808" width="8.7265625" style="43" customWidth="1"/>
    <col min="2809" max="2809" width="9.81640625" style="43" customWidth="1"/>
    <col min="2810" max="2810" width="14.453125" style="43" customWidth="1"/>
    <col min="2811" max="2811" width="7.26953125" style="43" customWidth="1"/>
    <col min="2812" max="2812" width="5.54296875" style="43" customWidth="1"/>
    <col min="2813" max="2813" width="9" style="43" customWidth="1"/>
    <col min="2814" max="2815" width="9.81640625" style="43" customWidth="1"/>
    <col min="2816" max="2816" width="11.1796875" style="43" customWidth="1"/>
    <col min="2817" max="2817" width="2.81640625" style="43" customWidth="1"/>
    <col min="2818" max="2818" width="3.54296875" style="43" customWidth="1"/>
    <col min="2819" max="3063" width="9.1796875" style="43"/>
    <col min="3064" max="3064" width="8.7265625" style="43" customWidth="1"/>
    <col min="3065" max="3065" width="9.81640625" style="43" customWidth="1"/>
    <col min="3066" max="3066" width="14.453125" style="43" customWidth="1"/>
    <col min="3067" max="3067" width="7.26953125" style="43" customWidth="1"/>
    <col min="3068" max="3068" width="5.54296875" style="43" customWidth="1"/>
    <col min="3069" max="3069" width="9" style="43" customWidth="1"/>
    <col min="3070" max="3071" width="9.81640625" style="43" customWidth="1"/>
    <col min="3072" max="3072" width="11.1796875" style="43" customWidth="1"/>
    <col min="3073" max="3073" width="2.81640625" style="43" customWidth="1"/>
    <col min="3074" max="3074" width="3.54296875" style="43" customWidth="1"/>
    <col min="3075" max="3319" width="9.1796875" style="43"/>
    <col min="3320" max="3320" width="8.7265625" style="43" customWidth="1"/>
    <col min="3321" max="3321" width="9.81640625" style="43" customWidth="1"/>
    <col min="3322" max="3322" width="14.453125" style="43" customWidth="1"/>
    <col min="3323" max="3323" width="7.26953125" style="43" customWidth="1"/>
    <col min="3324" max="3324" width="5.54296875" style="43" customWidth="1"/>
    <col min="3325" max="3325" width="9" style="43" customWidth="1"/>
    <col min="3326" max="3327" width="9.81640625" style="43" customWidth="1"/>
    <col min="3328" max="3328" width="11.1796875" style="43" customWidth="1"/>
    <col min="3329" max="3329" width="2.81640625" style="43" customWidth="1"/>
    <col min="3330" max="3330" width="3.54296875" style="43" customWidth="1"/>
    <col min="3331" max="3575" width="9.1796875" style="43"/>
    <col min="3576" max="3576" width="8.7265625" style="43" customWidth="1"/>
    <col min="3577" max="3577" width="9.81640625" style="43" customWidth="1"/>
    <col min="3578" max="3578" width="14.453125" style="43" customWidth="1"/>
    <col min="3579" max="3579" width="7.26953125" style="43" customWidth="1"/>
    <col min="3580" max="3580" width="5.54296875" style="43" customWidth="1"/>
    <col min="3581" max="3581" width="9" style="43" customWidth="1"/>
    <col min="3582" max="3583" width="9.81640625" style="43" customWidth="1"/>
    <col min="3584" max="3584" width="11.1796875" style="43" customWidth="1"/>
    <col min="3585" max="3585" width="2.81640625" style="43" customWidth="1"/>
    <col min="3586" max="3586" width="3.54296875" style="43" customWidth="1"/>
    <col min="3587" max="3831" width="9.1796875" style="43"/>
    <col min="3832" max="3832" width="8.7265625" style="43" customWidth="1"/>
    <col min="3833" max="3833" width="9.81640625" style="43" customWidth="1"/>
    <col min="3834" max="3834" width="14.453125" style="43" customWidth="1"/>
    <col min="3835" max="3835" width="7.26953125" style="43" customWidth="1"/>
    <col min="3836" max="3836" width="5.54296875" style="43" customWidth="1"/>
    <col min="3837" max="3837" width="9" style="43" customWidth="1"/>
    <col min="3838" max="3839" width="9.81640625" style="43" customWidth="1"/>
    <col min="3840" max="3840" width="11.1796875" style="43" customWidth="1"/>
    <col min="3841" max="3841" width="2.81640625" style="43" customWidth="1"/>
    <col min="3842" max="3842" width="3.54296875" style="43" customWidth="1"/>
    <col min="3843" max="4087" width="9.1796875" style="43"/>
    <col min="4088" max="4088" width="8.7265625" style="43" customWidth="1"/>
    <col min="4089" max="4089" width="9.81640625" style="43" customWidth="1"/>
    <col min="4090" max="4090" width="14.453125" style="43" customWidth="1"/>
    <col min="4091" max="4091" width="7.26953125" style="43" customWidth="1"/>
    <col min="4092" max="4092" width="5.54296875" style="43" customWidth="1"/>
    <col min="4093" max="4093" width="9" style="43" customWidth="1"/>
    <col min="4094" max="4095" width="9.81640625" style="43" customWidth="1"/>
    <col min="4096" max="4096" width="11.1796875" style="43" customWidth="1"/>
    <col min="4097" max="4097" width="2.81640625" style="43" customWidth="1"/>
    <col min="4098" max="4098" width="3.54296875" style="43" customWidth="1"/>
    <col min="4099" max="4343" width="9.1796875" style="43"/>
    <col min="4344" max="4344" width="8.7265625" style="43" customWidth="1"/>
    <col min="4345" max="4345" width="9.81640625" style="43" customWidth="1"/>
    <col min="4346" max="4346" width="14.453125" style="43" customWidth="1"/>
    <col min="4347" max="4347" width="7.26953125" style="43" customWidth="1"/>
    <col min="4348" max="4348" width="5.54296875" style="43" customWidth="1"/>
    <col min="4349" max="4349" width="9" style="43" customWidth="1"/>
    <col min="4350" max="4351" width="9.81640625" style="43" customWidth="1"/>
    <col min="4352" max="4352" width="11.1796875" style="43" customWidth="1"/>
    <col min="4353" max="4353" width="2.81640625" style="43" customWidth="1"/>
    <col min="4354" max="4354" width="3.54296875" style="43" customWidth="1"/>
    <col min="4355" max="4599" width="9.1796875" style="43"/>
    <col min="4600" max="4600" width="8.7265625" style="43" customWidth="1"/>
    <col min="4601" max="4601" width="9.81640625" style="43" customWidth="1"/>
    <col min="4602" max="4602" width="14.453125" style="43" customWidth="1"/>
    <col min="4603" max="4603" width="7.26953125" style="43" customWidth="1"/>
    <col min="4604" max="4604" width="5.54296875" style="43" customWidth="1"/>
    <col min="4605" max="4605" width="9" style="43" customWidth="1"/>
    <col min="4606" max="4607" width="9.81640625" style="43" customWidth="1"/>
    <col min="4608" max="4608" width="11.1796875" style="43" customWidth="1"/>
    <col min="4609" max="4609" width="2.81640625" style="43" customWidth="1"/>
    <col min="4610" max="4610" width="3.54296875" style="43" customWidth="1"/>
    <col min="4611" max="4855" width="9.1796875" style="43"/>
    <col min="4856" max="4856" width="8.7265625" style="43" customWidth="1"/>
    <col min="4857" max="4857" width="9.81640625" style="43" customWidth="1"/>
    <col min="4858" max="4858" width="14.453125" style="43" customWidth="1"/>
    <col min="4859" max="4859" width="7.26953125" style="43" customWidth="1"/>
    <col min="4860" max="4860" width="5.54296875" style="43" customWidth="1"/>
    <col min="4861" max="4861" width="9" style="43" customWidth="1"/>
    <col min="4862" max="4863" width="9.81640625" style="43" customWidth="1"/>
    <col min="4864" max="4864" width="11.1796875" style="43" customWidth="1"/>
    <col min="4865" max="4865" width="2.81640625" style="43" customWidth="1"/>
    <col min="4866" max="4866" width="3.54296875" style="43" customWidth="1"/>
    <col min="4867" max="5111" width="9.1796875" style="43"/>
    <col min="5112" max="5112" width="8.7265625" style="43" customWidth="1"/>
    <col min="5113" max="5113" width="9.81640625" style="43" customWidth="1"/>
    <col min="5114" max="5114" width="14.453125" style="43" customWidth="1"/>
    <col min="5115" max="5115" width="7.26953125" style="43" customWidth="1"/>
    <col min="5116" max="5116" width="5.54296875" style="43" customWidth="1"/>
    <col min="5117" max="5117" width="9" style="43" customWidth="1"/>
    <col min="5118" max="5119" width="9.81640625" style="43" customWidth="1"/>
    <col min="5120" max="5120" width="11.1796875" style="43" customWidth="1"/>
    <col min="5121" max="5121" width="2.81640625" style="43" customWidth="1"/>
    <col min="5122" max="5122" width="3.54296875" style="43" customWidth="1"/>
    <col min="5123" max="5367" width="9.1796875" style="43"/>
    <col min="5368" max="5368" width="8.7265625" style="43" customWidth="1"/>
    <col min="5369" max="5369" width="9.81640625" style="43" customWidth="1"/>
    <col min="5370" max="5370" width="14.453125" style="43" customWidth="1"/>
    <col min="5371" max="5371" width="7.26953125" style="43" customWidth="1"/>
    <col min="5372" max="5372" width="5.54296875" style="43" customWidth="1"/>
    <col min="5373" max="5373" width="9" style="43" customWidth="1"/>
    <col min="5374" max="5375" width="9.81640625" style="43" customWidth="1"/>
    <col min="5376" max="5376" width="11.1796875" style="43" customWidth="1"/>
    <col min="5377" max="5377" width="2.81640625" style="43" customWidth="1"/>
    <col min="5378" max="5378" width="3.54296875" style="43" customWidth="1"/>
    <col min="5379" max="5623" width="9.1796875" style="43"/>
    <col min="5624" max="5624" width="8.7265625" style="43" customWidth="1"/>
    <col min="5625" max="5625" width="9.81640625" style="43" customWidth="1"/>
    <col min="5626" max="5626" width="14.453125" style="43" customWidth="1"/>
    <col min="5627" max="5627" width="7.26953125" style="43" customWidth="1"/>
    <col min="5628" max="5628" width="5.54296875" style="43" customWidth="1"/>
    <col min="5629" max="5629" width="9" style="43" customWidth="1"/>
    <col min="5630" max="5631" width="9.81640625" style="43" customWidth="1"/>
    <col min="5632" max="5632" width="11.1796875" style="43" customWidth="1"/>
    <col min="5633" max="5633" width="2.81640625" style="43" customWidth="1"/>
    <col min="5634" max="5634" width="3.54296875" style="43" customWidth="1"/>
    <col min="5635" max="5879" width="9.1796875" style="43"/>
    <col min="5880" max="5880" width="8.7265625" style="43" customWidth="1"/>
    <col min="5881" max="5881" width="9.81640625" style="43" customWidth="1"/>
    <col min="5882" max="5882" width="14.453125" style="43" customWidth="1"/>
    <col min="5883" max="5883" width="7.26953125" style="43" customWidth="1"/>
    <col min="5884" max="5884" width="5.54296875" style="43" customWidth="1"/>
    <col min="5885" max="5885" width="9" style="43" customWidth="1"/>
    <col min="5886" max="5887" width="9.81640625" style="43" customWidth="1"/>
    <col min="5888" max="5888" width="11.1796875" style="43" customWidth="1"/>
    <col min="5889" max="5889" width="2.81640625" style="43" customWidth="1"/>
    <col min="5890" max="5890" width="3.54296875" style="43" customWidth="1"/>
    <col min="5891" max="6135" width="9.1796875" style="43"/>
    <col min="6136" max="6136" width="8.7265625" style="43" customWidth="1"/>
    <col min="6137" max="6137" width="9.81640625" style="43" customWidth="1"/>
    <col min="6138" max="6138" width="14.453125" style="43" customWidth="1"/>
    <col min="6139" max="6139" width="7.26953125" style="43" customWidth="1"/>
    <col min="6140" max="6140" width="5.54296875" style="43" customWidth="1"/>
    <col min="6141" max="6141" width="9" style="43" customWidth="1"/>
    <col min="6142" max="6143" width="9.81640625" style="43" customWidth="1"/>
    <col min="6144" max="6144" width="11.1796875" style="43" customWidth="1"/>
    <col min="6145" max="6145" width="2.81640625" style="43" customWidth="1"/>
    <col min="6146" max="6146" width="3.54296875" style="43" customWidth="1"/>
    <col min="6147" max="6391" width="9.1796875" style="43"/>
    <col min="6392" max="6392" width="8.7265625" style="43" customWidth="1"/>
    <col min="6393" max="6393" width="9.81640625" style="43" customWidth="1"/>
    <col min="6394" max="6394" width="14.453125" style="43" customWidth="1"/>
    <col min="6395" max="6395" width="7.26953125" style="43" customWidth="1"/>
    <col min="6396" max="6396" width="5.54296875" style="43" customWidth="1"/>
    <col min="6397" max="6397" width="9" style="43" customWidth="1"/>
    <col min="6398" max="6399" width="9.81640625" style="43" customWidth="1"/>
    <col min="6400" max="6400" width="11.1796875" style="43" customWidth="1"/>
    <col min="6401" max="6401" width="2.81640625" style="43" customWidth="1"/>
    <col min="6402" max="6402" width="3.54296875" style="43" customWidth="1"/>
    <col min="6403" max="6647" width="9.1796875" style="43"/>
    <col min="6648" max="6648" width="8.7265625" style="43" customWidth="1"/>
    <col min="6649" max="6649" width="9.81640625" style="43" customWidth="1"/>
    <col min="6650" max="6650" width="14.453125" style="43" customWidth="1"/>
    <col min="6651" max="6651" width="7.26953125" style="43" customWidth="1"/>
    <col min="6652" max="6652" width="5.54296875" style="43" customWidth="1"/>
    <col min="6653" max="6653" width="9" style="43" customWidth="1"/>
    <col min="6654" max="6655" width="9.81640625" style="43" customWidth="1"/>
    <col min="6656" max="6656" width="11.1796875" style="43" customWidth="1"/>
    <col min="6657" max="6657" width="2.81640625" style="43" customWidth="1"/>
    <col min="6658" max="6658" width="3.54296875" style="43" customWidth="1"/>
    <col min="6659" max="6903" width="9.1796875" style="43"/>
    <col min="6904" max="6904" width="8.7265625" style="43" customWidth="1"/>
    <col min="6905" max="6905" width="9.81640625" style="43" customWidth="1"/>
    <col min="6906" max="6906" width="14.453125" style="43" customWidth="1"/>
    <col min="6907" max="6907" width="7.26953125" style="43" customWidth="1"/>
    <col min="6908" max="6908" width="5.54296875" style="43" customWidth="1"/>
    <col min="6909" max="6909" width="9" style="43" customWidth="1"/>
    <col min="6910" max="6911" width="9.81640625" style="43" customWidth="1"/>
    <col min="6912" max="6912" width="11.1796875" style="43" customWidth="1"/>
    <col min="6913" max="6913" width="2.81640625" style="43" customWidth="1"/>
    <col min="6914" max="6914" width="3.54296875" style="43" customWidth="1"/>
    <col min="6915" max="7159" width="9.1796875" style="43"/>
    <col min="7160" max="7160" width="8.7265625" style="43" customWidth="1"/>
    <col min="7161" max="7161" width="9.81640625" style="43" customWidth="1"/>
    <col min="7162" max="7162" width="14.453125" style="43" customWidth="1"/>
    <col min="7163" max="7163" width="7.26953125" style="43" customWidth="1"/>
    <col min="7164" max="7164" width="5.54296875" style="43" customWidth="1"/>
    <col min="7165" max="7165" width="9" style="43" customWidth="1"/>
    <col min="7166" max="7167" width="9.81640625" style="43" customWidth="1"/>
    <col min="7168" max="7168" width="11.1796875" style="43" customWidth="1"/>
    <col min="7169" max="7169" width="2.81640625" style="43" customWidth="1"/>
    <col min="7170" max="7170" width="3.54296875" style="43" customWidth="1"/>
    <col min="7171" max="7415" width="9.1796875" style="43"/>
    <col min="7416" max="7416" width="8.7265625" style="43" customWidth="1"/>
    <col min="7417" max="7417" width="9.81640625" style="43" customWidth="1"/>
    <col min="7418" max="7418" width="14.453125" style="43" customWidth="1"/>
    <col min="7419" max="7419" width="7.26953125" style="43" customWidth="1"/>
    <col min="7420" max="7420" width="5.54296875" style="43" customWidth="1"/>
    <col min="7421" max="7421" width="9" style="43" customWidth="1"/>
    <col min="7422" max="7423" width="9.81640625" style="43" customWidth="1"/>
    <col min="7424" max="7424" width="11.1796875" style="43" customWidth="1"/>
    <col min="7425" max="7425" width="2.81640625" style="43" customWidth="1"/>
    <col min="7426" max="7426" width="3.54296875" style="43" customWidth="1"/>
    <col min="7427" max="7671" width="9.1796875" style="43"/>
    <col min="7672" max="7672" width="8.7265625" style="43" customWidth="1"/>
    <col min="7673" max="7673" width="9.81640625" style="43" customWidth="1"/>
    <col min="7674" max="7674" width="14.453125" style="43" customWidth="1"/>
    <col min="7675" max="7675" width="7.26953125" style="43" customWidth="1"/>
    <col min="7676" max="7676" width="5.54296875" style="43" customWidth="1"/>
    <col min="7677" max="7677" width="9" style="43" customWidth="1"/>
    <col min="7678" max="7679" width="9.81640625" style="43" customWidth="1"/>
    <col min="7680" max="7680" width="11.1796875" style="43" customWidth="1"/>
    <col min="7681" max="7681" width="2.81640625" style="43" customWidth="1"/>
    <col min="7682" max="7682" width="3.54296875" style="43" customWidth="1"/>
    <col min="7683" max="7927" width="9.1796875" style="43"/>
    <col min="7928" max="7928" width="8.7265625" style="43" customWidth="1"/>
    <col min="7929" max="7929" width="9.81640625" style="43" customWidth="1"/>
    <col min="7930" max="7930" width="14.453125" style="43" customWidth="1"/>
    <col min="7931" max="7931" width="7.26953125" style="43" customWidth="1"/>
    <col min="7932" max="7932" width="5.54296875" style="43" customWidth="1"/>
    <col min="7933" max="7933" width="9" style="43" customWidth="1"/>
    <col min="7934" max="7935" width="9.81640625" style="43" customWidth="1"/>
    <col min="7936" max="7936" width="11.1796875" style="43" customWidth="1"/>
    <col min="7937" max="7937" width="2.81640625" style="43" customWidth="1"/>
    <col min="7938" max="7938" width="3.54296875" style="43" customWidth="1"/>
    <col min="7939" max="8183" width="9.1796875" style="43"/>
    <col min="8184" max="8184" width="8.7265625" style="43" customWidth="1"/>
    <col min="8185" max="8185" width="9.81640625" style="43" customWidth="1"/>
    <col min="8186" max="8186" width="14.453125" style="43" customWidth="1"/>
    <col min="8187" max="8187" width="7.26953125" style="43" customWidth="1"/>
    <col min="8188" max="8188" width="5.54296875" style="43" customWidth="1"/>
    <col min="8189" max="8189" width="9" style="43" customWidth="1"/>
    <col min="8190" max="8191" width="9.81640625" style="43" customWidth="1"/>
    <col min="8192" max="8192" width="11.1796875" style="43" customWidth="1"/>
    <col min="8193" max="8193" width="2.81640625" style="43" customWidth="1"/>
    <col min="8194" max="8194" width="3.54296875" style="43" customWidth="1"/>
    <col min="8195" max="8439" width="9.1796875" style="43"/>
    <col min="8440" max="8440" width="8.7265625" style="43" customWidth="1"/>
    <col min="8441" max="8441" width="9.81640625" style="43" customWidth="1"/>
    <col min="8442" max="8442" width="14.453125" style="43" customWidth="1"/>
    <col min="8443" max="8443" width="7.26953125" style="43" customWidth="1"/>
    <col min="8444" max="8444" width="5.54296875" style="43" customWidth="1"/>
    <col min="8445" max="8445" width="9" style="43" customWidth="1"/>
    <col min="8446" max="8447" width="9.81640625" style="43" customWidth="1"/>
    <col min="8448" max="8448" width="11.1796875" style="43" customWidth="1"/>
    <col min="8449" max="8449" width="2.81640625" style="43" customWidth="1"/>
    <col min="8450" max="8450" width="3.54296875" style="43" customWidth="1"/>
    <col min="8451" max="8695" width="9.1796875" style="43"/>
    <col min="8696" max="8696" width="8.7265625" style="43" customWidth="1"/>
    <col min="8697" max="8697" width="9.81640625" style="43" customWidth="1"/>
    <col min="8698" max="8698" width="14.453125" style="43" customWidth="1"/>
    <col min="8699" max="8699" width="7.26953125" style="43" customWidth="1"/>
    <col min="8700" max="8700" width="5.54296875" style="43" customWidth="1"/>
    <col min="8701" max="8701" width="9" style="43" customWidth="1"/>
    <col min="8702" max="8703" width="9.81640625" style="43" customWidth="1"/>
    <col min="8704" max="8704" width="11.1796875" style="43" customWidth="1"/>
    <col min="8705" max="8705" width="2.81640625" style="43" customWidth="1"/>
    <col min="8706" max="8706" width="3.54296875" style="43" customWidth="1"/>
    <col min="8707" max="8951" width="9.1796875" style="43"/>
    <col min="8952" max="8952" width="8.7265625" style="43" customWidth="1"/>
    <col min="8953" max="8953" width="9.81640625" style="43" customWidth="1"/>
    <col min="8954" max="8954" width="14.453125" style="43" customWidth="1"/>
    <col min="8955" max="8955" width="7.26953125" style="43" customWidth="1"/>
    <col min="8956" max="8956" width="5.54296875" style="43" customWidth="1"/>
    <col min="8957" max="8957" width="9" style="43" customWidth="1"/>
    <col min="8958" max="8959" width="9.81640625" style="43" customWidth="1"/>
    <col min="8960" max="8960" width="11.1796875" style="43" customWidth="1"/>
    <col min="8961" max="8961" width="2.81640625" style="43" customWidth="1"/>
    <col min="8962" max="8962" width="3.54296875" style="43" customWidth="1"/>
    <col min="8963" max="9207" width="9.1796875" style="43"/>
    <col min="9208" max="9208" width="8.7265625" style="43" customWidth="1"/>
    <col min="9209" max="9209" width="9.81640625" style="43" customWidth="1"/>
    <col min="9210" max="9210" width="14.453125" style="43" customWidth="1"/>
    <col min="9211" max="9211" width="7.26953125" style="43" customWidth="1"/>
    <col min="9212" max="9212" width="5.54296875" style="43" customWidth="1"/>
    <col min="9213" max="9213" width="9" style="43" customWidth="1"/>
    <col min="9214" max="9215" width="9.81640625" style="43" customWidth="1"/>
    <col min="9216" max="9216" width="11.1796875" style="43" customWidth="1"/>
    <col min="9217" max="9217" width="2.81640625" style="43" customWidth="1"/>
    <col min="9218" max="9218" width="3.54296875" style="43" customWidth="1"/>
    <col min="9219" max="9463" width="9.1796875" style="43"/>
    <col min="9464" max="9464" width="8.7265625" style="43" customWidth="1"/>
    <col min="9465" max="9465" width="9.81640625" style="43" customWidth="1"/>
    <col min="9466" max="9466" width="14.453125" style="43" customWidth="1"/>
    <col min="9467" max="9467" width="7.26953125" style="43" customWidth="1"/>
    <col min="9468" max="9468" width="5.54296875" style="43" customWidth="1"/>
    <col min="9469" max="9469" width="9" style="43" customWidth="1"/>
    <col min="9470" max="9471" width="9.81640625" style="43" customWidth="1"/>
    <col min="9472" max="9472" width="11.1796875" style="43" customWidth="1"/>
    <col min="9473" max="9473" width="2.81640625" style="43" customWidth="1"/>
    <col min="9474" max="9474" width="3.54296875" style="43" customWidth="1"/>
    <col min="9475" max="9719" width="9.1796875" style="43"/>
    <col min="9720" max="9720" width="8.7265625" style="43" customWidth="1"/>
    <col min="9721" max="9721" width="9.81640625" style="43" customWidth="1"/>
    <col min="9722" max="9722" width="14.453125" style="43" customWidth="1"/>
    <col min="9723" max="9723" width="7.26953125" style="43" customWidth="1"/>
    <col min="9724" max="9724" width="5.54296875" style="43" customWidth="1"/>
    <col min="9725" max="9725" width="9" style="43" customWidth="1"/>
    <col min="9726" max="9727" width="9.81640625" style="43" customWidth="1"/>
    <col min="9728" max="9728" width="11.1796875" style="43" customWidth="1"/>
    <col min="9729" max="9729" width="2.81640625" style="43" customWidth="1"/>
    <col min="9730" max="9730" width="3.54296875" style="43" customWidth="1"/>
    <col min="9731" max="9975" width="9.1796875" style="43"/>
    <col min="9976" max="9976" width="8.7265625" style="43" customWidth="1"/>
    <col min="9977" max="9977" width="9.81640625" style="43" customWidth="1"/>
    <col min="9978" max="9978" width="14.453125" style="43" customWidth="1"/>
    <col min="9979" max="9979" width="7.26953125" style="43" customWidth="1"/>
    <col min="9980" max="9980" width="5.54296875" style="43" customWidth="1"/>
    <col min="9981" max="9981" width="9" style="43" customWidth="1"/>
    <col min="9982" max="9983" width="9.81640625" style="43" customWidth="1"/>
    <col min="9984" max="9984" width="11.1796875" style="43" customWidth="1"/>
    <col min="9985" max="9985" width="2.81640625" style="43" customWidth="1"/>
    <col min="9986" max="9986" width="3.54296875" style="43" customWidth="1"/>
    <col min="9987" max="10231" width="9.1796875" style="43"/>
    <col min="10232" max="10232" width="8.7265625" style="43" customWidth="1"/>
    <col min="10233" max="10233" width="9.81640625" style="43" customWidth="1"/>
    <col min="10234" max="10234" width="14.453125" style="43" customWidth="1"/>
    <col min="10235" max="10235" width="7.26953125" style="43" customWidth="1"/>
    <col min="10236" max="10236" width="5.54296875" style="43" customWidth="1"/>
    <col min="10237" max="10237" width="9" style="43" customWidth="1"/>
    <col min="10238" max="10239" width="9.81640625" style="43" customWidth="1"/>
    <col min="10240" max="10240" width="11.1796875" style="43" customWidth="1"/>
    <col min="10241" max="10241" width="2.81640625" style="43" customWidth="1"/>
    <col min="10242" max="10242" width="3.54296875" style="43" customWidth="1"/>
    <col min="10243" max="10487" width="9.1796875" style="43"/>
    <col min="10488" max="10488" width="8.7265625" style="43" customWidth="1"/>
    <col min="10489" max="10489" width="9.81640625" style="43" customWidth="1"/>
    <col min="10490" max="10490" width="14.453125" style="43" customWidth="1"/>
    <col min="10491" max="10491" width="7.26953125" style="43" customWidth="1"/>
    <col min="10492" max="10492" width="5.54296875" style="43" customWidth="1"/>
    <col min="10493" max="10493" width="9" style="43" customWidth="1"/>
    <col min="10494" max="10495" width="9.81640625" style="43" customWidth="1"/>
    <col min="10496" max="10496" width="11.1796875" style="43" customWidth="1"/>
    <col min="10497" max="10497" width="2.81640625" style="43" customWidth="1"/>
    <col min="10498" max="10498" width="3.54296875" style="43" customWidth="1"/>
    <col min="10499" max="10743" width="9.1796875" style="43"/>
    <col min="10744" max="10744" width="8.7265625" style="43" customWidth="1"/>
    <col min="10745" max="10745" width="9.81640625" style="43" customWidth="1"/>
    <col min="10746" max="10746" width="14.453125" style="43" customWidth="1"/>
    <col min="10747" max="10747" width="7.26953125" style="43" customWidth="1"/>
    <col min="10748" max="10748" width="5.54296875" style="43" customWidth="1"/>
    <col min="10749" max="10749" width="9" style="43" customWidth="1"/>
    <col min="10750" max="10751" width="9.81640625" style="43" customWidth="1"/>
    <col min="10752" max="10752" width="11.1796875" style="43" customWidth="1"/>
    <col min="10753" max="10753" width="2.81640625" style="43" customWidth="1"/>
    <col min="10754" max="10754" width="3.54296875" style="43" customWidth="1"/>
    <col min="10755" max="10999" width="9.1796875" style="43"/>
    <col min="11000" max="11000" width="8.7265625" style="43" customWidth="1"/>
    <col min="11001" max="11001" width="9.81640625" style="43" customWidth="1"/>
    <col min="11002" max="11002" width="14.453125" style="43" customWidth="1"/>
    <col min="11003" max="11003" width="7.26953125" style="43" customWidth="1"/>
    <col min="11004" max="11004" width="5.54296875" style="43" customWidth="1"/>
    <col min="11005" max="11005" width="9" style="43" customWidth="1"/>
    <col min="11006" max="11007" width="9.81640625" style="43" customWidth="1"/>
    <col min="11008" max="11008" width="11.1796875" style="43" customWidth="1"/>
    <col min="11009" max="11009" width="2.81640625" style="43" customWidth="1"/>
    <col min="11010" max="11010" width="3.54296875" style="43" customWidth="1"/>
    <col min="11011" max="11255" width="9.1796875" style="43"/>
    <col min="11256" max="11256" width="8.7265625" style="43" customWidth="1"/>
    <col min="11257" max="11257" width="9.81640625" style="43" customWidth="1"/>
    <col min="11258" max="11258" width="14.453125" style="43" customWidth="1"/>
    <col min="11259" max="11259" width="7.26953125" style="43" customWidth="1"/>
    <col min="11260" max="11260" width="5.54296875" style="43" customWidth="1"/>
    <col min="11261" max="11261" width="9" style="43" customWidth="1"/>
    <col min="11262" max="11263" width="9.81640625" style="43" customWidth="1"/>
    <col min="11264" max="11264" width="11.1796875" style="43" customWidth="1"/>
    <col min="11265" max="11265" width="2.81640625" style="43" customWidth="1"/>
    <col min="11266" max="11266" width="3.54296875" style="43" customWidth="1"/>
    <col min="11267" max="11511" width="9.1796875" style="43"/>
    <col min="11512" max="11512" width="8.7265625" style="43" customWidth="1"/>
    <col min="11513" max="11513" width="9.81640625" style="43" customWidth="1"/>
    <col min="11514" max="11514" width="14.453125" style="43" customWidth="1"/>
    <col min="11515" max="11515" width="7.26953125" style="43" customWidth="1"/>
    <col min="11516" max="11516" width="5.54296875" style="43" customWidth="1"/>
    <col min="11517" max="11517" width="9" style="43" customWidth="1"/>
    <col min="11518" max="11519" width="9.81640625" style="43" customWidth="1"/>
    <col min="11520" max="11520" width="11.1796875" style="43" customWidth="1"/>
    <col min="11521" max="11521" width="2.81640625" style="43" customWidth="1"/>
    <col min="11522" max="11522" width="3.54296875" style="43" customWidth="1"/>
    <col min="11523" max="11767" width="9.1796875" style="43"/>
    <col min="11768" max="11768" width="8.7265625" style="43" customWidth="1"/>
    <col min="11769" max="11769" width="9.81640625" style="43" customWidth="1"/>
    <col min="11770" max="11770" width="14.453125" style="43" customWidth="1"/>
    <col min="11771" max="11771" width="7.26953125" style="43" customWidth="1"/>
    <col min="11772" max="11772" width="5.54296875" style="43" customWidth="1"/>
    <col min="11773" max="11773" width="9" style="43" customWidth="1"/>
    <col min="11774" max="11775" width="9.81640625" style="43" customWidth="1"/>
    <col min="11776" max="11776" width="11.1796875" style="43" customWidth="1"/>
    <col min="11777" max="11777" width="2.81640625" style="43" customWidth="1"/>
    <col min="11778" max="11778" width="3.54296875" style="43" customWidth="1"/>
    <col min="11779" max="12023" width="9.1796875" style="43"/>
    <col min="12024" max="12024" width="8.7265625" style="43" customWidth="1"/>
    <col min="12025" max="12025" width="9.81640625" style="43" customWidth="1"/>
    <col min="12026" max="12026" width="14.453125" style="43" customWidth="1"/>
    <col min="12027" max="12027" width="7.26953125" style="43" customWidth="1"/>
    <col min="12028" max="12028" width="5.54296875" style="43" customWidth="1"/>
    <col min="12029" max="12029" width="9" style="43" customWidth="1"/>
    <col min="12030" max="12031" width="9.81640625" style="43" customWidth="1"/>
    <col min="12032" max="12032" width="11.1796875" style="43" customWidth="1"/>
    <col min="12033" max="12033" width="2.81640625" style="43" customWidth="1"/>
    <col min="12034" max="12034" width="3.54296875" style="43" customWidth="1"/>
    <col min="12035" max="12279" width="9.1796875" style="43"/>
    <col min="12280" max="12280" width="8.7265625" style="43" customWidth="1"/>
    <col min="12281" max="12281" width="9.81640625" style="43" customWidth="1"/>
    <col min="12282" max="12282" width="14.453125" style="43" customWidth="1"/>
    <col min="12283" max="12283" width="7.26953125" style="43" customWidth="1"/>
    <col min="12284" max="12284" width="5.54296875" style="43" customWidth="1"/>
    <col min="12285" max="12285" width="9" style="43" customWidth="1"/>
    <col min="12286" max="12287" width="9.81640625" style="43" customWidth="1"/>
    <col min="12288" max="12288" width="11.1796875" style="43" customWidth="1"/>
    <col min="12289" max="12289" width="2.81640625" style="43" customWidth="1"/>
    <col min="12290" max="12290" width="3.54296875" style="43" customWidth="1"/>
    <col min="12291" max="12535" width="9.1796875" style="43"/>
    <col min="12536" max="12536" width="8.7265625" style="43" customWidth="1"/>
    <col min="12537" max="12537" width="9.81640625" style="43" customWidth="1"/>
    <col min="12538" max="12538" width="14.453125" style="43" customWidth="1"/>
    <col min="12539" max="12539" width="7.26953125" style="43" customWidth="1"/>
    <col min="12540" max="12540" width="5.54296875" style="43" customWidth="1"/>
    <col min="12541" max="12541" width="9" style="43" customWidth="1"/>
    <col min="12542" max="12543" width="9.81640625" style="43" customWidth="1"/>
    <col min="12544" max="12544" width="11.1796875" style="43" customWidth="1"/>
    <col min="12545" max="12545" width="2.81640625" style="43" customWidth="1"/>
    <col min="12546" max="12546" width="3.54296875" style="43" customWidth="1"/>
    <col min="12547" max="12791" width="9.1796875" style="43"/>
    <col min="12792" max="12792" width="8.7265625" style="43" customWidth="1"/>
    <col min="12793" max="12793" width="9.81640625" style="43" customWidth="1"/>
    <col min="12794" max="12794" width="14.453125" style="43" customWidth="1"/>
    <col min="12795" max="12795" width="7.26953125" style="43" customWidth="1"/>
    <col min="12796" max="12796" width="5.54296875" style="43" customWidth="1"/>
    <col min="12797" max="12797" width="9" style="43" customWidth="1"/>
    <col min="12798" max="12799" width="9.81640625" style="43" customWidth="1"/>
    <col min="12800" max="12800" width="11.1796875" style="43" customWidth="1"/>
    <col min="12801" max="12801" width="2.81640625" style="43" customWidth="1"/>
    <col min="12802" max="12802" width="3.54296875" style="43" customWidth="1"/>
    <col min="12803" max="13047" width="9.1796875" style="43"/>
    <col min="13048" max="13048" width="8.7265625" style="43" customWidth="1"/>
    <col min="13049" max="13049" width="9.81640625" style="43" customWidth="1"/>
    <col min="13050" max="13050" width="14.453125" style="43" customWidth="1"/>
    <col min="13051" max="13051" width="7.26953125" style="43" customWidth="1"/>
    <col min="13052" max="13052" width="5.54296875" style="43" customWidth="1"/>
    <col min="13053" max="13053" width="9" style="43" customWidth="1"/>
    <col min="13054" max="13055" width="9.81640625" style="43" customWidth="1"/>
    <col min="13056" max="13056" width="11.1796875" style="43" customWidth="1"/>
    <col min="13057" max="13057" width="2.81640625" style="43" customWidth="1"/>
    <col min="13058" max="13058" width="3.54296875" style="43" customWidth="1"/>
    <col min="13059" max="13303" width="9.1796875" style="43"/>
    <col min="13304" max="13304" width="8.7265625" style="43" customWidth="1"/>
    <col min="13305" max="13305" width="9.81640625" style="43" customWidth="1"/>
    <col min="13306" max="13306" width="14.453125" style="43" customWidth="1"/>
    <col min="13307" max="13307" width="7.26953125" style="43" customWidth="1"/>
    <col min="13308" max="13308" width="5.54296875" style="43" customWidth="1"/>
    <col min="13309" max="13309" width="9" style="43" customWidth="1"/>
    <col min="13310" max="13311" width="9.81640625" style="43" customWidth="1"/>
    <col min="13312" max="13312" width="11.1796875" style="43" customWidth="1"/>
    <col min="13313" max="13313" width="2.81640625" style="43" customWidth="1"/>
    <col min="13314" max="13314" width="3.54296875" style="43" customWidth="1"/>
    <col min="13315" max="13559" width="9.1796875" style="43"/>
    <col min="13560" max="13560" width="8.7265625" style="43" customWidth="1"/>
    <col min="13561" max="13561" width="9.81640625" style="43" customWidth="1"/>
    <col min="13562" max="13562" width="14.453125" style="43" customWidth="1"/>
    <col min="13563" max="13563" width="7.26953125" style="43" customWidth="1"/>
    <col min="13564" max="13564" width="5.54296875" style="43" customWidth="1"/>
    <col min="13565" max="13565" width="9" style="43" customWidth="1"/>
    <col min="13566" max="13567" width="9.81640625" style="43" customWidth="1"/>
    <col min="13568" max="13568" width="11.1796875" style="43" customWidth="1"/>
    <col min="13569" max="13569" width="2.81640625" style="43" customWidth="1"/>
    <col min="13570" max="13570" width="3.54296875" style="43" customWidth="1"/>
    <col min="13571" max="13815" width="9.1796875" style="43"/>
    <col min="13816" max="13816" width="8.7265625" style="43" customWidth="1"/>
    <col min="13817" max="13817" width="9.81640625" style="43" customWidth="1"/>
    <col min="13818" max="13818" width="14.453125" style="43" customWidth="1"/>
    <col min="13819" max="13819" width="7.26953125" style="43" customWidth="1"/>
    <col min="13820" max="13820" width="5.54296875" style="43" customWidth="1"/>
    <col min="13821" max="13821" width="9" style="43" customWidth="1"/>
    <col min="13822" max="13823" width="9.81640625" style="43" customWidth="1"/>
    <col min="13824" max="13824" width="11.1796875" style="43" customWidth="1"/>
    <col min="13825" max="13825" width="2.81640625" style="43" customWidth="1"/>
    <col min="13826" max="13826" width="3.54296875" style="43" customWidth="1"/>
    <col min="13827" max="14071" width="9.1796875" style="43"/>
    <col min="14072" max="14072" width="8.7265625" style="43" customWidth="1"/>
    <col min="14073" max="14073" width="9.81640625" style="43" customWidth="1"/>
    <col min="14074" max="14074" width="14.453125" style="43" customWidth="1"/>
    <col min="14075" max="14075" width="7.26953125" style="43" customWidth="1"/>
    <col min="14076" max="14076" width="5.54296875" style="43" customWidth="1"/>
    <col min="14077" max="14077" width="9" style="43" customWidth="1"/>
    <col min="14078" max="14079" width="9.81640625" style="43" customWidth="1"/>
    <col min="14080" max="14080" width="11.1796875" style="43" customWidth="1"/>
    <col min="14081" max="14081" width="2.81640625" style="43" customWidth="1"/>
    <col min="14082" max="14082" width="3.54296875" style="43" customWidth="1"/>
    <col min="14083" max="14327" width="9.1796875" style="43"/>
    <col min="14328" max="14328" width="8.7265625" style="43" customWidth="1"/>
    <col min="14329" max="14329" width="9.81640625" style="43" customWidth="1"/>
    <col min="14330" max="14330" width="14.453125" style="43" customWidth="1"/>
    <col min="14331" max="14331" width="7.26953125" style="43" customWidth="1"/>
    <col min="14332" max="14332" width="5.54296875" style="43" customWidth="1"/>
    <col min="14333" max="14333" width="9" style="43" customWidth="1"/>
    <col min="14334" max="14335" width="9.81640625" style="43" customWidth="1"/>
    <col min="14336" max="14336" width="11.1796875" style="43" customWidth="1"/>
    <col min="14337" max="14337" width="2.81640625" style="43" customWidth="1"/>
    <col min="14338" max="14338" width="3.54296875" style="43" customWidth="1"/>
    <col min="14339" max="14583" width="9.1796875" style="43"/>
    <col min="14584" max="14584" width="8.7265625" style="43" customWidth="1"/>
    <col min="14585" max="14585" width="9.81640625" style="43" customWidth="1"/>
    <col min="14586" max="14586" width="14.453125" style="43" customWidth="1"/>
    <col min="14587" max="14587" width="7.26953125" style="43" customWidth="1"/>
    <col min="14588" max="14588" width="5.54296875" style="43" customWidth="1"/>
    <col min="14589" max="14589" width="9" style="43" customWidth="1"/>
    <col min="14590" max="14591" width="9.81640625" style="43" customWidth="1"/>
    <col min="14592" max="14592" width="11.1796875" style="43" customWidth="1"/>
    <col min="14593" max="14593" width="2.81640625" style="43" customWidth="1"/>
    <col min="14594" max="14594" width="3.54296875" style="43" customWidth="1"/>
    <col min="14595" max="14839" width="9.1796875" style="43"/>
    <col min="14840" max="14840" width="8.7265625" style="43" customWidth="1"/>
    <col min="14841" max="14841" width="9.81640625" style="43" customWidth="1"/>
    <col min="14842" max="14842" width="14.453125" style="43" customWidth="1"/>
    <col min="14843" max="14843" width="7.26953125" style="43" customWidth="1"/>
    <col min="14844" max="14844" width="5.54296875" style="43" customWidth="1"/>
    <col min="14845" max="14845" width="9" style="43" customWidth="1"/>
    <col min="14846" max="14847" width="9.81640625" style="43" customWidth="1"/>
    <col min="14848" max="14848" width="11.1796875" style="43" customWidth="1"/>
    <col min="14849" max="14849" width="2.81640625" style="43" customWidth="1"/>
    <col min="14850" max="14850" width="3.54296875" style="43" customWidth="1"/>
    <col min="14851" max="15095" width="9.1796875" style="43"/>
    <col min="15096" max="15096" width="8.7265625" style="43" customWidth="1"/>
    <col min="15097" max="15097" width="9.81640625" style="43" customWidth="1"/>
    <col min="15098" max="15098" width="14.453125" style="43" customWidth="1"/>
    <col min="15099" max="15099" width="7.26953125" style="43" customWidth="1"/>
    <col min="15100" max="15100" width="5.54296875" style="43" customWidth="1"/>
    <col min="15101" max="15101" width="9" style="43" customWidth="1"/>
    <col min="15102" max="15103" width="9.81640625" style="43" customWidth="1"/>
    <col min="15104" max="15104" width="11.1796875" style="43" customWidth="1"/>
    <col min="15105" max="15105" width="2.81640625" style="43" customWidth="1"/>
    <col min="15106" max="15106" width="3.54296875" style="43" customWidth="1"/>
    <col min="15107" max="15351" width="9.1796875" style="43"/>
    <col min="15352" max="15352" width="8.7265625" style="43" customWidth="1"/>
    <col min="15353" max="15353" width="9.81640625" style="43" customWidth="1"/>
    <col min="15354" max="15354" width="14.453125" style="43" customWidth="1"/>
    <col min="15355" max="15355" width="7.26953125" style="43" customWidth="1"/>
    <col min="15356" max="15356" width="5.54296875" style="43" customWidth="1"/>
    <col min="15357" max="15357" width="9" style="43" customWidth="1"/>
    <col min="15358" max="15359" width="9.81640625" style="43" customWidth="1"/>
    <col min="15360" max="15360" width="11.1796875" style="43" customWidth="1"/>
    <col min="15361" max="15361" width="2.81640625" style="43" customWidth="1"/>
    <col min="15362" max="15362" width="3.54296875" style="43" customWidth="1"/>
    <col min="15363" max="15607" width="9.1796875" style="43"/>
    <col min="15608" max="15608" width="8.7265625" style="43" customWidth="1"/>
    <col min="15609" max="15609" width="9.81640625" style="43" customWidth="1"/>
    <col min="15610" max="15610" width="14.453125" style="43" customWidth="1"/>
    <col min="15611" max="15611" width="7.26953125" style="43" customWidth="1"/>
    <col min="15612" max="15612" width="5.54296875" style="43" customWidth="1"/>
    <col min="15613" max="15613" width="9" style="43" customWidth="1"/>
    <col min="15614" max="15615" width="9.81640625" style="43" customWidth="1"/>
    <col min="15616" max="15616" width="11.1796875" style="43" customWidth="1"/>
    <col min="15617" max="15617" width="2.81640625" style="43" customWidth="1"/>
    <col min="15618" max="15618" width="3.54296875" style="43" customWidth="1"/>
    <col min="15619" max="15863" width="9.1796875" style="43"/>
    <col min="15864" max="15864" width="8.7265625" style="43" customWidth="1"/>
    <col min="15865" max="15865" width="9.81640625" style="43" customWidth="1"/>
    <col min="15866" max="15866" width="14.453125" style="43" customWidth="1"/>
    <col min="15867" max="15867" width="7.26953125" style="43" customWidth="1"/>
    <col min="15868" max="15868" width="5.54296875" style="43" customWidth="1"/>
    <col min="15869" max="15869" width="9" style="43" customWidth="1"/>
    <col min="15870" max="15871" width="9.81640625" style="43" customWidth="1"/>
    <col min="15872" max="15872" width="11.1796875" style="43" customWidth="1"/>
    <col min="15873" max="15873" width="2.81640625" style="43" customWidth="1"/>
    <col min="15874" max="15874" width="3.54296875" style="43" customWidth="1"/>
    <col min="15875" max="16119" width="9.1796875" style="43"/>
    <col min="16120" max="16120" width="8.7265625" style="43" customWidth="1"/>
    <col min="16121" max="16121" width="9.81640625" style="43" customWidth="1"/>
    <col min="16122" max="16122" width="14.453125" style="43" customWidth="1"/>
    <col min="16123" max="16123" width="7.26953125" style="43" customWidth="1"/>
    <col min="16124" max="16124" width="5.54296875" style="43" customWidth="1"/>
    <col min="16125" max="16125" width="9" style="43" customWidth="1"/>
    <col min="16126" max="16127" width="9.81640625" style="43" customWidth="1"/>
    <col min="16128" max="16128" width="11.1796875" style="43" customWidth="1"/>
    <col min="16129" max="16129" width="2.81640625" style="43" customWidth="1"/>
    <col min="16130" max="16130" width="3.54296875" style="43" customWidth="1"/>
    <col min="16131" max="16384" width="9.1796875" style="43"/>
  </cols>
  <sheetData>
    <row r="1" spans="1:8" ht="46.5" customHeight="1">
      <c r="A1" s="284" t="s">
        <v>0</v>
      </c>
      <c r="B1" s="284"/>
      <c r="C1" s="284"/>
      <c r="D1" s="284"/>
      <c r="E1" s="284"/>
      <c r="F1" s="284"/>
      <c r="G1" s="284"/>
      <c r="H1" s="284"/>
    </row>
    <row r="2" spans="1:8" ht="16.5" customHeight="1">
      <c r="A2" s="171" t="s">
        <v>1</v>
      </c>
      <c r="B2" s="171"/>
      <c r="C2" s="171"/>
      <c r="D2" s="171"/>
      <c r="E2" s="171"/>
      <c r="F2" s="171"/>
      <c r="G2" s="171"/>
      <c r="H2" s="171"/>
    </row>
    <row r="3" spans="1:8">
      <c r="A3" s="130" t="s">
        <v>2</v>
      </c>
      <c r="B3" s="130"/>
      <c r="C3" s="130"/>
      <c r="D3" s="130"/>
      <c r="E3" s="285" t="str">
        <f ca="1">TEXT(TODAY(),"DD/MM/YYYY")</f>
        <v>22/08/2025</v>
      </c>
      <c r="F3" s="285"/>
      <c r="G3" s="285"/>
      <c r="H3" s="285"/>
    </row>
    <row r="4" spans="1:8" ht="15" customHeight="1">
      <c r="A4" s="130" t="s">
        <v>3</v>
      </c>
      <c r="B4" s="130"/>
      <c r="C4" s="130"/>
      <c r="D4" s="130"/>
      <c r="E4" s="281" t="s">
        <v>4</v>
      </c>
      <c r="F4" s="281"/>
      <c r="G4" s="281"/>
      <c r="H4" s="281"/>
    </row>
    <row r="5" spans="1:8">
      <c r="A5" s="130" t="s">
        <v>5</v>
      </c>
      <c r="B5" s="130"/>
      <c r="C5" s="130"/>
      <c r="D5" s="130"/>
      <c r="E5" s="285">
        <v>45890</v>
      </c>
      <c r="F5" s="285"/>
      <c r="G5" s="285"/>
      <c r="H5" s="285"/>
    </row>
    <row r="6" spans="1:8" ht="16.5" customHeight="1">
      <c r="A6" s="130" t="s">
        <v>6</v>
      </c>
      <c r="B6" s="130"/>
      <c r="C6" s="130"/>
      <c r="D6" s="130"/>
      <c r="E6" s="129" t="s">
        <v>7</v>
      </c>
      <c r="F6" s="129"/>
      <c r="G6" s="129"/>
      <c r="H6" s="129"/>
    </row>
    <row r="7" spans="1:8" ht="15" customHeight="1">
      <c r="A7" s="130" t="s">
        <v>8</v>
      </c>
      <c r="B7" s="130"/>
      <c r="C7" s="130"/>
      <c r="D7" s="130"/>
      <c r="E7" s="129" t="str">
        <f>E6</f>
        <v>M/s. Poonam Skyline Construction</v>
      </c>
      <c r="F7" s="129"/>
      <c r="G7" s="129"/>
      <c r="H7" s="129"/>
    </row>
    <row r="8" spans="1:8">
      <c r="A8" s="130" t="s">
        <v>9</v>
      </c>
      <c r="B8" s="130"/>
      <c r="C8" s="130"/>
      <c r="D8" s="130"/>
      <c r="E8" s="216" t="s">
        <v>10</v>
      </c>
      <c r="F8" s="216"/>
      <c r="G8" s="216"/>
      <c r="H8" s="216"/>
    </row>
    <row r="9" spans="1:8">
      <c r="A9" s="130" t="s">
        <v>11</v>
      </c>
      <c r="B9" s="130"/>
      <c r="C9" s="130"/>
      <c r="D9" s="130"/>
      <c r="E9" s="130" t="s">
        <v>12</v>
      </c>
      <c r="F9" s="130"/>
      <c r="G9" s="130"/>
      <c r="H9" s="130"/>
    </row>
    <row r="10" spans="1:8">
      <c r="A10" s="130" t="s">
        <v>13</v>
      </c>
      <c r="B10" s="130"/>
      <c r="C10" s="130"/>
      <c r="D10" s="130"/>
      <c r="E10" s="130" t="s">
        <v>12</v>
      </c>
      <c r="F10" s="130"/>
      <c r="G10" s="130"/>
      <c r="H10" s="130"/>
    </row>
    <row r="11" spans="1:8" ht="33.75" customHeight="1">
      <c r="A11" s="130" t="s">
        <v>14</v>
      </c>
      <c r="B11" s="130"/>
      <c r="C11" s="130"/>
      <c r="D11" s="130"/>
      <c r="E11" s="129" t="s">
        <v>15</v>
      </c>
      <c r="F11" s="130"/>
      <c r="G11" s="130"/>
      <c r="H11" s="130"/>
    </row>
    <row r="12" spans="1:8">
      <c r="A12" s="130" t="s">
        <v>16</v>
      </c>
      <c r="B12" s="130"/>
      <c r="C12" s="130"/>
      <c r="D12" s="130"/>
      <c r="E12" s="129" t="s">
        <v>17</v>
      </c>
      <c r="F12" s="129"/>
      <c r="G12" s="129"/>
      <c r="H12" s="129"/>
    </row>
    <row r="13" spans="1:8" ht="15.75" customHeight="1">
      <c r="A13" s="130" t="s">
        <v>18</v>
      </c>
      <c r="B13" s="130"/>
      <c r="C13" s="130"/>
      <c r="D13" s="130"/>
      <c r="E13" s="129" t="s">
        <v>19</v>
      </c>
      <c r="F13" s="130"/>
      <c r="G13" s="130"/>
      <c r="H13" s="130"/>
    </row>
    <row r="14" spans="1:8" ht="33" customHeight="1">
      <c r="A14" s="129" t="s">
        <v>20</v>
      </c>
      <c r="B14" s="129"/>
      <c r="C14" s="129" t="str">
        <f>CONCATENATE((IF(OR(E8="",E8="NA"),"",E8)),", ",(IF(OR(A15="",A15="NA"),"",A15)),".",(IF(OR(C15="",C15="NA"),"",C15)),", near ",(IF(OR(C19="",C19="NA"),"",C19)),", ",(IF(OR(C16="",C16="NA"),"",C16)),", ",(IF(OR(G16="",G16="NA"),"",G16)),", ",(IF(OR(C17="",C17="NA"),"",C17)),", ",(IF(OR(C18="",C18="NA"),"",C18)),", ",(IF(OR(G17="",G17="NA"),"",G17)),".")</f>
        <v>Poonam Imperia Phase I, Survey No.27, H.No.3A, near Hayaat garden, Vitthal Mandir Road, Waliv, Vasai, Vasai, Palghar.</v>
      </c>
      <c r="D14" s="129"/>
      <c r="E14" s="129"/>
      <c r="F14" s="129"/>
      <c r="G14" s="129"/>
      <c r="H14" s="129"/>
    </row>
    <row r="15" spans="1:8" ht="18.75" customHeight="1">
      <c r="A15" s="129" t="s">
        <v>21</v>
      </c>
      <c r="B15" s="129"/>
      <c r="C15" s="129" t="s">
        <v>22</v>
      </c>
      <c r="D15" s="129"/>
      <c r="E15" s="129"/>
      <c r="F15" s="129"/>
      <c r="G15" s="129"/>
      <c r="H15" s="129"/>
    </row>
    <row r="16" spans="1:8" ht="15.75" customHeight="1">
      <c r="A16" s="129" t="s">
        <v>23</v>
      </c>
      <c r="B16" s="129"/>
      <c r="C16" s="130" t="s">
        <v>24</v>
      </c>
      <c r="D16" s="130"/>
      <c r="E16" s="129" t="s">
        <v>25</v>
      </c>
      <c r="F16" s="129"/>
      <c r="G16" s="129" t="s">
        <v>26</v>
      </c>
      <c r="H16" s="129"/>
    </row>
    <row r="17" spans="1:8">
      <c r="A17" s="130" t="s">
        <v>27</v>
      </c>
      <c r="B17" s="130"/>
      <c r="C17" s="129" t="s">
        <v>28</v>
      </c>
      <c r="D17" s="129"/>
      <c r="E17" s="129" t="s">
        <v>29</v>
      </c>
      <c r="F17" s="129"/>
      <c r="G17" s="280" t="s">
        <v>30</v>
      </c>
      <c r="H17" s="280"/>
    </row>
    <row r="18" spans="1:8">
      <c r="A18" s="130" t="s">
        <v>31</v>
      </c>
      <c r="B18" s="130"/>
      <c r="C18" s="129" t="s">
        <v>28</v>
      </c>
      <c r="D18" s="129"/>
      <c r="E18" s="129" t="s">
        <v>32</v>
      </c>
      <c r="F18" s="129"/>
      <c r="G18" s="129">
        <v>401208</v>
      </c>
      <c r="H18" s="129"/>
    </row>
    <row r="19" spans="1:8" ht="32.25" customHeight="1">
      <c r="A19" s="130" t="s">
        <v>33</v>
      </c>
      <c r="B19" s="130"/>
      <c r="C19" s="212" t="s">
        <v>34</v>
      </c>
      <c r="D19" s="212"/>
      <c r="E19" s="129" t="s">
        <v>35</v>
      </c>
      <c r="F19" s="129"/>
      <c r="G19" s="129" t="s">
        <v>36</v>
      </c>
      <c r="H19" s="129"/>
    </row>
    <row r="20" spans="1:8" ht="15" customHeight="1">
      <c r="A20" s="129" t="s">
        <v>37</v>
      </c>
      <c r="B20" s="129"/>
      <c r="C20" s="129"/>
      <c r="D20" s="129"/>
      <c r="E20" s="130" t="s">
        <v>38</v>
      </c>
      <c r="F20" s="130"/>
      <c r="G20" s="130"/>
      <c r="H20" s="130"/>
    </row>
    <row r="21" spans="1:8" ht="18.75" customHeight="1">
      <c r="A21" s="129"/>
      <c r="B21" s="129"/>
      <c r="C21" s="129"/>
      <c r="D21" s="129"/>
      <c r="E21" s="130"/>
      <c r="F21" s="130"/>
      <c r="G21" s="130"/>
      <c r="H21" s="130"/>
    </row>
    <row r="22" spans="1:8" ht="15" customHeight="1">
      <c r="A22" s="129" t="s">
        <v>39</v>
      </c>
      <c r="B22" s="129"/>
      <c r="C22" s="129"/>
      <c r="D22" s="129"/>
      <c r="E22" s="129" t="s">
        <v>40</v>
      </c>
      <c r="F22" s="129"/>
      <c r="G22" s="129"/>
      <c r="H22" s="129"/>
    </row>
    <row r="23" spans="1:8" ht="15" customHeight="1">
      <c r="A23" s="130" t="s">
        <v>41</v>
      </c>
      <c r="B23" s="130"/>
      <c r="C23" s="130"/>
      <c r="D23" s="130"/>
      <c r="E23" s="129" t="str">
        <f>IF(AND(G17="Mumbai"),"Upper Class","Middle Class")</f>
        <v>Middle Class</v>
      </c>
      <c r="F23" s="129"/>
      <c r="G23" s="129"/>
      <c r="H23" s="129"/>
    </row>
    <row r="24" spans="1:8">
      <c r="A24" s="130" t="s">
        <v>42</v>
      </c>
      <c r="B24" s="130"/>
      <c r="C24" s="130"/>
      <c r="D24" s="130"/>
      <c r="E24" s="129" t="s">
        <v>43</v>
      </c>
      <c r="F24" s="129"/>
      <c r="G24" s="129"/>
      <c r="H24" s="129"/>
    </row>
    <row r="25" spans="1:8" ht="15.75" customHeight="1">
      <c r="A25" s="130" t="s">
        <v>44</v>
      </c>
      <c r="B25" s="130"/>
      <c r="C25" s="130"/>
      <c r="D25" s="130"/>
      <c r="E25" s="129" t="str">
        <f>IF(AND(G17="Mumbai"),"Developed","Developing")</f>
        <v>Developing</v>
      </c>
      <c r="F25" s="129"/>
      <c r="G25" s="129"/>
      <c r="H25" s="129"/>
    </row>
    <row r="26" spans="1:8">
      <c r="A26" s="130" t="s">
        <v>45</v>
      </c>
      <c r="B26" s="130"/>
      <c r="C26" s="130"/>
      <c r="D26" s="130"/>
      <c r="E26" s="129" t="s">
        <v>46</v>
      </c>
      <c r="F26" s="129"/>
      <c r="G26" s="129"/>
      <c r="H26" s="129"/>
    </row>
    <row r="27" spans="1:8" ht="15.75" customHeight="1">
      <c r="A27" s="130" t="s">
        <v>47</v>
      </c>
      <c r="B27" s="130"/>
      <c r="C27" s="130"/>
      <c r="D27" s="130"/>
      <c r="E27" s="129" t="s">
        <v>48</v>
      </c>
      <c r="F27" s="129"/>
      <c r="G27" s="129"/>
      <c r="H27" s="129"/>
    </row>
    <row r="28" spans="1:8" ht="15" customHeight="1">
      <c r="A28" s="129" t="s">
        <v>49</v>
      </c>
      <c r="B28" s="129"/>
      <c r="C28" s="129"/>
      <c r="D28" s="129"/>
      <c r="E28" s="281" t="s">
        <v>50</v>
      </c>
      <c r="F28" s="281"/>
      <c r="G28" s="281"/>
      <c r="H28" s="281"/>
    </row>
    <row r="29" spans="1:8" ht="15.75" customHeight="1">
      <c r="A29" s="129" t="s">
        <v>51</v>
      </c>
      <c r="B29" s="129"/>
      <c r="C29" s="129"/>
      <c r="D29" s="129"/>
      <c r="E29" s="129" t="s">
        <v>52</v>
      </c>
      <c r="F29" s="129"/>
      <c r="G29" s="129"/>
      <c r="H29" s="129"/>
    </row>
    <row r="30" spans="1:8" s="35" customFormat="1">
      <c r="A30" s="282" t="s">
        <v>53</v>
      </c>
      <c r="B30" s="282"/>
      <c r="C30" s="283" t="s">
        <v>54</v>
      </c>
      <c r="D30" s="283"/>
      <c r="E30" s="283"/>
      <c r="F30" s="283" t="s">
        <v>55</v>
      </c>
      <c r="G30" s="283"/>
      <c r="H30" s="283"/>
    </row>
    <row r="31" spans="1:8" s="35" customFormat="1">
      <c r="A31" s="276" t="s">
        <v>56</v>
      </c>
      <c r="B31" s="276" t="s">
        <v>57</v>
      </c>
      <c r="C31" s="239" t="s">
        <v>57</v>
      </c>
      <c r="D31" s="239"/>
      <c r="E31" s="239"/>
      <c r="F31" s="239" t="s">
        <v>58</v>
      </c>
      <c r="G31" s="239"/>
      <c r="H31" s="239"/>
    </row>
    <row r="32" spans="1:8">
      <c r="A32" s="276" t="s">
        <v>59</v>
      </c>
      <c r="B32" s="276" t="s">
        <v>57</v>
      </c>
      <c r="C32" s="239" t="s">
        <v>57</v>
      </c>
      <c r="D32" s="239"/>
      <c r="E32" s="239"/>
      <c r="F32" s="239" t="s">
        <v>60</v>
      </c>
      <c r="G32" s="239"/>
      <c r="H32" s="239"/>
    </row>
    <row r="33" spans="1:9" s="35" customFormat="1">
      <c r="A33" s="276" t="s">
        <v>61</v>
      </c>
      <c r="B33" s="276" t="s">
        <v>57</v>
      </c>
      <c r="C33" s="239" t="s">
        <v>57</v>
      </c>
      <c r="D33" s="239"/>
      <c r="E33" s="239"/>
      <c r="F33" s="239" t="s">
        <v>62</v>
      </c>
      <c r="G33" s="239"/>
      <c r="H33" s="239"/>
    </row>
    <row r="34" spans="1:9">
      <c r="A34" s="276" t="s">
        <v>63</v>
      </c>
      <c r="B34" s="276" t="s">
        <v>57</v>
      </c>
      <c r="C34" s="239" t="s">
        <v>57</v>
      </c>
      <c r="D34" s="239"/>
      <c r="E34" s="239"/>
      <c r="F34" s="239" t="s">
        <v>24</v>
      </c>
      <c r="G34" s="239"/>
      <c r="H34" s="239"/>
    </row>
    <row r="35" spans="1:9">
      <c r="A35" s="130" t="s">
        <v>64</v>
      </c>
      <c r="B35" s="130"/>
      <c r="C35" s="130"/>
      <c r="D35" s="130"/>
      <c r="E35" s="130"/>
      <c r="F35" s="130"/>
      <c r="G35" s="130"/>
      <c r="H35" s="130"/>
    </row>
    <row r="36" spans="1:9" ht="15.75" customHeight="1">
      <c r="A36" s="277" t="s">
        <v>65</v>
      </c>
      <c r="B36" s="277"/>
      <c r="C36" s="278" t="s">
        <v>66</v>
      </c>
      <c r="D36" s="278"/>
      <c r="E36" s="278"/>
      <c r="F36" s="278"/>
      <c r="G36" s="278"/>
      <c r="H36" s="278"/>
    </row>
    <row r="37" spans="1:9" ht="15.75" customHeight="1">
      <c r="A37" s="277" t="s">
        <v>67</v>
      </c>
      <c r="B37" s="277"/>
      <c r="C37" s="279" t="s">
        <v>68</v>
      </c>
      <c r="D37" s="280"/>
      <c r="E37" s="280"/>
      <c r="F37" s="280"/>
      <c r="G37" s="280"/>
      <c r="H37" s="280"/>
    </row>
    <row r="38" spans="1:9">
      <c r="A38" s="216" t="s">
        <v>69</v>
      </c>
      <c r="B38" s="216"/>
      <c r="C38" s="216"/>
      <c r="D38" s="216"/>
      <c r="E38" s="216"/>
      <c r="F38" s="216"/>
      <c r="G38" s="216"/>
      <c r="H38" s="216"/>
    </row>
    <row r="39" spans="1:9">
      <c r="A39" s="130" t="s">
        <v>70</v>
      </c>
      <c r="B39" s="130"/>
      <c r="C39" s="130"/>
      <c r="D39" s="130"/>
      <c r="E39" s="273">
        <v>25058.68</v>
      </c>
      <c r="F39" s="273"/>
      <c r="G39" s="273"/>
      <c r="H39" s="273"/>
    </row>
    <row r="40" spans="1:9">
      <c r="A40" s="130" t="s">
        <v>71</v>
      </c>
      <c r="B40" s="130"/>
      <c r="C40" s="130"/>
      <c r="D40" s="130"/>
      <c r="E40" s="274">
        <v>1.1000000000000001</v>
      </c>
      <c r="F40" s="274"/>
      <c r="G40" s="274"/>
      <c r="H40" s="274"/>
      <c r="I40" s="43">
        <f>27564.55/E39</f>
        <v>1.1000000798126637</v>
      </c>
    </row>
    <row r="41" spans="1:9">
      <c r="A41" s="130" t="s">
        <v>72</v>
      </c>
      <c r="B41" s="130"/>
      <c r="C41" s="130"/>
      <c r="D41" s="130"/>
      <c r="E41" s="274">
        <f>E43/E39-E40</f>
        <v>7.9812663589251542E-8</v>
      </c>
      <c r="F41" s="274"/>
      <c r="G41" s="274"/>
      <c r="H41" s="274"/>
    </row>
    <row r="42" spans="1:9">
      <c r="A42" s="130" t="s">
        <v>73</v>
      </c>
      <c r="B42" s="130"/>
      <c r="C42" s="130"/>
      <c r="D42" s="130"/>
      <c r="E42" s="274">
        <f>E40+E41</f>
        <v>1.1000000798126637</v>
      </c>
      <c r="F42" s="274"/>
      <c r="G42" s="274"/>
      <c r="H42" s="274"/>
    </row>
    <row r="43" spans="1:9">
      <c r="A43" s="130" t="s">
        <v>74</v>
      </c>
      <c r="B43" s="130"/>
      <c r="C43" s="130"/>
      <c r="D43" s="130"/>
      <c r="E43" s="275">
        <v>27564.55</v>
      </c>
      <c r="F43" s="275"/>
      <c r="G43" s="275"/>
      <c r="H43" s="275"/>
    </row>
    <row r="44" spans="1:9">
      <c r="A44" s="130" t="s">
        <v>75</v>
      </c>
      <c r="B44" s="130"/>
      <c r="C44" s="130"/>
      <c r="D44" s="130"/>
      <c r="E44" s="254" t="s">
        <v>76</v>
      </c>
      <c r="F44" s="254"/>
      <c r="G44" s="254"/>
      <c r="H44" s="254"/>
    </row>
    <row r="45" spans="1:9">
      <c r="A45" s="216" t="s">
        <v>77</v>
      </c>
      <c r="B45" s="216"/>
      <c r="C45" s="216"/>
      <c r="D45" s="216"/>
      <c r="E45" s="216"/>
      <c r="F45" s="216"/>
      <c r="G45" s="216"/>
      <c r="H45" s="216"/>
    </row>
    <row r="46" spans="1:9" ht="34.5" customHeight="1">
      <c r="A46" s="129" t="s">
        <v>78</v>
      </c>
      <c r="B46" s="129"/>
      <c r="C46" s="212" t="s">
        <v>79</v>
      </c>
      <c r="D46" s="212"/>
      <c r="E46" s="212"/>
      <c r="F46" s="45" t="s">
        <v>80</v>
      </c>
      <c r="G46" s="269" t="s">
        <v>81</v>
      </c>
      <c r="H46" s="269"/>
    </row>
    <row r="47" spans="1:9" ht="66" customHeight="1">
      <c r="A47" s="129" t="s">
        <v>82</v>
      </c>
      <c r="B47" s="130"/>
      <c r="C47" s="212" t="str">
        <f>C46</f>
        <v>VVCMC/TP/AMEND/VP/5155/291/2022-23</v>
      </c>
      <c r="D47" s="212"/>
      <c r="E47" s="212"/>
      <c r="F47" s="45" t="s">
        <v>80</v>
      </c>
      <c r="G47" s="269" t="s">
        <v>83</v>
      </c>
      <c r="H47" s="269"/>
    </row>
    <row r="48" spans="1:9" ht="46.5" customHeight="1">
      <c r="A48" s="129" t="s">
        <v>84</v>
      </c>
      <c r="B48" s="129"/>
      <c r="C48" s="212" t="s">
        <v>85</v>
      </c>
      <c r="D48" s="212"/>
      <c r="E48" s="212"/>
      <c r="F48" s="45" t="s">
        <v>80</v>
      </c>
      <c r="G48" s="269" t="s">
        <v>86</v>
      </c>
      <c r="H48" s="269"/>
    </row>
    <row r="49" spans="1:19" ht="33" customHeight="1">
      <c r="A49" s="129" t="s">
        <v>87</v>
      </c>
      <c r="B49" s="129"/>
      <c r="C49" s="212" t="s">
        <v>79</v>
      </c>
      <c r="D49" s="212"/>
      <c r="E49" s="212"/>
      <c r="F49" s="45" t="s">
        <v>80</v>
      </c>
      <c r="G49" s="269" t="s">
        <v>81</v>
      </c>
      <c r="H49" s="269"/>
    </row>
    <row r="50" spans="1:19" s="36" customFormat="1" ht="30.75" customHeight="1">
      <c r="A50" s="129" t="s">
        <v>88</v>
      </c>
      <c r="B50" s="129"/>
      <c r="C50" s="212" t="s">
        <v>89</v>
      </c>
      <c r="D50" s="208"/>
      <c r="E50" s="208"/>
      <c r="F50" s="46" t="s">
        <v>80</v>
      </c>
      <c r="G50" s="269" t="s">
        <v>81</v>
      </c>
      <c r="H50" s="269"/>
    </row>
    <row r="51" spans="1:19" s="36" customFormat="1" ht="94.5" customHeight="1">
      <c r="A51" s="129"/>
      <c r="B51" s="129"/>
      <c r="C51" s="270" t="s">
        <v>90</v>
      </c>
      <c r="D51" s="271"/>
      <c r="E51" s="271"/>
      <c r="F51" s="271"/>
      <c r="G51" s="271"/>
      <c r="H51" s="272"/>
    </row>
    <row r="52" spans="1:19" ht="32.25" customHeight="1">
      <c r="A52" s="217" t="s">
        <v>283</v>
      </c>
      <c r="B52" s="217"/>
      <c r="C52" s="250" t="s">
        <v>286</v>
      </c>
      <c r="D52" s="219"/>
      <c r="E52" s="219" t="s">
        <v>91</v>
      </c>
      <c r="F52" s="47" t="s">
        <v>80</v>
      </c>
      <c r="G52" s="251">
        <v>45589</v>
      </c>
      <c r="H52" s="251"/>
    </row>
    <row r="53" spans="1:19">
      <c r="A53" s="261" t="s">
        <v>284</v>
      </c>
      <c r="B53" s="261"/>
      <c r="C53" s="262" t="s">
        <v>291</v>
      </c>
      <c r="D53" s="263"/>
      <c r="E53" s="263"/>
      <c r="F53" s="263"/>
      <c r="G53" s="263"/>
      <c r="H53" s="264"/>
    </row>
    <row r="54" spans="1:19" ht="32.25" customHeight="1">
      <c r="A54" s="265" t="s">
        <v>283</v>
      </c>
      <c r="B54" s="266"/>
      <c r="C54" s="264" t="s">
        <v>289</v>
      </c>
      <c r="D54" s="219"/>
      <c r="E54" s="219"/>
      <c r="F54" s="107" t="s">
        <v>80</v>
      </c>
      <c r="G54" s="251">
        <v>45397</v>
      </c>
      <c r="H54" s="251"/>
    </row>
    <row r="55" spans="1:19" ht="32.5" customHeight="1">
      <c r="A55" s="267" t="s">
        <v>284</v>
      </c>
      <c r="B55" s="268"/>
      <c r="C55" s="263" t="s">
        <v>290</v>
      </c>
      <c r="D55" s="263"/>
      <c r="E55" s="263"/>
      <c r="F55" s="263"/>
      <c r="G55" s="263"/>
      <c r="H55" s="264"/>
    </row>
    <row r="56" spans="1:19" ht="15.75" customHeight="1">
      <c r="A56" s="252" t="s">
        <v>92</v>
      </c>
      <c r="B56" s="252"/>
      <c r="C56" s="253"/>
      <c r="D56" s="253"/>
      <c r="E56" s="253"/>
      <c r="F56" s="253"/>
      <c r="G56" s="253"/>
      <c r="H56" s="253"/>
    </row>
    <row r="57" spans="1:19">
      <c r="A57" s="129" t="s">
        <v>93</v>
      </c>
      <c r="B57" s="130"/>
      <c r="C57" s="130"/>
      <c r="D57" s="254" t="s">
        <v>94</v>
      </c>
      <c r="E57" s="254"/>
      <c r="F57" s="254"/>
      <c r="G57" s="254"/>
      <c r="H57" s="254"/>
      <c r="I57" s="48"/>
    </row>
    <row r="58" spans="1:19" ht="49.5" customHeight="1">
      <c r="A58" s="255" t="s">
        <v>95</v>
      </c>
      <c r="B58" s="256"/>
      <c r="C58" s="257"/>
      <c r="D58" s="258" t="s">
        <v>96</v>
      </c>
      <c r="E58" s="259"/>
      <c r="F58" s="259"/>
      <c r="G58" s="259"/>
      <c r="H58" s="260"/>
    </row>
    <row r="59" spans="1:19" ht="15.75" customHeight="1">
      <c r="A59" s="129" t="s">
        <v>97</v>
      </c>
      <c r="B59" s="129"/>
      <c r="C59" s="129"/>
      <c r="D59" s="130" t="s">
        <v>98</v>
      </c>
      <c r="E59" s="130"/>
      <c r="F59" s="130"/>
      <c r="G59" s="130"/>
      <c r="H59" s="130"/>
    </row>
    <row r="60" spans="1:19" ht="15.75" hidden="1" customHeight="1">
      <c r="A60" s="129"/>
      <c r="B60" s="129"/>
      <c r="C60" s="129"/>
      <c r="D60" s="130" t="s">
        <v>99</v>
      </c>
      <c r="E60" s="130"/>
      <c r="F60" s="130"/>
      <c r="G60" s="130"/>
      <c r="H60" s="130"/>
    </row>
    <row r="61" spans="1:19" ht="15.75" customHeight="1">
      <c r="A61" s="129"/>
      <c r="B61" s="129"/>
      <c r="C61" s="129"/>
      <c r="D61" s="130" t="s">
        <v>99</v>
      </c>
      <c r="E61" s="130"/>
      <c r="F61" s="130"/>
      <c r="G61" s="130"/>
      <c r="H61" s="130"/>
    </row>
    <row r="62" spans="1:19" ht="17.25" customHeight="1">
      <c r="A62" s="129"/>
      <c r="B62" s="129"/>
      <c r="C62" s="129"/>
      <c r="D62" s="130" t="s">
        <v>100</v>
      </c>
      <c r="E62" s="130"/>
      <c r="F62" s="130"/>
      <c r="G62" s="130"/>
      <c r="H62" s="130"/>
    </row>
    <row r="63" spans="1:19" ht="15.75" customHeight="1">
      <c r="A63" s="120" t="s">
        <v>101</v>
      </c>
      <c r="B63" s="120"/>
      <c r="C63" s="120"/>
      <c r="D63" s="121" t="s">
        <v>234</v>
      </c>
      <c r="E63" s="121"/>
      <c r="F63" s="121"/>
      <c r="G63" s="121"/>
      <c r="H63" s="121"/>
      <c r="I63" s="49"/>
      <c r="J63" s="49"/>
      <c r="K63" s="48"/>
    </row>
    <row r="64" spans="1:19" s="105" customFormat="1" ht="15.75" customHeight="1">
      <c r="A64" s="248" t="s">
        <v>102</v>
      </c>
      <c r="B64" s="248"/>
      <c r="C64" s="248"/>
      <c r="D64" s="249" t="s">
        <v>292</v>
      </c>
      <c r="E64" s="249"/>
      <c r="F64" s="249"/>
      <c r="G64" s="249"/>
      <c r="H64" s="249"/>
      <c r="N64" s="106"/>
      <c r="S64"/>
    </row>
    <row r="65" spans="1:11" ht="15.75" customHeight="1">
      <c r="A65" s="120" t="s">
        <v>102</v>
      </c>
      <c r="B65" s="120"/>
      <c r="C65" s="120"/>
      <c r="D65" s="121" t="s">
        <v>282</v>
      </c>
      <c r="E65" s="121"/>
      <c r="F65" s="121"/>
      <c r="G65" s="121"/>
      <c r="H65" s="121"/>
      <c r="I65" s="50"/>
    </row>
    <row r="66" spans="1:11" ht="15.75" customHeight="1">
      <c r="A66" s="120" t="s">
        <v>103</v>
      </c>
      <c r="B66" s="120"/>
      <c r="C66" s="120"/>
      <c r="D66" s="121" t="s">
        <v>46</v>
      </c>
      <c r="E66" s="121"/>
      <c r="F66" s="121"/>
      <c r="G66" s="121"/>
      <c r="H66" s="121"/>
      <c r="J66" s="51"/>
      <c r="K66" s="51"/>
    </row>
    <row r="67" spans="1:11" ht="15.75" customHeight="1">
      <c r="A67" s="120" t="s">
        <v>104</v>
      </c>
      <c r="B67" s="120"/>
      <c r="C67" s="120"/>
      <c r="D67" s="129" t="str">
        <f>(IF(E74&gt;95%,"Nothing",IF(E74&gt;0%,"Cement, Aggregate, Steel, etc",IF(E74=0%,"Work not yet Started"))))</f>
        <v>Nothing</v>
      </c>
      <c r="E67" s="129"/>
      <c r="F67" s="129"/>
      <c r="G67" s="129"/>
      <c r="H67" s="129"/>
      <c r="J67" s="51"/>
      <c r="K67" s="51"/>
    </row>
    <row r="68" spans="1:11" ht="15.75" customHeight="1">
      <c r="A68" s="247" t="s">
        <v>105</v>
      </c>
      <c r="B68" s="247"/>
      <c r="C68" s="247" t="str">
        <f>D59</f>
        <v>Building No.1 - Wing A = St + 1st to 14th Floor</v>
      </c>
      <c r="D68" s="247"/>
      <c r="E68" s="247"/>
      <c r="F68" s="247"/>
      <c r="G68" s="247"/>
      <c r="H68" s="247"/>
      <c r="I68" s="52" t="str">
        <f ca="1">(IF(C74=0,"Work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Excavation work completed, Plinth work completed, RCC upto 15 Slab completed, Brickwork upto 14 Floor completed, Internal Plaster upto 14 Floor completed, External Plaster upto 14 Floor completed, Flooring upto 14 Floor completed, Painting upto 14 Floor completed, Finishing upto 14 Floor completed</v>
      </c>
      <c r="J68" s="52"/>
      <c r="K68" s="53"/>
    </row>
    <row r="69" spans="1:11">
      <c r="A69" s="238" t="s">
        <v>106</v>
      </c>
      <c r="B69" s="238"/>
      <c r="C69" s="239">
        <v>1</v>
      </c>
      <c r="D69" s="239"/>
      <c r="E69" s="109" t="s">
        <v>107</v>
      </c>
      <c r="F69" s="109">
        <v>0</v>
      </c>
      <c r="G69" s="110" t="s">
        <v>108</v>
      </c>
      <c r="H69" s="109">
        <f ca="1">--TRIM(RIGHT(SUBSTITUTE(LEFT(C68,_xlfn.AGGREGATE(16,6,FIND({0,1,2,3,4,5,6,7,8,9},C68,ROW(INDIRECT("1:"&amp;LEN(C68)))),1))," ",REPT(" ",LEN(C68))),LEN(C68)))</f>
        <v>14</v>
      </c>
      <c r="I69" s="51" t="s">
        <v>109</v>
      </c>
      <c r="J69" s="51"/>
      <c r="K69" s="72"/>
    </row>
    <row r="70" spans="1:11" ht="18.5" customHeight="1">
      <c r="A70" s="216" t="s">
        <v>110</v>
      </c>
      <c r="B70" s="216"/>
      <c r="C70" s="217" t="str">
        <f>I73</f>
        <v>All work Completed. OC Received.</v>
      </c>
      <c r="D70" s="217"/>
      <c r="E70" s="217"/>
      <c r="F70" s="217"/>
      <c r="G70" s="217"/>
      <c r="H70" s="217"/>
      <c r="I70" s="51" t="s">
        <v>111</v>
      </c>
      <c r="J70" s="51"/>
      <c r="K70" s="72"/>
    </row>
    <row r="71" spans="1:11">
      <c r="A71" s="223" t="s">
        <v>115</v>
      </c>
      <c r="B71" s="223"/>
      <c r="C71" s="224" t="str">
        <f>E74</f>
        <v>100%</v>
      </c>
      <c r="D71" s="225"/>
      <c r="E71" s="225" t="s">
        <v>116</v>
      </c>
      <c r="F71" s="225"/>
      <c r="G71" s="224">
        <f ca="1">G74</f>
        <v>1</v>
      </c>
      <c r="H71" s="225"/>
      <c r="I71" s="51"/>
      <c r="J71" s="51"/>
      <c r="K71" s="72"/>
    </row>
    <row r="72" spans="1:11">
      <c r="A72" s="223"/>
      <c r="B72" s="223"/>
      <c r="C72" s="225"/>
      <c r="D72" s="225"/>
      <c r="E72" s="225"/>
      <c r="F72" s="225"/>
      <c r="G72" s="225"/>
      <c r="H72" s="225"/>
      <c r="I72" s="51"/>
      <c r="J72" s="51"/>
      <c r="K72" s="72"/>
    </row>
    <row r="73" spans="1:11" ht="31" hidden="1">
      <c r="A73" s="228" t="s">
        <v>112</v>
      </c>
      <c r="B73" s="229"/>
      <c r="C73" s="55" t="s">
        <v>113</v>
      </c>
      <c r="D73" s="55" t="s">
        <v>114</v>
      </c>
      <c r="E73" s="229" t="s">
        <v>115</v>
      </c>
      <c r="F73" s="229"/>
      <c r="G73" s="229" t="s">
        <v>116</v>
      </c>
      <c r="H73" s="242"/>
      <c r="I73" s="51" t="s">
        <v>117</v>
      </c>
      <c r="K73" s="73"/>
    </row>
    <row r="74" spans="1:11" hidden="1">
      <c r="A74" s="228" t="s">
        <v>118</v>
      </c>
      <c r="B74" s="229"/>
      <c r="C74" s="56">
        <f ca="1">K77</f>
        <v>14</v>
      </c>
      <c r="D74" s="57">
        <f ca="1">((100/H69)*C74)/100</f>
        <v>1</v>
      </c>
      <c r="E74" s="243" t="str">
        <f>(IF(C70=I70,"100%",IF(C70=I73,"100%",(((C75/H69*10)+(40/(C69+F69+H69)*C76)+(7.5/(H69)*C77)+(7.5/(H69)*C78)+(10/H69*C79)+(10/H69*C80)+(5/H69*C81)+(5/H69*C82)+(5/H69*C83))/100))))</f>
        <v>100%</v>
      </c>
      <c r="F74" s="243"/>
      <c r="G74" s="243">
        <f ca="1">((((C74/H69)*20)+((C75/H69)*25)+(30/(H69+F69+C69)*C76)+(5/H69*C77)+(5/H69*C78)+(5/H69*C79)+(5/H69*C80)+(0/H69*C81)+(0/H69*C82)+(5/H69*C83))/100)</f>
        <v>1</v>
      </c>
      <c r="H74" s="245"/>
      <c r="I74" s="51"/>
      <c r="K74" s="73"/>
    </row>
    <row r="75" spans="1:11" hidden="1">
      <c r="A75" s="228" t="s">
        <v>119</v>
      </c>
      <c r="B75" s="229"/>
      <c r="C75" s="56">
        <f ca="1">K82</f>
        <v>14</v>
      </c>
      <c r="D75" s="57">
        <f ca="1">((100/H69)*C75)/100</f>
        <v>1</v>
      </c>
      <c r="E75" s="243"/>
      <c r="F75" s="243"/>
      <c r="G75" s="243"/>
      <c r="H75" s="245"/>
      <c r="K75" s="73"/>
    </row>
    <row r="76" spans="1:11" ht="15.75" hidden="1" customHeight="1">
      <c r="A76" s="230" t="s">
        <v>120</v>
      </c>
      <c r="B76" s="231"/>
      <c r="C76" s="58">
        <v>15</v>
      </c>
      <c r="D76" s="57">
        <f ca="1">((100/(C69+F69+H69))*C76)/100</f>
        <v>1</v>
      </c>
      <c r="E76" s="243"/>
      <c r="F76" s="243"/>
      <c r="G76" s="243"/>
      <c r="H76" s="245"/>
      <c r="I76" s="74" t="s">
        <v>121</v>
      </c>
      <c r="J76" s="75"/>
      <c r="K76" s="76">
        <f ca="1">H69*50%</f>
        <v>7</v>
      </c>
    </row>
    <row r="77" spans="1:11" ht="15.75" hidden="1" customHeight="1">
      <c r="A77" s="228" t="s">
        <v>122</v>
      </c>
      <c r="B77" s="229" t="s">
        <v>123</v>
      </c>
      <c r="C77" s="56">
        <v>14</v>
      </c>
      <c r="D77" s="57">
        <f ca="1">((100/H69)*C77)/100</f>
        <v>1</v>
      </c>
      <c r="E77" s="243"/>
      <c r="F77" s="243"/>
      <c r="G77" s="243"/>
      <c r="H77" s="245"/>
      <c r="I77" s="74" t="s">
        <v>124</v>
      </c>
      <c r="J77" s="75"/>
      <c r="K77" s="76">
        <f ca="1">H69</f>
        <v>14</v>
      </c>
    </row>
    <row r="78" spans="1:11" ht="15.75" hidden="1" customHeight="1">
      <c r="A78" s="228" t="s">
        <v>125</v>
      </c>
      <c r="B78" s="229" t="s">
        <v>123</v>
      </c>
      <c r="C78" s="56">
        <v>14</v>
      </c>
      <c r="D78" s="57">
        <f ca="1">((100/H69)*C78)/100</f>
        <v>1</v>
      </c>
      <c r="E78" s="243"/>
      <c r="F78" s="243"/>
      <c r="G78" s="243"/>
      <c r="H78" s="245"/>
      <c r="I78" s="74"/>
      <c r="J78" s="75"/>
      <c r="K78" s="76"/>
    </row>
    <row r="79" spans="1:11" ht="15" hidden="1" customHeight="1">
      <c r="A79" s="228" t="s">
        <v>126</v>
      </c>
      <c r="B79" s="229" t="s">
        <v>127</v>
      </c>
      <c r="C79" s="56">
        <v>14</v>
      </c>
      <c r="D79" s="57">
        <f ca="1">((100/(H69))*C79)/100</f>
        <v>1</v>
      </c>
      <c r="E79" s="243"/>
      <c r="F79" s="243"/>
      <c r="G79" s="243"/>
      <c r="H79" s="245"/>
      <c r="I79" s="74" t="s">
        <v>128</v>
      </c>
      <c r="J79" s="75"/>
      <c r="K79" s="76">
        <f ca="1">H69*25%</f>
        <v>3.5</v>
      </c>
    </row>
    <row r="80" spans="1:11" ht="15.75" hidden="1" customHeight="1">
      <c r="A80" s="228" t="s">
        <v>129</v>
      </c>
      <c r="B80" s="229" t="s">
        <v>129</v>
      </c>
      <c r="C80" s="56">
        <v>14</v>
      </c>
      <c r="D80" s="57">
        <f ca="1">((100/H69)*C80)/100</f>
        <v>1</v>
      </c>
      <c r="E80" s="243"/>
      <c r="F80" s="243"/>
      <c r="G80" s="243"/>
      <c r="H80" s="245"/>
      <c r="I80" s="74" t="s">
        <v>130</v>
      </c>
      <c r="J80" s="75"/>
      <c r="K80" s="76">
        <f ca="1">H69*50%</f>
        <v>7</v>
      </c>
    </row>
    <row r="81" spans="1:11" hidden="1">
      <c r="A81" s="228" t="s">
        <v>131</v>
      </c>
      <c r="B81" s="229"/>
      <c r="C81" s="56">
        <v>14</v>
      </c>
      <c r="D81" s="57">
        <f ca="1">((100/H69)*C81)/100</f>
        <v>1</v>
      </c>
      <c r="E81" s="243"/>
      <c r="F81" s="243"/>
      <c r="G81" s="243"/>
      <c r="H81" s="245"/>
      <c r="I81" s="74" t="s">
        <v>132</v>
      </c>
      <c r="J81" s="75"/>
      <c r="K81" s="76">
        <f ca="1">H69*75%</f>
        <v>10.5</v>
      </c>
    </row>
    <row r="82" spans="1:11" hidden="1">
      <c r="A82" s="228" t="s">
        <v>133</v>
      </c>
      <c r="B82" s="229" t="s">
        <v>133</v>
      </c>
      <c r="C82" s="56">
        <v>14</v>
      </c>
      <c r="D82" s="57">
        <f ca="1">((100/(H69))*C82)/100</f>
        <v>1</v>
      </c>
      <c r="E82" s="243"/>
      <c r="F82" s="243"/>
      <c r="G82" s="243"/>
      <c r="H82" s="245"/>
      <c r="I82" s="74" t="s">
        <v>134</v>
      </c>
      <c r="J82" s="75"/>
      <c r="K82" s="76">
        <f ca="1">H69</f>
        <v>14</v>
      </c>
    </row>
    <row r="83" spans="1:11" hidden="1">
      <c r="A83" s="226" t="s">
        <v>135</v>
      </c>
      <c r="B83" s="227"/>
      <c r="C83" s="59">
        <v>14</v>
      </c>
      <c r="D83" s="60">
        <f ca="1">((100/(H69))*C83)/100</f>
        <v>1</v>
      </c>
      <c r="E83" s="244"/>
      <c r="F83" s="244"/>
      <c r="G83" s="244"/>
      <c r="H83" s="246"/>
      <c r="I83" s="77"/>
      <c r="J83" s="77"/>
      <c r="K83" s="78"/>
    </row>
    <row r="84" spans="1:11" ht="15.75" hidden="1" customHeight="1">
      <c r="A84" s="232" t="s">
        <v>105</v>
      </c>
      <c r="B84" s="233"/>
      <c r="C84" s="234" t="str">
        <f>D60</f>
        <v>Building No.1 - Wing B &amp; C = St + 1st to 14th Floor</v>
      </c>
      <c r="D84" s="235"/>
      <c r="E84" s="235"/>
      <c r="F84" s="235"/>
      <c r="G84" s="235"/>
      <c r="H84" s="236"/>
      <c r="I84" s="52" t="str">
        <f ca="1">(IF(C88=0,"Work not yet Started.",IF(D88=50%,"Excavation work in process",IF(D88=100%,"Excavation work completed, ","0")))&amp;(IF(C89=0%,"",IF(D89=25%,"Footing work is process",IF(D89=50%,"Footing work Completed",IF(D89=75%,"Plinth work is process",IF(D89=100%,"Plinth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Excavation work completed, Plinth work completed, RCC upto 15 Slab completed, Brickwork upto 14 Floor completed, Internal Plaster upto 14 Floor completed, External Plaster upto 14 Floor completed, Flooring upto 14 Floor completed, Painting upto 13 Floor completed, Finishing upto 10 Floor completed</v>
      </c>
      <c r="J84" s="52"/>
      <c r="K84" s="53"/>
    </row>
    <row r="85" spans="1:11" hidden="1">
      <c r="A85" s="237" t="s">
        <v>106</v>
      </c>
      <c r="B85" s="238"/>
      <c r="C85" s="239">
        <v>1</v>
      </c>
      <c r="D85" s="239"/>
      <c r="E85" s="44" t="s">
        <v>107</v>
      </c>
      <c r="F85" s="44">
        <v>0</v>
      </c>
      <c r="G85" s="44" t="s">
        <v>108</v>
      </c>
      <c r="H85" s="54">
        <f ca="1">--TRIM(RIGHT(SUBSTITUTE(LEFT(C84,_xlfn.AGGREGATE(16,6,FIND({0,1,2,3,4,5,6,7,8,9},C84,ROW(INDIRECT("1:"&amp;LEN(C84)))),1))," ",REPT(" ",LEN(C84))),LEN(C84)))</f>
        <v>14</v>
      </c>
      <c r="I85" s="51" t="s">
        <v>109</v>
      </c>
      <c r="J85" s="51"/>
      <c r="K85" s="72"/>
    </row>
    <row r="86" spans="1:11" ht="81" hidden="1" customHeight="1">
      <c r="A86" s="240" t="s">
        <v>110</v>
      </c>
      <c r="B86" s="216"/>
      <c r="C86" s="217" t="str">
        <f ca="1">I84</f>
        <v>Excavation work completed, Plinth work completed, RCC upto 15 Slab completed, Brickwork upto 14 Floor completed, Internal Plaster upto 14 Floor completed, External Plaster upto 14 Floor completed, Flooring upto 14 Floor completed, Painting upto 13 Floor completed, Finishing upto 10 Floor completed</v>
      </c>
      <c r="D86" s="217"/>
      <c r="E86" s="217"/>
      <c r="F86" s="217"/>
      <c r="G86" s="217"/>
      <c r="H86" s="241"/>
      <c r="I86" s="51" t="s">
        <v>111</v>
      </c>
      <c r="J86" s="51"/>
      <c r="K86" s="72"/>
    </row>
    <row r="87" spans="1:11" ht="31" hidden="1">
      <c r="A87" s="228" t="s">
        <v>112</v>
      </c>
      <c r="B87" s="229"/>
      <c r="C87" s="55" t="s">
        <v>113</v>
      </c>
      <c r="D87" s="55" t="s">
        <v>114</v>
      </c>
      <c r="E87" s="229" t="s">
        <v>115</v>
      </c>
      <c r="F87" s="229"/>
      <c r="G87" s="229" t="s">
        <v>116</v>
      </c>
      <c r="H87" s="242"/>
      <c r="I87" s="51" t="s">
        <v>117</v>
      </c>
      <c r="K87" s="73"/>
    </row>
    <row r="88" spans="1:11" hidden="1">
      <c r="A88" s="228" t="s">
        <v>118</v>
      </c>
      <c r="B88" s="229"/>
      <c r="C88" s="56">
        <f ca="1">K91</f>
        <v>14</v>
      </c>
      <c r="D88" s="61">
        <f ca="1">((100/H85)*C88)/100</f>
        <v>1</v>
      </c>
      <c r="E88" s="131">
        <f ca="1">(IF(C86=I86,"100%",IF(C86=I87,"100%",(((C89/H85*10)+(40/(C85+F85+H85)*C90)+(7.5/(H85)*C91)+(7.5/(H85)*C92)+(10/H85*C93)+(10/H85*C94)+(5/H85*C95)+(5/H85*C96)+(5/H85*C97))/100))))</f>
        <v>0.93214285714285705</v>
      </c>
      <c r="F88" s="131"/>
      <c r="G88" s="131">
        <f ca="1">((((C88/H85)*20)+((C89/H85)*25)+(30/(H85+F85+C85)*C90)+(5/H85*C91)+(5/H85*C92)+(5/H85*C93)+(5/H85*C94)+(0/H85*C95)+(0/H85*C96)+(5/H85*C97))/100)</f>
        <v>0.95</v>
      </c>
      <c r="H88" s="133"/>
      <c r="I88" s="51"/>
      <c r="K88" s="73"/>
    </row>
    <row r="89" spans="1:11" hidden="1">
      <c r="A89" s="228" t="s">
        <v>119</v>
      </c>
      <c r="B89" s="229"/>
      <c r="C89" s="56">
        <f ca="1">K96</f>
        <v>14</v>
      </c>
      <c r="D89" s="61">
        <f ca="1">((100/H85)*C89)/100</f>
        <v>1</v>
      </c>
      <c r="E89" s="131"/>
      <c r="F89" s="131"/>
      <c r="G89" s="131"/>
      <c r="H89" s="133"/>
      <c r="K89" s="73"/>
    </row>
    <row r="90" spans="1:11" ht="15.75" hidden="1" customHeight="1">
      <c r="A90" s="230" t="s">
        <v>120</v>
      </c>
      <c r="B90" s="231"/>
      <c r="C90" s="58">
        <v>15</v>
      </c>
      <c r="D90" s="61">
        <f ca="1">((100/(C85+F85+H85))*C90)/100</f>
        <v>1</v>
      </c>
      <c r="E90" s="131"/>
      <c r="F90" s="131"/>
      <c r="G90" s="131"/>
      <c r="H90" s="133"/>
      <c r="I90" s="74" t="s">
        <v>121</v>
      </c>
      <c r="J90" s="75"/>
      <c r="K90" s="76">
        <f ca="1">H85*50%</f>
        <v>7</v>
      </c>
    </row>
    <row r="91" spans="1:11" ht="15.75" hidden="1" customHeight="1">
      <c r="A91" s="228" t="s">
        <v>122</v>
      </c>
      <c r="B91" s="229" t="s">
        <v>123</v>
      </c>
      <c r="C91" s="56">
        <v>14</v>
      </c>
      <c r="D91" s="61">
        <f ca="1">((100/H85)*C91)/100</f>
        <v>1</v>
      </c>
      <c r="E91" s="131"/>
      <c r="F91" s="131"/>
      <c r="G91" s="131"/>
      <c r="H91" s="133"/>
      <c r="I91" s="74" t="s">
        <v>124</v>
      </c>
      <c r="J91" s="75"/>
      <c r="K91" s="76">
        <f ca="1">H85</f>
        <v>14</v>
      </c>
    </row>
    <row r="92" spans="1:11" ht="15.75" hidden="1" customHeight="1">
      <c r="A92" s="228" t="s">
        <v>125</v>
      </c>
      <c r="B92" s="229" t="s">
        <v>123</v>
      </c>
      <c r="C92" s="56">
        <v>14</v>
      </c>
      <c r="D92" s="61">
        <f ca="1">((100/H85)*C92)/100</f>
        <v>1</v>
      </c>
      <c r="E92" s="131"/>
      <c r="F92" s="131"/>
      <c r="G92" s="131"/>
      <c r="H92" s="133"/>
      <c r="I92" s="74"/>
      <c r="J92" s="75"/>
      <c r="K92" s="76"/>
    </row>
    <row r="93" spans="1:11" ht="15" hidden="1" customHeight="1">
      <c r="A93" s="228" t="s">
        <v>126</v>
      </c>
      <c r="B93" s="229" t="s">
        <v>127</v>
      </c>
      <c r="C93" s="56">
        <v>14</v>
      </c>
      <c r="D93" s="61">
        <f ca="1">((100/(H85))*C93)/100</f>
        <v>1</v>
      </c>
      <c r="E93" s="131"/>
      <c r="F93" s="131"/>
      <c r="G93" s="131"/>
      <c r="H93" s="133"/>
      <c r="I93" s="74" t="s">
        <v>128</v>
      </c>
      <c r="J93" s="75"/>
      <c r="K93" s="76">
        <f ca="1">H85*25%</f>
        <v>3.5</v>
      </c>
    </row>
    <row r="94" spans="1:11" ht="15.75" hidden="1" customHeight="1">
      <c r="A94" s="228" t="s">
        <v>129</v>
      </c>
      <c r="B94" s="229" t="s">
        <v>129</v>
      </c>
      <c r="C94" s="56">
        <v>14</v>
      </c>
      <c r="D94" s="61">
        <f ca="1">((100/H85)*C94)/100</f>
        <v>1</v>
      </c>
      <c r="E94" s="131"/>
      <c r="F94" s="131"/>
      <c r="G94" s="131"/>
      <c r="H94" s="133"/>
      <c r="I94" s="74" t="s">
        <v>130</v>
      </c>
      <c r="J94" s="75"/>
      <c r="K94" s="76">
        <f ca="1">H85*50%</f>
        <v>7</v>
      </c>
    </row>
    <row r="95" spans="1:11" ht="15.75" hidden="1" customHeight="1">
      <c r="A95" s="228" t="s">
        <v>131</v>
      </c>
      <c r="B95" s="229"/>
      <c r="C95" s="56">
        <v>13</v>
      </c>
      <c r="D95" s="61">
        <f ca="1">((100/H85)*C95)/100</f>
        <v>0.9285714285714286</v>
      </c>
      <c r="E95" s="131"/>
      <c r="F95" s="131"/>
      <c r="G95" s="131"/>
      <c r="H95" s="133"/>
      <c r="I95" s="74" t="s">
        <v>132</v>
      </c>
      <c r="J95" s="75"/>
      <c r="K95" s="76">
        <f ca="1">H85*75%</f>
        <v>10.5</v>
      </c>
    </row>
    <row r="96" spans="1:11" ht="15.75" hidden="1" customHeight="1">
      <c r="A96" s="228" t="s">
        <v>133</v>
      </c>
      <c r="B96" s="229" t="s">
        <v>133</v>
      </c>
      <c r="C96" s="56">
        <v>10</v>
      </c>
      <c r="D96" s="61">
        <f ca="1">((100/(H85))*C96)/100</f>
        <v>0.7142857142857143</v>
      </c>
      <c r="E96" s="131"/>
      <c r="F96" s="131"/>
      <c r="G96" s="131"/>
      <c r="H96" s="133"/>
      <c r="I96" s="74" t="s">
        <v>134</v>
      </c>
      <c r="J96" s="75"/>
      <c r="K96" s="76">
        <f ca="1">H85</f>
        <v>14</v>
      </c>
    </row>
    <row r="97" spans="1:11" hidden="1">
      <c r="A97" s="226" t="s">
        <v>135</v>
      </c>
      <c r="B97" s="227"/>
      <c r="C97" s="59">
        <v>0</v>
      </c>
      <c r="D97" s="62">
        <f ca="1">((100/(H85))*C97)/100</f>
        <v>0</v>
      </c>
      <c r="E97" s="132"/>
      <c r="F97" s="132"/>
      <c r="G97" s="132"/>
      <c r="H97" s="134"/>
      <c r="I97" s="77"/>
      <c r="J97" s="77"/>
      <c r="K97" s="78"/>
    </row>
    <row r="98" spans="1:11" ht="15.75" customHeight="1">
      <c r="A98" s="145" t="s">
        <v>105</v>
      </c>
      <c r="B98" s="146"/>
      <c r="C98" s="147" t="str">
        <f>D61</f>
        <v>Building No.1 - Wing B &amp; C = St + 1st to 14th Floor</v>
      </c>
      <c r="D98" s="148"/>
      <c r="E98" s="148"/>
      <c r="F98" s="148"/>
      <c r="G98" s="148"/>
      <c r="H98" s="149"/>
      <c r="I98" s="79" t="str">
        <f ca="1">(IF(E104&gt;99%,"All work completed. Please provide OC.",IF(E104&gt;89.8%,"Plinth, RCC, Brick, Plaster, Flooring, Painting work Completed. Finishing work is in process.",IF(E104&lt;94%,(IF(C104=0,"Work not yet Started.",IF(D104=25%,"Piling work in process",IF(D104=50%,"Excavation work in process",IF(D104=100%,"Excavation work Completed. ","0")))&amp;(IF(C105=0%,"",IF(C105=J106,"Footing work is process",IF(C105=J107,"Footing work Completed",IF(C105=J108,"1st Basement Completed",IF(C105=J109,"1st &amp; 2nd Basement Completed",IF(C105=J110,"1st to 3rd Basement Completed",IF(C105=J111,"1st to 4th Basement Completed",IF(C105=J112,"Plinth work is process",IF(C105=J113,"Plinth work completed","0")))))))))))&amp;(IF(C106=(D99+F99+H99),", RCC Slab",IF(C106&gt;0,", RCC upto "&amp;C106&amp;" Slab",""))&amp;(IF(C107=H99,", Brickwork",IF(C107&gt;0,", Brickwork upto "&amp;C107&amp;" Floor",""))&amp;(IF(C108=H99,", Internal Plaster",IF(C108&gt;0,", Internal Plaster upto "&amp;C108&amp;" Floor",""))&amp;(IF(C109=H99,", External Plaster",IF(C109&gt;0,", External Plaster upto "&amp;C109&amp;" Floor",""))&amp;(IF(C110=H99,", Flooring",IF(C110&gt;0,", Flooring upto "&amp;C110&amp;" Floor",""))&amp;(IF(C111=H99,", Painting",IF(C111&gt;0,", Painting upto "&amp;C111&amp;" Floor",""))&amp;(IF(C112&gt;0,", Finishing upto "&amp;C112&amp;" Floor","")&amp;(IF(C106&gt;0.5," Completed",""))))))))))))))</f>
        <v>All work completed. Please provide OC.</v>
      </c>
      <c r="J98" s="80"/>
      <c r="K98" s="53"/>
    </row>
    <row r="99" spans="1:11">
      <c r="A99" s="63" t="s">
        <v>136</v>
      </c>
      <c r="B99" s="64">
        <v>0</v>
      </c>
      <c r="C99" s="64" t="s">
        <v>106</v>
      </c>
      <c r="D99" s="64">
        <v>1</v>
      </c>
      <c r="E99" s="64" t="s">
        <v>107</v>
      </c>
      <c r="F99" s="64">
        <v>0</v>
      </c>
      <c r="G99" s="64" t="s">
        <v>108</v>
      </c>
      <c r="H99" s="65">
        <f ca="1">--TRIM(RIGHT(SUBSTITUTE(LEFT(C98,_xlfn.AGGREGATE(16,6,FIND({0,1,2,3,4,5,6,7,8,9},C98,ROW(INDIRECT("1:"&amp;LEN(C98)))),1))," ",REPT(" ",LEN(C98))),LEN(C98)))</f>
        <v>14</v>
      </c>
      <c r="I99" s="81"/>
      <c r="J99" s="82"/>
      <c r="K99" s="72"/>
    </row>
    <row r="100" spans="1:11" ht="19" customHeight="1">
      <c r="A100" s="150" t="s">
        <v>110</v>
      </c>
      <c r="B100" s="151"/>
      <c r="C100" s="152" t="str">
        <f>I100</f>
        <v>All work Completed. OC Received.</v>
      </c>
      <c r="D100" s="152"/>
      <c r="E100" s="152"/>
      <c r="F100" s="152"/>
      <c r="G100" s="152"/>
      <c r="H100" s="153"/>
      <c r="I100" s="81" t="s">
        <v>117</v>
      </c>
      <c r="J100" s="82"/>
      <c r="K100" s="72"/>
    </row>
    <row r="101" spans="1:11">
      <c r="A101" s="223" t="s">
        <v>115</v>
      </c>
      <c r="B101" s="223"/>
      <c r="C101" s="224">
        <f ca="1">E104</f>
        <v>1</v>
      </c>
      <c r="D101" s="225"/>
      <c r="E101" s="225" t="s">
        <v>116</v>
      </c>
      <c r="F101" s="225"/>
      <c r="G101" s="224">
        <f ca="1">G104</f>
        <v>1</v>
      </c>
      <c r="H101" s="225"/>
      <c r="I101" s="51"/>
      <c r="J101" s="51"/>
      <c r="K101" s="72"/>
    </row>
    <row r="102" spans="1:11">
      <c r="A102" s="223"/>
      <c r="B102" s="223"/>
      <c r="C102" s="225"/>
      <c r="D102" s="225"/>
      <c r="E102" s="225"/>
      <c r="F102" s="225"/>
      <c r="G102" s="225"/>
      <c r="H102" s="225"/>
      <c r="I102" s="51"/>
      <c r="J102" s="51"/>
      <c r="K102" s="72"/>
    </row>
    <row r="103" spans="1:11" ht="31" hidden="1">
      <c r="A103" s="141" t="s">
        <v>112</v>
      </c>
      <c r="B103" s="142"/>
      <c r="C103" s="66" t="s">
        <v>113</v>
      </c>
      <c r="D103" s="66" t="s">
        <v>114</v>
      </c>
      <c r="E103" s="142" t="s">
        <v>115</v>
      </c>
      <c r="F103" s="142"/>
      <c r="G103" s="142" t="s">
        <v>116</v>
      </c>
      <c r="H103" s="222"/>
      <c r="I103" s="83" t="s">
        <v>137</v>
      </c>
      <c r="J103" s="84">
        <f ca="1">H99*25%</f>
        <v>3.5</v>
      </c>
      <c r="K103" s="73"/>
    </row>
    <row r="104" spans="1:11" hidden="1">
      <c r="A104" s="141" t="s">
        <v>118</v>
      </c>
      <c r="B104" s="142"/>
      <c r="C104" s="67">
        <f ca="1">J105</f>
        <v>14</v>
      </c>
      <c r="D104" s="68">
        <f ca="1">((100/H99)*C104)/100</f>
        <v>1</v>
      </c>
      <c r="E104" s="135">
        <f ca="1">(((C105/H99*10)+(40/(D99+F99+H99)*C106)+(7.5/(H99)*C107)+(7.5/(H99)*C108)+(10/H99*C109)+(10/H99*C110)+(5/H99*C111)+(5/H99*C112)+(5/H99*C113))/100)</f>
        <v>1</v>
      </c>
      <c r="F104" s="135"/>
      <c r="G104" s="135">
        <f ca="1">((((C104/H99)*20)+((C105/H99)*25)+(30/(H99+F99+D99)*C106)+(5/H99*C107)+(5/H99*C108)+(5/H99*C109)+(5/H99*C110)+(0/H99*C111)+(0/H99*C112)+(5/H99*C113))/100)</f>
        <v>1</v>
      </c>
      <c r="H104" s="137"/>
      <c r="I104" s="83" t="s">
        <v>121</v>
      </c>
      <c r="J104" s="85">
        <f ca="1">H99*50%</f>
        <v>7</v>
      </c>
      <c r="K104" s="73"/>
    </row>
    <row r="105" spans="1:11" hidden="1">
      <c r="A105" s="141" t="s">
        <v>119</v>
      </c>
      <c r="B105" s="142"/>
      <c r="C105" s="69">
        <f ca="1">J113</f>
        <v>14</v>
      </c>
      <c r="D105" s="68">
        <f ca="1">((100/H99)*C105)/100</f>
        <v>1</v>
      </c>
      <c r="E105" s="135"/>
      <c r="F105" s="135"/>
      <c r="G105" s="135"/>
      <c r="H105" s="137"/>
      <c r="I105" s="83" t="s">
        <v>124</v>
      </c>
      <c r="J105" s="85">
        <f ca="1">H99</f>
        <v>14</v>
      </c>
      <c r="K105" s="73"/>
    </row>
    <row r="106" spans="1:11" ht="15.75" hidden="1" customHeight="1">
      <c r="A106" s="139" t="s">
        <v>120</v>
      </c>
      <c r="B106" s="140"/>
      <c r="C106" s="69">
        <f ca="1">D99+H99</f>
        <v>15</v>
      </c>
      <c r="D106" s="68">
        <f ca="1">((100/(D99+F99+H99))*C106)/100</f>
        <v>1</v>
      </c>
      <c r="E106" s="135"/>
      <c r="F106" s="135"/>
      <c r="G106" s="135"/>
      <c r="H106" s="137"/>
      <c r="I106" s="83" t="s">
        <v>128</v>
      </c>
      <c r="J106" s="86">
        <f ca="1">(IF(B99&gt;1,(H99/(B99+2)),H99/4))</f>
        <v>3.5</v>
      </c>
      <c r="K106" s="76">
        <f ca="1">H99*50%</f>
        <v>7</v>
      </c>
    </row>
    <row r="107" spans="1:11" ht="15.75" hidden="1" customHeight="1">
      <c r="A107" s="141" t="s">
        <v>122</v>
      </c>
      <c r="B107" s="142" t="s">
        <v>123</v>
      </c>
      <c r="C107" s="67">
        <v>14</v>
      </c>
      <c r="D107" s="68">
        <f ca="1">((100/H99)*C107)/100</f>
        <v>1</v>
      </c>
      <c r="E107" s="135"/>
      <c r="F107" s="135"/>
      <c r="G107" s="135"/>
      <c r="H107" s="137"/>
      <c r="I107" s="83" t="s">
        <v>130</v>
      </c>
      <c r="J107" s="86">
        <f ca="1">(IF(B99&gt;1,(H99/(B99+2)+J106),H99/4+J106))</f>
        <v>7</v>
      </c>
      <c r="K107" s="76">
        <f ca="1">H99</f>
        <v>14</v>
      </c>
    </row>
    <row r="108" spans="1:11" ht="15.75" hidden="1" customHeight="1">
      <c r="A108" s="141" t="s">
        <v>125</v>
      </c>
      <c r="B108" s="142" t="s">
        <v>123</v>
      </c>
      <c r="C108" s="67">
        <v>14</v>
      </c>
      <c r="D108" s="68">
        <f ca="1">((100/H99)*C108)/100</f>
        <v>1</v>
      </c>
      <c r="E108" s="135"/>
      <c r="F108" s="135"/>
      <c r="G108" s="135"/>
      <c r="H108" s="137"/>
      <c r="I108" s="83" t="s">
        <v>138</v>
      </c>
      <c r="J108" s="86">
        <f>(IF(B99&gt;1,(H99/(B99+2)+J107),0))</f>
        <v>0</v>
      </c>
      <c r="K108" s="76"/>
    </row>
    <row r="109" spans="1:11" ht="15" hidden="1" customHeight="1">
      <c r="A109" s="141" t="s">
        <v>126</v>
      </c>
      <c r="B109" s="142" t="s">
        <v>127</v>
      </c>
      <c r="C109" s="67">
        <v>14</v>
      </c>
      <c r="D109" s="68">
        <f ca="1">((100/(H99))*C109)/100</f>
        <v>1</v>
      </c>
      <c r="E109" s="135"/>
      <c r="F109" s="135"/>
      <c r="G109" s="135"/>
      <c r="H109" s="137"/>
      <c r="I109" s="83" t="s">
        <v>139</v>
      </c>
      <c r="J109" s="86">
        <f>(IF(B99&gt;2,(H99/(B99+2)+J108),0))</f>
        <v>0</v>
      </c>
      <c r="K109" s="76">
        <f ca="1">H99*25%</f>
        <v>3.5</v>
      </c>
    </row>
    <row r="110" spans="1:11" ht="15.75" hidden="1" customHeight="1">
      <c r="A110" s="141" t="s">
        <v>129</v>
      </c>
      <c r="B110" s="142" t="s">
        <v>129</v>
      </c>
      <c r="C110" s="67">
        <v>14</v>
      </c>
      <c r="D110" s="68">
        <f ca="1">((100/H99)*C110)/100</f>
        <v>1</v>
      </c>
      <c r="E110" s="135"/>
      <c r="F110" s="135"/>
      <c r="G110" s="135"/>
      <c r="H110" s="137"/>
      <c r="I110" s="83" t="s">
        <v>140</v>
      </c>
      <c r="J110" s="87">
        <f>(IF(B99&gt;3,(H99/(B99+2)+J109),0))</f>
        <v>0</v>
      </c>
      <c r="K110" s="76">
        <f ca="1">H99*50%</f>
        <v>7</v>
      </c>
    </row>
    <row r="111" spans="1:11" ht="15.75" hidden="1" customHeight="1">
      <c r="A111" s="141" t="s">
        <v>131</v>
      </c>
      <c r="B111" s="142"/>
      <c r="C111" s="67">
        <v>14</v>
      </c>
      <c r="D111" s="68">
        <f ca="1">((100/H99)*C111)/100</f>
        <v>1</v>
      </c>
      <c r="E111" s="135"/>
      <c r="F111" s="135"/>
      <c r="G111" s="135"/>
      <c r="H111" s="137"/>
      <c r="I111" s="83" t="s">
        <v>141</v>
      </c>
      <c r="J111" s="86">
        <f>(IF(B99&gt;4,(H99/(B99+2)+J110),0))</f>
        <v>0</v>
      </c>
      <c r="K111" s="76">
        <f ca="1">H99*75%</f>
        <v>10.5</v>
      </c>
    </row>
    <row r="112" spans="1:11" ht="15.75" hidden="1" customHeight="1">
      <c r="A112" s="141" t="s">
        <v>133</v>
      </c>
      <c r="B112" s="142" t="s">
        <v>133</v>
      </c>
      <c r="C112" s="67">
        <v>14</v>
      </c>
      <c r="D112" s="68">
        <f ca="1">((100/(H99))*C112)/100</f>
        <v>1</v>
      </c>
      <c r="E112" s="135"/>
      <c r="F112" s="135"/>
      <c r="G112" s="135"/>
      <c r="H112" s="137"/>
      <c r="I112" s="83" t="s">
        <v>132</v>
      </c>
      <c r="J112" s="86">
        <f ca="1">(IF(B99=1,(H99/(B99+3)+J107),IF(B99=0,(H99/4+J107),IF(B99&gt;1,0))))</f>
        <v>10.5</v>
      </c>
      <c r="K112" s="76">
        <f ca="1">H99</f>
        <v>14</v>
      </c>
    </row>
    <row r="113" spans="1:11" hidden="1">
      <c r="A113" s="143" t="s">
        <v>135</v>
      </c>
      <c r="B113" s="144"/>
      <c r="C113" s="70">
        <v>14</v>
      </c>
      <c r="D113" s="71">
        <f ca="1">((100/(H99))*C113)/100</f>
        <v>1</v>
      </c>
      <c r="E113" s="136"/>
      <c r="F113" s="136"/>
      <c r="G113" s="136"/>
      <c r="H113" s="138"/>
      <c r="I113" s="88" t="s">
        <v>134</v>
      </c>
      <c r="J113" s="89">
        <f ca="1">(IF(B99&gt;1.5,(H99/(B99+2)+J107+MAX(0,J108-J107)+MAX(0,J109-J108)+MAX(0,J110-J109)+MAX(0,J111-J110)+MAX(0,J112-J111)),IF(B99=1,(H99/(B99+3)+J112),IF(B99=0,H99/4+J112))))</f>
        <v>14</v>
      </c>
      <c r="K113" s="78"/>
    </row>
    <row r="114" spans="1:11" ht="15.75" customHeight="1">
      <c r="A114" s="145" t="s">
        <v>105</v>
      </c>
      <c r="B114" s="146"/>
      <c r="C114" s="147" t="str">
        <f>D62</f>
        <v>Building No.3 (MHADA) - Wing H = St + 1st to 7th Floor</v>
      </c>
      <c r="D114" s="148"/>
      <c r="E114" s="148"/>
      <c r="F114" s="148"/>
      <c r="G114" s="148"/>
      <c r="H114" s="149"/>
      <c r="I114" s="79" t="str">
        <f ca="1">(IF(E120&gt;99%,"All work completed. Please provide OC.",IF(E120&gt;89.8%,"Plinth, RCC, Brick, Plaster, Flooring, Painting work Completed. Finishing work is in process.",IF(E120&lt;94%,(IF(C120=0,"Work not yet Started.",IF(D120=25%,"Piling work in process",IF(D120=50%,"Excavation work in process",IF(D120=100%,"Excavation work Completed. ","0")))&amp;(IF(C121=0%,"",IF(C121=J122,"Footing work is process",IF(C121=J123,"Footing work Completed",IF(C121=J124,"1st Basement Completed",IF(C121=J125,"1st &amp; 2nd Basement Completed",IF(C121=J126,"1st to 3rd Basement Completed",IF(C121=J127,"1st to 4th Basement Completed",IF(C121=J128,"Plinth work is process",IF(C121=J129,"Plinth work completed","0")))))))))))&amp;(IF(C122=(D115+F115+H115),", RCC Slab",IF(C122&gt;0,", RCC upto "&amp;C122&amp;" Slab",""))&amp;(IF(C123=H115,", Brickwork",IF(C123&gt;0,", Brickwork upto "&amp;C123&amp;" Floor",""))&amp;(IF(C124=H115,", Internal Plaster",IF(C124&gt;0,", Internal Plaster upto "&amp;C124&amp;" Floor",""))&amp;(IF(C125=H115,", External Plaster",IF(C125&gt;0,", External Plaster upto "&amp;C125&amp;" Floor",""))&amp;(IF(C126=H115,", Flooring",IF(C126&gt;0,", Flooring upto "&amp;C126&amp;" Floor",""))&amp;(IF(C127=H115,", Painting",IF(C127&gt;0,", Painting upto "&amp;C127&amp;" Floor",""))&amp;(IF(C128&gt;0,", Finishing upto "&amp;C128&amp;" Floor","")&amp;(IF(C122&gt;0.5," Completed",""))))))))))))))</f>
        <v>All work completed. Please provide OC.</v>
      </c>
      <c r="J114" s="80"/>
      <c r="K114" s="53"/>
    </row>
    <row r="115" spans="1:11">
      <c r="A115" s="63" t="s">
        <v>136</v>
      </c>
      <c r="B115" s="64">
        <v>0</v>
      </c>
      <c r="C115" s="64" t="s">
        <v>106</v>
      </c>
      <c r="D115" s="64">
        <v>1</v>
      </c>
      <c r="E115" s="64" t="s">
        <v>107</v>
      </c>
      <c r="F115" s="64">
        <v>0</v>
      </c>
      <c r="G115" s="64" t="s">
        <v>108</v>
      </c>
      <c r="H115" s="65">
        <f ca="1">--TRIM(RIGHT(SUBSTITUTE(LEFT(C114,_xlfn.AGGREGATE(16,6,FIND({0,1,2,3,4,5,6,7,8,9},C114,ROW(INDIRECT("1:"&amp;LEN(C114)))),1))," ",REPT(" ",LEN(C114))),LEN(C114)))</f>
        <v>7</v>
      </c>
      <c r="I115" s="81"/>
      <c r="J115" s="82"/>
      <c r="K115" s="72"/>
    </row>
    <row r="116" spans="1:11" ht="20" customHeight="1">
      <c r="A116" s="150" t="s">
        <v>110</v>
      </c>
      <c r="B116" s="151"/>
      <c r="C116" s="152" t="str">
        <f>I116</f>
        <v>All work Completed. OC Received.</v>
      </c>
      <c r="D116" s="152"/>
      <c r="E116" s="152"/>
      <c r="F116" s="152"/>
      <c r="G116" s="152"/>
      <c r="H116" s="153"/>
      <c r="I116" s="81" t="s">
        <v>117</v>
      </c>
      <c r="J116" s="82"/>
      <c r="K116" s="72"/>
    </row>
    <row r="117" spans="1:11">
      <c r="A117" s="223" t="s">
        <v>115</v>
      </c>
      <c r="B117" s="223"/>
      <c r="C117" s="224">
        <f ca="1">E120</f>
        <v>1</v>
      </c>
      <c r="D117" s="225"/>
      <c r="E117" s="225" t="s">
        <v>116</v>
      </c>
      <c r="F117" s="225"/>
      <c r="G117" s="224">
        <f ca="1">G120</f>
        <v>1</v>
      </c>
      <c r="H117" s="225"/>
      <c r="I117" s="51"/>
      <c r="J117" s="51"/>
      <c r="K117" s="72"/>
    </row>
    <row r="118" spans="1:11">
      <c r="A118" s="223"/>
      <c r="B118" s="223"/>
      <c r="C118" s="225"/>
      <c r="D118" s="225"/>
      <c r="E118" s="225"/>
      <c r="F118" s="225"/>
      <c r="G118" s="225"/>
      <c r="H118" s="225"/>
      <c r="I118" s="51"/>
      <c r="J118" s="51"/>
      <c r="K118" s="72"/>
    </row>
    <row r="119" spans="1:11" ht="31" hidden="1">
      <c r="A119" s="141" t="s">
        <v>112</v>
      </c>
      <c r="B119" s="142"/>
      <c r="C119" s="66" t="s">
        <v>113</v>
      </c>
      <c r="D119" s="66" t="s">
        <v>114</v>
      </c>
      <c r="E119" s="142" t="s">
        <v>115</v>
      </c>
      <c r="F119" s="142"/>
      <c r="G119" s="142" t="s">
        <v>116</v>
      </c>
      <c r="H119" s="222"/>
      <c r="I119" s="83" t="s">
        <v>137</v>
      </c>
      <c r="J119" s="84">
        <f ca="1">H115*25%</f>
        <v>1.75</v>
      </c>
      <c r="K119" s="73"/>
    </row>
    <row r="120" spans="1:11" hidden="1">
      <c r="A120" s="141" t="s">
        <v>118</v>
      </c>
      <c r="B120" s="142"/>
      <c r="C120" s="69">
        <f ca="1">J129</f>
        <v>7</v>
      </c>
      <c r="D120" s="68">
        <f ca="1">((100/H115)*C120)/100</f>
        <v>1</v>
      </c>
      <c r="E120" s="135">
        <f ca="1">(((C121/H115*10)+(40/(D115+F115+H115)*C122)+(7.5/(H115)*C123)+(7.5/(H115)*C124)+(10/H115*C125)+(10/H115*C126)+(5/H115*C127)+(5/H115*C128)+(5/H115*C129))/100)</f>
        <v>1</v>
      </c>
      <c r="F120" s="135"/>
      <c r="G120" s="135">
        <f ca="1">((((C120/H115)*20)+((C121/H115)*25)+(30/(H115+F115+D115)*C122)+(5/H115*C123)+(5/H115*C124)+(5/H115*C125)+(5/H115*C126)+(0/H115*C127)+(0/H115*C128)+(5/H115*C129))/100)</f>
        <v>1</v>
      </c>
      <c r="H120" s="137"/>
      <c r="I120" s="83" t="s">
        <v>121</v>
      </c>
      <c r="J120" s="85">
        <f ca="1">H115*50%</f>
        <v>3.5</v>
      </c>
      <c r="K120" s="73"/>
    </row>
    <row r="121" spans="1:11" hidden="1">
      <c r="A121" s="141" t="s">
        <v>119</v>
      </c>
      <c r="B121" s="142"/>
      <c r="C121" s="69">
        <v>7</v>
      </c>
      <c r="D121" s="68">
        <f ca="1">((100/H115)*C121)/100</f>
        <v>1</v>
      </c>
      <c r="E121" s="135"/>
      <c r="F121" s="135"/>
      <c r="G121" s="135"/>
      <c r="H121" s="137"/>
      <c r="I121" s="83" t="s">
        <v>124</v>
      </c>
      <c r="J121" s="85">
        <f ca="1">H115</f>
        <v>7</v>
      </c>
      <c r="K121" s="73"/>
    </row>
    <row r="122" spans="1:11" ht="15.75" hidden="1" customHeight="1">
      <c r="A122" s="139" t="s">
        <v>120</v>
      </c>
      <c r="B122" s="140"/>
      <c r="C122" s="69">
        <v>8</v>
      </c>
      <c r="D122" s="68">
        <f ca="1">((100/(D115+F115+H115))*C122)/100</f>
        <v>1</v>
      </c>
      <c r="E122" s="135"/>
      <c r="F122" s="135"/>
      <c r="G122" s="135"/>
      <c r="H122" s="137"/>
      <c r="I122" s="83" t="s">
        <v>128</v>
      </c>
      <c r="J122" s="86">
        <f ca="1">(IF(B115&gt;1,(H115/(B115+2)),H115/4))</f>
        <v>1.75</v>
      </c>
      <c r="K122" s="76">
        <f ca="1">H115*50%</f>
        <v>3.5</v>
      </c>
    </row>
    <row r="123" spans="1:11" ht="15.75" hidden="1" customHeight="1">
      <c r="A123" s="141" t="s">
        <v>122</v>
      </c>
      <c r="B123" s="142" t="s">
        <v>123</v>
      </c>
      <c r="C123" s="69">
        <v>7</v>
      </c>
      <c r="D123" s="68">
        <f ca="1">((100/H115)*C123)/100</f>
        <v>1</v>
      </c>
      <c r="E123" s="135"/>
      <c r="F123" s="135"/>
      <c r="G123" s="135"/>
      <c r="H123" s="137"/>
      <c r="I123" s="83" t="s">
        <v>130</v>
      </c>
      <c r="J123" s="86">
        <f ca="1">(IF(B115&gt;1,(H115/(B115+2)+J122),H115/4+J122))</f>
        <v>3.5</v>
      </c>
      <c r="K123" s="76">
        <f ca="1">H115</f>
        <v>7</v>
      </c>
    </row>
    <row r="124" spans="1:11" ht="15.75" hidden="1" customHeight="1">
      <c r="A124" s="141" t="s">
        <v>125</v>
      </c>
      <c r="B124" s="142" t="s">
        <v>123</v>
      </c>
      <c r="C124" s="69">
        <v>7</v>
      </c>
      <c r="D124" s="68">
        <f ca="1">((100/H115)*C124)/100</f>
        <v>1</v>
      </c>
      <c r="E124" s="135"/>
      <c r="F124" s="135"/>
      <c r="G124" s="135"/>
      <c r="H124" s="137"/>
      <c r="I124" s="83" t="s">
        <v>138</v>
      </c>
      <c r="J124" s="86">
        <f>(IF(B115&gt;1,(H115/(B115+2)+J123),0))</f>
        <v>0</v>
      </c>
      <c r="K124" s="76"/>
    </row>
    <row r="125" spans="1:11" ht="15" hidden="1" customHeight="1">
      <c r="A125" s="141" t="s">
        <v>126</v>
      </c>
      <c r="B125" s="142" t="s">
        <v>127</v>
      </c>
      <c r="C125" s="69">
        <v>7</v>
      </c>
      <c r="D125" s="68">
        <f ca="1">((100/(H115))*C125)/100</f>
        <v>1</v>
      </c>
      <c r="E125" s="135"/>
      <c r="F125" s="135"/>
      <c r="G125" s="135"/>
      <c r="H125" s="137"/>
      <c r="I125" s="83" t="s">
        <v>139</v>
      </c>
      <c r="J125" s="86">
        <f>(IF(B115&gt;2,(H115/(B115+2)+J124),0))</f>
        <v>0</v>
      </c>
      <c r="K125" s="76">
        <f ca="1">H115*25%</f>
        <v>1.75</v>
      </c>
    </row>
    <row r="126" spans="1:11" ht="15.75" hidden="1" customHeight="1">
      <c r="A126" s="141" t="s">
        <v>129</v>
      </c>
      <c r="B126" s="142" t="s">
        <v>129</v>
      </c>
      <c r="C126" s="69">
        <v>7</v>
      </c>
      <c r="D126" s="68">
        <f ca="1">((100/H115)*C126)/100</f>
        <v>1</v>
      </c>
      <c r="E126" s="135"/>
      <c r="F126" s="135"/>
      <c r="G126" s="135"/>
      <c r="H126" s="137"/>
      <c r="I126" s="83" t="s">
        <v>140</v>
      </c>
      <c r="J126" s="87">
        <f>(IF(B115&gt;3,(H115/(B115+2)+J125),0))</f>
        <v>0</v>
      </c>
      <c r="K126" s="76">
        <f ca="1">H115*50%</f>
        <v>3.5</v>
      </c>
    </row>
    <row r="127" spans="1:11" ht="15.75" hidden="1" customHeight="1">
      <c r="A127" s="141" t="s">
        <v>131</v>
      </c>
      <c r="B127" s="142"/>
      <c r="C127" s="69">
        <v>7</v>
      </c>
      <c r="D127" s="68">
        <f ca="1">((100/H115)*C127)/100</f>
        <v>1</v>
      </c>
      <c r="E127" s="135"/>
      <c r="F127" s="135"/>
      <c r="G127" s="135"/>
      <c r="H127" s="137"/>
      <c r="I127" s="83" t="s">
        <v>141</v>
      </c>
      <c r="J127" s="86">
        <f>(IF(B115&gt;4,(H115/(B115+2)+J126),0))</f>
        <v>0</v>
      </c>
      <c r="K127" s="76">
        <f ca="1">H115*75%</f>
        <v>5.25</v>
      </c>
    </row>
    <row r="128" spans="1:11" ht="15.75" hidden="1" customHeight="1">
      <c r="A128" s="141" t="s">
        <v>133</v>
      </c>
      <c r="B128" s="142" t="s">
        <v>133</v>
      </c>
      <c r="C128" s="69">
        <v>7</v>
      </c>
      <c r="D128" s="68">
        <f ca="1">((100/(H115))*C128)/100</f>
        <v>1</v>
      </c>
      <c r="E128" s="135"/>
      <c r="F128" s="135"/>
      <c r="G128" s="135"/>
      <c r="H128" s="137"/>
      <c r="I128" s="83" t="s">
        <v>132</v>
      </c>
      <c r="J128" s="86">
        <f ca="1">(IF(B115=1,(H115/(B115+3)+J123),IF(B115=0,(H115/4+J123),IF(B115&gt;1,0))))</f>
        <v>5.25</v>
      </c>
      <c r="K128" s="76">
        <f ca="1">H115</f>
        <v>7</v>
      </c>
    </row>
    <row r="129" spans="1:18" hidden="1">
      <c r="A129" s="143" t="s">
        <v>135</v>
      </c>
      <c r="B129" s="144"/>
      <c r="C129" s="69">
        <v>7</v>
      </c>
      <c r="D129" s="71">
        <f ca="1">((100/(H115))*C129)/100</f>
        <v>1</v>
      </c>
      <c r="E129" s="136"/>
      <c r="F129" s="136"/>
      <c r="G129" s="136"/>
      <c r="H129" s="138"/>
      <c r="I129" s="88" t="s">
        <v>134</v>
      </c>
      <c r="J129" s="89">
        <f ca="1">(IF(B115&gt;1.5,(H115/(B115+2)+J123+MAX(0,J124-J123)+MAX(0,J125-J124)+MAX(0,J126-J125)+MAX(0,J127-J126)+MAX(0,J128-J127)),IF(B115=1,(H115/(B115+3)+J128),IF(B115=0,H115/4+J128))))</f>
        <v>7</v>
      </c>
      <c r="K129" s="78"/>
    </row>
    <row r="130" spans="1:18">
      <c r="A130" s="213" t="s">
        <v>142</v>
      </c>
      <c r="B130" s="214"/>
      <c r="C130" s="214"/>
      <c r="D130" s="214"/>
      <c r="E130" s="215"/>
      <c r="F130" s="213" t="str">
        <f>(IF(E74="100%","Yes",IF(E74&gt;0%,"Under Construction",IF(E74=0%,"Work not yet Started"))))</f>
        <v>Yes</v>
      </c>
      <c r="G130" s="214"/>
      <c r="H130" s="215"/>
    </row>
    <row r="131" spans="1:18">
      <c r="A131" s="120" t="s">
        <v>143</v>
      </c>
      <c r="B131" s="120"/>
      <c r="C131" s="120"/>
      <c r="D131" s="120"/>
      <c r="E131" s="120"/>
      <c r="F131" s="120"/>
      <c r="G131" s="120"/>
      <c r="H131" s="120"/>
    </row>
    <row r="132" spans="1:18" ht="15" customHeight="1">
      <c r="A132" s="216" t="s">
        <v>144</v>
      </c>
      <c r="B132" s="216"/>
      <c r="C132" s="217" t="s">
        <v>145</v>
      </c>
      <c r="D132" s="217"/>
      <c r="E132" s="217"/>
      <c r="F132" s="217"/>
      <c r="G132" s="217"/>
      <c r="H132" s="217"/>
    </row>
    <row r="133" spans="1:18">
      <c r="A133" s="218" t="s">
        <v>146</v>
      </c>
      <c r="B133" s="218"/>
      <c r="C133" s="218"/>
      <c r="D133" s="218"/>
      <c r="E133" s="218"/>
      <c r="F133" s="218"/>
      <c r="G133" s="218"/>
      <c r="H133" s="218"/>
      <c r="I133" s="220" t="s">
        <v>148</v>
      </c>
      <c r="J133" s="221"/>
      <c r="K133" s="221"/>
      <c r="L133" s="221"/>
      <c r="M133" s="221"/>
      <c r="N133" s="221"/>
      <c r="O133" s="221"/>
      <c r="P133" s="221"/>
      <c r="Q133" s="221"/>
      <c r="R133" s="221"/>
    </row>
    <row r="134" spans="1:18">
      <c r="A134" s="120" t="s">
        <v>147</v>
      </c>
      <c r="B134" s="120"/>
      <c r="C134" s="120"/>
      <c r="D134" s="120"/>
      <c r="E134" s="120"/>
      <c r="F134" s="219">
        <v>5400</v>
      </c>
      <c r="G134" s="219"/>
      <c r="H134" s="219"/>
      <c r="I134" s="43" t="s">
        <v>287</v>
      </c>
    </row>
    <row r="135" spans="1:18" hidden="1">
      <c r="A135" s="120" t="s">
        <v>149</v>
      </c>
      <c r="B135" s="120"/>
      <c r="C135" s="120"/>
      <c r="D135" s="120"/>
      <c r="E135" s="120"/>
      <c r="F135" s="208"/>
      <c r="G135" s="208"/>
      <c r="H135" s="208"/>
    </row>
    <row r="136" spans="1:18" hidden="1">
      <c r="A136" s="120" t="s">
        <v>150</v>
      </c>
      <c r="B136" s="120"/>
      <c r="C136" s="120"/>
      <c r="D136" s="120"/>
      <c r="E136" s="120"/>
      <c r="F136" s="208"/>
      <c r="G136" s="208"/>
      <c r="H136" s="208"/>
    </row>
    <row r="137" spans="1:18" s="37" customFormat="1" hidden="1">
      <c r="A137" s="120" t="s">
        <v>151</v>
      </c>
      <c r="B137" s="120"/>
      <c r="C137" s="120"/>
      <c r="D137" s="120"/>
      <c r="E137" s="120"/>
      <c r="F137" s="208" t="s">
        <v>152</v>
      </c>
      <c r="G137" s="208"/>
      <c r="H137" s="208"/>
      <c r="I137" s="37">
        <f>45/1.5</f>
        <v>30</v>
      </c>
    </row>
    <row r="138" spans="1:18" s="37" customFormat="1" hidden="1">
      <c r="A138" s="120" t="s">
        <v>153</v>
      </c>
      <c r="B138" s="120"/>
      <c r="C138" s="120"/>
      <c r="D138" s="120"/>
      <c r="E138" s="120"/>
      <c r="F138" s="208" t="s">
        <v>57</v>
      </c>
      <c r="G138" s="208"/>
      <c r="H138" s="208"/>
    </row>
    <row r="139" spans="1:18" s="37" customFormat="1" hidden="1">
      <c r="A139" s="120" t="s">
        <v>154</v>
      </c>
      <c r="B139" s="120"/>
      <c r="C139" s="120"/>
      <c r="D139" s="120"/>
      <c r="E139" s="120"/>
      <c r="F139" s="208" t="s">
        <v>57</v>
      </c>
      <c r="G139" s="208"/>
      <c r="H139" s="208"/>
    </row>
    <row r="140" spans="1:18" s="37" customFormat="1" hidden="1">
      <c r="A140" s="120" t="s">
        <v>155</v>
      </c>
      <c r="B140" s="120"/>
      <c r="C140" s="120"/>
      <c r="D140" s="120"/>
      <c r="E140" s="120"/>
      <c r="F140" s="208" t="s">
        <v>57</v>
      </c>
      <c r="G140" s="208"/>
      <c r="H140" s="208"/>
    </row>
    <row r="141" spans="1:18" s="37" customFormat="1" hidden="1">
      <c r="A141" s="120" t="s">
        <v>156</v>
      </c>
      <c r="B141" s="120"/>
      <c r="C141" s="120"/>
      <c r="D141" s="120"/>
      <c r="E141" s="120"/>
      <c r="F141" s="208" t="s">
        <v>57</v>
      </c>
      <c r="G141" s="208"/>
      <c r="H141" s="208"/>
    </row>
    <row r="142" spans="1:18" s="37" customFormat="1" hidden="1">
      <c r="A142" s="120" t="s">
        <v>157</v>
      </c>
      <c r="B142" s="120"/>
      <c r="C142" s="120"/>
      <c r="D142" s="120"/>
      <c r="E142" s="120"/>
      <c r="F142" s="208" t="s">
        <v>57</v>
      </c>
      <c r="G142" s="208"/>
      <c r="H142" s="208"/>
    </row>
    <row r="143" spans="1:18" s="37" customFormat="1" hidden="1">
      <c r="A143" s="120" t="s">
        <v>158</v>
      </c>
      <c r="B143" s="120"/>
      <c r="C143" s="120"/>
      <c r="D143" s="120"/>
      <c r="E143" s="120"/>
      <c r="F143" s="208" t="s">
        <v>57</v>
      </c>
      <c r="G143" s="208"/>
      <c r="H143" s="208"/>
    </row>
    <row r="144" spans="1:18" s="37" customFormat="1">
      <c r="A144" s="120" t="s">
        <v>159</v>
      </c>
      <c r="B144" s="120"/>
      <c r="C144" s="120"/>
      <c r="D144" s="120"/>
      <c r="E144" s="120"/>
      <c r="F144" s="208" t="s">
        <v>160</v>
      </c>
      <c r="G144" s="208"/>
      <c r="H144" s="208"/>
      <c r="I144" s="37" t="s">
        <v>295</v>
      </c>
    </row>
    <row r="145" spans="1:13">
      <c r="A145" s="209" t="s">
        <v>161</v>
      </c>
      <c r="B145" s="210"/>
      <c r="C145" s="210"/>
      <c r="D145" s="210"/>
      <c r="E145" s="211"/>
      <c r="F145" s="212" t="s">
        <v>162</v>
      </c>
      <c r="G145" s="212"/>
      <c r="H145" s="212"/>
    </row>
    <row r="146" spans="1:13" s="38" customFormat="1">
      <c r="A146" s="193" t="s">
        <v>163</v>
      </c>
      <c r="B146" s="194"/>
      <c r="C146" s="194"/>
      <c r="D146" s="194"/>
      <c r="E146" s="195"/>
      <c r="F146" s="196">
        <f>F134*0.8</f>
        <v>4320</v>
      </c>
      <c r="G146" s="197"/>
      <c r="H146" s="198"/>
    </row>
    <row r="147" spans="1:13" s="39" customFormat="1" ht="15.75" customHeight="1">
      <c r="A147" s="199" t="s">
        <v>164</v>
      </c>
      <c r="B147" s="200"/>
      <c r="C147" s="200"/>
      <c r="D147" s="200"/>
      <c r="E147" s="200"/>
      <c r="F147" s="200"/>
      <c r="G147" s="200"/>
      <c r="H147" s="201"/>
    </row>
    <row r="148" spans="1:13" s="39" customFormat="1" ht="15.75" customHeight="1">
      <c r="A148" s="202" t="s">
        <v>165</v>
      </c>
      <c r="B148" s="203"/>
      <c r="C148" s="204" t="s">
        <v>166</v>
      </c>
      <c r="D148" s="205"/>
      <c r="E148" s="206" t="s">
        <v>167</v>
      </c>
      <c r="F148" s="207"/>
      <c r="G148" s="202" t="s">
        <v>168</v>
      </c>
      <c r="H148" s="203"/>
    </row>
    <row r="149" spans="1:13" s="39" customFormat="1">
      <c r="A149" s="191" t="s">
        <v>169</v>
      </c>
      <c r="B149" s="90" t="s">
        <v>170</v>
      </c>
      <c r="C149" s="189">
        <f>COUNT(D162:D169)*2+COUNT(D171:D172,D176:D178)</f>
        <v>21</v>
      </c>
      <c r="D149" s="189"/>
      <c r="E149" s="189">
        <f>SUM(D162:D169)*2+SUM(D171:D172,D176:D178)</f>
        <v>10517.961870000001</v>
      </c>
      <c r="F149" s="189"/>
      <c r="G149" s="189">
        <f>SUM(F162:F169)*2+SUM(F171:F172,F176:F178)</f>
        <v>15776.942805000001</v>
      </c>
      <c r="H149" s="189"/>
    </row>
    <row r="150" spans="1:13" s="39" customFormat="1">
      <c r="A150" s="192"/>
      <c r="B150" s="90" t="s">
        <v>171</v>
      </c>
      <c r="C150" s="189">
        <f>COUNT(D173:D175)+COUNT(D180:D187)*9+COUNT(D189,D191:D196)*2</f>
        <v>89</v>
      </c>
      <c r="D150" s="189"/>
      <c r="E150" s="189">
        <f>SUM(D173:D175)+SUM(D180:D187)*9+SUM(D189,D191:D196)*2</f>
        <v>44592.587910000002</v>
      </c>
      <c r="F150" s="189"/>
      <c r="G150" s="189">
        <f>SUM(F173:F175)+SUM(F180:F187)*9+SUM(F189,F191:F196)*2</f>
        <v>66888.881865000003</v>
      </c>
      <c r="H150" s="189"/>
    </row>
    <row r="151" spans="1:13" s="39" customFormat="1">
      <c r="A151" s="180" t="s">
        <v>172</v>
      </c>
      <c r="B151" s="180"/>
      <c r="C151" s="190">
        <f>COUNT(D218:D224)*12+COUNT(D226:D227)+COUNT(D229:D232)+COUNT(D234)+COUNT(D236:D240)</f>
        <v>96</v>
      </c>
      <c r="D151" s="190"/>
      <c r="E151" s="189">
        <f>SUM(D218:D224)*12+SUM(D226:D227)+SUM(D229:D232)+SUM(D234)+SUM(D236:D240)</f>
        <v>45725.472000000002</v>
      </c>
      <c r="F151" s="189"/>
      <c r="G151" s="189">
        <f>SUM(F218:F224)*12+SUM(F226:F227)+SUM(F229:F232)+SUM(F234)+SUM(F236:F240)</f>
        <v>68588.207999999984</v>
      </c>
      <c r="H151" s="189"/>
    </row>
    <row r="152" spans="1:13" s="39" customFormat="1">
      <c r="A152" s="180" t="s">
        <v>173</v>
      </c>
      <c r="B152" s="180"/>
      <c r="C152" s="181">
        <f>COUNT(D244:D249)*12+COUNT(D251:D254)+COUNT(D256)+COUNT(D258)+COUNT(D260:D263)</f>
        <v>82</v>
      </c>
      <c r="D152" s="181"/>
      <c r="E152" s="189">
        <f>SUM(D244:D249)*12+SUM(D251:D254)+SUM(D256)+SUM(D258)+SUM(D260:D263)</f>
        <v>40327.218359999999</v>
      </c>
      <c r="F152" s="189"/>
      <c r="G152" s="189">
        <f>SUM(F244:F249)*12+SUM(F251:F254)+SUM(F256)+SUM(F258)+SUM(F260:F263)</f>
        <v>60490.827539999977</v>
      </c>
      <c r="H152" s="189"/>
    </row>
    <row r="153" spans="1:13" s="39" customFormat="1" ht="51" customHeight="1">
      <c r="A153" s="180" t="s">
        <v>174</v>
      </c>
      <c r="B153" s="180"/>
      <c r="C153" s="181">
        <f>COUNT(D268:D273)*5+COUNT(D275:D279)+COUNT(D281:D286)</f>
        <v>41</v>
      </c>
      <c r="D153" s="181"/>
      <c r="E153" s="182">
        <f>SUM(D268:D273)*5+SUM(D275:D279)+SUM(D281:D286)</f>
        <v>16367.684579999999</v>
      </c>
      <c r="F153" s="182"/>
      <c r="G153" s="182">
        <f>SUM(F268:F273)*5+SUM(F275:F279)+SUM(F281:F286)</f>
        <v>24659.48979</v>
      </c>
      <c r="H153" s="182"/>
    </row>
    <row r="154" spans="1:13" s="40" customFormat="1" ht="15">
      <c r="A154" s="183" t="s">
        <v>175</v>
      </c>
      <c r="B154" s="183"/>
      <c r="C154" s="184">
        <f>SUM(C149:C153)</f>
        <v>329</v>
      </c>
      <c r="D154" s="185"/>
      <c r="E154" s="186">
        <f>SUM(E149:E153)</f>
        <v>157530.92472000001</v>
      </c>
      <c r="F154" s="187"/>
      <c r="G154" s="188">
        <f>SUM(G149:G153)</f>
        <v>236404.34999999995</v>
      </c>
      <c r="H154" s="188"/>
    </row>
    <row r="155" spans="1:13" s="38" customFormat="1">
      <c r="A155" s="171" t="s">
        <v>176</v>
      </c>
      <c r="B155" s="171"/>
      <c r="C155" s="171"/>
      <c r="D155" s="171"/>
      <c r="E155" s="171"/>
      <c r="F155" s="171"/>
      <c r="G155" s="171"/>
      <c r="H155" s="171"/>
    </row>
    <row r="156" spans="1:13">
      <c r="A156" s="171" t="s">
        <v>177</v>
      </c>
      <c r="B156" s="171"/>
      <c r="C156" s="171"/>
      <c r="D156" s="171"/>
      <c r="E156" s="171"/>
      <c r="F156" s="171"/>
      <c r="G156" s="171"/>
      <c r="H156" s="171"/>
    </row>
    <row r="157" spans="1:13" ht="47.25" customHeight="1">
      <c r="A157" s="172" t="s">
        <v>178</v>
      </c>
      <c r="B157" s="172" t="s">
        <v>179</v>
      </c>
      <c r="C157" s="174" t="s">
        <v>180</v>
      </c>
      <c r="D157" s="174" t="s">
        <v>181</v>
      </c>
      <c r="E157" s="176" t="s">
        <v>182</v>
      </c>
      <c r="F157" s="92" t="s">
        <v>183</v>
      </c>
      <c r="G157" s="172" t="s">
        <v>184</v>
      </c>
      <c r="H157" s="178"/>
      <c r="I157" s="98"/>
    </row>
    <row r="158" spans="1:13" s="41" customFormat="1">
      <c r="A158" s="173"/>
      <c r="B158" s="173"/>
      <c r="C158" s="175"/>
      <c r="D158" s="175"/>
      <c r="E158" s="177"/>
      <c r="F158" s="93">
        <v>0.5</v>
      </c>
      <c r="G158" s="173"/>
      <c r="H158" s="179"/>
      <c r="I158" s="98"/>
    </row>
    <row r="159" spans="1:13" s="41" customFormat="1">
      <c r="A159" s="162" t="s">
        <v>169</v>
      </c>
      <c r="B159" s="162"/>
      <c r="C159" s="162"/>
      <c r="D159" s="162"/>
      <c r="E159" s="162"/>
      <c r="F159" s="162"/>
      <c r="G159" s="162"/>
      <c r="H159" s="162"/>
      <c r="I159" s="98"/>
      <c r="L159" s="163"/>
      <c r="M159" s="163"/>
    </row>
    <row r="160" spans="1:13" s="41" customFormat="1">
      <c r="A160" s="162" t="s">
        <v>185</v>
      </c>
      <c r="B160" s="162"/>
      <c r="C160" s="162"/>
      <c r="D160" s="162"/>
      <c r="E160" s="162"/>
      <c r="F160" s="162"/>
      <c r="G160" s="162"/>
      <c r="H160" s="162"/>
      <c r="I160" s="98"/>
      <c r="L160" s="163"/>
      <c r="M160" s="163"/>
    </row>
    <row r="161" spans="1:17" s="41" customFormat="1">
      <c r="A161" s="162" t="s">
        <v>186</v>
      </c>
      <c r="B161" s="162"/>
      <c r="C161" s="162"/>
      <c r="D161" s="162"/>
      <c r="E161" s="162"/>
      <c r="F161" s="162"/>
      <c r="G161" s="162"/>
      <c r="H161" s="162"/>
      <c r="I161" s="98"/>
      <c r="O161" s="41" t="str">
        <f>MID(A161,1,3)</f>
        <v>1st</v>
      </c>
      <c r="P161" s="41">
        <f ca="1">--TRIM(RIGHT(SUBSTITUTE(LEFT(A161,_xlfn.AGGREGATE(14,6,FIND({0,1,2,3,4,5,6,7,8,9},A161,ROW(INDIRECT("1:"&amp;LEN(A161)))),1))," ",REPT(" ",LEN(A161))),LEN(A161)))</f>
        <v>2</v>
      </c>
    </row>
    <row r="162" spans="1:17" s="41" customFormat="1">
      <c r="A162" s="111">
        <v>1</v>
      </c>
      <c r="B162" s="111" t="s">
        <v>170</v>
      </c>
      <c r="C162" s="111" t="s">
        <v>187</v>
      </c>
      <c r="D162" s="111">
        <f>(41+0.9*2.75+1.05*2.75+0.75*(2.75+2.3+2.75))*10.764</f>
        <v>562.01535000000001</v>
      </c>
      <c r="E162" s="111">
        <v>0</v>
      </c>
      <c r="F162" s="111">
        <f t="shared" ref="F162:F169" si="0">D162*(($F$158)+1)+E162</f>
        <v>843.02302499999996</v>
      </c>
      <c r="G162" s="119" t="str">
        <f>A161</f>
        <v>1st &amp; 2nd Floor for Residential</v>
      </c>
      <c r="H162" s="119"/>
      <c r="I162" s="98">
        <f>2.75*3.5+2.3*3.05+2.75*2+2.75*3.05+1.4*1.05+2*1.25+1.2*2</f>
        <v>36.897500000000001</v>
      </c>
      <c r="L162" s="41" t="str">
        <f ca="1">O162&amp;""&amp;M162&amp;""&amp;P162</f>
        <v>101 &amp; 201</v>
      </c>
      <c r="M162" s="41" t="s">
        <v>188</v>
      </c>
      <c r="N162" s="98">
        <v>1</v>
      </c>
      <c r="O162" s="41">
        <f ca="1">(SUMPRODUCT(MID(0&amp;O161,LARGE(INDEX(ISNUMBER(--MID(O161,ROW(INDIRECT("1:"&amp;LEN(O161))),1))*ROW(INDIRECT("1:"&amp;LEN(O161))),0),ROW(INDIRECT("1:"&amp;LEN(O161))))+1,1)*10^ROW(INDIRECT("1:"&amp;LEN(O161)))/10))*N162*100+1</f>
        <v>101</v>
      </c>
      <c r="P162" s="41">
        <f ca="1">(SUMPRODUCT(MID(0&amp;P161,LARGE(INDEX(ISNUMBER(--MID(P161,ROW(INDIRECT("1:"&amp;LEN(P161))),1))*ROW(INDIRECT("1:"&amp;LEN(P161))),0),ROW(INDIRECT("1:"&amp;LEN(P161))))+1,1)*10^ROW(INDIRECT("1:"&amp;LEN(P161)))/10))*N162*100+1</f>
        <v>201</v>
      </c>
    </row>
    <row r="163" spans="1:17" s="41" customFormat="1">
      <c r="A163" s="111">
        <v>2</v>
      </c>
      <c r="B163" s="111" t="s">
        <v>170</v>
      </c>
      <c r="C163" s="111" t="s">
        <v>189</v>
      </c>
      <c r="D163" s="111">
        <f>(32.81+0.9*2.75+0.75*(2.75+2.3+2.75))*10.764</f>
        <v>442.77714000000003</v>
      </c>
      <c r="E163" s="111">
        <v>0</v>
      </c>
      <c r="F163" s="111">
        <f t="shared" si="0"/>
        <v>664.16570999999999</v>
      </c>
      <c r="G163" s="119"/>
      <c r="H163" s="119"/>
      <c r="I163" s="98"/>
      <c r="J163" s="41">
        <f>2687500/421</f>
        <v>6383.6104513064129</v>
      </c>
      <c r="K163" s="41">
        <f>J163/1.5</f>
        <v>4255.7403008709416</v>
      </c>
      <c r="L163" s="41" t="str">
        <f t="shared" ref="L163:L169" ca="1" si="1">O163&amp;""&amp;M163&amp;""&amp;P163</f>
        <v>102 &amp; 202</v>
      </c>
      <c r="M163" s="41" t="s">
        <v>188</v>
      </c>
      <c r="N163" s="98">
        <f t="shared" ref="N163:P169" si="2">N162+1</f>
        <v>2</v>
      </c>
      <c r="O163" s="41">
        <f t="shared" ca="1" si="2"/>
        <v>102</v>
      </c>
      <c r="P163" s="41">
        <f t="shared" ca="1" si="2"/>
        <v>202</v>
      </c>
    </row>
    <row r="164" spans="1:17" s="41" customFormat="1">
      <c r="A164" s="111">
        <v>3</v>
      </c>
      <c r="B164" s="111" t="s">
        <v>170</v>
      </c>
      <c r="C164" s="111" t="s">
        <v>189</v>
      </c>
      <c r="D164" s="111">
        <f>(32.81+0.9*2.75+0.75*(2.75+2.3+2.75))*10.764</f>
        <v>442.77714000000003</v>
      </c>
      <c r="E164" s="111">
        <v>0</v>
      </c>
      <c r="F164" s="111">
        <f t="shared" si="0"/>
        <v>664.16570999999999</v>
      </c>
      <c r="G164" s="119"/>
      <c r="H164" s="119"/>
      <c r="I164" s="98"/>
      <c r="L164" s="41" t="str">
        <f t="shared" ca="1" si="1"/>
        <v>103 &amp; 203</v>
      </c>
      <c r="M164" s="41" t="s">
        <v>188</v>
      </c>
      <c r="N164" s="98">
        <f t="shared" si="2"/>
        <v>3</v>
      </c>
      <c r="O164" s="41">
        <f t="shared" ca="1" si="2"/>
        <v>103</v>
      </c>
      <c r="P164" s="41">
        <f t="shared" ca="1" si="2"/>
        <v>203</v>
      </c>
    </row>
    <row r="165" spans="1:17" s="41" customFormat="1">
      <c r="A165" s="111">
        <v>4</v>
      </c>
      <c r="B165" s="111" t="s">
        <v>170</v>
      </c>
      <c r="C165" s="111" t="s">
        <v>187</v>
      </c>
      <c r="D165" s="111">
        <f>(41+0.9*2.75+1.05*2.75+0.75*(2.75+2.3+2.75))*10.764</f>
        <v>562.01535000000001</v>
      </c>
      <c r="E165" s="111">
        <v>0</v>
      </c>
      <c r="F165" s="111">
        <f t="shared" si="0"/>
        <v>843.02302499999996</v>
      </c>
      <c r="G165" s="119"/>
      <c r="H165" s="119"/>
      <c r="I165" s="98"/>
      <c r="L165" s="41" t="str">
        <f t="shared" ca="1" si="1"/>
        <v>104 &amp; 204</v>
      </c>
      <c r="M165" s="41" t="s">
        <v>188</v>
      </c>
      <c r="N165" s="98">
        <f t="shared" si="2"/>
        <v>4</v>
      </c>
      <c r="O165" s="41">
        <f t="shared" ca="1" si="2"/>
        <v>104</v>
      </c>
      <c r="P165" s="41">
        <f t="shared" ca="1" si="2"/>
        <v>204</v>
      </c>
    </row>
    <row r="166" spans="1:17" s="41" customFormat="1">
      <c r="A166" s="111">
        <v>5</v>
      </c>
      <c r="B166" s="111" t="s">
        <v>170</v>
      </c>
      <c r="C166" s="111" t="s">
        <v>187</v>
      </c>
      <c r="D166" s="111">
        <f>(41.14+0.9*2.75+1*2.75+0.75*(2.75+2.3+2.75))*10.764</f>
        <v>562.04226000000006</v>
      </c>
      <c r="E166" s="111">
        <v>0</v>
      </c>
      <c r="F166" s="111">
        <f t="shared" si="0"/>
        <v>843.06339000000003</v>
      </c>
      <c r="G166" s="119"/>
      <c r="H166" s="119"/>
      <c r="I166" s="98"/>
      <c r="L166" s="41" t="str">
        <f t="shared" ca="1" si="1"/>
        <v>105 &amp; 205</v>
      </c>
      <c r="M166" s="41" t="s">
        <v>188</v>
      </c>
      <c r="N166" s="98">
        <f t="shared" si="2"/>
        <v>5</v>
      </c>
      <c r="O166" s="41">
        <f t="shared" ca="1" si="2"/>
        <v>105</v>
      </c>
      <c r="P166" s="41">
        <f t="shared" ca="1" si="2"/>
        <v>205</v>
      </c>
    </row>
    <row r="167" spans="1:17" s="41" customFormat="1">
      <c r="A167" s="111">
        <v>6</v>
      </c>
      <c r="B167" s="111" t="s">
        <v>170</v>
      </c>
      <c r="C167" s="111" t="s">
        <v>189</v>
      </c>
      <c r="D167" s="96">
        <f>(33.23+0.9*2.75+0.75*(2.75+2.3+2.75))*10.764</f>
        <v>447.29801999999995</v>
      </c>
      <c r="E167" s="111">
        <v>0</v>
      </c>
      <c r="F167" s="111">
        <f t="shared" si="0"/>
        <v>670.94702999999993</v>
      </c>
      <c r="G167" s="119"/>
      <c r="H167" s="119"/>
      <c r="I167" s="98"/>
      <c r="L167" s="41" t="str">
        <f t="shared" ca="1" si="1"/>
        <v>106 &amp; 206</v>
      </c>
      <c r="M167" s="41" t="s">
        <v>188</v>
      </c>
      <c r="N167" s="98">
        <f t="shared" si="2"/>
        <v>6</v>
      </c>
      <c r="O167" s="41">
        <f t="shared" ca="1" si="2"/>
        <v>106</v>
      </c>
      <c r="P167" s="41">
        <f t="shared" ca="1" si="2"/>
        <v>206</v>
      </c>
    </row>
    <row r="168" spans="1:17" s="41" customFormat="1">
      <c r="A168" s="111">
        <v>7</v>
      </c>
      <c r="B168" s="111" t="s">
        <v>170</v>
      </c>
      <c r="C168" s="111" t="s">
        <v>189</v>
      </c>
      <c r="D168" s="111">
        <f>(33.23+0.9*2.75+0.75*(2.75+2.3+2.75))*10.764</f>
        <v>447.29801999999995</v>
      </c>
      <c r="E168" s="111">
        <v>0</v>
      </c>
      <c r="F168" s="111">
        <f t="shared" si="0"/>
        <v>670.94702999999993</v>
      </c>
      <c r="G168" s="119"/>
      <c r="H168" s="119"/>
      <c r="I168" s="98"/>
      <c r="L168" s="41" t="str">
        <f t="shared" ca="1" si="1"/>
        <v>107 &amp; 207</v>
      </c>
      <c r="M168" s="41" t="s">
        <v>188</v>
      </c>
      <c r="N168" s="98">
        <f t="shared" si="2"/>
        <v>7</v>
      </c>
      <c r="O168" s="41">
        <f t="shared" ca="1" si="2"/>
        <v>107</v>
      </c>
      <c r="P168" s="41">
        <f t="shared" ca="1" si="2"/>
        <v>207</v>
      </c>
    </row>
    <row r="169" spans="1:17" s="41" customFormat="1">
      <c r="A169" s="111">
        <v>8</v>
      </c>
      <c r="B169" s="111" t="s">
        <v>170</v>
      </c>
      <c r="C169" s="111" t="s">
        <v>187</v>
      </c>
      <c r="D169" s="111">
        <f>(41.14+0.9*2.75+1*2.75+0.75*(2.75+2.3+2.75))*10.764</f>
        <v>562.04226000000006</v>
      </c>
      <c r="E169" s="111">
        <v>0</v>
      </c>
      <c r="F169" s="111">
        <f t="shared" si="0"/>
        <v>843.06339000000003</v>
      </c>
      <c r="G169" s="119"/>
      <c r="H169" s="119"/>
      <c r="I169" s="98"/>
      <c r="L169" s="41" t="str">
        <f t="shared" ca="1" si="1"/>
        <v>108 &amp; 208</v>
      </c>
      <c r="M169" s="41" t="s">
        <v>188</v>
      </c>
      <c r="N169" s="98">
        <f t="shared" si="2"/>
        <v>8</v>
      </c>
      <c r="O169" s="41">
        <f t="shared" ca="1" si="2"/>
        <v>108</v>
      </c>
      <c r="P169" s="41">
        <f t="shared" ca="1" si="2"/>
        <v>208</v>
      </c>
    </row>
    <row r="170" spans="1:17" s="41" customFormat="1">
      <c r="A170" s="162" t="s">
        <v>190</v>
      </c>
      <c r="B170" s="162"/>
      <c r="C170" s="162"/>
      <c r="D170" s="162"/>
      <c r="E170" s="162"/>
      <c r="F170" s="162"/>
      <c r="G170" s="162"/>
      <c r="H170" s="162"/>
      <c r="I170" s="98"/>
      <c r="K170" s="41">
        <f>2.75*3.5+2.3*3.05+2.75*3.05+1.2*2+2*1.25</f>
        <v>29.927499999999998</v>
      </c>
      <c r="L170" s="163"/>
      <c r="M170" s="163"/>
      <c r="Q170" s="41">
        <f>2.75*0.9</f>
        <v>2.4750000000000001</v>
      </c>
    </row>
    <row r="171" spans="1:17" s="41" customFormat="1">
      <c r="A171" s="111">
        <v>1</v>
      </c>
      <c r="B171" s="96" t="s">
        <v>170</v>
      </c>
      <c r="C171" s="111" t="s">
        <v>187</v>
      </c>
      <c r="D171" s="111">
        <f>(41+0.9*2.75+1.05*2.75+0.75*(2.75+2.3+2.75))*10.764</f>
        <v>562.01535000000001</v>
      </c>
      <c r="E171" s="111">
        <v>0</v>
      </c>
      <c r="F171" s="111">
        <f>D171*(($F$158)+1)+E171</f>
        <v>843.02302499999996</v>
      </c>
      <c r="G171" s="119" t="str">
        <f>A170</f>
        <v>3rd Floor</v>
      </c>
      <c r="H171" s="119"/>
      <c r="I171" s="98"/>
      <c r="L171" s="41">
        <f t="shared" ref="L171:L176" ca="1" si="3">O171</f>
        <v>301</v>
      </c>
      <c r="N171" s="98">
        <v>1</v>
      </c>
      <c r="O171" s="41">
        <f ca="1">(SUMPRODUCT(MID(0&amp;P171,LARGE(INDEX(ISNUMBER(--MID(P171,ROW(INDIRECT("1:"&amp;LEN(P171))),1))*ROW(INDIRECT("1:"&amp;LEN(P171))),0),ROW(INDIRECT("1:"&amp;LEN(P171))))+1,1)*10^ROW(INDIRECT("1:"&amp;LEN(P171)))/10))*N171*100+1</f>
        <v>301</v>
      </c>
      <c r="P171" s="41" t="str">
        <f>LEFT(A170,SUM(LEN(A170)-LEN(SUBSTITUTE(A170,{"0","1","2","3","4","5","6","7","8","9"},""))))</f>
        <v>3</v>
      </c>
    </row>
    <row r="172" spans="1:17" s="41" customFormat="1">
      <c r="A172" s="111">
        <v>2</v>
      </c>
      <c r="B172" s="96" t="s">
        <v>170</v>
      </c>
      <c r="C172" s="111" t="s">
        <v>189</v>
      </c>
      <c r="D172" s="111">
        <f>(32.81+0.9*2.75+0.75*(2.75+2.3+2.75))*10.764</f>
        <v>442.77714000000003</v>
      </c>
      <c r="E172" s="111">
        <v>0</v>
      </c>
      <c r="F172" s="111">
        <f t="shared" ref="F172:F176" si="4">D172*(($F$158)+1)+E172</f>
        <v>664.16570999999999</v>
      </c>
      <c r="G172" s="119"/>
      <c r="H172" s="119"/>
      <c r="I172" s="98"/>
      <c r="L172" s="41">
        <f t="shared" ca="1" si="3"/>
        <v>302</v>
      </c>
      <c r="N172" s="98">
        <f>N171+1</f>
        <v>2</v>
      </c>
      <c r="O172" s="41">
        <f ca="1">O171+1</f>
        <v>302</v>
      </c>
    </row>
    <row r="173" spans="1:17" s="41" customFormat="1">
      <c r="A173" s="111">
        <v>3</v>
      </c>
      <c r="B173" s="97" t="s">
        <v>171</v>
      </c>
      <c r="C173" s="111" t="s">
        <v>189</v>
      </c>
      <c r="D173" s="111">
        <f>(32.81+0.9*2.75+0.75*(2.75+2.3+2.75))*10.764</f>
        <v>442.77714000000003</v>
      </c>
      <c r="E173" s="111">
        <v>0</v>
      </c>
      <c r="F173" s="111">
        <f t="shared" si="4"/>
        <v>664.16570999999999</v>
      </c>
      <c r="G173" s="119"/>
      <c r="H173" s="119"/>
      <c r="I173" s="98"/>
      <c r="L173" s="41">
        <f t="shared" ca="1" si="3"/>
        <v>303</v>
      </c>
      <c r="N173" s="98">
        <f>N172+1</f>
        <v>3</v>
      </c>
      <c r="O173" s="41">
        <f ca="1">O172+1</f>
        <v>303</v>
      </c>
    </row>
    <row r="174" spans="1:17" s="41" customFormat="1">
      <c r="A174" s="111">
        <v>4</v>
      </c>
      <c r="B174" s="97" t="s">
        <v>171</v>
      </c>
      <c r="C174" s="111" t="s">
        <v>187</v>
      </c>
      <c r="D174" s="111">
        <f>(41+0.9*2.75+1.05*2.75+0.75*(2.75+2.3+2.75))*10.764</f>
        <v>562.01535000000001</v>
      </c>
      <c r="E174" s="111">
        <v>0</v>
      </c>
      <c r="F174" s="111">
        <f t="shared" si="4"/>
        <v>843.02302499999996</v>
      </c>
      <c r="G174" s="119"/>
      <c r="H174" s="119"/>
      <c r="I174" s="98"/>
      <c r="L174" s="41">
        <f t="shared" ca="1" si="3"/>
        <v>304</v>
      </c>
      <c r="N174" s="98">
        <f t="shared" ref="N174:O176" si="5">N173+1</f>
        <v>4</v>
      </c>
      <c r="O174" s="41">
        <f t="shared" ca="1" si="5"/>
        <v>304</v>
      </c>
    </row>
    <row r="175" spans="1:17" s="41" customFormat="1">
      <c r="A175" s="111">
        <v>5</v>
      </c>
      <c r="B175" s="97" t="s">
        <v>171</v>
      </c>
      <c r="C175" s="111" t="s">
        <v>187</v>
      </c>
      <c r="D175" s="111">
        <f>(41.14+0.9*2.75+1*2.75+0.75*(2.75+2.3+2.75))*10.764</f>
        <v>562.04226000000006</v>
      </c>
      <c r="E175" s="111">
        <v>0</v>
      </c>
      <c r="F175" s="111">
        <f t="shared" si="4"/>
        <v>843.06339000000003</v>
      </c>
      <c r="G175" s="119"/>
      <c r="H175" s="119"/>
      <c r="I175" s="98"/>
      <c r="L175" s="41">
        <f t="shared" ca="1" si="3"/>
        <v>305</v>
      </c>
      <c r="N175" s="98">
        <f t="shared" si="5"/>
        <v>5</v>
      </c>
      <c r="O175" s="41">
        <f t="shared" ca="1" si="5"/>
        <v>305</v>
      </c>
    </row>
    <row r="176" spans="1:17" s="41" customFormat="1">
      <c r="A176" s="111">
        <v>6</v>
      </c>
      <c r="B176" s="96" t="s">
        <v>170</v>
      </c>
      <c r="C176" s="111" t="s">
        <v>189</v>
      </c>
      <c r="D176" s="111">
        <f>(33.23+0.9*2.75+0.75*(2.75+2.3+2.75))*10.764</f>
        <v>447.29801999999995</v>
      </c>
      <c r="E176" s="111">
        <v>0</v>
      </c>
      <c r="F176" s="111">
        <f t="shared" si="4"/>
        <v>670.94702999999993</v>
      </c>
      <c r="G176" s="119"/>
      <c r="H176" s="119"/>
      <c r="I176" s="98"/>
      <c r="L176" s="41">
        <f t="shared" ca="1" si="3"/>
        <v>306</v>
      </c>
      <c r="N176" s="98">
        <f>N175+1</f>
        <v>6</v>
      </c>
      <c r="O176" s="41">
        <f t="shared" ca="1" si="5"/>
        <v>306</v>
      </c>
    </row>
    <row r="177" spans="1:16" s="41" customFormat="1">
      <c r="A177" s="111">
        <v>7</v>
      </c>
      <c r="B177" s="96" t="s">
        <v>170</v>
      </c>
      <c r="C177" s="111" t="s">
        <v>189</v>
      </c>
      <c r="D177" s="111">
        <f>(33.23+0.9*2.75+0.75*(2.75+2.3+2.75))*10.764</f>
        <v>447.29801999999995</v>
      </c>
      <c r="E177" s="111">
        <v>0</v>
      </c>
      <c r="F177" s="111">
        <f t="shared" ref="F177:F178" si="6">D177*(($F$158)+1)+E177</f>
        <v>670.94702999999993</v>
      </c>
      <c r="G177" s="119"/>
      <c r="H177" s="119"/>
      <c r="I177" s="98"/>
      <c r="L177" s="41">
        <f t="shared" ref="L177:L178" ca="1" si="7">O177</f>
        <v>307</v>
      </c>
      <c r="N177" s="98">
        <f t="shared" ref="N177:O177" si="8">N176+1</f>
        <v>7</v>
      </c>
      <c r="O177" s="41">
        <f t="shared" ca="1" si="8"/>
        <v>307</v>
      </c>
    </row>
    <row r="178" spans="1:16" s="41" customFormat="1">
      <c r="A178" s="111">
        <v>8</v>
      </c>
      <c r="B178" s="96" t="s">
        <v>170</v>
      </c>
      <c r="C178" s="111" t="s">
        <v>187</v>
      </c>
      <c r="D178" s="111">
        <f>(41.14+0.9*2.75+1*2.75+0.75*(2.75+2.3+2.75))*10.764</f>
        <v>562.04226000000006</v>
      </c>
      <c r="E178" s="111">
        <v>0</v>
      </c>
      <c r="F178" s="111">
        <f t="shared" si="6"/>
        <v>843.06339000000003</v>
      </c>
      <c r="G178" s="119"/>
      <c r="H178" s="119"/>
      <c r="I178" s="98"/>
      <c r="L178" s="41">
        <f t="shared" ca="1" si="7"/>
        <v>308</v>
      </c>
      <c r="N178" s="98">
        <f>N177+1</f>
        <v>8</v>
      </c>
      <c r="O178" s="41">
        <f t="shared" ref="O178" ca="1" si="9">O177+1</f>
        <v>308</v>
      </c>
    </row>
    <row r="179" spans="1:16" s="41" customFormat="1">
      <c r="A179" s="162" t="s">
        <v>191</v>
      </c>
      <c r="B179" s="162"/>
      <c r="C179" s="162"/>
      <c r="D179" s="162"/>
      <c r="E179" s="162"/>
      <c r="F179" s="162"/>
      <c r="G179" s="162"/>
      <c r="H179" s="162"/>
      <c r="I179" s="98"/>
      <c r="L179" s="163"/>
      <c r="M179" s="163"/>
    </row>
    <row r="180" spans="1:16" s="41" customFormat="1">
      <c r="A180" s="95">
        <v>1</v>
      </c>
      <c r="B180" s="94" t="s">
        <v>171</v>
      </c>
      <c r="C180" s="95" t="s">
        <v>187</v>
      </c>
      <c r="D180" s="95">
        <f>(41+0.9*2.75+1.05*2.75+0.75*(2.75+2.3+2.75))*10.764</f>
        <v>562.01535000000001</v>
      </c>
      <c r="E180" s="95">
        <v>0</v>
      </c>
      <c r="F180" s="95">
        <f>D180*(($F$158)+1)+E180</f>
        <v>843.02302499999996</v>
      </c>
      <c r="G180" s="113" t="str">
        <f>A179</f>
        <v>4th to 7th, 9th to 11th, 13th &amp; 14th Floor</v>
      </c>
      <c r="H180" s="114"/>
      <c r="I180" s="98"/>
      <c r="L180" s="41">
        <f t="shared" ref="L180:L187" ca="1" si="10">O180</f>
        <v>4701</v>
      </c>
      <c r="N180" s="98">
        <v>1</v>
      </c>
      <c r="O180" s="41">
        <f ca="1">(SUMPRODUCT(MID(0&amp;P180,LARGE(INDEX(ISNUMBER(--MID(P180,ROW(INDIRECT("1:"&amp;LEN(P180))),1))*ROW(INDIRECT("1:"&amp;LEN(P180))),0),ROW(INDIRECT("1:"&amp;LEN(P180))))+1,1)*10^ROW(INDIRECT("1:"&amp;LEN(P180)))/10))*N180*100+1</f>
        <v>4701</v>
      </c>
      <c r="P180" s="41" t="str">
        <f>LEFT(A179,SUM(LEN(A179)-LEN(SUBSTITUTE(A179,{"0","1","2","3","4","5","6","7","8","9"},""))))</f>
        <v>4th to 7t</v>
      </c>
    </row>
    <row r="181" spans="1:16" s="41" customFormat="1">
      <c r="A181" s="95">
        <v>2</v>
      </c>
      <c r="B181" s="94" t="s">
        <v>171</v>
      </c>
      <c r="C181" s="95" t="s">
        <v>189</v>
      </c>
      <c r="D181" s="95">
        <f>(32.81+0.9*2.75+0.75*(2.75+2.3))*10.764</f>
        <v>420.57639</v>
      </c>
      <c r="E181" s="95">
        <v>0</v>
      </c>
      <c r="F181" s="95">
        <f t="shared" ref="F181:F187" si="11">D181*(($F$158)+1)+E181</f>
        <v>630.86458500000003</v>
      </c>
      <c r="G181" s="115"/>
      <c r="H181" s="116"/>
      <c r="I181" s="98"/>
      <c r="L181" s="41">
        <f t="shared" ca="1" si="10"/>
        <v>4702</v>
      </c>
      <c r="N181" s="98">
        <f>N180+1</f>
        <v>2</v>
      </c>
      <c r="O181" s="41">
        <f ca="1">O180+1</f>
        <v>4702</v>
      </c>
    </row>
    <row r="182" spans="1:16" s="41" customFormat="1">
      <c r="A182" s="95">
        <v>3</v>
      </c>
      <c r="B182" s="94" t="s">
        <v>171</v>
      </c>
      <c r="C182" s="95" t="s">
        <v>189</v>
      </c>
      <c r="D182" s="95">
        <f>(32.81+0.9*2.75+0.75*(2.75+2.3))*10.764</f>
        <v>420.57639</v>
      </c>
      <c r="E182" s="95">
        <v>0</v>
      </c>
      <c r="F182" s="95">
        <f t="shared" si="11"/>
        <v>630.86458500000003</v>
      </c>
      <c r="G182" s="115"/>
      <c r="H182" s="116"/>
      <c r="I182" s="98"/>
      <c r="L182" s="41">
        <f t="shared" ca="1" si="10"/>
        <v>4703</v>
      </c>
      <c r="N182" s="98">
        <f>N181+1</f>
        <v>3</v>
      </c>
      <c r="O182" s="41">
        <f ca="1">O181+1</f>
        <v>4703</v>
      </c>
    </row>
    <row r="183" spans="1:16" s="41" customFormat="1">
      <c r="A183" s="95">
        <v>4</v>
      </c>
      <c r="B183" s="94" t="s">
        <v>171</v>
      </c>
      <c r="C183" s="95" t="s">
        <v>187</v>
      </c>
      <c r="D183" s="95">
        <f>(41+0.9*2.75+1.05*2.75+0.75*(2.75+2.3+2.75))*10.764</f>
        <v>562.01535000000001</v>
      </c>
      <c r="E183" s="95">
        <v>0</v>
      </c>
      <c r="F183" s="95">
        <f t="shared" si="11"/>
        <v>843.02302499999996</v>
      </c>
      <c r="G183" s="115"/>
      <c r="H183" s="116"/>
      <c r="I183" s="98"/>
      <c r="L183" s="41">
        <f t="shared" ca="1" si="10"/>
        <v>4704</v>
      </c>
      <c r="N183" s="98">
        <f t="shared" ref="N183:O183" si="12">N182+1</f>
        <v>4</v>
      </c>
      <c r="O183" s="41">
        <f t="shared" ca="1" si="12"/>
        <v>4704</v>
      </c>
    </row>
    <row r="184" spans="1:16" s="41" customFormat="1">
      <c r="A184" s="95">
        <v>5</v>
      </c>
      <c r="B184" s="94" t="s">
        <v>171</v>
      </c>
      <c r="C184" s="95" t="s">
        <v>187</v>
      </c>
      <c r="D184" s="95">
        <f>(41.14+0.9*2.75+1*2.75+0.75*(2.75+2.3+2.75))*10.764</f>
        <v>562.04226000000006</v>
      </c>
      <c r="E184" s="95">
        <v>0</v>
      </c>
      <c r="F184" s="95">
        <f t="shared" si="11"/>
        <v>843.06339000000003</v>
      </c>
      <c r="G184" s="115"/>
      <c r="H184" s="116"/>
      <c r="I184" s="98"/>
      <c r="L184" s="41">
        <f t="shared" ca="1" si="10"/>
        <v>4705</v>
      </c>
      <c r="N184" s="98">
        <f t="shared" ref="N184:O184" si="13">N183+1</f>
        <v>5</v>
      </c>
      <c r="O184" s="41">
        <f t="shared" ca="1" si="13"/>
        <v>4705</v>
      </c>
    </row>
    <row r="185" spans="1:16" s="41" customFormat="1">
      <c r="A185" s="95">
        <v>6</v>
      </c>
      <c r="B185" s="94" t="s">
        <v>171</v>
      </c>
      <c r="C185" s="95" t="s">
        <v>189</v>
      </c>
      <c r="D185" s="95">
        <f>(33.23+0.9*2.75+0.75*(2.75+2.3+2.75))*10.764</f>
        <v>447.29801999999995</v>
      </c>
      <c r="E185" s="95">
        <v>0</v>
      </c>
      <c r="F185" s="95">
        <f t="shared" si="11"/>
        <v>670.94702999999993</v>
      </c>
      <c r="G185" s="115"/>
      <c r="H185" s="116"/>
      <c r="I185" s="98"/>
      <c r="L185" s="41">
        <f t="shared" ca="1" si="10"/>
        <v>4706</v>
      </c>
      <c r="N185" s="98">
        <f>N184+1</f>
        <v>6</v>
      </c>
      <c r="O185" s="41">
        <f t="shared" ref="O185" ca="1" si="14">O184+1</f>
        <v>4706</v>
      </c>
    </row>
    <row r="186" spans="1:16" s="41" customFormat="1">
      <c r="A186" s="95">
        <v>7</v>
      </c>
      <c r="B186" s="94" t="s">
        <v>171</v>
      </c>
      <c r="C186" s="95" t="s">
        <v>189</v>
      </c>
      <c r="D186" s="95">
        <f>(33.23+0.9*2.75+0.75*(2.75+2.3+2.75))*10.764</f>
        <v>447.29801999999995</v>
      </c>
      <c r="E186" s="95">
        <v>0</v>
      </c>
      <c r="F186" s="95">
        <f t="shared" si="11"/>
        <v>670.94702999999993</v>
      </c>
      <c r="G186" s="115"/>
      <c r="H186" s="116"/>
      <c r="I186" s="98"/>
      <c r="L186" s="41">
        <f t="shared" ca="1" si="10"/>
        <v>4707</v>
      </c>
      <c r="N186" s="98">
        <f t="shared" ref="N186:O187" si="15">N185+1</f>
        <v>7</v>
      </c>
      <c r="O186" s="41">
        <f t="shared" ca="1" si="15"/>
        <v>4707</v>
      </c>
    </row>
    <row r="187" spans="1:16" s="41" customFormat="1">
      <c r="A187" s="95">
        <v>8</v>
      </c>
      <c r="B187" s="94" t="s">
        <v>171</v>
      </c>
      <c r="C187" s="95" t="s">
        <v>187</v>
      </c>
      <c r="D187" s="95">
        <f>(41.14+0.9*2.75+1*2.75+0.75*(2.75+2.3+2.75))*10.764</f>
        <v>562.04226000000006</v>
      </c>
      <c r="E187" s="95">
        <v>0</v>
      </c>
      <c r="F187" s="95">
        <f t="shared" si="11"/>
        <v>843.06339000000003</v>
      </c>
      <c r="G187" s="117"/>
      <c r="H187" s="118"/>
      <c r="I187" s="98"/>
      <c r="L187" s="41">
        <f t="shared" ca="1" si="10"/>
        <v>4708</v>
      </c>
      <c r="N187" s="98">
        <f>N186+1</f>
        <v>8</v>
      </c>
      <c r="O187" s="41">
        <f t="shared" ca="1" si="15"/>
        <v>4708</v>
      </c>
    </row>
    <row r="188" spans="1:16" s="41" customFormat="1">
      <c r="A188" s="162" t="s">
        <v>192</v>
      </c>
      <c r="B188" s="162"/>
      <c r="C188" s="162"/>
      <c r="D188" s="162"/>
      <c r="E188" s="162"/>
      <c r="F188" s="162"/>
      <c r="G188" s="162"/>
      <c r="H188" s="162"/>
      <c r="I188" s="98"/>
      <c r="L188" s="163"/>
      <c r="M188" s="163"/>
    </row>
    <row r="189" spans="1:16" s="41" customFormat="1">
      <c r="A189" s="95">
        <v>1</v>
      </c>
      <c r="B189" s="94" t="s">
        <v>171</v>
      </c>
      <c r="C189" s="95" t="s">
        <v>187</v>
      </c>
      <c r="D189" s="95">
        <f>(41+0.9*2.75+1.05*2.75+0.75*(2.75+2.3+2.75))*10.764</f>
        <v>562.01535000000001</v>
      </c>
      <c r="E189" s="95">
        <v>0</v>
      </c>
      <c r="F189" s="95">
        <f>D189*(($F$158)+1)+E189</f>
        <v>843.02302499999996</v>
      </c>
      <c r="G189" s="113" t="str">
        <f>A188</f>
        <v>8th &amp; 12th Floor (Part Refuge Area)</v>
      </c>
      <c r="H189" s="114"/>
      <c r="I189" s="98"/>
      <c r="L189" s="41">
        <f t="shared" ref="L189:L196" ca="1" si="16">O189</f>
        <v>801</v>
      </c>
      <c r="N189" s="98">
        <v>1</v>
      </c>
      <c r="O189" s="41">
        <f ca="1">(SUMPRODUCT(MID(0&amp;P189,LARGE(INDEX(ISNUMBER(--MID(P189,ROW(INDIRECT("1:"&amp;LEN(P189))),1))*ROW(INDIRECT("1:"&amp;LEN(P189))),0),ROW(INDIRECT("1:"&amp;LEN(P189))))+1,1)*10^ROW(INDIRECT("1:"&amp;LEN(P189)))/10))*N189*100+1</f>
        <v>801</v>
      </c>
      <c r="P189" s="41" t="str">
        <f>LEFT(A188,SUM(LEN(A188)-LEN(SUBSTITUTE(A188,{"0","1","2","3","4","5","6","7","8","9"},""))))</f>
        <v>8th</v>
      </c>
    </row>
    <row r="190" spans="1:16" s="41" customFormat="1">
      <c r="A190" s="95">
        <v>2</v>
      </c>
      <c r="B190" s="96" t="s">
        <v>193</v>
      </c>
      <c r="C190" s="165" t="s">
        <v>194</v>
      </c>
      <c r="D190" s="166"/>
      <c r="E190" s="166"/>
      <c r="F190" s="167"/>
      <c r="G190" s="115"/>
      <c r="H190" s="116"/>
      <c r="I190" s="98"/>
      <c r="L190" s="41">
        <f t="shared" ca="1" si="16"/>
        <v>802</v>
      </c>
      <c r="N190" s="98">
        <f>N189+1</f>
        <v>2</v>
      </c>
      <c r="O190" s="41">
        <f ca="1">O189+1</f>
        <v>802</v>
      </c>
    </row>
    <row r="191" spans="1:16" s="41" customFormat="1">
      <c r="A191" s="95">
        <v>3</v>
      </c>
      <c r="B191" s="94" t="s">
        <v>171</v>
      </c>
      <c r="C191" s="95" t="s">
        <v>189</v>
      </c>
      <c r="D191" s="95">
        <f>(32.81+0.9*2.75+0.75*(2.75+2.3+2.75))*10.764</f>
        <v>442.77714000000003</v>
      </c>
      <c r="E191" s="95">
        <v>0</v>
      </c>
      <c r="F191" s="95">
        <f t="shared" ref="F191:F196" si="17">D191*(($F$158)+1)+E191</f>
        <v>664.16570999999999</v>
      </c>
      <c r="G191" s="115"/>
      <c r="H191" s="116"/>
      <c r="I191" s="98"/>
      <c r="L191" s="41">
        <f t="shared" ca="1" si="16"/>
        <v>803</v>
      </c>
      <c r="N191" s="98">
        <f>N190+1</f>
        <v>3</v>
      </c>
      <c r="O191" s="41">
        <f ca="1">O190+1</f>
        <v>803</v>
      </c>
    </row>
    <row r="192" spans="1:16" s="41" customFormat="1">
      <c r="A192" s="95">
        <v>4</v>
      </c>
      <c r="B192" s="94" t="s">
        <v>171</v>
      </c>
      <c r="C192" s="95" t="s">
        <v>187</v>
      </c>
      <c r="D192" s="95">
        <f>(41+0.9*2.75+1.05*2.75+0.75*(2.75+2.3+2.75))*10.764</f>
        <v>562.01535000000001</v>
      </c>
      <c r="E192" s="95">
        <v>0</v>
      </c>
      <c r="F192" s="95">
        <f t="shared" si="17"/>
        <v>843.02302499999996</v>
      </c>
      <c r="G192" s="115"/>
      <c r="H192" s="116"/>
      <c r="I192" s="98"/>
      <c r="L192" s="41">
        <f t="shared" ca="1" si="16"/>
        <v>804</v>
      </c>
      <c r="N192" s="98">
        <f t="shared" ref="N192:O192" si="18">N191+1</f>
        <v>4</v>
      </c>
      <c r="O192" s="41">
        <f t="shared" ca="1" si="18"/>
        <v>804</v>
      </c>
    </row>
    <row r="193" spans="1:17" s="41" customFormat="1">
      <c r="A193" s="95">
        <v>5</v>
      </c>
      <c r="B193" s="94" t="s">
        <v>171</v>
      </c>
      <c r="C193" s="95" t="s">
        <v>187</v>
      </c>
      <c r="D193" s="95">
        <f>(41.14+0.9*2.75+1*2.75+0.75*(2.75+2.3+2.75))*10.764</f>
        <v>562.04226000000006</v>
      </c>
      <c r="E193" s="95">
        <v>0</v>
      </c>
      <c r="F193" s="95">
        <f t="shared" si="17"/>
        <v>843.06339000000003</v>
      </c>
      <c r="G193" s="115"/>
      <c r="H193" s="116"/>
      <c r="I193" s="98"/>
      <c r="L193" s="41">
        <f t="shared" ca="1" si="16"/>
        <v>805</v>
      </c>
      <c r="N193" s="98">
        <f t="shared" ref="N193:O193" si="19">N192+1</f>
        <v>5</v>
      </c>
      <c r="O193" s="41">
        <f t="shared" ca="1" si="19"/>
        <v>805</v>
      </c>
    </row>
    <row r="194" spans="1:17" s="41" customFormat="1">
      <c r="A194" s="95">
        <v>6</v>
      </c>
      <c r="B194" s="94" t="s">
        <v>171</v>
      </c>
      <c r="C194" s="95" t="s">
        <v>189</v>
      </c>
      <c r="D194" s="95">
        <f>(33.23+0.9*2.75+0.75*(2.75+2.3+2.75))*10.764</f>
        <v>447.29801999999995</v>
      </c>
      <c r="E194" s="95">
        <v>0</v>
      </c>
      <c r="F194" s="95">
        <f t="shared" si="17"/>
        <v>670.94702999999993</v>
      </c>
      <c r="G194" s="115"/>
      <c r="H194" s="116"/>
      <c r="I194" s="98"/>
      <c r="L194" s="41">
        <f t="shared" ca="1" si="16"/>
        <v>806</v>
      </c>
      <c r="N194" s="98">
        <f>N193+1</f>
        <v>6</v>
      </c>
      <c r="O194" s="41">
        <f t="shared" ref="O194" ca="1" si="20">O193+1</f>
        <v>806</v>
      </c>
    </row>
    <row r="195" spans="1:17" s="41" customFormat="1">
      <c r="A195" s="95">
        <v>7</v>
      </c>
      <c r="B195" s="94" t="s">
        <v>171</v>
      </c>
      <c r="C195" s="95" t="s">
        <v>189</v>
      </c>
      <c r="D195" s="95">
        <f>(33.23+0.9*2.75+0.75*(2.75+2.3+2.75))*10.764</f>
        <v>447.29801999999995</v>
      </c>
      <c r="E195" s="95">
        <v>0</v>
      </c>
      <c r="F195" s="95">
        <f t="shared" si="17"/>
        <v>670.94702999999993</v>
      </c>
      <c r="G195" s="115"/>
      <c r="H195" s="116"/>
      <c r="I195" s="98"/>
      <c r="L195" s="41">
        <f t="shared" ca="1" si="16"/>
        <v>807</v>
      </c>
      <c r="N195" s="98">
        <f t="shared" ref="N195:O196" si="21">N194+1</f>
        <v>7</v>
      </c>
      <c r="O195" s="41">
        <f t="shared" ca="1" si="21"/>
        <v>807</v>
      </c>
    </row>
    <row r="196" spans="1:17" s="41" customFormat="1">
      <c r="A196" s="95">
        <v>8</v>
      </c>
      <c r="B196" s="94" t="s">
        <v>171</v>
      </c>
      <c r="C196" s="95" t="s">
        <v>187</v>
      </c>
      <c r="D196" s="95">
        <f>(41.14+0.9*2.75+1*2.75+0.75*(2.75+2.3+2.75))*10.764</f>
        <v>562.04226000000006</v>
      </c>
      <c r="E196" s="95">
        <v>0</v>
      </c>
      <c r="F196" s="95">
        <f t="shared" si="17"/>
        <v>843.06339000000003</v>
      </c>
      <c r="G196" s="117"/>
      <c r="H196" s="118"/>
      <c r="I196" s="98"/>
      <c r="L196" s="41">
        <f t="shared" ca="1" si="16"/>
        <v>808</v>
      </c>
      <c r="N196" s="98">
        <f>N195+1</f>
        <v>8</v>
      </c>
      <c r="O196" s="41">
        <f t="shared" ca="1" si="21"/>
        <v>808</v>
      </c>
    </row>
    <row r="197" spans="1:17" s="41" customFormat="1" hidden="1">
      <c r="A197" s="168" t="s">
        <v>195</v>
      </c>
      <c r="B197" s="169"/>
      <c r="C197" s="169"/>
      <c r="D197" s="169"/>
      <c r="E197" s="169"/>
      <c r="F197" s="169"/>
      <c r="G197" s="169"/>
      <c r="H197" s="170"/>
      <c r="I197" s="98"/>
      <c r="O197" s="41" t="str">
        <f>MID(A197,1,3)</f>
        <v>4th</v>
      </c>
      <c r="P197" s="41">
        <f ca="1">--TRIM(RIGHT(SUBSTITUTE(LEFT(A197,_xlfn.AGGREGATE(14,6,FIND({0,1,2,3,4,5,6,7,8,9},A197,ROW(INDIRECT("1:"&amp;LEN(A197)))),1))," ",REPT(" ",LEN(A197))),LEN(A197)))</f>
        <v>11</v>
      </c>
    </row>
    <row r="198" spans="1:17" s="41" customFormat="1" ht="15.75" hidden="1" customHeight="1">
      <c r="A198" s="157">
        <v>1</v>
      </c>
      <c r="B198" s="158"/>
      <c r="C198" s="95" t="s">
        <v>187</v>
      </c>
      <c r="D198" s="95">
        <f>(41+(2.75+2.75+2.3))*10.764</f>
        <v>525.28319999999997</v>
      </c>
      <c r="E198" s="95">
        <v>0</v>
      </c>
      <c r="F198" s="95">
        <f t="shared" ref="F198:F203" si="22">D198*(($F$158)+1)+E198</f>
        <v>787.9248</v>
      </c>
      <c r="G198" s="113" t="str">
        <f>A197</f>
        <v>4th to 7th, 9th to 11th Floor</v>
      </c>
      <c r="H198" s="114"/>
      <c r="I198" s="98"/>
      <c r="L198" s="41" t="str">
        <f ca="1">O198&amp;""&amp;M198&amp;""&amp;P198</f>
        <v>401 to 1101</v>
      </c>
      <c r="M198" s="41" t="s">
        <v>196</v>
      </c>
      <c r="N198" s="98">
        <v>1</v>
      </c>
      <c r="O198" s="41">
        <f ca="1">(SUMPRODUCT(MID(0&amp;O197,LARGE(INDEX(ISNUMBER(--MID(O197,ROW(INDIRECT("1:"&amp;LEN(O197))),1))*ROW(INDIRECT("1:"&amp;LEN(O197))),0),ROW(INDIRECT("1:"&amp;LEN(O197))))+1,1)*10^ROW(INDIRECT("1:"&amp;LEN(O197)))/10))*N198*100+1</f>
        <v>401</v>
      </c>
      <c r="P198" s="41">
        <f ca="1">(SUMPRODUCT(MID(0&amp;P197,LARGE(INDEX(ISNUMBER(--MID(P197,ROW(INDIRECT("1:"&amp;LEN(P197))),1))*ROW(INDIRECT("1:"&amp;LEN(P197))),0),ROW(INDIRECT("1:"&amp;LEN(P197))))+1,1)*10^ROW(INDIRECT("1:"&amp;LEN(P197)))/10))*N198*100+1</f>
        <v>1101</v>
      </c>
    </row>
    <row r="199" spans="1:17" s="41" customFormat="1" ht="15.75" hidden="1" customHeight="1">
      <c r="A199" s="157">
        <v>2</v>
      </c>
      <c r="B199" s="158"/>
      <c r="C199" s="95" t="s">
        <v>189</v>
      </c>
      <c r="D199" s="95">
        <f>(32.81+(2.75+2.75+2.3))*10.764</f>
        <v>437.12603999999999</v>
      </c>
      <c r="E199" s="95">
        <v>0</v>
      </c>
      <c r="F199" s="95">
        <f t="shared" si="22"/>
        <v>655.68905999999993</v>
      </c>
      <c r="G199" s="115"/>
      <c r="H199" s="116"/>
      <c r="I199" s="98"/>
      <c r="L199" s="41" t="str">
        <f t="shared" ref="L199:L203" ca="1" si="23">O199&amp;""&amp;M199&amp;""&amp;P199</f>
        <v>402 to 1102</v>
      </c>
      <c r="M199" s="41" t="s">
        <v>196</v>
      </c>
      <c r="N199" s="98">
        <f t="shared" ref="N199:P203" si="24">N198+1</f>
        <v>2</v>
      </c>
      <c r="O199" s="41">
        <f t="shared" ca="1" si="24"/>
        <v>402</v>
      </c>
      <c r="P199" s="41">
        <f t="shared" ca="1" si="24"/>
        <v>1102</v>
      </c>
    </row>
    <row r="200" spans="1:17" s="41" customFormat="1" ht="15.75" hidden="1" customHeight="1">
      <c r="A200" s="157">
        <v>3</v>
      </c>
      <c r="B200" s="158"/>
      <c r="C200" s="95" t="s">
        <v>189</v>
      </c>
      <c r="D200" s="95">
        <f>(32.81+(2.75+2.75+2.3))*10.764</f>
        <v>437.12603999999999</v>
      </c>
      <c r="E200" s="95">
        <v>0</v>
      </c>
      <c r="F200" s="95">
        <f t="shared" si="22"/>
        <v>655.68905999999993</v>
      </c>
      <c r="G200" s="115"/>
      <c r="H200" s="116"/>
      <c r="I200" s="98"/>
      <c r="L200" s="41" t="str">
        <f t="shared" ca="1" si="23"/>
        <v>403 to 1103</v>
      </c>
      <c r="M200" s="41" t="s">
        <v>196</v>
      </c>
      <c r="N200" s="98">
        <f t="shared" si="24"/>
        <v>3</v>
      </c>
      <c r="O200" s="41">
        <f t="shared" ca="1" si="24"/>
        <v>403</v>
      </c>
      <c r="P200" s="41">
        <f t="shared" ca="1" si="24"/>
        <v>1103</v>
      </c>
    </row>
    <row r="201" spans="1:17" s="41" customFormat="1" ht="15.75" hidden="1" customHeight="1">
      <c r="A201" s="157">
        <v>4</v>
      </c>
      <c r="B201" s="158"/>
      <c r="C201" s="95" t="s">
        <v>187</v>
      </c>
      <c r="D201" s="95">
        <f>(41+(2.75+2.75+2.3))*10.764</f>
        <v>525.28319999999997</v>
      </c>
      <c r="E201" s="95">
        <v>0</v>
      </c>
      <c r="F201" s="95">
        <f t="shared" si="22"/>
        <v>787.9248</v>
      </c>
      <c r="G201" s="115"/>
      <c r="H201" s="116"/>
      <c r="I201" s="98"/>
      <c r="L201" s="41" t="str">
        <f t="shared" ca="1" si="23"/>
        <v>404 to 1104</v>
      </c>
      <c r="M201" s="41" t="s">
        <v>196</v>
      </c>
      <c r="N201" s="98">
        <f t="shared" si="24"/>
        <v>4</v>
      </c>
      <c r="O201" s="41">
        <f t="shared" ca="1" si="24"/>
        <v>404</v>
      </c>
      <c r="P201" s="41">
        <f t="shared" ca="1" si="24"/>
        <v>1104</v>
      </c>
    </row>
    <row r="202" spans="1:17" s="41" customFormat="1" ht="15.75" hidden="1" customHeight="1">
      <c r="A202" s="157">
        <v>5</v>
      </c>
      <c r="B202" s="158"/>
      <c r="C202" s="95" t="s">
        <v>187</v>
      </c>
      <c r="D202" s="95">
        <f>(41.14+(2.75+2.75+2.3))*10.764</f>
        <v>526.7901599999999</v>
      </c>
      <c r="E202" s="95">
        <v>0</v>
      </c>
      <c r="F202" s="95">
        <f t="shared" si="22"/>
        <v>790.18523999999979</v>
      </c>
      <c r="G202" s="115"/>
      <c r="H202" s="116"/>
      <c r="I202" s="98"/>
      <c r="L202" s="41" t="str">
        <f t="shared" ca="1" si="23"/>
        <v>405 to 1105</v>
      </c>
      <c r="M202" s="41" t="s">
        <v>196</v>
      </c>
      <c r="N202" s="98">
        <f t="shared" si="24"/>
        <v>5</v>
      </c>
      <c r="O202" s="41">
        <f t="shared" ca="1" si="24"/>
        <v>405</v>
      </c>
      <c r="P202" s="41">
        <f t="shared" ca="1" si="24"/>
        <v>1105</v>
      </c>
    </row>
    <row r="203" spans="1:17" s="41" customFormat="1" ht="15.75" hidden="1" customHeight="1">
      <c r="A203" s="157">
        <v>6</v>
      </c>
      <c r="B203" s="158"/>
      <c r="C203" s="95" t="s">
        <v>189</v>
      </c>
      <c r="D203" s="95">
        <f>(33.23+(2.75+2.75+2.3))*10.764</f>
        <v>441.64691999999991</v>
      </c>
      <c r="E203" s="95">
        <v>0</v>
      </c>
      <c r="F203" s="95">
        <f t="shared" si="22"/>
        <v>662.47037999999986</v>
      </c>
      <c r="G203" s="115"/>
      <c r="H203" s="116"/>
      <c r="I203" s="98"/>
      <c r="L203" s="41" t="str">
        <f t="shared" ca="1" si="23"/>
        <v>406 to 1106</v>
      </c>
      <c r="M203" s="41" t="s">
        <v>196</v>
      </c>
      <c r="N203" s="98">
        <f t="shared" si="24"/>
        <v>6</v>
      </c>
      <c r="O203" s="41">
        <f t="shared" ca="1" si="24"/>
        <v>406</v>
      </c>
      <c r="P203" s="41">
        <f t="shared" ca="1" si="24"/>
        <v>1106</v>
      </c>
    </row>
    <row r="204" spans="1:17" s="41" customFormat="1" ht="15.75" hidden="1" customHeight="1">
      <c r="A204" s="157">
        <v>7</v>
      </c>
      <c r="B204" s="158"/>
      <c r="C204" s="95" t="s">
        <v>189</v>
      </c>
      <c r="D204" s="95">
        <f>(33.25+(2.75+2.75+2.3))*10.764</f>
        <v>441.86219999999992</v>
      </c>
      <c r="E204" s="95">
        <v>0</v>
      </c>
      <c r="F204" s="95">
        <f t="shared" ref="F204:F205" si="25">D204*(($F$158)+1)+E204</f>
        <v>662.79329999999982</v>
      </c>
      <c r="G204" s="115"/>
      <c r="H204" s="116"/>
      <c r="I204" s="98"/>
      <c r="L204" s="41" t="str">
        <f t="shared" ref="L204:L205" ca="1" si="26">O204&amp;""&amp;M204&amp;""&amp;P204</f>
        <v>407 to 1107</v>
      </c>
      <c r="M204" s="41" t="s">
        <v>196</v>
      </c>
      <c r="N204" s="98">
        <f t="shared" ref="N204:P204" si="27">N203+1</f>
        <v>7</v>
      </c>
      <c r="O204" s="41">
        <f t="shared" ca="1" si="27"/>
        <v>407</v>
      </c>
      <c r="P204" s="41">
        <f t="shared" ca="1" si="27"/>
        <v>1107</v>
      </c>
    </row>
    <row r="205" spans="1:17" s="41" customFormat="1" ht="15.75" hidden="1" customHeight="1">
      <c r="A205" s="157">
        <v>8</v>
      </c>
      <c r="B205" s="158"/>
      <c r="C205" s="95" t="s">
        <v>187</v>
      </c>
      <c r="D205" s="95">
        <f>(41.14+(2.75+2.75+2.3))*10.764</f>
        <v>526.7901599999999</v>
      </c>
      <c r="E205" s="95">
        <v>0</v>
      </c>
      <c r="F205" s="95">
        <f t="shared" si="25"/>
        <v>790.18523999999979</v>
      </c>
      <c r="G205" s="117"/>
      <c r="H205" s="118"/>
      <c r="I205" s="98"/>
      <c r="L205" s="41" t="str">
        <f t="shared" ca="1" si="26"/>
        <v>408 to 1108</v>
      </c>
      <c r="M205" s="41" t="s">
        <v>196</v>
      </c>
      <c r="N205" s="98">
        <f t="shared" ref="N205:P205" si="28">N204+1</f>
        <v>8</v>
      </c>
      <c r="O205" s="41">
        <f t="shared" ca="1" si="28"/>
        <v>408</v>
      </c>
      <c r="P205" s="41">
        <f t="shared" ca="1" si="28"/>
        <v>1108</v>
      </c>
    </row>
    <row r="206" spans="1:17" s="41" customFormat="1" hidden="1">
      <c r="A206" s="162" t="s">
        <v>197</v>
      </c>
      <c r="B206" s="162"/>
      <c r="C206" s="162"/>
      <c r="D206" s="162"/>
      <c r="E206" s="162"/>
      <c r="F206" s="162"/>
      <c r="G206" s="162"/>
      <c r="H206" s="162"/>
      <c r="I206" s="98"/>
      <c r="K206" s="41">
        <f>2.75*3.5+2.3*3.05+2.75*3.05+1.2*2+2*1.25</f>
        <v>29.927499999999998</v>
      </c>
      <c r="L206" s="163"/>
      <c r="M206" s="163"/>
      <c r="Q206" s="41">
        <f>2.75*0.9</f>
        <v>2.4750000000000001</v>
      </c>
    </row>
    <row r="207" spans="1:17" s="41" customFormat="1" ht="15.75" hidden="1" customHeight="1">
      <c r="A207" s="157">
        <v>1</v>
      </c>
      <c r="B207" s="158"/>
      <c r="C207" s="95" t="s">
        <v>187</v>
      </c>
      <c r="D207" s="95">
        <f>(41+(2.75+2.75+2.3))*10.764</f>
        <v>525.28319999999997</v>
      </c>
      <c r="E207" s="95">
        <v>0</v>
      </c>
      <c r="F207" s="95">
        <f>D207*(($F$158)+1)+E207</f>
        <v>787.9248</v>
      </c>
      <c r="G207" s="113" t="str">
        <f>A206</f>
        <v>8th Floor (Part Refuge Area)</v>
      </c>
      <c r="H207" s="114"/>
      <c r="I207" s="98"/>
      <c r="L207" s="41">
        <f t="shared" ref="L207:L214" ca="1" si="29">O207</f>
        <v>801</v>
      </c>
      <c r="N207" s="98">
        <v>1</v>
      </c>
      <c r="O207" s="41">
        <f ca="1">(SUMPRODUCT(MID(0&amp;P207,LARGE(INDEX(ISNUMBER(--MID(P207,ROW(INDIRECT("1:"&amp;LEN(P207))),1))*ROW(INDIRECT("1:"&amp;LEN(P207))),0),ROW(INDIRECT("1:"&amp;LEN(P207))))+1,1)*10^ROW(INDIRECT("1:"&amp;LEN(P207)))/10))*N207*100+1</f>
        <v>801</v>
      </c>
      <c r="P207" s="41" t="str">
        <f>LEFT(A206,SUM(LEN(A206)-LEN(SUBSTITUTE(A206,{"0","1","2","3","4","5","6","7","8","9"},""))))</f>
        <v>8</v>
      </c>
    </row>
    <row r="208" spans="1:17" s="41" customFormat="1" ht="15.75" hidden="1" customHeight="1">
      <c r="A208" s="157">
        <v>2</v>
      </c>
      <c r="B208" s="158" t="s">
        <v>171</v>
      </c>
      <c r="C208" s="157" t="s">
        <v>194</v>
      </c>
      <c r="D208" s="164"/>
      <c r="E208" s="164"/>
      <c r="F208" s="158"/>
      <c r="G208" s="115"/>
      <c r="H208" s="116"/>
      <c r="I208" s="98"/>
      <c r="L208" s="41">
        <f t="shared" ca="1" si="29"/>
        <v>802</v>
      </c>
      <c r="N208" s="98">
        <f>N207+1</f>
        <v>2</v>
      </c>
      <c r="O208" s="41">
        <f ca="1">O207+1</f>
        <v>802</v>
      </c>
    </row>
    <row r="209" spans="1:16" s="41" customFormat="1" ht="15.75" hidden="1" customHeight="1">
      <c r="A209" s="157">
        <v>3</v>
      </c>
      <c r="B209" s="158"/>
      <c r="C209" s="95" t="s">
        <v>189</v>
      </c>
      <c r="D209" s="95">
        <f>(32.81+(2.75+2.75+2.3))*10.764</f>
        <v>437.12603999999999</v>
      </c>
      <c r="E209" s="95">
        <v>0</v>
      </c>
      <c r="F209" s="95">
        <f t="shared" ref="F209:F214" si="30">D209*(($F$158)+1)+E209</f>
        <v>655.68905999999993</v>
      </c>
      <c r="G209" s="115"/>
      <c r="H209" s="116"/>
      <c r="I209" s="98"/>
      <c r="L209" s="41">
        <f t="shared" ca="1" si="29"/>
        <v>803</v>
      </c>
      <c r="N209" s="98">
        <f>N208+1</f>
        <v>3</v>
      </c>
      <c r="O209" s="41">
        <f ca="1">O208+1</f>
        <v>803</v>
      </c>
    </row>
    <row r="210" spans="1:16" s="41" customFormat="1" ht="15.75" hidden="1" customHeight="1">
      <c r="A210" s="157">
        <v>4</v>
      </c>
      <c r="B210" s="158" t="s">
        <v>171</v>
      </c>
      <c r="C210" s="95" t="s">
        <v>187</v>
      </c>
      <c r="D210" s="95">
        <f>(41+(2.75+2.75+2.3))*10.764</f>
        <v>525.28319999999997</v>
      </c>
      <c r="E210" s="95">
        <v>0</v>
      </c>
      <c r="F210" s="95">
        <f t="shared" si="30"/>
        <v>787.9248</v>
      </c>
      <c r="G210" s="115"/>
      <c r="H210" s="116"/>
      <c r="I210" s="98"/>
      <c r="L210" s="41">
        <f t="shared" ca="1" si="29"/>
        <v>804</v>
      </c>
      <c r="N210" s="98">
        <f t="shared" ref="N210:O210" si="31">N209+1</f>
        <v>4</v>
      </c>
      <c r="O210" s="41">
        <f t="shared" ca="1" si="31"/>
        <v>804</v>
      </c>
    </row>
    <row r="211" spans="1:16" s="41" customFormat="1" ht="15.75" hidden="1" customHeight="1">
      <c r="A211" s="157">
        <v>5</v>
      </c>
      <c r="B211" s="158"/>
      <c r="C211" s="95" t="s">
        <v>187</v>
      </c>
      <c r="D211" s="95">
        <f>(41.14+(2.75+2.75+2.3))*10.764</f>
        <v>526.7901599999999</v>
      </c>
      <c r="E211" s="95">
        <v>0</v>
      </c>
      <c r="F211" s="95">
        <f t="shared" si="30"/>
        <v>790.18523999999979</v>
      </c>
      <c r="G211" s="115"/>
      <c r="H211" s="116"/>
      <c r="I211" s="98"/>
      <c r="L211" s="41">
        <f t="shared" ca="1" si="29"/>
        <v>805</v>
      </c>
      <c r="N211" s="98">
        <f t="shared" ref="N211:O211" si="32">N210+1</f>
        <v>5</v>
      </c>
      <c r="O211" s="41">
        <f t="shared" ca="1" si="32"/>
        <v>805</v>
      </c>
    </row>
    <row r="212" spans="1:16" s="41" customFormat="1" ht="15.75" hidden="1" customHeight="1">
      <c r="A212" s="157">
        <v>6</v>
      </c>
      <c r="B212" s="158" t="s">
        <v>171</v>
      </c>
      <c r="C212" s="95" t="s">
        <v>189</v>
      </c>
      <c r="D212" s="95">
        <f>(33.23+(2.75+2.75+2.3))*10.764</f>
        <v>441.64691999999991</v>
      </c>
      <c r="E212" s="95">
        <v>0</v>
      </c>
      <c r="F212" s="95">
        <f t="shared" si="30"/>
        <v>662.47037999999986</v>
      </c>
      <c r="G212" s="115"/>
      <c r="H212" s="116"/>
      <c r="I212" s="98"/>
      <c r="L212" s="41">
        <f t="shared" ca="1" si="29"/>
        <v>806</v>
      </c>
      <c r="N212" s="98">
        <f>N211+1</f>
        <v>6</v>
      </c>
      <c r="O212" s="41">
        <f t="shared" ref="O212" ca="1" si="33">O211+1</f>
        <v>806</v>
      </c>
    </row>
    <row r="213" spans="1:16" s="41" customFormat="1" ht="15.75" hidden="1" customHeight="1">
      <c r="A213" s="157">
        <v>7</v>
      </c>
      <c r="B213" s="158"/>
      <c r="C213" s="95" t="s">
        <v>189</v>
      </c>
      <c r="D213" s="95">
        <f>(33.25+(2.75+2.75+2.3))*10.764</f>
        <v>441.86219999999992</v>
      </c>
      <c r="E213" s="95">
        <v>0</v>
      </c>
      <c r="F213" s="95">
        <f t="shared" si="30"/>
        <v>662.79329999999982</v>
      </c>
      <c r="G213" s="115"/>
      <c r="H213" s="116"/>
      <c r="I213" s="98"/>
      <c r="L213" s="41">
        <f t="shared" ca="1" si="29"/>
        <v>807</v>
      </c>
      <c r="N213" s="98">
        <f t="shared" ref="N213:O213" si="34">N212+1</f>
        <v>7</v>
      </c>
      <c r="O213" s="41">
        <f t="shared" ca="1" si="34"/>
        <v>807</v>
      </c>
    </row>
    <row r="214" spans="1:16" s="41" customFormat="1" ht="15.75" hidden="1" customHeight="1">
      <c r="A214" s="157">
        <v>8</v>
      </c>
      <c r="B214" s="158" t="s">
        <v>171</v>
      </c>
      <c r="C214" s="95" t="s">
        <v>187</v>
      </c>
      <c r="D214" s="95">
        <f>(41.14+(2.75+2.75+2.3))*10.764</f>
        <v>526.7901599999999</v>
      </c>
      <c r="E214" s="95">
        <v>0</v>
      </c>
      <c r="F214" s="95">
        <f t="shared" si="30"/>
        <v>790.18523999999979</v>
      </c>
      <c r="G214" s="117"/>
      <c r="H214" s="118"/>
      <c r="I214" s="98"/>
      <c r="L214" s="41">
        <f t="shared" ca="1" si="29"/>
        <v>808</v>
      </c>
      <c r="N214" s="98">
        <f>N213+1</f>
        <v>8</v>
      </c>
      <c r="O214" s="41">
        <f t="shared" ref="O214" ca="1" si="35">O213+1</f>
        <v>808</v>
      </c>
    </row>
    <row r="215" spans="1:16" s="41" customFormat="1">
      <c r="A215" s="162" t="s">
        <v>172</v>
      </c>
      <c r="B215" s="162"/>
      <c r="C215" s="162"/>
      <c r="D215" s="162"/>
      <c r="E215" s="162"/>
      <c r="F215" s="162"/>
      <c r="G215" s="162"/>
      <c r="H215" s="162"/>
      <c r="I215" s="98"/>
      <c r="L215" s="163"/>
      <c r="M215" s="163"/>
    </row>
    <row r="216" spans="1:16" s="41" customFormat="1">
      <c r="A216" s="162" t="s">
        <v>185</v>
      </c>
      <c r="B216" s="162"/>
      <c r="C216" s="162"/>
      <c r="D216" s="162"/>
      <c r="E216" s="162"/>
      <c r="F216" s="162"/>
      <c r="G216" s="162"/>
      <c r="H216" s="162"/>
      <c r="I216" s="98"/>
      <c r="L216" s="163"/>
      <c r="M216" s="163"/>
    </row>
    <row r="217" spans="1:16" s="41" customFormat="1">
      <c r="A217" s="162" t="s">
        <v>198</v>
      </c>
      <c r="B217" s="162"/>
      <c r="C217" s="162"/>
      <c r="D217" s="162"/>
      <c r="E217" s="162"/>
      <c r="F217" s="162"/>
      <c r="G217" s="162"/>
      <c r="H217" s="162"/>
      <c r="I217" s="98"/>
      <c r="O217" s="41" t="str">
        <f>MID(A217,1,3)</f>
        <v>1st</v>
      </c>
      <c r="P217" s="41">
        <f ca="1">--TRIM(RIGHT(SUBSTITUTE(LEFT(A217,_xlfn.AGGREGATE(14,6,FIND({0,1,2,3,4,5,6,7,8,9},A217,ROW(INDIRECT("1:"&amp;LEN(A217)))),1))," ",REPT(" ",LEN(A217))),LEN(A217)))</f>
        <v>14</v>
      </c>
    </row>
    <row r="218" spans="1:16" s="41" customFormat="1" ht="15.75" customHeight="1">
      <c r="A218" s="119">
        <v>1</v>
      </c>
      <c r="B218" s="119"/>
      <c r="C218" s="95" t="s">
        <v>187</v>
      </c>
      <c r="D218" s="95">
        <f>(40.73+(2.75+2.75+2.3))*10.764</f>
        <v>522.37691999999993</v>
      </c>
      <c r="E218" s="95">
        <v>0</v>
      </c>
      <c r="F218" s="95">
        <f t="shared" ref="F218:F221" si="36">D218*(($F$158)+1)+E218</f>
        <v>783.56537999999989</v>
      </c>
      <c r="G218" s="119" t="str">
        <f>A217</f>
        <v>1st to 7th, 9th to 11th, 13th to 14thFloor</v>
      </c>
      <c r="H218" s="119"/>
      <c r="I218" s="98"/>
      <c r="L218" s="41" t="str">
        <f ca="1">O218&amp;""&amp;M218&amp;""&amp;P218</f>
        <v>101 to 1401</v>
      </c>
      <c r="M218" s="41" t="s">
        <v>196</v>
      </c>
      <c r="N218" s="98">
        <v>1</v>
      </c>
      <c r="O218" s="41">
        <f ca="1">(SUMPRODUCT(MID(0&amp;O217,LARGE(INDEX(ISNUMBER(--MID(O217,ROW(INDIRECT("1:"&amp;LEN(O217))),1))*ROW(INDIRECT("1:"&amp;LEN(O217))),0),ROW(INDIRECT("1:"&amp;LEN(O217))))+1,1)*10^ROW(INDIRECT("1:"&amp;LEN(O217)))/10))*N218*100+1</f>
        <v>101</v>
      </c>
      <c r="P218" s="41">
        <f ca="1">(SUMPRODUCT(MID(0&amp;P217,LARGE(INDEX(ISNUMBER(--MID(P217,ROW(INDIRECT("1:"&amp;LEN(P217))),1))*ROW(INDIRECT("1:"&amp;LEN(P217))),0),ROW(INDIRECT("1:"&amp;LEN(P217))))+1,1)*10^ROW(INDIRECT("1:"&amp;LEN(P217)))/10))*N218*100+1</f>
        <v>1401</v>
      </c>
    </row>
    <row r="219" spans="1:16" s="41" customFormat="1" ht="15.75" customHeight="1">
      <c r="A219" s="119">
        <v>2</v>
      </c>
      <c r="B219" s="119"/>
      <c r="C219" s="95" t="s">
        <v>189</v>
      </c>
      <c r="D219" s="95">
        <f>(32.81+(2.75+2.75+2.3))*10.764</f>
        <v>437.12603999999999</v>
      </c>
      <c r="E219" s="95">
        <v>0</v>
      </c>
      <c r="F219" s="95">
        <f t="shared" si="36"/>
        <v>655.68905999999993</v>
      </c>
      <c r="G219" s="119"/>
      <c r="H219" s="119"/>
      <c r="I219" s="98"/>
      <c r="L219" s="41" t="str">
        <f t="shared" ref="L219:L224" ca="1" si="37">O219&amp;""&amp;M219&amp;""&amp;P219</f>
        <v>102 to 1402</v>
      </c>
      <c r="M219" s="41" t="s">
        <v>196</v>
      </c>
      <c r="N219" s="98">
        <f t="shared" ref="N219:P219" si="38">N218+1</f>
        <v>2</v>
      </c>
      <c r="O219" s="41">
        <f t="shared" ca="1" si="38"/>
        <v>102</v>
      </c>
      <c r="P219" s="41">
        <f t="shared" ca="1" si="38"/>
        <v>1402</v>
      </c>
    </row>
    <row r="220" spans="1:16" s="41" customFormat="1" ht="15.75" customHeight="1">
      <c r="A220" s="119">
        <v>3</v>
      </c>
      <c r="B220" s="119"/>
      <c r="C220" s="95" t="s">
        <v>189</v>
      </c>
      <c r="D220" s="95">
        <f>(32.81+(2.75+2.75+2.3))*10.764</f>
        <v>437.12603999999999</v>
      </c>
      <c r="E220" s="95">
        <v>0</v>
      </c>
      <c r="F220" s="95">
        <f t="shared" si="36"/>
        <v>655.68905999999993</v>
      </c>
      <c r="G220" s="119"/>
      <c r="H220" s="119"/>
      <c r="I220" s="98"/>
      <c r="L220" s="41" t="str">
        <f t="shared" ca="1" si="37"/>
        <v>103 to 1403</v>
      </c>
      <c r="M220" s="41" t="s">
        <v>196</v>
      </c>
      <c r="N220" s="98">
        <f t="shared" ref="N220:P220" si="39">N219+1</f>
        <v>3</v>
      </c>
      <c r="O220" s="41">
        <f t="shared" ca="1" si="39"/>
        <v>103</v>
      </c>
      <c r="P220" s="41">
        <f t="shared" ca="1" si="39"/>
        <v>1403</v>
      </c>
    </row>
    <row r="221" spans="1:16" s="41" customFormat="1" ht="15.75" customHeight="1">
      <c r="A221" s="119">
        <v>4</v>
      </c>
      <c r="B221" s="119"/>
      <c r="C221" s="95" t="s">
        <v>187</v>
      </c>
      <c r="D221" s="95">
        <f>(40.87+(2.75+2.75+2.3))*10.764</f>
        <v>523.88387999999986</v>
      </c>
      <c r="E221" s="95">
        <v>0</v>
      </c>
      <c r="F221" s="95">
        <f t="shared" si="36"/>
        <v>785.82581999999979</v>
      </c>
      <c r="G221" s="119"/>
      <c r="H221" s="119"/>
      <c r="I221" s="98"/>
      <c r="L221" s="41" t="str">
        <f t="shared" ca="1" si="37"/>
        <v>104 to 1404</v>
      </c>
      <c r="M221" s="41" t="s">
        <v>196</v>
      </c>
      <c r="N221" s="98">
        <f t="shared" ref="N221:P221" si="40">N220+1</f>
        <v>4</v>
      </c>
      <c r="O221" s="41">
        <f t="shared" ca="1" si="40"/>
        <v>104</v>
      </c>
      <c r="P221" s="41">
        <f t="shared" ca="1" si="40"/>
        <v>1404</v>
      </c>
    </row>
    <row r="222" spans="1:16" s="41" customFormat="1" ht="15.75" customHeight="1">
      <c r="A222" s="119">
        <v>5</v>
      </c>
      <c r="B222" s="119"/>
      <c r="C222" s="95" t="s">
        <v>187</v>
      </c>
      <c r="D222" s="95">
        <f>(40.87+(2.75+2.75+2.3))*10.764</f>
        <v>523.88387999999986</v>
      </c>
      <c r="E222" s="95">
        <v>0</v>
      </c>
      <c r="F222" s="95">
        <f t="shared" ref="F222:F224" si="41">D222*(($F$158)+1)+E222</f>
        <v>785.82581999999979</v>
      </c>
      <c r="G222" s="119"/>
      <c r="H222" s="119"/>
      <c r="I222" s="98"/>
      <c r="L222" s="41" t="str">
        <f t="shared" ca="1" si="37"/>
        <v>105 to 1405</v>
      </c>
      <c r="M222" s="41" t="s">
        <v>196</v>
      </c>
      <c r="N222" s="98">
        <f t="shared" ref="N222:P222" si="42">N221+1</f>
        <v>5</v>
      </c>
      <c r="O222" s="41">
        <f t="shared" ca="1" si="42"/>
        <v>105</v>
      </c>
      <c r="P222" s="41">
        <f t="shared" ca="1" si="42"/>
        <v>1405</v>
      </c>
    </row>
    <row r="223" spans="1:16" s="41" customFormat="1" ht="15.75" customHeight="1">
      <c r="A223" s="119">
        <v>6</v>
      </c>
      <c r="B223" s="119"/>
      <c r="C223" s="95" t="s">
        <v>189</v>
      </c>
      <c r="D223" s="95">
        <f>(33.23+(2.75+2.75+2.3))*10.764</f>
        <v>441.64691999999991</v>
      </c>
      <c r="E223" s="95">
        <v>0</v>
      </c>
      <c r="F223" s="95">
        <f t="shared" si="41"/>
        <v>662.47037999999986</v>
      </c>
      <c r="G223" s="119"/>
      <c r="H223" s="119"/>
      <c r="I223" s="98"/>
      <c r="L223" s="41" t="str">
        <f t="shared" ca="1" si="37"/>
        <v>106 to 1406</v>
      </c>
      <c r="M223" s="41" t="s">
        <v>196</v>
      </c>
      <c r="N223" s="98">
        <f t="shared" ref="N223:P223" si="43">N222+1</f>
        <v>6</v>
      </c>
      <c r="O223" s="41">
        <f t="shared" ca="1" si="43"/>
        <v>106</v>
      </c>
      <c r="P223" s="41">
        <f t="shared" ca="1" si="43"/>
        <v>1406</v>
      </c>
    </row>
    <row r="224" spans="1:16" s="41" customFormat="1" ht="15.75" customHeight="1">
      <c r="A224" s="119">
        <v>7</v>
      </c>
      <c r="B224" s="119"/>
      <c r="C224" s="95" t="s">
        <v>189</v>
      </c>
      <c r="D224" s="95">
        <f>(33.31+(2.75+2.75+2.3))*10.764</f>
        <v>442.50803999999999</v>
      </c>
      <c r="E224" s="95">
        <v>0</v>
      </c>
      <c r="F224" s="95">
        <f t="shared" si="41"/>
        <v>663.76206000000002</v>
      </c>
      <c r="G224" s="119"/>
      <c r="H224" s="119"/>
      <c r="I224" s="98"/>
      <c r="L224" s="41" t="str">
        <f t="shared" ca="1" si="37"/>
        <v>107 to 1407</v>
      </c>
      <c r="M224" s="41" t="s">
        <v>196</v>
      </c>
      <c r="N224" s="98">
        <f t="shared" ref="N224:P224" si="44">N223+1</f>
        <v>7</v>
      </c>
      <c r="O224" s="41">
        <f t="shared" ca="1" si="44"/>
        <v>107</v>
      </c>
      <c r="P224" s="41">
        <f t="shared" ca="1" si="44"/>
        <v>1407</v>
      </c>
    </row>
    <row r="225" spans="1:17" s="41" customFormat="1">
      <c r="A225" s="162" t="s">
        <v>197</v>
      </c>
      <c r="B225" s="162"/>
      <c r="C225" s="162"/>
      <c r="D225" s="162"/>
      <c r="E225" s="162"/>
      <c r="F225" s="162"/>
      <c r="G225" s="162"/>
      <c r="H225" s="162"/>
      <c r="I225" s="98"/>
      <c r="K225" s="41">
        <f>2.75*3.5+2.3*3.05+2.75*3.05+1.2*2+2*1.25</f>
        <v>29.927499999999998</v>
      </c>
      <c r="L225" s="163"/>
      <c r="M225" s="163"/>
      <c r="Q225" s="41">
        <f>2.75*0.9</f>
        <v>2.4750000000000001</v>
      </c>
    </row>
    <row r="226" spans="1:17" s="41" customFormat="1" ht="15.75" customHeight="1">
      <c r="A226" s="119">
        <v>1</v>
      </c>
      <c r="B226" s="119"/>
      <c r="C226" s="111" t="s">
        <v>187</v>
      </c>
      <c r="D226" s="111">
        <f>(40.73+(2.75+2.75+2.3))*10.764</f>
        <v>522.37691999999993</v>
      </c>
      <c r="E226" s="111">
        <v>0</v>
      </c>
      <c r="F226" s="111">
        <f t="shared" ref="F226:F227" si="45">D226*(($F$158)+1)+E226</f>
        <v>783.56537999999989</v>
      </c>
      <c r="G226" s="119" t="str">
        <f>A225</f>
        <v>8th Floor (Part Refuge Area)</v>
      </c>
      <c r="H226" s="119"/>
      <c r="I226" s="98"/>
      <c r="L226" s="41">
        <f t="shared" ref="L226:L232" ca="1" si="46">O226</f>
        <v>801</v>
      </c>
      <c r="N226" s="98">
        <v>1</v>
      </c>
      <c r="O226" s="41">
        <f ca="1">(SUMPRODUCT(MID(0&amp;P226,LARGE(INDEX(ISNUMBER(--MID(P226,ROW(INDIRECT("1:"&amp;LEN(P226))),1))*ROW(INDIRECT("1:"&amp;LEN(P226))),0),ROW(INDIRECT("1:"&amp;LEN(P226))))+1,1)*10^ROW(INDIRECT("1:"&amp;LEN(P226)))/10))*N226*100+1</f>
        <v>801</v>
      </c>
      <c r="P226" s="41" t="str">
        <f>LEFT(A225,SUM(LEN(A225)-LEN(SUBSTITUTE(A225,{"0","1","2","3","4","5","6","7","8","9"},""))))</f>
        <v>8</v>
      </c>
    </row>
    <row r="227" spans="1:17" s="41" customFormat="1" ht="15.75" customHeight="1">
      <c r="A227" s="119">
        <v>2</v>
      </c>
      <c r="B227" s="119"/>
      <c r="C227" s="111" t="s">
        <v>189</v>
      </c>
      <c r="D227" s="111">
        <f>(32.81+(2.75+2.75+2.3))*10.764</f>
        <v>437.12603999999999</v>
      </c>
      <c r="E227" s="111">
        <v>0</v>
      </c>
      <c r="F227" s="111">
        <f t="shared" si="45"/>
        <v>655.68905999999993</v>
      </c>
      <c r="G227" s="119"/>
      <c r="H227" s="119"/>
      <c r="I227" s="98"/>
      <c r="L227" s="41">
        <f t="shared" ca="1" si="46"/>
        <v>802</v>
      </c>
      <c r="N227" s="98">
        <f>N226+1</f>
        <v>2</v>
      </c>
      <c r="O227" s="41">
        <f ca="1">O226+1</f>
        <v>802</v>
      </c>
    </row>
    <row r="228" spans="1:17" s="41" customFormat="1" ht="15.75" customHeight="1">
      <c r="A228" s="119">
        <v>3</v>
      </c>
      <c r="B228" s="119"/>
      <c r="C228" s="119" t="s">
        <v>194</v>
      </c>
      <c r="D228" s="119"/>
      <c r="E228" s="119"/>
      <c r="F228" s="119"/>
      <c r="G228" s="119"/>
      <c r="H228" s="119"/>
      <c r="I228" s="98"/>
      <c r="L228" s="41">
        <f t="shared" ca="1" si="46"/>
        <v>803</v>
      </c>
      <c r="N228" s="98">
        <f>N227+1</f>
        <v>3</v>
      </c>
      <c r="O228" s="41">
        <f ca="1">O227+1</f>
        <v>803</v>
      </c>
    </row>
    <row r="229" spans="1:17" s="41" customFormat="1" ht="15.75" customHeight="1">
      <c r="A229" s="119">
        <v>4</v>
      </c>
      <c r="B229" s="119"/>
      <c r="C229" s="111" t="s">
        <v>187</v>
      </c>
      <c r="D229" s="111">
        <f>(40.87+(2.75+2.75+2.3))*10.764</f>
        <v>523.88387999999986</v>
      </c>
      <c r="E229" s="111">
        <v>0</v>
      </c>
      <c r="F229" s="111">
        <f>D229*(($F$158)+1)+E229</f>
        <v>785.82581999999979</v>
      </c>
      <c r="G229" s="119"/>
      <c r="H229" s="119"/>
      <c r="I229" s="98"/>
      <c r="L229" s="41">
        <f t="shared" ca="1" si="46"/>
        <v>804</v>
      </c>
      <c r="N229" s="98">
        <f t="shared" ref="N229:O229" si="47">N228+1</f>
        <v>4</v>
      </c>
      <c r="O229" s="41">
        <f t="shared" ca="1" si="47"/>
        <v>804</v>
      </c>
    </row>
    <row r="230" spans="1:17" s="41" customFormat="1" ht="15.75" customHeight="1">
      <c r="A230" s="119">
        <v>5</v>
      </c>
      <c r="B230" s="119"/>
      <c r="C230" s="111" t="s">
        <v>187</v>
      </c>
      <c r="D230" s="111">
        <f>(40.87+(2.75+2.75+2.3))*10.764</f>
        <v>523.88387999999986</v>
      </c>
      <c r="E230" s="111">
        <v>0</v>
      </c>
      <c r="F230" s="111">
        <f t="shared" ref="F230:F232" si="48">D230*(($F$158)+1)+E230</f>
        <v>785.82581999999979</v>
      </c>
      <c r="G230" s="119"/>
      <c r="H230" s="119"/>
      <c r="I230" s="98"/>
      <c r="L230" s="41">
        <f t="shared" ca="1" si="46"/>
        <v>805</v>
      </c>
      <c r="N230" s="98">
        <f t="shared" ref="N230:O231" si="49">N229+1</f>
        <v>5</v>
      </c>
      <c r="O230" s="41">
        <f t="shared" ca="1" si="49"/>
        <v>805</v>
      </c>
    </row>
    <row r="231" spans="1:17" s="41" customFormat="1" ht="15.75" customHeight="1">
      <c r="A231" s="119">
        <v>6</v>
      </c>
      <c r="B231" s="119"/>
      <c r="C231" s="111" t="s">
        <v>189</v>
      </c>
      <c r="D231" s="111">
        <f>(33.23+(2.75+2.75+2.3))*10.764</f>
        <v>441.64691999999991</v>
      </c>
      <c r="E231" s="111">
        <v>0</v>
      </c>
      <c r="F231" s="111">
        <f t="shared" si="48"/>
        <v>662.47037999999986</v>
      </c>
      <c r="G231" s="119"/>
      <c r="H231" s="119"/>
      <c r="I231" s="98"/>
      <c r="L231" s="41">
        <f t="shared" ca="1" si="46"/>
        <v>806</v>
      </c>
      <c r="N231" s="98">
        <f>N230+1</f>
        <v>6</v>
      </c>
      <c r="O231" s="41">
        <f t="shared" ca="1" si="49"/>
        <v>806</v>
      </c>
    </row>
    <row r="232" spans="1:17" s="41" customFormat="1" ht="15.75" customHeight="1">
      <c r="A232" s="119">
        <v>7</v>
      </c>
      <c r="B232" s="119"/>
      <c r="C232" s="111" t="s">
        <v>189</v>
      </c>
      <c r="D232" s="111">
        <f>(33.31+(2.75+2.75+2.3))*10.764</f>
        <v>442.50803999999999</v>
      </c>
      <c r="E232" s="111">
        <v>0</v>
      </c>
      <c r="F232" s="111">
        <f t="shared" si="48"/>
        <v>663.76206000000002</v>
      </c>
      <c r="G232" s="119"/>
      <c r="H232" s="119"/>
      <c r="I232" s="98"/>
      <c r="L232" s="41">
        <f t="shared" ca="1" si="46"/>
        <v>807</v>
      </c>
      <c r="N232" s="98">
        <f t="shared" ref="N232:O232" si="50">N231+1</f>
        <v>7</v>
      </c>
      <c r="O232" s="41">
        <f t="shared" ca="1" si="50"/>
        <v>807</v>
      </c>
    </row>
    <row r="233" spans="1:17" s="41" customFormat="1">
      <c r="A233" s="162" t="s">
        <v>199</v>
      </c>
      <c r="B233" s="162"/>
      <c r="C233" s="162"/>
      <c r="D233" s="162"/>
      <c r="E233" s="162"/>
      <c r="F233" s="162"/>
      <c r="G233" s="162"/>
      <c r="H233" s="162"/>
      <c r="I233" s="98"/>
      <c r="K233" s="41">
        <f>2.75*3.5+2.3*3.05+2.75*3.05+1.2*2+2*1.25</f>
        <v>29.927499999999998</v>
      </c>
      <c r="L233" s="163"/>
      <c r="M233" s="163"/>
      <c r="Q233" s="41">
        <f>2.75*0.9</f>
        <v>2.4750000000000001</v>
      </c>
    </row>
    <row r="234" spans="1:17" s="41" customFormat="1" ht="15.75" customHeight="1">
      <c r="A234" s="119">
        <v>1</v>
      </c>
      <c r="B234" s="119"/>
      <c r="C234" s="111" t="s">
        <v>187</v>
      </c>
      <c r="D234" s="111">
        <f>(40.73+(2.75+2.75+2.3))*10.764</f>
        <v>522.37691999999993</v>
      </c>
      <c r="E234" s="111">
        <v>0</v>
      </c>
      <c r="F234" s="111">
        <f t="shared" ref="F234" si="51">D234*(($F$158)+1)+E234</f>
        <v>783.56537999999989</v>
      </c>
      <c r="G234" s="119" t="str">
        <f>A233</f>
        <v>12th Floor (Part Refuge Area)</v>
      </c>
      <c r="H234" s="119"/>
      <c r="I234" s="98"/>
      <c r="L234" s="41">
        <f t="shared" ref="L234:L240" ca="1" si="52">O234</f>
        <v>1201</v>
      </c>
      <c r="N234" s="98">
        <v>1</v>
      </c>
      <c r="O234" s="41">
        <f ca="1">(SUMPRODUCT(MID(0&amp;P234,LARGE(INDEX(ISNUMBER(--MID(P234,ROW(INDIRECT("1:"&amp;LEN(P234))),1))*ROW(INDIRECT("1:"&amp;LEN(P234))),0),ROW(INDIRECT("1:"&amp;LEN(P234))))+1,1)*10^ROW(INDIRECT("1:"&amp;LEN(P234)))/10))*N234*100+1</f>
        <v>1201</v>
      </c>
      <c r="P234" s="41" t="str">
        <f>LEFT(A233,SUM(LEN(A233)-LEN(SUBSTITUTE(A233,{"0","1","2","3","4","5","6","7","8","9"},""))))</f>
        <v>12</v>
      </c>
    </row>
    <row r="235" spans="1:17" s="41" customFormat="1" ht="15.75" customHeight="1">
      <c r="A235" s="119">
        <v>2</v>
      </c>
      <c r="B235" s="119"/>
      <c r="C235" s="119" t="s">
        <v>194</v>
      </c>
      <c r="D235" s="119"/>
      <c r="E235" s="119"/>
      <c r="F235" s="119"/>
      <c r="G235" s="119"/>
      <c r="H235" s="119"/>
      <c r="I235" s="98"/>
      <c r="L235" s="41">
        <f t="shared" ca="1" si="52"/>
        <v>1202</v>
      </c>
      <c r="N235" s="98">
        <f>N234+1</f>
        <v>2</v>
      </c>
      <c r="O235" s="41">
        <f ca="1">O234+1</f>
        <v>1202</v>
      </c>
    </row>
    <row r="236" spans="1:17" s="41" customFormat="1" ht="15.75" customHeight="1">
      <c r="A236" s="119">
        <v>3</v>
      </c>
      <c r="B236" s="119"/>
      <c r="C236" s="111" t="s">
        <v>189</v>
      </c>
      <c r="D236" s="111">
        <f>(32.81+(2.75+2.75+2.3))*10.764</f>
        <v>437.12603999999999</v>
      </c>
      <c r="E236" s="111">
        <v>0</v>
      </c>
      <c r="F236" s="111">
        <f t="shared" ref="F236:F237" si="53">D236*(($F$158)+1)+E236</f>
        <v>655.68905999999993</v>
      </c>
      <c r="G236" s="119"/>
      <c r="H236" s="119"/>
      <c r="I236" s="98"/>
      <c r="L236" s="41">
        <f t="shared" ca="1" si="52"/>
        <v>1203</v>
      </c>
      <c r="N236" s="98">
        <f>N235+1</f>
        <v>3</v>
      </c>
      <c r="O236" s="41">
        <f ca="1">O235+1</f>
        <v>1203</v>
      </c>
    </row>
    <row r="237" spans="1:17" s="41" customFormat="1" ht="15.75" customHeight="1">
      <c r="A237" s="119">
        <v>4</v>
      </c>
      <c r="B237" s="119"/>
      <c r="C237" s="111" t="s">
        <v>187</v>
      </c>
      <c r="D237" s="111">
        <f>(40.87+(2.75+2.75+2.3))*10.764</f>
        <v>523.88387999999986</v>
      </c>
      <c r="E237" s="111">
        <v>0</v>
      </c>
      <c r="F237" s="111">
        <f t="shared" si="53"/>
        <v>785.82581999999979</v>
      </c>
      <c r="G237" s="119"/>
      <c r="H237" s="119"/>
      <c r="I237" s="98"/>
      <c r="L237" s="41">
        <f t="shared" ca="1" si="52"/>
        <v>1204</v>
      </c>
      <c r="N237" s="98">
        <f t="shared" ref="N237:O237" si="54">N236+1</f>
        <v>4</v>
      </c>
      <c r="O237" s="41">
        <f t="shared" ca="1" si="54"/>
        <v>1204</v>
      </c>
    </row>
    <row r="238" spans="1:17" s="41" customFormat="1" ht="15.75" customHeight="1">
      <c r="A238" s="119">
        <v>5</v>
      </c>
      <c r="B238" s="119"/>
      <c r="C238" s="111" t="s">
        <v>187</v>
      </c>
      <c r="D238" s="111">
        <f>(40.87+(2.75+2.75+2.3))*10.764</f>
        <v>523.88387999999986</v>
      </c>
      <c r="E238" s="111">
        <v>0</v>
      </c>
      <c r="F238" s="111">
        <f t="shared" ref="F238:F240" si="55">D238*(($F$158)+1)+E238</f>
        <v>785.82581999999979</v>
      </c>
      <c r="G238" s="119"/>
      <c r="H238" s="119"/>
      <c r="I238" s="98"/>
      <c r="L238" s="41">
        <f t="shared" ca="1" si="52"/>
        <v>1205</v>
      </c>
      <c r="N238" s="98">
        <f t="shared" ref="N238:O238" si="56">N237+1</f>
        <v>5</v>
      </c>
      <c r="O238" s="41">
        <f t="shared" ca="1" si="56"/>
        <v>1205</v>
      </c>
    </row>
    <row r="239" spans="1:17" s="41" customFormat="1" ht="15.75" customHeight="1">
      <c r="A239" s="119">
        <v>6</v>
      </c>
      <c r="B239" s="119"/>
      <c r="C239" s="111" t="s">
        <v>189</v>
      </c>
      <c r="D239" s="111">
        <f>(33.23+(2.75+2.75+2.3))*10.764</f>
        <v>441.64691999999991</v>
      </c>
      <c r="E239" s="111">
        <v>0</v>
      </c>
      <c r="F239" s="111">
        <f t="shared" si="55"/>
        <v>662.47037999999986</v>
      </c>
      <c r="G239" s="119"/>
      <c r="H239" s="119"/>
      <c r="I239" s="98"/>
      <c r="L239" s="41">
        <f t="shared" ca="1" si="52"/>
        <v>1206</v>
      </c>
      <c r="N239" s="98">
        <f>N238+1</f>
        <v>6</v>
      </c>
      <c r="O239" s="41">
        <f t="shared" ref="O239" ca="1" si="57">O238+1</f>
        <v>1206</v>
      </c>
    </row>
    <row r="240" spans="1:17" s="41" customFormat="1" ht="15.75" customHeight="1">
      <c r="A240" s="119">
        <v>7</v>
      </c>
      <c r="B240" s="119"/>
      <c r="C240" s="111" t="s">
        <v>189</v>
      </c>
      <c r="D240" s="111">
        <f>(33.31+(2.75+2.75+2.3))*10.764</f>
        <v>442.50803999999999</v>
      </c>
      <c r="E240" s="111">
        <v>0</v>
      </c>
      <c r="F240" s="111">
        <f t="shared" si="55"/>
        <v>663.76206000000002</v>
      </c>
      <c r="G240" s="119"/>
      <c r="H240" s="119"/>
      <c r="I240" s="98"/>
      <c r="L240" s="41">
        <f t="shared" ca="1" si="52"/>
        <v>1207</v>
      </c>
      <c r="N240" s="98">
        <f t="shared" ref="N240:O240" si="58">N239+1</f>
        <v>7</v>
      </c>
      <c r="O240" s="41">
        <f t="shared" ca="1" si="58"/>
        <v>1207</v>
      </c>
    </row>
    <row r="241" spans="1:17" s="41" customFormat="1">
      <c r="A241" s="162" t="s">
        <v>173</v>
      </c>
      <c r="B241" s="162"/>
      <c r="C241" s="162"/>
      <c r="D241" s="162"/>
      <c r="E241" s="162"/>
      <c r="F241" s="162"/>
      <c r="G241" s="162"/>
      <c r="H241" s="162"/>
      <c r="I241" s="98"/>
      <c r="L241" s="163"/>
      <c r="M241" s="163"/>
    </row>
    <row r="242" spans="1:17" s="41" customFormat="1">
      <c r="A242" s="162" t="s">
        <v>185</v>
      </c>
      <c r="B242" s="162"/>
      <c r="C242" s="162"/>
      <c r="D242" s="162"/>
      <c r="E242" s="162"/>
      <c r="F242" s="162"/>
      <c r="G242" s="162"/>
      <c r="H242" s="162"/>
      <c r="I242" s="98"/>
      <c r="L242" s="163"/>
      <c r="M242" s="163"/>
    </row>
    <row r="243" spans="1:17" s="41" customFormat="1">
      <c r="A243" s="154" t="s">
        <v>198</v>
      </c>
      <c r="B243" s="155"/>
      <c r="C243" s="155"/>
      <c r="D243" s="155"/>
      <c r="E243" s="155"/>
      <c r="F243" s="155"/>
      <c r="G243" s="155"/>
      <c r="H243" s="156"/>
      <c r="I243" s="98"/>
      <c r="O243" s="41" t="str">
        <f>MID(A243,1,3)</f>
        <v>1st</v>
      </c>
      <c r="P243" s="41">
        <f ca="1">--TRIM(RIGHT(SUBSTITUTE(LEFT(A243,_xlfn.AGGREGATE(14,6,FIND({0,1,2,3,4,5,6,7,8,9},A243,ROW(INDIRECT("1:"&amp;LEN(A243)))),1))," ",REPT(" ",LEN(A243))),LEN(A243)))</f>
        <v>14</v>
      </c>
    </row>
    <row r="244" spans="1:17" s="41" customFormat="1" ht="15.75" customHeight="1">
      <c r="A244" s="157">
        <v>1</v>
      </c>
      <c r="B244" s="158"/>
      <c r="C244" s="95" t="s">
        <v>187</v>
      </c>
      <c r="D244" s="95">
        <f>(40.11+(2.75+2.75+2.3))*10.764</f>
        <v>515.70323999999994</v>
      </c>
      <c r="E244" s="95">
        <v>0</v>
      </c>
      <c r="F244" s="95">
        <f>D244*(($F$158)+1)+E244</f>
        <v>773.55485999999996</v>
      </c>
      <c r="G244" s="113" t="str">
        <f>A243</f>
        <v>1st to 7th, 9th to 11th, 13th to 14thFloor</v>
      </c>
      <c r="H244" s="114"/>
      <c r="I244" s="98"/>
      <c r="L244" s="41" t="str">
        <f ca="1">O244&amp;""&amp;M244&amp;""&amp;P244</f>
        <v>101 to 1401</v>
      </c>
      <c r="M244" s="41" t="s">
        <v>196</v>
      </c>
      <c r="N244" s="98">
        <v>1</v>
      </c>
      <c r="O244" s="41">
        <f ca="1">(SUMPRODUCT(MID(0&amp;O243,LARGE(INDEX(ISNUMBER(--MID(O243,ROW(INDIRECT("1:"&amp;LEN(O243))),1))*ROW(INDIRECT("1:"&amp;LEN(O243))),0),ROW(INDIRECT("1:"&amp;LEN(O243))))+1,1)*10^ROW(INDIRECT("1:"&amp;LEN(O243)))/10))*N244*100+1</f>
        <v>101</v>
      </c>
      <c r="P244" s="41">
        <f ca="1">(SUMPRODUCT(MID(0&amp;P243,LARGE(INDEX(ISNUMBER(--MID(P243,ROW(INDIRECT("1:"&amp;LEN(P243))),1))*ROW(INDIRECT("1:"&amp;LEN(P243))),0),ROW(INDIRECT("1:"&amp;LEN(P243))))+1,1)*10^ROW(INDIRECT("1:"&amp;LEN(P243)))/10))*N244*100+1</f>
        <v>1401</v>
      </c>
    </row>
    <row r="245" spans="1:17" s="41" customFormat="1" ht="15.75" customHeight="1">
      <c r="A245" s="157">
        <v>2</v>
      </c>
      <c r="B245" s="158"/>
      <c r="C245" s="95" t="s">
        <v>189</v>
      </c>
      <c r="D245" s="95">
        <f>(33.31+(2.75+2.75+2.3))*10.764</f>
        <v>442.50803999999999</v>
      </c>
      <c r="E245" s="95">
        <v>0</v>
      </c>
      <c r="F245" s="95">
        <f t="shared" ref="F245:F246" si="59">D245*(($F$158)+1)+E245</f>
        <v>663.76206000000002</v>
      </c>
      <c r="G245" s="115"/>
      <c r="H245" s="116"/>
      <c r="I245" s="98"/>
      <c r="L245" s="41" t="str">
        <f t="shared" ref="L245:L249" ca="1" si="60">O245&amp;""&amp;M245&amp;""&amp;P245</f>
        <v>102 to 1402</v>
      </c>
      <c r="M245" s="41" t="s">
        <v>196</v>
      </c>
      <c r="N245" s="98">
        <f t="shared" ref="N245:P245" si="61">N244+1</f>
        <v>2</v>
      </c>
      <c r="O245" s="41">
        <f t="shared" ca="1" si="61"/>
        <v>102</v>
      </c>
      <c r="P245" s="41">
        <f t="shared" ca="1" si="61"/>
        <v>1402</v>
      </c>
    </row>
    <row r="246" spans="1:17" s="41" customFormat="1" ht="15.75" customHeight="1">
      <c r="A246" s="157">
        <v>3</v>
      </c>
      <c r="B246" s="158"/>
      <c r="C246" s="95" t="s">
        <v>187</v>
      </c>
      <c r="D246" s="95">
        <f>(40.11+(2.75+2.75+2.3))*10.764</f>
        <v>515.70323999999994</v>
      </c>
      <c r="E246" s="95">
        <v>0</v>
      </c>
      <c r="F246" s="95">
        <f t="shared" si="59"/>
        <v>773.55485999999996</v>
      </c>
      <c r="G246" s="115"/>
      <c r="H246" s="116"/>
      <c r="I246" s="98"/>
      <c r="L246" s="41" t="str">
        <f t="shared" ca="1" si="60"/>
        <v>103 to 1403</v>
      </c>
      <c r="M246" s="41" t="s">
        <v>196</v>
      </c>
      <c r="N246" s="98">
        <f t="shared" ref="N246:P246" si="62">N245+1</f>
        <v>3</v>
      </c>
      <c r="O246" s="41">
        <f t="shared" ca="1" si="62"/>
        <v>103</v>
      </c>
      <c r="P246" s="41">
        <f t="shared" ca="1" si="62"/>
        <v>1403</v>
      </c>
    </row>
    <row r="247" spans="1:17" s="41" customFormat="1" ht="15.75" customHeight="1">
      <c r="A247" s="157">
        <v>4</v>
      </c>
      <c r="B247" s="158"/>
      <c r="C247" s="95" t="s">
        <v>187</v>
      </c>
      <c r="D247" s="95">
        <f>(40.11+(2.75+2.75+2.3))*10.764</f>
        <v>515.70323999999994</v>
      </c>
      <c r="E247" s="95">
        <v>0</v>
      </c>
      <c r="F247" s="95">
        <f t="shared" ref="F247:F249" si="63">D247*(($F$158)+1)+E247</f>
        <v>773.55485999999996</v>
      </c>
      <c r="G247" s="115"/>
      <c r="H247" s="116"/>
      <c r="I247" s="98"/>
      <c r="L247" s="41" t="str">
        <f t="shared" ca="1" si="60"/>
        <v>104 to 1404</v>
      </c>
      <c r="M247" s="41" t="s">
        <v>196</v>
      </c>
      <c r="N247" s="98">
        <f t="shared" ref="N247:P247" si="64">N246+1</f>
        <v>4</v>
      </c>
      <c r="O247" s="41">
        <f t="shared" ca="1" si="64"/>
        <v>104</v>
      </c>
      <c r="P247" s="41">
        <f t="shared" ca="1" si="64"/>
        <v>1404</v>
      </c>
    </row>
    <row r="248" spans="1:17" s="41" customFormat="1" ht="15.75" customHeight="1">
      <c r="A248" s="157">
        <v>5</v>
      </c>
      <c r="B248" s="158"/>
      <c r="C248" s="95" t="s">
        <v>189</v>
      </c>
      <c r="D248" s="95">
        <f>(32.9+(2.75+2.75+2.3))*10.764</f>
        <v>438.09479999999991</v>
      </c>
      <c r="E248" s="95">
        <v>0</v>
      </c>
      <c r="F248" s="95">
        <f t="shared" si="63"/>
        <v>657.14219999999989</v>
      </c>
      <c r="G248" s="115"/>
      <c r="H248" s="116"/>
      <c r="I248" s="98"/>
      <c r="L248" s="41" t="str">
        <f t="shared" ca="1" si="60"/>
        <v>105 to 1405</v>
      </c>
      <c r="M248" s="41" t="s">
        <v>196</v>
      </c>
      <c r="N248" s="98">
        <f t="shared" ref="N248:P248" si="65">N247+1</f>
        <v>5</v>
      </c>
      <c r="O248" s="41">
        <f t="shared" ca="1" si="65"/>
        <v>105</v>
      </c>
      <c r="P248" s="41">
        <f t="shared" ca="1" si="65"/>
        <v>1405</v>
      </c>
    </row>
    <row r="249" spans="1:17" s="41" customFormat="1" ht="15.75" customHeight="1">
      <c r="A249" s="157">
        <v>6</v>
      </c>
      <c r="B249" s="158"/>
      <c r="C249" s="95" t="s">
        <v>187</v>
      </c>
      <c r="D249" s="95">
        <f>(40.11+(2.75+2.75+2.3))*10.764</f>
        <v>515.70323999999994</v>
      </c>
      <c r="E249" s="95">
        <v>0</v>
      </c>
      <c r="F249" s="95">
        <f t="shared" si="63"/>
        <v>773.55485999999996</v>
      </c>
      <c r="G249" s="117"/>
      <c r="H249" s="118"/>
      <c r="I249" s="98"/>
      <c r="L249" s="41" t="str">
        <f t="shared" ca="1" si="60"/>
        <v>106 to 1406</v>
      </c>
      <c r="M249" s="41" t="s">
        <v>196</v>
      </c>
      <c r="N249" s="98">
        <f t="shared" ref="N249:P249" si="66">N248+1</f>
        <v>6</v>
      </c>
      <c r="O249" s="41">
        <f t="shared" ca="1" si="66"/>
        <v>106</v>
      </c>
      <c r="P249" s="41">
        <f t="shared" ca="1" si="66"/>
        <v>1406</v>
      </c>
    </row>
    <row r="250" spans="1:17" s="41" customFormat="1">
      <c r="A250" s="162" t="s">
        <v>197</v>
      </c>
      <c r="B250" s="162"/>
      <c r="C250" s="162"/>
      <c r="D250" s="162"/>
      <c r="E250" s="162"/>
      <c r="F250" s="162"/>
      <c r="G250" s="162"/>
      <c r="H250" s="162"/>
      <c r="I250" s="98"/>
      <c r="K250" s="41">
        <f>2.75*3.5+2.3*3.05+2.75*3.05+1.2*2+2*1.25</f>
        <v>29.927499999999998</v>
      </c>
      <c r="L250" s="163"/>
      <c r="M250" s="163"/>
      <c r="Q250" s="41">
        <f>2.75*0.9</f>
        <v>2.4750000000000001</v>
      </c>
    </row>
    <row r="251" spans="1:17" s="41" customFormat="1" ht="15.75" customHeight="1">
      <c r="A251" s="157">
        <v>1</v>
      </c>
      <c r="B251" s="158"/>
      <c r="C251" s="95" t="s">
        <v>187</v>
      </c>
      <c r="D251" s="95">
        <f>(40.11+(2.75+2.75+2.3))*10.764</f>
        <v>515.70323999999994</v>
      </c>
      <c r="E251" s="95">
        <v>0</v>
      </c>
      <c r="F251" s="95">
        <f t="shared" ref="F251:F254" si="67">D251*(($F$158)+1)+E251</f>
        <v>773.55485999999996</v>
      </c>
      <c r="G251" s="113" t="str">
        <f>A250</f>
        <v>8th Floor (Part Refuge Area)</v>
      </c>
      <c r="H251" s="114"/>
      <c r="I251" s="98"/>
      <c r="L251" s="41">
        <f t="shared" ref="L251:L256" ca="1" si="68">O251</f>
        <v>801</v>
      </c>
      <c r="N251" s="98">
        <v>1</v>
      </c>
      <c r="O251" s="41">
        <f ca="1">(SUMPRODUCT(MID(0&amp;P251,LARGE(INDEX(ISNUMBER(--MID(P251,ROW(INDIRECT("1:"&amp;LEN(P251))),1))*ROW(INDIRECT("1:"&amp;LEN(P251))),0),ROW(INDIRECT("1:"&amp;LEN(P251))))+1,1)*10^ROW(INDIRECT("1:"&amp;LEN(P251)))/10))*N251*100+1</f>
        <v>801</v>
      </c>
      <c r="P251" s="41" t="str">
        <f>LEFT(A250,SUM(LEN(A250)-LEN(SUBSTITUTE(A250,{"0","1","2","3","4","5","6","7","8","9"},""))))</f>
        <v>8</v>
      </c>
    </row>
    <row r="252" spans="1:17" s="41" customFormat="1" ht="15.75" customHeight="1">
      <c r="A252" s="157">
        <v>2</v>
      </c>
      <c r="B252" s="158"/>
      <c r="C252" s="95" t="s">
        <v>189</v>
      </c>
      <c r="D252" s="95">
        <f>(33.31+(2.75+2.75+2.3))*10.764</f>
        <v>442.50803999999999</v>
      </c>
      <c r="E252" s="95">
        <v>0</v>
      </c>
      <c r="F252" s="95">
        <f t="shared" si="67"/>
        <v>663.76206000000002</v>
      </c>
      <c r="G252" s="115"/>
      <c r="H252" s="116"/>
      <c r="I252" s="98"/>
      <c r="L252" s="41">
        <f t="shared" ca="1" si="68"/>
        <v>802</v>
      </c>
      <c r="N252" s="98">
        <f>N251+1</f>
        <v>2</v>
      </c>
      <c r="O252" s="41">
        <f ca="1">O251+1</f>
        <v>802</v>
      </c>
    </row>
    <row r="253" spans="1:17" s="41" customFormat="1" ht="15.75" customHeight="1">
      <c r="A253" s="157">
        <v>3</v>
      </c>
      <c r="B253" s="158"/>
      <c r="C253" s="95" t="s">
        <v>187</v>
      </c>
      <c r="D253" s="95">
        <f>(40.11+(2.75+2.75+2.3))*10.764</f>
        <v>515.70323999999994</v>
      </c>
      <c r="E253" s="95">
        <v>0</v>
      </c>
      <c r="F253" s="95">
        <f t="shared" si="67"/>
        <v>773.55485999999996</v>
      </c>
      <c r="G253" s="115"/>
      <c r="H253" s="116"/>
      <c r="I253" s="98"/>
      <c r="L253" s="41">
        <f t="shared" ca="1" si="68"/>
        <v>803</v>
      </c>
      <c r="N253" s="98">
        <f>N252+1</f>
        <v>3</v>
      </c>
      <c r="O253" s="41">
        <f ca="1">O252+1</f>
        <v>803</v>
      </c>
    </row>
    <row r="254" spans="1:17" s="41" customFormat="1" ht="15.75" customHeight="1">
      <c r="A254" s="157">
        <v>4</v>
      </c>
      <c r="B254" s="158"/>
      <c r="C254" s="95" t="s">
        <v>187</v>
      </c>
      <c r="D254" s="95">
        <f>(40.11+(2.75+2.75+2.3))*10.764</f>
        <v>515.70323999999994</v>
      </c>
      <c r="E254" s="95">
        <v>0</v>
      </c>
      <c r="F254" s="95">
        <f t="shared" si="67"/>
        <v>773.55485999999996</v>
      </c>
      <c r="G254" s="115"/>
      <c r="H254" s="116"/>
      <c r="I254" s="98"/>
      <c r="L254" s="41">
        <f t="shared" ca="1" si="68"/>
        <v>804</v>
      </c>
      <c r="N254" s="98">
        <f t="shared" ref="N254:O254" si="69">N253+1</f>
        <v>4</v>
      </c>
      <c r="O254" s="41">
        <f t="shared" ca="1" si="69"/>
        <v>804</v>
      </c>
    </row>
    <row r="255" spans="1:17" s="41" customFormat="1" ht="15.75" customHeight="1">
      <c r="A255" s="157">
        <v>5</v>
      </c>
      <c r="B255" s="158"/>
      <c r="C255" s="157" t="s">
        <v>194</v>
      </c>
      <c r="D255" s="164"/>
      <c r="E255" s="164"/>
      <c r="F255" s="158"/>
      <c r="G255" s="115"/>
      <c r="H255" s="116"/>
      <c r="I255" s="98"/>
      <c r="L255" s="41">
        <f t="shared" ca="1" si="68"/>
        <v>805</v>
      </c>
      <c r="N255" s="98">
        <f t="shared" ref="N255:O255" si="70">N254+1</f>
        <v>5</v>
      </c>
      <c r="O255" s="41">
        <f t="shared" ca="1" si="70"/>
        <v>805</v>
      </c>
    </row>
    <row r="256" spans="1:17" s="41" customFormat="1" ht="15.75" customHeight="1">
      <c r="A256" s="157">
        <v>6</v>
      </c>
      <c r="B256" s="158"/>
      <c r="C256" s="95" t="s">
        <v>187</v>
      </c>
      <c r="D256" s="95">
        <f>(40.11+(2.75+2.75+2.3))*10.764</f>
        <v>515.70323999999994</v>
      </c>
      <c r="E256" s="95">
        <v>0</v>
      </c>
      <c r="F256" s="95">
        <f>D256*(($F$158)+1)+E256</f>
        <v>773.55485999999996</v>
      </c>
      <c r="G256" s="117"/>
      <c r="H256" s="118"/>
      <c r="I256" s="98"/>
      <c r="L256" s="41">
        <f t="shared" ca="1" si="68"/>
        <v>806</v>
      </c>
      <c r="N256" s="98">
        <f>N255+1</f>
        <v>6</v>
      </c>
      <c r="O256" s="41">
        <f t="shared" ref="O256" ca="1" si="71">O255+1</f>
        <v>806</v>
      </c>
    </row>
    <row r="257" spans="1:17" s="41" customFormat="1">
      <c r="A257" s="162" t="s">
        <v>199</v>
      </c>
      <c r="B257" s="162"/>
      <c r="C257" s="162"/>
      <c r="D257" s="162"/>
      <c r="E257" s="162"/>
      <c r="F257" s="162"/>
      <c r="G257" s="162"/>
      <c r="H257" s="162"/>
      <c r="I257" s="98"/>
      <c r="K257" s="41">
        <f>2.75*3.5+2.3*3.05+2.75*3.05+1.2*2+2*1.25</f>
        <v>29.927499999999998</v>
      </c>
      <c r="L257" s="163"/>
      <c r="M257" s="163"/>
      <c r="Q257" s="41">
        <f>2.75*0.9</f>
        <v>2.4750000000000001</v>
      </c>
    </row>
    <row r="258" spans="1:17" s="41" customFormat="1" ht="15.75" customHeight="1">
      <c r="A258" s="157">
        <v>1</v>
      </c>
      <c r="B258" s="158"/>
      <c r="C258" s="95" t="s">
        <v>187</v>
      </c>
      <c r="D258" s="95">
        <f>(40.11+(2.75+2.75+2.3))*10.764</f>
        <v>515.70323999999994</v>
      </c>
      <c r="E258" s="95">
        <v>0</v>
      </c>
      <c r="F258" s="95">
        <f>D258*(($F$158)+1)+E258</f>
        <v>773.55485999999996</v>
      </c>
      <c r="G258" s="113" t="str">
        <f>A257</f>
        <v>12th Floor (Part Refuge Area)</v>
      </c>
      <c r="H258" s="114"/>
      <c r="I258" s="98"/>
      <c r="L258" s="41">
        <f t="shared" ref="L258:L263" ca="1" si="72">O258</f>
        <v>1201</v>
      </c>
      <c r="N258" s="98">
        <v>1</v>
      </c>
      <c r="O258" s="41">
        <f ca="1">(SUMPRODUCT(MID(0&amp;P258,LARGE(INDEX(ISNUMBER(--MID(P258,ROW(INDIRECT("1:"&amp;LEN(P258))),1))*ROW(INDIRECT("1:"&amp;LEN(P258))),0),ROW(INDIRECT("1:"&amp;LEN(P258))))+1,1)*10^ROW(INDIRECT("1:"&amp;LEN(P258)))/10))*N258*100+1</f>
        <v>1201</v>
      </c>
      <c r="P258" s="41" t="str">
        <f>LEFT(A257,SUM(LEN(A257)-LEN(SUBSTITUTE(A257,{"0","1","2","3","4","5","6","7","8","9"},""))))</f>
        <v>12</v>
      </c>
    </row>
    <row r="259" spans="1:17" s="41" customFormat="1" ht="15.75" customHeight="1">
      <c r="A259" s="157">
        <v>2</v>
      </c>
      <c r="B259" s="158"/>
      <c r="C259" s="157" t="s">
        <v>194</v>
      </c>
      <c r="D259" s="164"/>
      <c r="E259" s="164"/>
      <c r="F259" s="158"/>
      <c r="G259" s="115"/>
      <c r="H259" s="116"/>
      <c r="I259" s="98"/>
      <c r="L259" s="41">
        <f t="shared" ca="1" si="72"/>
        <v>1202</v>
      </c>
      <c r="N259" s="98">
        <f>N258+1</f>
        <v>2</v>
      </c>
      <c r="O259" s="41">
        <f ca="1">O258+1</f>
        <v>1202</v>
      </c>
    </row>
    <row r="260" spans="1:17" s="41" customFormat="1" ht="15.75" customHeight="1">
      <c r="A260" s="157">
        <v>3</v>
      </c>
      <c r="B260" s="158"/>
      <c r="C260" s="95" t="s">
        <v>187</v>
      </c>
      <c r="D260" s="95">
        <f>(40.11+(2.75+2.75+2.3))*10.764</f>
        <v>515.70323999999994</v>
      </c>
      <c r="E260" s="95">
        <v>0</v>
      </c>
      <c r="F260" s="95">
        <f>D260*(($F$158)+1)+E260</f>
        <v>773.55485999999996</v>
      </c>
      <c r="G260" s="115"/>
      <c r="H260" s="116"/>
      <c r="I260" s="98"/>
      <c r="L260" s="41">
        <f t="shared" ca="1" si="72"/>
        <v>1203</v>
      </c>
      <c r="N260" s="98">
        <f>N259+1</f>
        <v>3</v>
      </c>
      <c r="O260" s="41">
        <f ca="1">O259+1</f>
        <v>1203</v>
      </c>
    </row>
    <row r="261" spans="1:17" s="41" customFormat="1" ht="15.75" customHeight="1">
      <c r="A261" s="157">
        <v>4</v>
      </c>
      <c r="B261" s="158"/>
      <c r="C261" s="95" t="s">
        <v>187</v>
      </c>
      <c r="D261" s="95">
        <f>(40.11+(2.75+2.75+2.3))*10.764</f>
        <v>515.70323999999994</v>
      </c>
      <c r="E261" s="95">
        <v>0</v>
      </c>
      <c r="F261" s="95">
        <f t="shared" ref="F261:F263" si="73">D261*(($F$158)+1)+E261</f>
        <v>773.55485999999996</v>
      </c>
      <c r="G261" s="115"/>
      <c r="H261" s="116"/>
      <c r="I261" s="98"/>
      <c r="L261" s="41">
        <f t="shared" ca="1" si="72"/>
        <v>1204</v>
      </c>
      <c r="N261" s="98">
        <f t="shared" ref="N261:O261" si="74">N260+1</f>
        <v>4</v>
      </c>
      <c r="O261" s="41">
        <f t="shared" ca="1" si="74"/>
        <v>1204</v>
      </c>
    </row>
    <row r="262" spans="1:17" s="41" customFormat="1" ht="15.75" customHeight="1">
      <c r="A262" s="157">
        <v>5</v>
      </c>
      <c r="B262" s="158"/>
      <c r="C262" s="95" t="s">
        <v>189</v>
      </c>
      <c r="D262" s="95">
        <f>(32.9+(2.75+2.75+2.3))*10.764</f>
        <v>438.09479999999991</v>
      </c>
      <c r="E262" s="95">
        <v>0</v>
      </c>
      <c r="F262" s="95">
        <f t="shared" si="73"/>
        <v>657.14219999999989</v>
      </c>
      <c r="G262" s="115"/>
      <c r="H262" s="116"/>
      <c r="I262" s="98"/>
      <c r="L262" s="41">
        <f t="shared" ca="1" si="72"/>
        <v>1205</v>
      </c>
      <c r="N262" s="98">
        <f t="shared" ref="N262:O262" si="75">N261+1</f>
        <v>5</v>
      </c>
      <c r="O262" s="41">
        <f t="shared" ca="1" si="75"/>
        <v>1205</v>
      </c>
    </row>
    <row r="263" spans="1:17" s="41" customFormat="1" ht="15.75" customHeight="1">
      <c r="A263" s="157">
        <v>6</v>
      </c>
      <c r="B263" s="158"/>
      <c r="C263" s="95" t="s">
        <v>187</v>
      </c>
      <c r="D263" s="95">
        <f>(40.11+(2.75+2.75+2.3))*10.764</f>
        <v>515.70323999999994</v>
      </c>
      <c r="E263" s="95">
        <v>0</v>
      </c>
      <c r="F263" s="95">
        <f t="shared" si="73"/>
        <v>773.55485999999996</v>
      </c>
      <c r="G263" s="117"/>
      <c r="H263" s="118"/>
      <c r="I263" s="98"/>
      <c r="L263" s="41">
        <f t="shared" ca="1" si="72"/>
        <v>1206</v>
      </c>
      <c r="N263" s="98">
        <f>N262+1</f>
        <v>6</v>
      </c>
      <c r="O263" s="41">
        <f t="shared" ref="O263" ca="1" si="76">O262+1</f>
        <v>1206</v>
      </c>
    </row>
    <row r="264" spans="1:17" s="41" customFormat="1">
      <c r="A264" s="162" t="s">
        <v>200</v>
      </c>
      <c r="B264" s="162"/>
      <c r="C264" s="162"/>
      <c r="D264" s="162"/>
      <c r="E264" s="162"/>
      <c r="F264" s="162"/>
      <c r="G264" s="162"/>
      <c r="H264" s="162"/>
      <c r="I264" s="98"/>
      <c r="L264" s="163"/>
      <c r="M264" s="163"/>
    </row>
    <row r="265" spans="1:17" s="41" customFormat="1">
      <c r="A265" s="162" t="s">
        <v>201</v>
      </c>
      <c r="B265" s="162"/>
      <c r="C265" s="162"/>
      <c r="D265" s="162"/>
      <c r="E265" s="162"/>
      <c r="F265" s="162"/>
      <c r="G265" s="162"/>
      <c r="H265" s="162"/>
      <c r="I265" s="98"/>
      <c r="L265" s="163"/>
      <c r="M265" s="163"/>
    </row>
    <row r="266" spans="1:17" s="41" customFormat="1">
      <c r="A266" s="162" t="s">
        <v>202</v>
      </c>
      <c r="B266" s="162"/>
      <c r="C266" s="162"/>
      <c r="D266" s="162"/>
      <c r="E266" s="162"/>
      <c r="F266" s="162"/>
      <c r="G266" s="162"/>
      <c r="H266" s="162"/>
      <c r="I266" s="98"/>
      <c r="L266" s="163"/>
      <c r="M266" s="163"/>
    </row>
    <row r="267" spans="1:17" s="41" customFormat="1">
      <c r="A267" s="162" t="s">
        <v>203</v>
      </c>
      <c r="B267" s="162"/>
      <c r="C267" s="162"/>
      <c r="D267" s="162"/>
      <c r="E267" s="162"/>
      <c r="F267" s="162"/>
      <c r="G267" s="162"/>
      <c r="H267" s="162"/>
      <c r="I267" s="98"/>
      <c r="O267" s="41" t="str">
        <f>MID(A267,1,3)</f>
        <v>1st</v>
      </c>
      <c r="P267" s="41">
        <f ca="1">--TRIM(RIGHT(SUBSTITUTE(LEFT(A267,_xlfn.AGGREGATE(14,6,FIND({0,1,2,3,4,5,6,7,8,9},A267,ROW(INDIRECT("1:"&amp;LEN(A267)))),1))," ",REPT(" ",LEN(A267))),LEN(A267)))</f>
        <v>6</v>
      </c>
    </row>
    <row r="268" spans="1:17" s="41" customFormat="1" ht="15.75" customHeight="1">
      <c r="A268" s="119">
        <v>1</v>
      </c>
      <c r="B268" s="119"/>
      <c r="C268" s="95" t="s">
        <v>189</v>
      </c>
      <c r="D268" s="99">
        <f>(30.98+0.85*2.75+0.5*1.5)*10.764</f>
        <v>366.70256999999998</v>
      </c>
      <c r="E268" s="95">
        <v>0</v>
      </c>
      <c r="F268" s="95">
        <f>D268*(($F$158)+1)+E268</f>
        <v>550.053855</v>
      </c>
      <c r="G268" s="119" t="str">
        <f>A267</f>
        <v>1st to 4th &amp; 6th Floor for Residential</v>
      </c>
      <c r="H268" s="119"/>
      <c r="I268" s="98">
        <f>2.75*3.5+1.8*3.35+2.9*3.05+1.05*1.2+1.5*1.2+0.9*(1.05+1.5)</f>
        <v>29.855000000000004</v>
      </c>
      <c r="L268" s="41" t="str">
        <f ca="1">O268&amp;""&amp;M268&amp;""&amp;P268</f>
        <v>101 to 601</v>
      </c>
      <c r="M268" s="41" t="s">
        <v>196</v>
      </c>
      <c r="N268" s="98">
        <v>1</v>
      </c>
      <c r="O268" s="41">
        <f ca="1">(SUMPRODUCT(MID(0&amp;O267,LARGE(INDEX(ISNUMBER(--MID(O267,ROW(INDIRECT("1:"&amp;LEN(O267))),1))*ROW(INDIRECT("1:"&amp;LEN(O267))),0),ROW(INDIRECT("1:"&amp;LEN(O267))))+1,1)*10^ROW(INDIRECT("1:"&amp;LEN(O267)))/10))*N268*100+1</f>
        <v>101</v>
      </c>
      <c r="P268" s="41">
        <f ca="1">(SUMPRODUCT(MID(0&amp;P267,LARGE(INDEX(ISNUMBER(--MID(P267,ROW(INDIRECT("1:"&amp;LEN(P267))),1))*ROW(INDIRECT("1:"&amp;LEN(P267))),0),ROW(INDIRECT("1:"&amp;LEN(P267))))+1,1)*10^ROW(INDIRECT("1:"&amp;LEN(P267)))/10))*N268*100+1</f>
        <v>601</v>
      </c>
    </row>
    <row r="269" spans="1:17" s="41" customFormat="1" ht="15.75" customHeight="1">
      <c r="A269" s="119">
        <v>2</v>
      </c>
      <c r="B269" s="119"/>
      <c r="C269" s="95" t="s">
        <v>189</v>
      </c>
      <c r="D269" s="99">
        <f>(31.28+0.85*2.75+0.5*1.5)*10.764</f>
        <v>369.93176999999997</v>
      </c>
      <c r="E269" s="95">
        <v>0</v>
      </c>
      <c r="F269" s="95">
        <f t="shared" ref="F269:F270" si="77">D269*(($F$158)+1)+E269</f>
        <v>554.89765499999999</v>
      </c>
      <c r="G269" s="119"/>
      <c r="H269" s="119"/>
      <c r="I269" s="98"/>
      <c r="L269" s="41" t="str">
        <f t="shared" ref="L269:L273" ca="1" si="78">O269&amp;""&amp;M269&amp;""&amp;P269</f>
        <v>102 to 602</v>
      </c>
      <c r="M269" s="41" t="s">
        <v>196</v>
      </c>
      <c r="N269" s="98">
        <f t="shared" ref="N269:P269" si="79">N268+1</f>
        <v>2</v>
      </c>
      <c r="O269" s="41">
        <f t="shared" ca="1" si="79"/>
        <v>102</v>
      </c>
      <c r="P269" s="41">
        <f t="shared" ca="1" si="79"/>
        <v>602</v>
      </c>
    </row>
    <row r="270" spans="1:17" s="41" customFormat="1" ht="15.75" customHeight="1">
      <c r="A270" s="119">
        <v>3</v>
      </c>
      <c r="B270" s="119"/>
      <c r="C270" s="95" t="s">
        <v>189</v>
      </c>
      <c r="D270" s="99">
        <f>(33.35+0.85*2.75)*10.764</f>
        <v>384.14024999999998</v>
      </c>
      <c r="E270" s="95">
        <v>0</v>
      </c>
      <c r="F270" s="95">
        <f t="shared" si="77"/>
        <v>576.210375</v>
      </c>
      <c r="G270" s="119"/>
      <c r="H270" s="119"/>
      <c r="I270" s="99">
        <v>10.763999999999999</v>
      </c>
      <c r="L270" s="41" t="str">
        <f t="shared" ca="1" si="78"/>
        <v>103 to 603</v>
      </c>
      <c r="M270" s="41" t="s">
        <v>196</v>
      </c>
      <c r="N270" s="98">
        <f t="shared" ref="N270:P270" si="80">N269+1</f>
        <v>3</v>
      </c>
      <c r="O270" s="41">
        <f t="shared" ca="1" si="80"/>
        <v>103</v>
      </c>
      <c r="P270" s="41">
        <f t="shared" ca="1" si="80"/>
        <v>603</v>
      </c>
    </row>
    <row r="271" spans="1:17" s="41" customFormat="1" ht="15.75" customHeight="1">
      <c r="A271" s="119">
        <v>4</v>
      </c>
      <c r="B271" s="119"/>
      <c r="C271" s="95" t="s">
        <v>189</v>
      </c>
      <c r="D271" s="99">
        <f>(34.62+0.85*(2.75+2.75))*10.764</f>
        <v>422.9713799999999</v>
      </c>
      <c r="E271" s="95">
        <v>0</v>
      </c>
      <c r="F271" s="95">
        <f t="shared" ref="F271:F273" si="81">D271*(($F$158)+1)+E271</f>
        <v>634.45706999999982</v>
      </c>
      <c r="G271" s="119"/>
      <c r="H271" s="119"/>
      <c r="I271" s="98"/>
      <c r="L271" s="41" t="str">
        <f t="shared" ca="1" si="78"/>
        <v>104 to 604</v>
      </c>
      <c r="M271" s="41" t="s">
        <v>196</v>
      </c>
      <c r="N271" s="98">
        <f t="shared" ref="N271:P271" si="82">N270+1</f>
        <v>4</v>
      </c>
      <c r="O271" s="41">
        <f t="shared" ca="1" si="82"/>
        <v>104</v>
      </c>
      <c r="P271" s="41">
        <f t="shared" ca="1" si="82"/>
        <v>604</v>
      </c>
    </row>
    <row r="272" spans="1:17" s="41" customFormat="1" ht="15.75" customHeight="1">
      <c r="A272" s="119">
        <v>5</v>
      </c>
      <c r="B272" s="119"/>
      <c r="C272" s="95" t="s">
        <v>189</v>
      </c>
      <c r="D272" s="99">
        <f>(31.96+0.85*(3.5+3.2))*10.764</f>
        <v>405.31842</v>
      </c>
      <c r="E272" s="95">
        <v>0</v>
      </c>
      <c r="F272" s="95">
        <f t="shared" si="81"/>
        <v>607.97762999999998</v>
      </c>
      <c r="G272" s="119"/>
      <c r="H272" s="119"/>
      <c r="I272" s="98"/>
      <c r="L272" s="41" t="str">
        <f t="shared" ca="1" si="78"/>
        <v>105 to 605</v>
      </c>
      <c r="M272" s="41" t="s">
        <v>196</v>
      </c>
      <c r="N272" s="98">
        <f t="shared" ref="N272:P272" si="83">N271+1</f>
        <v>5</v>
      </c>
      <c r="O272" s="41">
        <f t="shared" ca="1" si="83"/>
        <v>105</v>
      </c>
      <c r="P272" s="41">
        <f t="shared" ca="1" si="83"/>
        <v>605</v>
      </c>
    </row>
    <row r="273" spans="1:16" s="41" customFormat="1" ht="15.75" customHeight="1">
      <c r="A273" s="119">
        <v>6</v>
      </c>
      <c r="B273" s="119"/>
      <c r="C273" s="95" t="s">
        <v>189</v>
      </c>
      <c r="D273" s="99">
        <f>(33.91+0.85*(2.75+2.3+3.15))*10.764</f>
        <v>440.03231999999991</v>
      </c>
      <c r="E273" s="95">
        <v>0</v>
      </c>
      <c r="F273" s="95">
        <f t="shared" si="81"/>
        <v>660.04847999999993</v>
      </c>
      <c r="G273" s="119"/>
      <c r="H273" s="119"/>
      <c r="I273" s="98"/>
      <c r="L273" s="41" t="str">
        <f t="shared" ca="1" si="78"/>
        <v>106 to 606</v>
      </c>
      <c r="M273" s="41" t="s">
        <v>196</v>
      </c>
      <c r="N273" s="98">
        <f t="shared" ref="N273:P273" si="84">N272+1</f>
        <v>6</v>
      </c>
      <c r="O273" s="41">
        <f t="shared" ca="1" si="84"/>
        <v>106</v>
      </c>
      <c r="P273" s="41">
        <f t="shared" ca="1" si="84"/>
        <v>606</v>
      </c>
    </row>
    <row r="274" spans="1:16" s="41" customFormat="1">
      <c r="A274" s="162" t="s">
        <v>204</v>
      </c>
      <c r="B274" s="162"/>
      <c r="C274" s="162"/>
      <c r="D274" s="162"/>
      <c r="E274" s="162"/>
      <c r="F274" s="162"/>
      <c r="G274" s="162"/>
      <c r="H274" s="162"/>
      <c r="I274" s="98"/>
      <c r="O274" s="41" t="str">
        <f>MID(A274,1,3)</f>
        <v>5th</v>
      </c>
      <c r="P274" s="41">
        <f ca="1">--TRIM(RIGHT(SUBSTITUTE(LEFT(A274,_xlfn.AGGREGATE(14,6,FIND({0,1,2,3,4,5,6,7,8,9},A274,ROW(INDIRECT("1:"&amp;LEN(A274)))),1))," ",REPT(" ",LEN(A274))),LEN(A274)))</f>
        <v>5</v>
      </c>
    </row>
    <row r="275" spans="1:16" s="41" customFormat="1" ht="15.75" customHeight="1">
      <c r="A275" s="119">
        <v>1</v>
      </c>
      <c r="B275" s="119"/>
      <c r="C275" s="111" t="s">
        <v>189</v>
      </c>
      <c r="D275" s="111">
        <f>(30.98+0.85*2.75+0.5*1.5)*10.764</f>
        <v>366.70256999999998</v>
      </c>
      <c r="E275" s="111">
        <v>0</v>
      </c>
      <c r="F275" s="111">
        <f>D275*(($F$158)+1)+E275</f>
        <v>550.053855</v>
      </c>
      <c r="G275" s="119" t="str">
        <f>A274</f>
        <v>5th Floor (Part Refuge Area)</v>
      </c>
      <c r="H275" s="119"/>
      <c r="I275" s="98"/>
      <c r="L275" s="41" t="str">
        <f ca="1">O275&amp;""&amp;M275&amp;""&amp;P275</f>
        <v>501 to 501</v>
      </c>
      <c r="M275" s="41" t="s">
        <v>196</v>
      </c>
      <c r="N275" s="98">
        <v>1</v>
      </c>
      <c r="O275" s="41">
        <f ca="1">(SUMPRODUCT(MID(0&amp;O274,LARGE(INDEX(ISNUMBER(--MID(O274,ROW(INDIRECT("1:"&amp;LEN(O274))),1))*ROW(INDIRECT("1:"&amp;LEN(O274))),0),ROW(INDIRECT("1:"&amp;LEN(O274))))+1,1)*10^ROW(INDIRECT("1:"&amp;LEN(O274)))/10))*N275*100+1</f>
        <v>501</v>
      </c>
      <c r="P275" s="41">
        <f ca="1">(SUMPRODUCT(MID(0&amp;P274,LARGE(INDEX(ISNUMBER(--MID(P274,ROW(INDIRECT("1:"&amp;LEN(P274))),1))*ROW(INDIRECT("1:"&amp;LEN(P274))),0),ROW(INDIRECT("1:"&amp;LEN(P274))))+1,1)*10^ROW(INDIRECT("1:"&amp;LEN(P274)))/10))*N275*100+1</f>
        <v>501</v>
      </c>
    </row>
    <row r="276" spans="1:16" s="41" customFormat="1" ht="15.75" customHeight="1">
      <c r="A276" s="119">
        <v>2</v>
      </c>
      <c r="B276" s="119"/>
      <c r="C276" s="111" t="s">
        <v>187</v>
      </c>
      <c r="D276" s="99">
        <f>(42.48+0.85*2.75+0.5*1.5)*10.764</f>
        <v>490.48856999999992</v>
      </c>
      <c r="E276" s="111">
        <v>0</v>
      </c>
      <c r="F276" s="111">
        <f t="shared" ref="F276:F277" si="85">D276*(($F$158)+1)+E276</f>
        <v>735.73285499999986</v>
      </c>
      <c r="G276" s="119"/>
      <c r="H276" s="119"/>
      <c r="I276" s="98"/>
      <c r="L276" s="41" t="str">
        <f t="shared" ref="L276:L279" ca="1" si="86">O276&amp;""&amp;M276&amp;""&amp;P276</f>
        <v>502 to 502</v>
      </c>
      <c r="M276" s="41" t="s">
        <v>196</v>
      </c>
      <c r="N276" s="98">
        <f t="shared" ref="N276:P276" si="87">N275+1</f>
        <v>2</v>
      </c>
      <c r="O276" s="41">
        <f t="shared" ca="1" si="87"/>
        <v>502</v>
      </c>
      <c r="P276" s="41">
        <f t="shared" ca="1" si="87"/>
        <v>502</v>
      </c>
    </row>
    <row r="277" spans="1:16" s="41" customFormat="1" ht="15.75" customHeight="1">
      <c r="A277" s="119">
        <v>3</v>
      </c>
      <c r="B277" s="119"/>
      <c r="C277" s="111" t="s">
        <v>189</v>
      </c>
      <c r="D277" s="99">
        <f>(34.62+0.85*(2.75+2.75))*10.764</f>
        <v>422.9713799999999</v>
      </c>
      <c r="E277" s="111">
        <v>0</v>
      </c>
      <c r="F277" s="111">
        <f t="shared" si="85"/>
        <v>634.45706999999982</v>
      </c>
      <c r="G277" s="119"/>
      <c r="H277" s="119"/>
      <c r="I277" s="98"/>
      <c r="L277" s="41" t="str">
        <f t="shared" ca="1" si="86"/>
        <v>503 to 503</v>
      </c>
      <c r="M277" s="41" t="s">
        <v>196</v>
      </c>
      <c r="N277" s="98">
        <f t="shared" ref="N277:P277" si="88">N276+1</f>
        <v>3</v>
      </c>
      <c r="O277" s="41">
        <f t="shared" ca="1" si="88"/>
        <v>503</v>
      </c>
      <c r="P277" s="41">
        <f t="shared" ca="1" si="88"/>
        <v>503</v>
      </c>
    </row>
    <row r="278" spans="1:16" s="41" customFormat="1" ht="15.75" customHeight="1">
      <c r="A278" s="119">
        <v>4</v>
      </c>
      <c r="B278" s="119"/>
      <c r="C278" s="111" t="s">
        <v>189</v>
      </c>
      <c r="D278" s="99">
        <f>(31.96+0.85*(3.5+3.2))*10.764</f>
        <v>405.31842</v>
      </c>
      <c r="E278" s="111">
        <v>0</v>
      </c>
      <c r="F278" s="111">
        <f t="shared" ref="F278:F279" si="89">D278*(($F$158)+1)+E278</f>
        <v>607.97762999999998</v>
      </c>
      <c r="G278" s="119"/>
      <c r="H278" s="119"/>
      <c r="I278" s="98"/>
      <c r="L278" s="41" t="str">
        <f t="shared" ca="1" si="86"/>
        <v>504 to 504</v>
      </c>
      <c r="M278" s="41" t="s">
        <v>196</v>
      </c>
      <c r="N278" s="98">
        <f t="shared" ref="N278:P278" si="90">N277+1</f>
        <v>4</v>
      </c>
      <c r="O278" s="41">
        <f t="shared" ca="1" si="90"/>
        <v>504</v>
      </c>
      <c r="P278" s="41">
        <f t="shared" ca="1" si="90"/>
        <v>504</v>
      </c>
    </row>
    <row r="279" spans="1:16" s="41" customFormat="1" ht="15.75" customHeight="1">
      <c r="A279" s="119">
        <v>5</v>
      </c>
      <c r="B279" s="119"/>
      <c r="C279" s="111" t="s">
        <v>189</v>
      </c>
      <c r="D279" s="99">
        <f>(33.91+0.85*(2.75+2.3+3.15))*10.764</f>
        <v>440.03231999999991</v>
      </c>
      <c r="E279" s="111">
        <v>0</v>
      </c>
      <c r="F279" s="111">
        <f t="shared" si="89"/>
        <v>660.04847999999993</v>
      </c>
      <c r="G279" s="119"/>
      <c r="H279" s="119"/>
      <c r="I279" s="98"/>
      <c r="L279" s="41" t="str">
        <f t="shared" ca="1" si="86"/>
        <v>505 to 505</v>
      </c>
      <c r="M279" s="41" t="s">
        <v>196</v>
      </c>
      <c r="N279" s="98">
        <f t="shared" ref="N279:P279" si="91">N278+1</f>
        <v>5</v>
      </c>
      <c r="O279" s="41">
        <f t="shared" ca="1" si="91"/>
        <v>505</v>
      </c>
      <c r="P279" s="41">
        <f t="shared" ca="1" si="91"/>
        <v>505</v>
      </c>
    </row>
    <row r="280" spans="1:16" s="41" customFormat="1">
      <c r="A280" s="162" t="s">
        <v>205</v>
      </c>
      <c r="B280" s="162"/>
      <c r="C280" s="162"/>
      <c r="D280" s="162"/>
      <c r="E280" s="162"/>
      <c r="F280" s="162"/>
      <c r="G280" s="162"/>
      <c r="H280" s="162"/>
      <c r="I280" s="98"/>
      <c r="O280" s="41" t="str">
        <f>MID(A280,1,3)</f>
        <v>7th</v>
      </c>
      <c r="P280" s="41">
        <f ca="1">--TRIM(RIGHT(SUBSTITUTE(LEFT(A280,_xlfn.AGGREGATE(14,6,FIND({0,1,2,3,4,5,6,7,8,9},A280,ROW(INDIRECT("1:"&amp;LEN(A280)))),1))," ",REPT(" ",LEN(A280))),LEN(A280)))</f>
        <v>7</v>
      </c>
    </row>
    <row r="281" spans="1:16" s="41" customFormat="1" ht="15.75" customHeight="1">
      <c r="A281" s="119">
        <v>1</v>
      </c>
      <c r="B281" s="119"/>
      <c r="C281" s="111" t="s">
        <v>189</v>
      </c>
      <c r="D281" s="99">
        <f>(30.98+0.85*2.75+0.5*1.5)*10.764</f>
        <v>366.70256999999998</v>
      </c>
      <c r="E281" s="111">
        <v>0</v>
      </c>
      <c r="F281" s="111">
        <f>D281*(($F$158)+1)+E281</f>
        <v>550.053855</v>
      </c>
      <c r="G281" s="119" t="str">
        <f>A280</f>
        <v xml:space="preserve">7th Floor </v>
      </c>
      <c r="H281" s="119"/>
      <c r="I281" s="99">
        <v>10.763999999999999</v>
      </c>
      <c r="L281" s="41" t="str">
        <f ca="1">O281&amp;""&amp;M281&amp;""&amp;P281</f>
        <v>701 to 701</v>
      </c>
      <c r="M281" s="41" t="s">
        <v>196</v>
      </c>
      <c r="N281" s="98">
        <v>1</v>
      </c>
      <c r="O281" s="41">
        <f ca="1">(SUMPRODUCT(MID(0&amp;O280,LARGE(INDEX(ISNUMBER(--MID(O280,ROW(INDIRECT("1:"&amp;LEN(O280))),1))*ROW(INDIRECT("1:"&amp;LEN(O280))),0),ROW(INDIRECT("1:"&amp;LEN(O280))))+1,1)*10^ROW(INDIRECT("1:"&amp;LEN(O280)))/10))*N281*100+1</f>
        <v>701</v>
      </c>
      <c r="P281" s="41">
        <f ca="1">(SUMPRODUCT(MID(0&amp;P280,LARGE(INDEX(ISNUMBER(--MID(P280,ROW(INDIRECT("1:"&amp;LEN(P280))),1))*ROW(INDIRECT("1:"&amp;LEN(P280))),0),ROW(INDIRECT("1:"&amp;LEN(P280))))+1,1)*10^ROW(INDIRECT("1:"&amp;LEN(P280)))/10))*N281*100+1</f>
        <v>701</v>
      </c>
    </row>
    <row r="282" spans="1:16" s="41" customFormat="1" ht="15.75" customHeight="1">
      <c r="A282" s="119">
        <v>2</v>
      </c>
      <c r="B282" s="119"/>
      <c r="C282" s="111" t="s">
        <v>189</v>
      </c>
      <c r="D282" s="99">
        <f>(31.28+0.85*2.75+0.5*1.5)*10.764</f>
        <v>369.93176999999997</v>
      </c>
      <c r="E282" s="111">
        <v>0</v>
      </c>
      <c r="F282" s="111">
        <f t="shared" ref="F282:F283" si="92">D282*(($F$158)+1)+E282</f>
        <v>554.89765499999999</v>
      </c>
      <c r="G282" s="119"/>
      <c r="H282" s="119"/>
      <c r="I282" s="98"/>
      <c r="L282" s="41" t="str">
        <f t="shared" ref="L282:L286" ca="1" si="93">O282&amp;""&amp;M282&amp;""&amp;P282</f>
        <v>702 to 702</v>
      </c>
      <c r="M282" s="41" t="s">
        <v>196</v>
      </c>
      <c r="N282" s="98">
        <f t="shared" ref="N282:P282" si="94">N281+1</f>
        <v>2</v>
      </c>
      <c r="O282" s="41">
        <f t="shared" ca="1" si="94"/>
        <v>702</v>
      </c>
      <c r="P282" s="41">
        <f t="shared" ca="1" si="94"/>
        <v>702</v>
      </c>
    </row>
    <row r="283" spans="1:16" s="41" customFormat="1" ht="15.75" customHeight="1">
      <c r="A283" s="119">
        <v>3</v>
      </c>
      <c r="B283" s="119"/>
      <c r="C283" s="111" t="s">
        <v>206</v>
      </c>
      <c r="D283" s="99">
        <f>(22.81+0.85*(2.75+2.3))*10.764</f>
        <v>291.73130999999995</v>
      </c>
      <c r="E283" s="111">
        <f>(3.4*2.95)*10.764</f>
        <v>107.96292000000001</v>
      </c>
      <c r="F283" s="111">
        <f t="shared" si="92"/>
        <v>545.55988500000001</v>
      </c>
      <c r="G283" s="119"/>
      <c r="H283" s="119"/>
      <c r="I283" s="98"/>
      <c r="L283" s="41" t="str">
        <f t="shared" ca="1" si="93"/>
        <v>703 to 703</v>
      </c>
      <c r="M283" s="41" t="s">
        <v>196</v>
      </c>
      <c r="N283" s="98">
        <f t="shared" ref="N283:P283" si="95">N282+1</f>
        <v>3</v>
      </c>
      <c r="O283" s="41">
        <f t="shared" ca="1" si="95"/>
        <v>703</v>
      </c>
      <c r="P283" s="41">
        <f t="shared" ca="1" si="95"/>
        <v>703</v>
      </c>
    </row>
    <row r="284" spans="1:16" s="41" customFormat="1" ht="15.75" customHeight="1">
      <c r="A284" s="119">
        <v>4</v>
      </c>
      <c r="B284" s="119"/>
      <c r="C284" s="111" t="s">
        <v>189</v>
      </c>
      <c r="D284" s="99">
        <f>(34.62+0.85*(2.75+2.75))*10.764</f>
        <v>422.9713799999999</v>
      </c>
      <c r="E284" s="111">
        <v>0</v>
      </c>
      <c r="F284" s="111">
        <f t="shared" ref="F284:F286" si="96">D284*(($F$158)+1)+E284</f>
        <v>634.45706999999982</v>
      </c>
      <c r="G284" s="119"/>
      <c r="H284" s="119"/>
      <c r="I284" s="98"/>
      <c r="L284" s="41" t="str">
        <f t="shared" ca="1" si="93"/>
        <v>704 to 704</v>
      </c>
      <c r="M284" s="41" t="s">
        <v>196</v>
      </c>
      <c r="N284" s="98">
        <f t="shared" ref="N284:P284" si="97">N283+1</f>
        <v>4</v>
      </c>
      <c r="O284" s="41">
        <f t="shared" ca="1" si="97"/>
        <v>704</v>
      </c>
      <c r="P284" s="41">
        <f t="shared" ca="1" si="97"/>
        <v>704</v>
      </c>
    </row>
    <row r="285" spans="1:16" s="41" customFormat="1" ht="15.75" customHeight="1">
      <c r="A285" s="119">
        <v>5</v>
      </c>
      <c r="B285" s="119"/>
      <c r="C285" s="111" t="s">
        <v>189</v>
      </c>
      <c r="D285" s="99">
        <f>(31.96+0.85*(3.5+3.2))*10.764</f>
        <v>405.31842</v>
      </c>
      <c r="E285" s="111">
        <v>0</v>
      </c>
      <c r="F285" s="111">
        <f t="shared" si="96"/>
        <v>607.97762999999998</v>
      </c>
      <c r="G285" s="119"/>
      <c r="H285" s="119"/>
      <c r="I285" s="98"/>
      <c r="L285" s="41" t="str">
        <f t="shared" ca="1" si="93"/>
        <v>705 to 705</v>
      </c>
      <c r="M285" s="41" t="s">
        <v>196</v>
      </c>
      <c r="N285" s="98">
        <f t="shared" ref="N285:P285" si="98">N284+1</f>
        <v>5</v>
      </c>
      <c r="O285" s="41">
        <f t="shared" ca="1" si="98"/>
        <v>705</v>
      </c>
      <c r="P285" s="41">
        <f t="shared" ca="1" si="98"/>
        <v>705</v>
      </c>
    </row>
    <row r="286" spans="1:16" s="41" customFormat="1" ht="15.75" customHeight="1">
      <c r="A286" s="119">
        <v>6</v>
      </c>
      <c r="B286" s="119"/>
      <c r="C286" s="111" t="s">
        <v>189</v>
      </c>
      <c r="D286" s="99">
        <f>(33.91+0.85*(2.75+2.3+3.15))*10.764</f>
        <v>440.03231999999991</v>
      </c>
      <c r="E286" s="111">
        <v>0</v>
      </c>
      <c r="F286" s="111">
        <f t="shared" si="96"/>
        <v>660.04847999999993</v>
      </c>
      <c r="G286" s="119"/>
      <c r="H286" s="119"/>
      <c r="I286" s="98"/>
      <c r="L286" s="41" t="str">
        <f t="shared" ca="1" si="93"/>
        <v>706 to 706</v>
      </c>
      <c r="M286" s="41" t="s">
        <v>196</v>
      </c>
      <c r="N286" s="98">
        <f t="shared" ref="N286:P286" si="99">N285+1</f>
        <v>6</v>
      </c>
      <c r="O286" s="41">
        <f t="shared" ca="1" si="99"/>
        <v>706</v>
      </c>
      <c r="P286" s="41">
        <f t="shared" ca="1" si="99"/>
        <v>706</v>
      </c>
    </row>
    <row r="287" spans="1:16" s="39" customFormat="1">
      <c r="A287" s="161" t="s">
        <v>207</v>
      </c>
      <c r="B287" s="161"/>
      <c r="C287" s="161"/>
      <c r="D287" s="161"/>
      <c r="E287" s="161"/>
      <c r="F287" s="161"/>
      <c r="G287" s="161"/>
      <c r="H287" s="161"/>
    </row>
    <row r="288" spans="1:16" s="39" customFormat="1" ht="33.75" customHeight="1">
      <c r="A288" s="91">
        <v>1</v>
      </c>
      <c r="B288" s="123" t="s">
        <v>293</v>
      </c>
      <c r="C288" s="124"/>
      <c r="D288" s="124"/>
      <c r="E288" s="124"/>
      <c r="F288" s="124"/>
      <c r="G288" s="124"/>
      <c r="H288" s="125"/>
    </row>
    <row r="289" spans="1:8" s="39" customFormat="1">
      <c r="A289" s="91">
        <v>2</v>
      </c>
      <c r="B289" s="123" t="s">
        <v>208</v>
      </c>
      <c r="C289" s="124"/>
      <c r="D289" s="124"/>
      <c r="E289" s="124"/>
      <c r="F289" s="124"/>
      <c r="G289" s="124"/>
      <c r="H289" s="125"/>
    </row>
    <row r="290" spans="1:8" s="39" customFormat="1">
      <c r="A290" s="91">
        <v>3</v>
      </c>
      <c r="B290" s="126" t="s">
        <v>209</v>
      </c>
      <c r="C290" s="127"/>
      <c r="D290" s="127"/>
      <c r="E290" s="127"/>
      <c r="F290" s="127"/>
      <c r="G290" s="127"/>
      <c r="H290" s="128"/>
    </row>
    <row r="291" spans="1:8" s="39" customFormat="1">
      <c r="A291" s="91">
        <v>4</v>
      </c>
      <c r="B291" s="126" t="s">
        <v>210</v>
      </c>
      <c r="C291" s="127"/>
      <c r="D291" s="127"/>
      <c r="E291" s="127"/>
      <c r="F291" s="127"/>
      <c r="G291" s="127"/>
      <c r="H291" s="128"/>
    </row>
    <row r="292" spans="1:8" s="39" customFormat="1" ht="31.5" customHeight="1">
      <c r="A292" s="91">
        <v>5</v>
      </c>
      <c r="B292" s="126" t="s">
        <v>211</v>
      </c>
      <c r="C292" s="127"/>
      <c r="D292" s="127"/>
      <c r="E292" s="127"/>
      <c r="F292" s="127"/>
      <c r="G292" s="127"/>
      <c r="H292" s="128"/>
    </row>
    <row r="293" spans="1:8" s="39" customFormat="1">
      <c r="A293" s="91">
        <v>6</v>
      </c>
      <c r="B293" s="126" t="s">
        <v>212</v>
      </c>
      <c r="C293" s="127"/>
      <c r="D293" s="127"/>
      <c r="E293" s="127"/>
      <c r="F293" s="127"/>
      <c r="G293" s="127"/>
      <c r="H293" s="128"/>
    </row>
    <row r="294" spans="1:8" s="39" customFormat="1" ht="15" customHeight="1">
      <c r="A294" s="91">
        <v>7</v>
      </c>
      <c r="B294" s="126" t="s">
        <v>213</v>
      </c>
      <c r="C294" s="127"/>
      <c r="D294" s="127"/>
      <c r="E294" s="127"/>
      <c r="F294" s="127"/>
      <c r="G294" s="127"/>
      <c r="H294" s="128"/>
    </row>
    <row r="295" spans="1:8" s="39" customFormat="1" ht="15.75" hidden="1" customHeight="1">
      <c r="A295" s="91">
        <v>8</v>
      </c>
      <c r="B295" s="123" t="s">
        <v>214</v>
      </c>
      <c r="C295" s="124"/>
      <c r="D295" s="124"/>
      <c r="E295" s="124"/>
      <c r="F295" s="124"/>
      <c r="G295" s="124"/>
      <c r="H295" s="125"/>
    </row>
    <row r="296" spans="1:8" s="39" customFormat="1">
      <c r="A296" s="91">
        <v>8</v>
      </c>
      <c r="B296" s="126" t="s">
        <v>215</v>
      </c>
      <c r="C296" s="127"/>
      <c r="D296" s="127"/>
      <c r="E296" s="127"/>
      <c r="F296" s="127"/>
      <c r="G296" s="127"/>
      <c r="H296" s="128"/>
    </row>
    <row r="297" spans="1:8" s="39" customFormat="1">
      <c r="A297" s="91">
        <v>9</v>
      </c>
      <c r="B297" s="126" t="s">
        <v>216</v>
      </c>
      <c r="C297" s="127"/>
      <c r="D297" s="127"/>
      <c r="E297" s="127"/>
      <c r="F297" s="127"/>
      <c r="G297" s="127"/>
      <c r="H297" s="128"/>
    </row>
    <row r="298" spans="1:8" s="39" customFormat="1">
      <c r="A298" s="103">
        <v>10</v>
      </c>
      <c r="B298" s="126" t="s">
        <v>217</v>
      </c>
      <c r="C298" s="127"/>
      <c r="D298" s="127"/>
      <c r="E298" s="127"/>
      <c r="F298" s="127"/>
      <c r="G298" s="127"/>
      <c r="H298" s="128"/>
    </row>
    <row r="299" spans="1:8" s="39" customFormat="1">
      <c r="A299" s="104">
        <v>11</v>
      </c>
      <c r="B299" s="126" t="s">
        <v>285</v>
      </c>
      <c r="C299" s="127"/>
      <c r="D299" s="127"/>
      <c r="E299" s="127"/>
      <c r="F299" s="127"/>
      <c r="G299" s="127"/>
      <c r="H299" s="128"/>
    </row>
    <row r="300" spans="1:8" s="39" customFormat="1" ht="31.5" customHeight="1">
      <c r="A300" s="91">
        <v>12</v>
      </c>
      <c r="B300" s="126" t="s">
        <v>296</v>
      </c>
      <c r="C300" s="127"/>
      <c r="D300" s="127"/>
      <c r="E300" s="127"/>
      <c r="F300" s="127"/>
      <c r="G300" s="127"/>
      <c r="H300" s="128"/>
    </row>
    <row r="301" spans="1:8" s="39" customFormat="1">
      <c r="A301" s="108">
        <v>13</v>
      </c>
      <c r="B301" s="126" t="s">
        <v>294</v>
      </c>
      <c r="C301" s="127"/>
      <c r="D301" s="127"/>
      <c r="E301" s="127"/>
      <c r="F301" s="127"/>
      <c r="G301" s="127"/>
      <c r="H301" s="128"/>
    </row>
    <row r="302" spans="1:8">
      <c r="A302" s="159" t="s">
        <v>218</v>
      </c>
      <c r="B302" s="159"/>
      <c r="C302" s="159"/>
      <c r="D302" s="159"/>
      <c r="E302" s="159"/>
      <c r="F302" s="159"/>
      <c r="G302" s="159"/>
      <c r="H302" s="159"/>
    </row>
    <row r="303" spans="1:8">
      <c r="A303" s="120" t="s">
        <v>219</v>
      </c>
      <c r="B303" s="120"/>
      <c r="C303" s="120"/>
      <c r="D303" s="120"/>
      <c r="E303" s="120"/>
      <c r="F303" s="120"/>
      <c r="G303" s="120"/>
      <c r="H303" s="120"/>
    </row>
    <row r="304" spans="1:8" ht="15.75" customHeight="1">
      <c r="A304" s="160" t="s">
        <v>220</v>
      </c>
      <c r="B304" s="160"/>
      <c r="C304" s="160"/>
      <c r="D304" s="160"/>
      <c r="E304" s="160"/>
      <c r="F304" s="160"/>
      <c r="G304" s="160"/>
      <c r="H304" s="160"/>
    </row>
    <row r="305" spans="1:8">
      <c r="A305" s="120" t="s">
        <v>221</v>
      </c>
      <c r="B305" s="120"/>
      <c r="C305" s="120"/>
      <c r="D305" s="120"/>
      <c r="E305" s="120"/>
      <c r="F305" s="120"/>
      <c r="G305" s="120"/>
      <c r="H305" s="120"/>
    </row>
    <row r="306" spans="1:8">
      <c r="A306" s="120" t="s">
        <v>222</v>
      </c>
      <c r="B306" s="120"/>
      <c r="C306" s="120"/>
      <c r="D306" s="120"/>
      <c r="E306" s="120"/>
      <c r="F306" s="120"/>
      <c r="G306" s="120"/>
      <c r="H306" s="120"/>
    </row>
    <row r="307" spans="1:8">
      <c r="A307" s="120" t="s">
        <v>223</v>
      </c>
      <c r="B307" s="120"/>
      <c r="C307" s="120"/>
      <c r="D307" s="120"/>
      <c r="E307" s="120"/>
      <c r="F307" s="120"/>
      <c r="G307" s="120"/>
      <c r="H307" s="120"/>
    </row>
    <row r="308" spans="1:8" ht="35.25" customHeight="1">
      <c r="A308" s="121" t="s">
        <v>224</v>
      </c>
      <c r="B308" s="121"/>
      <c r="C308" s="121"/>
      <c r="D308" s="121"/>
      <c r="E308" s="121"/>
      <c r="F308" s="121"/>
      <c r="G308" s="121"/>
      <c r="H308" s="121"/>
    </row>
    <row r="309" spans="1:8">
      <c r="A309" s="122" t="s">
        <v>225</v>
      </c>
      <c r="B309" s="122"/>
      <c r="C309" s="122" t="s">
        <v>226</v>
      </c>
      <c r="D309" s="122"/>
      <c r="E309" s="122" t="s">
        <v>227</v>
      </c>
      <c r="F309" s="122"/>
      <c r="G309" s="122" t="s">
        <v>288</v>
      </c>
      <c r="H309" s="122"/>
    </row>
    <row r="310" spans="1:8">
      <c r="A310" s="112" t="s">
        <v>228</v>
      </c>
      <c r="B310" s="112"/>
      <c r="C310" s="112"/>
      <c r="D310" s="112"/>
      <c r="E310" s="112"/>
      <c r="F310" s="112"/>
      <c r="G310" s="112"/>
      <c r="H310" s="112"/>
    </row>
    <row r="311" spans="1:8">
      <c r="A311" s="112"/>
      <c r="B311" s="112"/>
      <c r="C311" s="112"/>
      <c r="D311" s="112"/>
      <c r="E311" s="112"/>
      <c r="F311" s="112"/>
      <c r="G311" s="112"/>
      <c r="H311" s="112"/>
    </row>
    <row r="312" spans="1:8">
      <c r="A312" s="112"/>
      <c r="B312" s="112"/>
      <c r="C312" s="112"/>
      <c r="D312" s="112"/>
      <c r="E312" s="112"/>
      <c r="F312" s="112"/>
      <c r="G312" s="112"/>
      <c r="H312" s="112"/>
    </row>
    <row r="313" spans="1:8">
      <c r="A313" s="112"/>
      <c r="B313" s="112"/>
      <c r="C313" s="112"/>
      <c r="D313" s="112"/>
      <c r="E313" s="112"/>
      <c r="F313" s="112"/>
      <c r="G313" s="112"/>
      <c r="H313" s="112"/>
    </row>
    <row r="314" spans="1:8">
      <c r="A314" s="100" t="s">
        <v>229</v>
      </c>
      <c r="B314" s="101"/>
      <c r="C314" s="101"/>
      <c r="D314" s="100" t="str">
        <f>E8</f>
        <v>Poonam Imperia Phase I</v>
      </c>
      <c r="F314" s="101"/>
      <c r="G314" s="101"/>
      <c r="H314" s="101"/>
    </row>
    <row r="315" spans="1:8">
      <c r="A315" s="101"/>
      <c r="B315" s="101"/>
      <c r="C315" s="101"/>
      <c r="D315" s="101"/>
      <c r="E315" s="101"/>
      <c r="F315" s="101"/>
      <c r="G315" s="101"/>
      <c r="H315" s="101"/>
    </row>
    <row r="316" spans="1:8">
      <c r="A316" s="101"/>
      <c r="B316" s="101"/>
      <c r="C316" s="101"/>
      <c r="D316" s="101"/>
      <c r="E316" s="101"/>
      <c r="F316" s="101"/>
      <c r="G316" s="101"/>
      <c r="H316" s="101"/>
    </row>
    <row r="317" spans="1:8" ht="15" customHeight="1"/>
    <row r="348" spans="9:9">
      <c r="I348" s="43" t="s">
        <v>230</v>
      </c>
    </row>
    <row r="359" spans="1:17" s="42" customFormat="1">
      <c r="A359" s="102" t="s">
        <v>231</v>
      </c>
      <c r="I359" s="43"/>
      <c r="J359" s="43"/>
      <c r="K359" s="43"/>
      <c r="L359" s="43"/>
      <c r="M359" s="43"/>
      <c r="N359" s="43"/>
      <c r="O359" s="43"/>
      <c r="P359" s="43"/>
      <c r="Q359" s="43"/>
    </row>
  </sheetData>
  <mergeCells count="464">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B14"/>
    <mergeCell ref="C14:H14"/>
    <mergeCell ref="A15:B15"/>
    <mergeCell ref="C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B30"/>
    <mergeCell ref="C30:E30"/>
    <mergeCell ref="F30:H30"/>
    <mergeCell ref="A31:B31"/>
    <mergeCell ref="C31:E31"/>
    <mergeCell ref="F31:H31"/>
    <mergeCell ref="A32:B32"/>
    <mergeCell ref="C32:E32"/>
    <mergeCell ref="F32:H32"/>
    <mergeCell ref="A33:B33"/>
    <mergeCell ref="C33:E33"/>
    <mergeCell ref="F33:H33"/>
    <mergeCell ref="A34:B34"/>
    <mergeCell ref="C34:E34"/>
    <mergeCell ref="F34:H34"/>
    <mergeCell ref="A35:H35"/>
    <mergeCell ref="A36:B36"/>
    <mergeCell ref="C36:H36"/>
    <mergeCell ref="A37:B37"/>
    <mergeCell ref="C37:H37"/>
    <mergeCell ref="A38:H38"/>
    <mergeCell ref="A39:D39"/>
    <mergeCell ref="E39:H39"/>
    <mergeCell ref="A40:D40"/>
    <mergeCell ref="E40:H40"/>
    <mergeCell ref="A41:D41"/>
    <mergeCell ref="E41:H41"/>
    <mergeCell ref="A42:D42"/>
    <mergeCell ref="E42:H42"/>
    <mergeCell ref="A43:D43"/>
    <mergeCell ref="E43:H43"/>
    <mergeCell ref="A44:D44"/>
    <mergeCell ref="E44:H44"/>
    <mergeCell ref="A45:H45"/>
    <mergeCell ref="A46:B46"/>
    <mergeCell ref="C46:E46"/>
    <mergeCell ref="G46:H46"/>
    <mergeCell ref="A47:B47"/>
    <mergeCell ref="C47:E47"/>
    <mergeCell ref="G47:H47"/>
    <mergeCell ref="A48:B48"/>
    <mergeCell ref="C48:E48"/>
    <mergeCell ref="G48:H48"/>
    <mergeCell ref="A49:B49"/>
    <mergeCell ref="C49:E49"/>
    <mergeCell ref="G49:H49"/>
    <mergeCell ref="C50:E50"/>
    <mergeCell ref="G50:H50"/>
    <mergeCell ref="C51:H51"/>
    <mergeCell ref="A52:B52"/>
    <mergeCell ref="C52:E52"/>
    <mergeCell ref="G52:H52"/>
    <mergeCell ref="A56:H56"/>
    <mergeCell ref="A57:C57"/>
    <mergeCell ref="D57:H57"/>
    <mergeCell ref="A58:C58"/>
    <mergeCell ref="D58:H58"/>
    <mergeCell ref="D59:H59"/>
    <mergeCell ref="A53:B53"/>
    <mergeCell ref="C53:H53"/>
    <mergeCell ref="A54:B54"/>
    <mergeCell ref="C54:E54"/>
    <mergeCell ref="G54:H54"/>
    <mergeCell ref="A55:B55"/>
    <mergeCell ref="C55:H55"/>
    <mergeCell ref="D60:H60"/>
    <mergeCell ref="D61:H61"/>
    <mergeCell ref="D62:H62"/>
    <mergeCell ref="A63:C63"/>
    <mergeCell ref="D63:H63"/>
    <mergeCell ref="A65:C65"/>
    <mergeCell ref="D65:H65"/>
    <mergeCell ref="A66:C66"/>
    <mergeCell ref="D66:H66"/>
    <mergeCell ref="A64:C64"/>
    <mergeCell ref="D64:H64"/>
    <mergeCell ref="A67:C67"/>
    <mergeCell ref="D67:H67"/>
    <mergeCell ref="A68:B68"/>
    <mergeCell ref="C68:H68"/>
    <mergeCell ref="A69:B69"/>
    <mergeCell ref="C69:D69"/>
    <mergeCell ref="A70:B70"/>
    <mergeCell ref="C70:H70"/>
    <mergeCell ref="A73:B73"/>
    <mergeCell ref="E73:F73"/>
    <mergeCell ref="G73:H73"/>
    <mergeCell ref="A71:B72"/>
    <mergeCell ref="C71:D72"/>
    <mergeCell ref="E71:F72"/>
    <mergeCell ref="G71:H72"/>
    <mergeCell ref="A83:B83"/>
    <mergeCell ref="A84:B84"/>
    <mergeCell ref="C84:H84"/>
    <mergeCell ref="A85:B85"/>
    <mergeCell ref="C85:D85"/>
    <mergeCell ref="A86:B86"/>
    <mergeCell ref="C86:H86"/>
    <mergeCell ref="A87:B87"/>
    <mergeCell ref="E87:F87"/>
    <mergeCell ref="G87:H87"/>
    <mergeCell ref="E74:F83"/>
    <mergeCell ref="G74:H83"/>
    <mergeCell ref="A74:B74"/>
    <mergeCell ref="A75:B75"/>
    <mergeCell ref="A76:B76"/>
    <mergeCell ref="A77:B77"/>
    <mergeCell ref="A78:B78"/>
    <mergeCell ref="A79:B79"/>
    <mergeCell ref="A80:B80"/>
    <mergeCell ref="A81:B81"/>
    <mergeCell ref="A82:B82"/>
    <mergeCell ref="A88:B88"/>
    <mergeCell ref="A89:B89"/>
    <mergeCell ref="A90:B90"/>
    <mergeCell ref="A91:B91"/>
    <mergeCell ref="A92:B92"/>
    <mergeCell ref="A93:B93"/>
    <mergeCell ref="A94:B94"/>
    <mergeCell ref="A95:B95"/>
    <mergeCell ref="A96:B96"/>
    <mergeCell ref="A97:B97"/>
    <mergeCell ref="A98:B98"/>
    <mergeCell ref="C98:H98"/>
    <mergeCell ref="A100:B100"/>
    <mergeCell ref="C100:H100"/>
    <mergeCell ref="A103:B103"/>
    <mergeCell ref="E103:F103"/>
    <mergeCell ref="G103:H103"/>
    <mergeCell ref="A104:B104"/>
    <mergeCell ref="A101:B102"/>
    <mergeCell ref="C101:D102"/>
    <mergeCell ref="E101:F102"/>
    <mergeCell ref="G101:H102"/>
    <mergeCell ref="G119:H119"/>
    <mergeCell ref="A120:B120"/>
    <mergeCell ref="A121:B121"/>
    <mergeCell ref="A105:B105"/>
    <mergeCell ref="A106:B106"/>
    <mergeCell ref="A107:B107"/>
    <mergeCell ref="A108:B108"/>
    <mergeCell ref="A109:B109"/>
    <mergeCell ref="A110:B110"/>
    <mergeCell ref="A111:B111"/>
    <mergeCell ref="A112:B112"/>
    <mergeCell ref="A113:B113"/>
    <mergeCell ref="A117:B118"/>
    <mergeCell ref="C117:D118"/>
    <mergeCell ref="E117:F118"/>
    <mergeCell ref="G117:H118"/>
    <mergeCell ref="F130:H130"/>
    <mergeCell ref="A131:H131"/>
    <mergeCell ref="A132:B132"/>
    <mergeCell ref="C132:H132"/>
    <mergeCell ref="A133:H133"/>
    <mergeCell ref="A134:E134"/>
    <mergeCell ref="F134:H134"/>
    <mergeCell ref="I133:R133"/>
    <mergeCell ref="A135:E135"/>
    <mergeCell ref="F135:H135"/>
    <mergeCell ref="A130:E130"/>
    <mergeCell ref="A136:E136"/>
    <mergeCell ref="F136:H136"/>
    <mergeCell ref="A137:E137"/>
    <mergeCell ref="F137:H137"/>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A147:H147"/>
    <mergeCell ref="A148:B148"/>
    <mergeCell ref="C148:D148"/>
    <mergeCell ref="E148:F148"/>
    <mergeCell ref="G148:H148"/>
    <mergeCell ref="C149:D149"/>
    <mergeCell ref="E149:F149"/>
    <mergeCell ref="G149:H149"/>
    <mergeCell ref="C150:D150"/>
    <mergeCell ref="E150:F150"/>
    <mergeCell ref="G150:H150"/>
    <mergeCell ref="A151:B151"/>
    <mergeCell ref="C151:D151"/>
    <mergeCell ref="E151:F151"/>
    <mergeCell ref="G151:H151"/>
    <mergeCell ref="A152:B152"/>
    <mergeCell ref="C152:D152"/>
    <mergeCell ref="E152:F152"/>
    <mergeCell ref="G152:H152"/>
    <mergeCell ref="A149:A150"/>
    <mergeCell ref="A153:B153"/>
    <mergeCell ref="C153:D153"/>
    <mergeCell ref="E153:F153"/>
    <mergeCell ref="G153:H153"/>
    <mergeCell ref="A154:B154"/>
    <mergeCell ref="C154:D154"/>
    <mergeCell ref="E154:F154"/>
    <mergeCell ref="G154:H154"/>
    <mergeCell ref="A155:H155"/>
    <mergeCell ref="A156:H156"/>
    <mergeCell ref="A159:H159"/>
    <mergeCell ref="L159:M159"/>
    <mergeCell ref="A160:H160"/>
    <mergeCell ref="L160:M160"/>
    <mergeCell ref="A161:H161"/>
    <mergeCell ref="A170:H170"/>
    <mergeCell ref="L170:M170"/>
    <mergeCell ref="A179:H179"/>
    <mergeCell ref="L179:M179"/>
    <mergeCell ref="A157:A158"/>
    <mergeCell ref="B157:B158"/>
    <mergeCell ref="C157:C158"/>
    <mergeCell ref="D157:D158"/>
    <mergeCell ref="E157:E158"/>
    <mergeCell ref="G157:H158"/>
    <mergeCell ref="G162:H169"/>
    <mergeCell ref="A188:H188"/>
    <mergeCell ref="L188:M188"/>
    <mergeCell ref="C190:F190"/>
    <mergeCell ref="A197:H197"/>
    <mergeCell ref="A198:B198"/>
    <mergeCell ref="A199:B199"/>
    <mergeCell ref="A200:B200"/>
    <mergeCell ref="A201:B201"/>
    <mergeCell ref="A202:B202"/>
    <mergeCell ref="A203:B203"/>
    <mergeCell ref="A204:B204"/>
    <mergeCell ref="A205:B205"/>
    <mergeCell ref="A206:H206"/>
    <mergeCell ref="L206:M206"/>
    <mergeCell ref="A207:B207"/>
    <mergeCell ref="A208:B208"/>
    <mergeCell ref="C208:F208"/>
    <mergeCell ref="A209:B209"/>
    <mergeCell ref="A210:B210"/>
    <mergeCell ref="A211:B211"/>
    <mergeCell ref="A212:B212"/>
    <mergeCell ref="A213:B213"/>
    <mergeCell ref="A214:B214"/>
    <mergeCell ref="A215:H215"/>
    <mergeCell ref="L215:M215"/>
    <mergeCell ref="A216:H216"/>
    <mergeCell ref="L216:M216"/>
    <mergeCell ref="A217:H217"/>
    <mergeCell ref="A218:B218"/>
    <mergeCell ref="A219:B219"/>
    <mergeCell ref="A220:B220"/>
    <mergeCell ref="A221:B221"/>
    <mergeCell ref="A222:B222"/>
    <mergeCell ref="A223:B223"/>
    <mergeCell ref="A224:B224"/>
    <mergeCell ref="A225:H225"/>
    <mergeCell ref="L225:M225"/>
    <mergeCell ref="A226:B226"/>
    <mergeCell ref="A227:B227"/>
    <mergeCell ref="A228:B228"/>
    <mergeCell ref="C228:F228"/>
    <mergeCell ref="A229:B229"/>
    <mergeCell ref="A230:B230"/>
    <mergeCell ref="A231:B231"/>
    <mergeCell ref="A232:B232"/>
    <mergeCell ref="A233:H233"/>
    <mergeCell ref="L233:M233"/>
    <mergeCell ref="A234:B234"/>
    <mergeCell ref="A235:B235"/>
    <mergeCell ref="C235:F235"/>
    <mergeCell ref="A236:B236"/>
    <mergeCell ref="A237:B237"/>
    <mergeCell ref="A238:B238"/>
    <mergeCell ref="A239:B239"/>
    <mergeCell ref="A240:B240"/>
    <mergeCell ref="A241:H241"/>
    <mergeCell ref="L241:M241"/>
    <mergeCell ref="A242:H242"/>
    <mergeCell ref="L242:M242"/>
    <mergeCell ref="A243:H243"/>
    <mergeCell ref="A244:B244"/>
    <mergeCell ref="A245:B245"/>
    <mergeCell ref="A246:B246"/>
    <mergeCell ref="A247:B247"/>
    <mergeCell ref="A248:B248"/>
    <mergeCell ref="A249:B249"/>
    <mergeCell ref="A250:H250"/>
    <mergeCell ref="L250:M250"/>
    <mergeCell ref="A251:B251"/>
    <mergeCell ref="A252:B252"/>
    <mergeCell ref="A253:B253"/>
    <mergeCell ref="A254:B254"/>
    <mergeCell ref="A255:B255"/>
    <mergeCell ref="C255:F255"/>
    <mergeCell ref="A256:B256"/>
    <mergeCell ref="A257:H257"/>
    <mergeCell ref="L257:M257"/>
    <mergeCell ref="A258:B258"/>
    <mergeCell ref="A259:B259"/>
    <mergeCell ref="C259:F259"/>
    <mergeCell ref="A260:B260"/>
    <mergeCell ref="A273:B273"/>
    <mergeCell ref="A274:H274"/>
    <mergeCell ref="A275:B275"/>
    <mergeCell ref="A261:B261"/>
    <mergeCell ref="A262:B262"/>
    <mergeCell ref="A263:B263"/>
    <mergeCell ref="A264:H264"/>
    <mergeCell ref="L264:M264"/>
    <mergeCell ref="A265:H265"/>
    <mergeCell ref="L265:M265"/>
    <mergeCell ref="A266:H266"/>
    <mergeCell ref="L266:M266"/>
    <mergeCell ref="A267:H267"/>
    <mergeCell ref="A268:B268"/>
    <mergeCell ref="A269:B269"/>
    <mergeCell ref="A270:B270"/>
    <mergeCell ref="A271:B271"/>
    <mergeCell ref="A272:B272"/>
    <mergeCell ref="B297:H297"/>
    <mergeCell ref="B300:H300"/>
    <mergeCell ref="A302:H302"/>
    <mergeCell ref="A303:H303"/>
    <mergeCell ref="A304:H304"/>
    <mergeCell ref="A305:H305"/>
    <mergeCell ref="A285:B285"/>
    <mergeCell ref="A286:B286"/>
    <mergeCell ref="A287:H287"/>
    <mergeCell ref="B288:H288"/>
    <mergeCell ref="B289:H289"/>
    <mergeCell ref="B290:H290"/>
    <mergeCell ref="B291:H291"/>
    <mergeCell ref="B292:H292"/>
    <mergeCell ref="B293:H293"/>
    <mergeCell ref="B298:H298"/>
    <mergeCell ref="B294:H294"/>
    <mergeCell ref="B299:H299"/>
    <mergeCell ref="B301:H301"/>
    <mergeCell ref="A276:B276"/>
    <mergeCell ref="A277:B277"/>
    <mergeCell ref="A278:B278"/>
    <mergeCell ref="A279:B279"/>
    <mergeCell ref="A280:H280"/>
    <mergeCell ref="A281:B281"/>
    <mergeCell ref="A282:B282"/>
    <mergeCell ref="A283:B283"/>
    <mergeCell ref="A284:B284"/>
    <mergeCell ref="A20:D21"/>
    <mergeCell ref="E20:H21"/>
    <mergeCell ref="A50:B51"/>
    <mergeCell ref="A59:C62"/>
    <mergeCell ref="E88:F97"/>
    <mergeCell ref="G88:H97"/>
    <mergeCell ref="E104:F113"/>
    <mergeCell ref="G104:H113"/>
    <mergeCell ref="E120:F129"/>
    <mergeCell ref="G120:H129"/>
    <mergeCell ref="A122:B122"/>
    <mergeCell ref="A123:B123"/>
    <mergeCell ref="A124:B124"/>
    <mergeCell ref="A125:B125"/>
    <mergeCell ref="A126:B126"/>
    <mergeCell ref="A127:B127"/>
    <mergeCell ref="A128:B128"/>
    <mergeCell ref="A129:B129"/>
    <mergeCell ref="A114:B114"/>
    <mergeCell ref="C114:H114"/>
    <mergeCell ref="A116:B116"/>
    <mergeCell ref="C116:H116"/>
    <mergeCell ref="A119:B119"/>
    <mergeCell ref="E119:F119"/>
    <mergeCell ref="A310:H313"/>
    <mergeCell ref="G258:H263"/>
    <mergeCell ref="G268:H273"/>
    <mergeCell ref="G207:H214"/>
    <mergeCell ref="G198:H205"/>
    <mergeCell ref="G171:H178"/>
    <mergeCell ref="G218:H224"/>
    <mergeCell ref="G226:H232"/>
    <mergeCell ref="G234:H240"/>
    <mergeCell ref="G244:H249"/>
    <mergeCell ref="G251:H256"/>
    <mergeCell ref="G275:H279"/>
    <mergeCell ref="G281:H286"/>
    <mergeCell ref="G189:H196"/>
    <mergeCell ref="G180:H187"/>
    <mergeCell ref="A306:H306"/>
    <mergeCell ref="A307:H307"/>
    <mergeCell ref="A308:H308"/>
    <mergeCell ref="A309:B309"/>
    <mergeCell ref="C309:D309"/>
    <mergeCell ref="E309:F309"/>
    <mergeCell ref="G309:H309"/>
    <mergeCell ref="B295:H295"/>
    <mergeCell ref="B296:H296"/>
  </mergeCells>
  <hyperlinks>
    <hyperlink ref="C37" r:id="rId1"/>
  </hyperlinks>
  <printOptions horizontalCentered="1"/>
  <pageMargins left="0.39370078740157499" right="0.39370078740157499" top="0.78740157480314998" bottom="0.78740157480314998" header="0.196850393700787" footer="0.196850393700787"/>
  <pageSetup scale="94" fitToHeight="0" orientation="portrait" r:id="rId2"/>
  <headerFooter>
    <oddHeader>&amp;C&amp;G</oddHeader>
    <oddFooter>&amp;L&amp;"Times New Roman,Bold"&amp;12Ref No: &amp;F&amp;C&amp;G&amp;R&amp;"Times New Roman,Bold"&amp;12                                                     &amp;P</oddFooter>
  </headerFooter>
  <rowBreaks count="3" manualBreakCount="3">
    <brk id="67" max="7" man="1"/>
    <brk id="313" max="16383" man="1"/>
    <brk id="358" max="16383" man="1"/>
  </rowBreaks>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opLeftCell="A13" zoomScale="85" zoomScaleNormal="85" workbookViewId="0">
      <selection activeCell="I294" sqref="I294"/>
    </sheetView>
  </sheetViews>
  <sheetFormatPr defaultColWidth="9.1796875" defaultRowHeight="14.5"/>
  <cols>
    <col min="1" max="1" width="23.7265625" style="1" customWidth="1"/>
    <col min="2" max="2" width="13.54296875" style="1" customWidth="1"/>
    <col min="3" max="3" width="14.26953125" style="1" customWidth="1"/>
    <col min="4" max="4" width="16.7265625" style="1" customWidth="1"/>
    <col min="5" max="5" width="20.1796875" style="1" customWidth="1"/>
    <col min="6" max="6" width="22" style="1" customWidth="1"/>
    <col min="7" max="7" width="23.81640625" style="1" customWidth="1"/>
    <col min="8" max="8" width="15.1796875" style="1" customWidth="1"/>
    <col min="9" max="9" width="20" style="1" customWidth="1"/>
    <col min="10" max="16384" width="9.1796875" style="1"/>
  </cols>
  <sheetData>
    <row r="1" spans="1:9" ht="19.5">
      <c r="A1" s="286" t="s">
        <v>232</v>
      </c>
      <c r="B1" s="286"/>
      <c r="C1" s="286"/>
      <c r="D1" s="286"/>
      <c r="E1" s="286"/>
      <c r="F1" s="286"/>
      <c r="G1" s="286"/>
      <c r="H1" s="286"/>
      <c r="I1" s="286"/>
    </row>
    <row r="2" spans="1:9" ht="15" customHeight="1">
      <c r="A2" s="287" t="s">
        <v>233</v>
      </c>
      <c r="B2" s="287"/>
      <c r="C2" s="287"/>
      <c r="D2" s="287"/>
      <c r="E2" s="287"/>
      <c r="F2" s="287"/>
      <c r="G2" s="287"/>
      <c r="H2" s="287"/>
      <c r="I2" s="287"/>
    </row>
    <row r="3" spans="1:9">
      <c r="A3" s="19"/>
      <c r="B3" s="20" t="s">
        <v>234</v>
      </c>
      <c r="C3" s="20" t="s">
        <v>235</v>
      </c>
      <c r="D3" s="20" t="s">
        <v>236</v>
      </c>
      <c r="E3" s="20" t="s">
        <v>237</v>
      </c>
      <c r="F3" s="21" t="s">
        <v>238</v>
      </c>
      <c r="G3" s="21" t="s">
        <v>239</v>
      </c>
      <c r="H3" s="20" t="s">
        <v>240</v>
      </c>
      <c r="I3" s="34" t="s">
        <v>241</v>
      </c>
    </row>
    <row r="4" spans="1:9">
      <c r="A4" s="22" t="s">
        <v>118</v>
      </c>
      <c r="B4" s="23">
        <v>0</v>
      </c>
      <c r="C4" s="23">
        <v>0</v>
      </c>
      <c r="D4" s="23">
        <v>20</v>
      </c>
      <c r="E4" s="23">
        <v>20</v>
      </c>
      <c r="F4" s="24">
        <v>30</v>
      </c>
      <c r="G4" s="25">
        <v>30</v>
      </c>
      <c r="H4" s="26">
        <v>0</v>
      </c>
      <c r="I4" s="26">
        <f t="shared" ref="I4:I11" si="0">G4/F4*E4</f>
        <v>20</v>
      </c>
    </row>
    <row r="5" spans="1:9">
      <c r="A5" s="22" t="s">
        <v>119</v>
      </c>
      <c r="B5" s="23">
        <v>10</v>
      </c>
      <c r="C5" s="23">
        <v>10</v>
      </c>
      <c r="D5" s="23">
        <v>45</v>
      </c>
      <c r="E5" s="23">
        <v>25</v>
      </c>
      <c r="F5" s="24">
        <f>F4</f>
        <v>30</v>
      </c>
      <c r="G5" s="25">
        <v>30</v>
      </c>
      <c r="H5" s="26">
        <f t="shared" ref="H5:H11" si="1">G5/F5*C5</f>
        <v>10</v>
      </c>
      <c r="I5" s="26">
        <f t="shared" si="0"/>
        <v>25</v>
      </c>
    </row>
    <row r="6" spans="1:9">
      <c r="A6" s="22" t="s">
        <v>120</v>
      </c>
      <c r="B6" s="23">
        <v>50</v>
      </c>
      <c r="C6" s="23">
        <v>40</v>
      </c>
      <c r="D6" s="23">
        <v>75</v>
      </c>
      <c r="E6" s="23">
        <v>30</v>
      </c>
      <c r="F6" s="24">
        <v>35</v>
      </c>
      <c r="G6" s="25">
        <v>35</v>
      </c>
      <c r="H6" s="26">
        <f t="shared" si="1"/>
        <v>40</v>
      </c>
      <c r="I6" s="26">
        <f t="shared" si="0"/>
        <v>30</v>
      </c>
    </row>
    <row r="7" spans="1:9" ht="26">
      <c r="A7" s="27" t="s">
        <v>123</v>
      </c>
      <c r="B7" s="23">
        <v>65</v>
      </c>
      <c r="C7" s="23">
        <v>15</v>
      </c>
      <c r="D7" s="23">
        <v>85</v>
      </c>
      <c r="E7" s="23">
        <v>10</v>
      </c>
      <c r="F7" s="24">
        <f>F4</f>
        <v>30</v>
      </c>
      <c r="G7" s="25">
        <v>30</v>
      </c>
      <c r="H7" s="26">
        <f t="shared" si="1"/>
        <v>15</v>
      </c>
      <c r="I7" s="26">
        <f t="shared" si="0"/>
        <v>10</v>
      </c>
    </row>
    <row r="8" spans="1:9">
      <c r="A8" s="22" t="s">
        <v>129</v>
      </c>
      <c r="B8" s="23">
        <v>75</v>
      </c>
      <c r="C8" s="23">
        <v>10</v>
      </c>
      <c r="D8" s="23">
        <v>90</v>
      </c>
      <c r="E8" s="23">
        <v>5</v>
      </c>
      <c r="F8" s="24">
        <f>F4</f>
        <v>30</v>
      </c>
      <c r="G8" s="25">
        <v>30</v>
      </c>
      <c r="H8" s="26">
        <f t="shared" si="1"/>
        <v>10</v>
      </c>
      <c r="I8" s="26">
        <f t="shared" si="0"/>
        <v>5</v>
      </c>
    </row>
    <row r="9" spans="1:9" ht="26">
      <c r="A9" s="22" t="s">
        <v>242</v>
      </c>
      <c r="B9" s="23">
        <v>85</v>
      </c>
      <c r="C9" s="23">
        <v>10</v>
      </c>
      <c r="D9" s="23">
        <v>95</v>
      </c>
      <c r="E9" s="23">
        <v>5</v>
      </c>
      <c r="F9" s="24">
        <f>F5</f>
        <v>30</v>
      </c>
      <c r="G9" s="25">
        <v>30</v>
      </c>
      <c r="H9" s="26">
        <f t="shared" si="1"/>
        <v>10</v>
      </c>
      <c r="I9" s="26">
        <f t="shared" si="0"/>
        <v>5</v>
      </c>
    </row>
    <row r="10" spans="1:9" ht="26">
      <c r="A10" s="27" t="s">
        <v>133</v>
      </c>
      <c r="B10" s="23">
        <v>95</v>
      </c>
      <c r="C10" s="23">
        <v>10</v>
      </c>
      <c r="D10" s="23">
        <v>95</v>
      </c>
      <c r="E10" s="23">
        <v>0</v>
      </c>
      <c r="F10" s="24">
        <f>F4</f>
        <v>30</v>
      </c>
      <c r="G10" s="25">
        <v>30</v>
      </c>
      <c r="H10" s="26">
        <f t="shared" si="1"/>
        <v>10</v>
      </c>
      <c r="I10" s="26">
        <f t="shared" si="0"/>
        <v>0</v>
      </c>
    </row>
    <row r="11" spans="1:9">
      <c r="A11" s="22" t="s">
        <v>135</v>
      </c>
      <c r="B11" s="23">
        <v>100</v>
      </c>
      <c r="C11" s="23">
        <v>5</v>
      </c>
      <c r="D11" s="23">
        <v>100</v>
      </c>
      <c r="E11" s="23">
        <v>5</v>
      </c>
      <c r="F11" s="24">
        <f>F4</f>
        <v>30</v>
      </c>
      <c r="G11" s="25">
        <v>30</v>
      </c>
      <c r="H11" s="26">
        <f t="shared" si="1"/>
        <v>5</v>
      </c>
      <c r="I11" s="26">
        <f t="shared" si="0"/>
        <v>5</v>
      </c>
    </row>
    <row r="12" spans="1:9">
      <c r="A12" s="28"/>
      <c r="B12" s="28"/>
      <c r="C12" s="28">
        <f>SUM(C4:C11)</f>
        <v>100</v>
      </c>
      <c r="D12" s="28"/>
      <c r="E12" s="28">
        <f>SUM(E4:E11)</f>
        <v>100</v>
      </c>
      <c r="F12" s="28"/>
      <c r="G12" s="29" t="s">
        <v>243</v>
      </c>
      <c r="H12" s="30">
        <f>SUM(H4:H11)</f>
        <v>100</v>
      </c>
      <c r="I12" s="30">
        <f>SUM(I4:I11)</f>
        <v>100</v>
      </c>
    </row>
    <row r="14" spans="1:9" ht="19.5">
      <c r="A14" s="288" t="s">
        <v>244</v>
      </c>
      <c r="B14" s="289"/>
      <c r="C14" s="289"/>
      <c r="D14" s="289"/>
      <c r="E14" s="289"/>
      <c r="F14" s="289"/>
      <c r="G14" s="289"/>
      <c r="H14" s="289"/>
      <c r="I14" s="290"/>
    </row>
    <row r="15" spans="1:9">
      <c r="A15" s="291" t="s">
        <v>233</v>
      </c>
      <c r="B15" s="291"/>
      <c r="C15" s="291"/>
      <c r="D15" s="291"/>
      <c r="E15" s="291"/>
      <c r="F15" s="291"/>
      <c r="G15" s="291"/>
      <c r="H15" s="291"/>
      <c r="I15" s="291"/>
    </row>
    <row r="16" spans="1:9">
      <c r="A16" s="22"/>
      <c r="B16" s="23" t="s">
        <v>234</v>
      </c>
      <c r="C16" s="23" t="s">
        <v>235</v>
      </c>
      <c r="D16" s="23" t="s">
        <v>236</v>
      </c>
      <c r="E16" s="23" t="s">
        <v>237</v>
      </c>
      <c r="F16" s="31" t="s">
        <v>238</v>
      </c>
      <c r="G16" s="31" t="s">
        <v>239</v>
      </c>
      <c r="H16" s="23" t="s">
        <v>240</v>
      </c>
      <c r="I16" s="26" t="s">
        <v>241</v>
      </c>
    </row>
    <row r="17" spans="1:9">
      <c r="A17" s="22" t="s">
        <v>118</v>
      </c>
      <c r="B17" s="23">
        <v>0</v>
      </c>
      <c r="C17" s="23">
        <v>0</v>
      </c>
      <c r="D17" s="23">
        <v>20</v>
      </c>
      <c r="E17" s="23">
        <v>20</v>
      </c>
      <c r="F17" s="24">
        <v>30</v>
      </c>
      <c r="G17" s="25">
        <v>30</v>
      </c>
      <c r="H17" s="26">
        <v>0</v>
      </c>
      <c r="I17" s="26">
        <f t="shared" ref="I17:I26" si="2">G17/F17*E17</f>
        <v>20</v>
      </c>
    </row>
    <row r="18" spans="1:9">
      <c r="A18" s="22" t="s">
        <v>119</v>
      </c>
      <c r="B18" s="23">
        <v>10</v>
      </c>
      <c r="C18" s="23">
        <v>10</v>
      </c>
      <c r="D18" s="32">
        <f>D17+I18</f>
        <v>45</v>
      </c>
      <c r="E18" s="23">
        <v>25</v>
      </c>
      <c r="F18" s="24">
        <f>F17</f>
        <v>30</v>
      </c>
      <c r="G18" s="25">
        <v>30</v>
      </c>
      <c r="H18" s="26">
        <f>G18/F18*C18</f>
        <v>10</v>
      </c>
      <c r="I18" s="26">
        <f t="shared" si="2"/>
        <v>25</v>
      </c>
    </row>
    <row r="19" spans="1:9">
      <c r="A19" s="22" t="s">
        <v>120</v>
      </c>
      <c r="B19" s="32">
        <f>B18+H19</f>
        <v>50</v>
      </c>
      <c r="C19" s="23">
        <v>40</v>
      </c>
      <c r="D19" s="32">
        <f>D18+I19</f>
        <v>75</v>
      </c>
      <c r="E19" s="23">
        <v>30</v>
      </c>
      <c r="F19" s="24">
        <v>35</v>
      </c>
      <c r="G19" s="25">
        <v>35</v>
      </c>
      <c r="H19" s="26">
        <f>G19/F19*C19</f>
        <v>40</v>
      </c>
      <c r="I19" s="26">
        <f t="shared" si="2"/>
        <v>30</v>
      </c>
    </row>
    <row r="20" spans="1:9">
      <c r="A20" s="27" t="s">
        <v>122</v>
      </c>
      <c r="B20" s="32">
        <f t="shared" ref="B20:B25" si="3">B19+H20</f>
        <v>57.5</v>
      </c>
      <c r="C20" s="23">
        <v>7.5</v>
      </c>
      <c r="D20" s="32">
        <f t="shared" ref="D20:D25" si="4">D19+I20</f>
        <v>80</v>
      </c>
      <c r="E20" s="23">
        <v>5</v>
      </c>
      <c r="F20" s="24">
        <f>F17</f>
        <v>30</v>
      </c>
      <c r="G20" s="25">
        <v>30</v>
      </c>
      <c r="H20" s="26">
        <f>G20/F20*7.5</f>
        <v>7.5</v>
      </c>
      <c r="I20" s="26">
        <f t="shared" si="2"/>
        <v>5</v>
      </c>
    </row>
    <row r="21" spans="1:9">
      <c r="A21" s="27" t="s">
        <v>125</v>
      </c>
      <c r="B21" s="32">
        <f t="shared" si="3"/>
        <v>65</v>
      </c>
      <c r="C21" s="23">
        <v>7.5</v>
      </c>
      <c r="D21" s="32">
        <f t="shared" si="4"/>
        <v>85</v>
      </c>
      <c r="E21" s="23">
        <v>5</v>
      </c>
      <c r="F21" s="24">
        <f>F18</f>
        <v>30</v>
      </c>
      <c r="G21" s="25">
        <v>30</v>
      </c>
      <c r="H21" s="26">
        <f>G21/F21*C21</f>
        <v>7.5</v>
      </c>
      <c r="I21" s="26">
        <f t="shared" si="2"/>
        <v>5</v>
      </c>
    </row>
    <row r="22" spans="1:9" ht="26">
      <c r="A22" s="22" t="s">
        <v>127</v>
      </c>
      <c r="B22" s="32">
        <f t="shared" si="3"/>
        <v>75</v>
      </c>
      <c r="C22" s="23">
        <v>10</v>
      </c>
      <c r="D22" s="32">
        <f t="shared" si="4"/>
        <v>90</v>
      </c>
      <c r="E22" s="23">
        <v>5</v>
      </c>
      <c r="F22" s="24">
        <f>F17</f>
        <v>30</v>
      </c>
      <c r="G22" s="25">
        <v>30</v>
      </c>
      <c r="H22" s="26">
        <f>G22/F22*C22</f>
        <v>10</v>
      </c>
      <c r="I22" s="26">
        <f t="shared" si="2"/>
        <v>5</v>
      </c>
    </row>
    <row r="23" spans="1:9">
      <c r="A23" s="22" t="s">
        <v>129</v>
      </c>
      <c r="B23" s="32">
        <f t="shared" si="3"/>
        <v>85</v>
      </c>
      <c r="C23" s="23">
        <v>10</v>
      </c>
      <c r="D23" s="32">
        <f t="shared" si="4"/>
        <v>95</v>
      </c>
      <c r="E23" s="23">
        <v>5</v>
      </c>
      <c r="F23" s="24">
        <f>F17</f>
        <v>30</v>
      </c>
      <c r="G23" s="25">
        <v>30</v>
      </c>
      <c r="H23" s="26">
        <f>G23/F23*C23</f>
        <v>10</v>
      </c>
      <c r="I23" s="26">
        <f t="shared" si="2"/>
        <v>5</v>
      </c>
    </row>
    <row r="24" spans="1:9">
      <c r="A24" s="27" t="s">
        <v>131</v>
      </c>
      <c r="B24" s="32">
        <f t="shared" si="3"/>
        <v>90</v>
      </c>
      <c r="C24" s="23">
        <v>5</v>
      </c>
      <c r="D24" s="32">
        <f t="shared" si="4"/>
        <v>95</v>
      </c>
      <c r="E24" s="23">
        <v>0</v>
      </c>
      <c r="F24" s="24">
        <f>F18</f>
        <v>30</v>
      </c>
      <c r="G24" s="25">
        <v>30</v>
      </c>
      <c r="H24" s="26">
        <f t="shared" ref="H24:H26" si="5">G24/F24*C24</f>
        <v>5</v>
      </c>
      <c r="I24" s="26">
        <f t="shared" si="2"/>
        <v>0</v>
      </c>
    </row>
    <row r="25" spans="1:9" ht="26">
      <c r="A25" s="27" t="s">
        <v>133</v>
      </c>
      <c r="B25" s="32">
        <f t="shared" si="3"/>
        <v>95</v>
      </c>
      <c r="C25" s="23">
        <v>5</v>
      </c>
      <c r="D25" s="32">
        <f t="shared" si="4"/>
        <v>95</v>
      </c>
      <c r="E25" s="23">
        <v>0</v>
      </c>
      <c r="F25" s="24">
        <f>F17</f>
        <v>30</v>
      </c>
      <c r="G25" s="25">
        <v>30</v>
      </c>
      <c r="H25" s="26">
        <f t="shared" si="5"/>
        <v>5</v>
      </c>
      <c r="I25" s="26">
        <f t="shared" si="2"/>
        <v>0</v>
      </c>
    </row>
    <row r="26" spans="1:9">
      <c r="A26" s="22" t="s">
        <v>135</v>
      </c>
      <c r="B26" s="23">
        <v>100</v>
      </c>
      <c r="C26" s="23">
        <v>5</v>
      </c>
      <c r="D26" s="23">
        <v>100</v>
      </c>
      <c r="E26" s="23">
        <v>5</v>
      </c>
      <c r="F26" s="24">
        <f>F17</f>
        <v>30</v>
      </c>
      <c r="G26" s="25">
        <v>30</v>
      </c>
      <c r="H26" s="26">
        <f t="shared" si="5"/>
        <v>5</v>
      </c>
      <c r="I26" s="26">
        <f t="shared" si="2"/>
        <v>5</v>
      </c>
    </row>
    <row r="27" spans="1:9">
      <c r="A27" s="28"/>
      <c r="B27" s="28"/>
      <c r="C27" s="28">
        <f>SUM(C17:C26)</f>
        <v>100</v>
      </c>
      <c r="D27" s="28"/>
      <c r="E27" s="28">
        <f>SUM(E17:E26)</f>
        <v>100</v>
      </c>
      <c r="F27" s="28"/>
      <c r="G27" s="29" t="s">
        <v>243</v>
      </c>
      <c r="H27" s="30">
        <f>SUM(H17:H26)</f>
        <v>100</v>
      </c>
      <c r="I27" s="30">
        <f>SUM(I17:I26)</f>
        <v>100</v>
      </c>
    </row>
    <row r="30" spans="1:9" hidden="1">
      <c r="C30" s="33" t="s">
        <v>245</v>
      </c>
      <c r="D30" s="33"/>
    </row>
    <row r="31" spans="1:9" hidden="1"/>
    <row r="32" spans="1:9" hidden="1">
      <c r="A32" s="287" t="s">
        <v>233</v>
      </c>
      <c r="B32" s="287"/>
      <c r="C32" s="287"/>
      <c r="D32" s="287"/>
      <c r="E32" s="287"/>
      <c r="F32" s="287"/>
      <c r="G32" s="287"/>
      <c r="H32" s="287"/>
      <c r="I32" s="287"/>
    </row>
    <row r="33" spans="1:9" hidden="1">
      <c r="A33" s="22"/>
      <c r="B33" s="23" t="s">
        <v>234</v>
      </c>
      <c r="C33" s="23" t="s">
        <v>235</v>
      </c>
      <c r="D33" s="23" t="s">
        <v>236</v>
      </c>
      <c r="E33" s="23" t="s">
        <v>237</v>
      </c>
      <c r="F33" s="31" t="s">
        <v>238</v>
      </c>
      <c r="G33" s="31" t="s">
        <v>239</v>
      </c>
      <c r="H33" s="23" t="s">
        <v>240</v>
      </c>
      <c r="I33" s="26" t="s">
        <v>241</v>
      </c>
    </row>
    <row r="34" spans="1:9" hidden="1">
      <c r="A34" s="22" t="s">
        <v>118</v>
      </c>
      <c r="B34" s="23">
        <v>0</v>
      </c>
      <c r="C34" s="23">
        <v>0</v>
      </c>
      <c r="D34" s="23">
        <v>20</v>
      </c>
      <c r="E34" s="23">
        <v>20</v>
      </c>
      <c r="F34" s="24">
        <v>30</v>
      </c>
      <c r="G34" s="25">
        <v>30</v>
      </c>
      <c r="H34" s="26">
        <v>0</v>
      </c>
      <c r="I34" s="26">
        <f t="shared" ref="I34:I38" si="6">G34/F34*E34</f>
        <v>20</v>
      </c>
    </row>
    <row r="35" spans="1:9" hidden="1">
      <c r="A35" s="22" t="s">
        <v>119</v>
      </c>
      <c r="B35" s="23">
        <v>10</v>
      </c>
      <c r="C35" s="23">
        <v>10</v>
      </c>
      <c r="D35" s="32">
        <f>D34+I35</f>
        <v>45</v>
      </c>
      <c r="E35" s="23">
        <v>25</v>
      </c>
      <c r="F35" s="24">
        <f>F34</f>
        <v>30</v>
      </c>
      <c r="G35" s="25">
        <v>30</v>
      </c>
      <c r="H35" s="26">
        <f>G35/F35*C35</f>
        <v>10</v>
      </c>
      <c r="I35" s="26">
        <f t="shared" si="6"/>
        <v>25</v>
      </c>
    </row>
    <row r="36" spans="1:9" hidden="1">
      <c r="A36" s="22" t="s">
        <v>120</v>
      </c>
      <c r="B36" s="32">
        <f>B35+H36</f>
        <v>50</v>
      </c>
      <c r="C36" s="23">
        <v>40</v>
      </c>
      <c r="D36" s="32">
        <f>D35+I36</f>
        <v>75</v>
      </c>
      <c r="E36" s="23">
        <v>30</v>
      </c>
      <c r="F36" s="24">
        <v>35</v>
      </c>
      <c r="G36" s="25">
        <v>35</v>
      </c>
      <c r="H36" s="26">
        <f>G36/F36*C36</f>
        <v>40</v>
      </c>
      <c r="I36" s="26">
        <f t="shared" si="6"/>
        <v>30</v>
      </c>
    </row>
    <row r="37" spans="1:9" hidden="1">
      <c r="A37" s="22" t="s">
        <v>122</v>
      </c>
      <c r="B37" s="32">
        <f t="shared" ref="B37:B42" si="7">B36+H37</f>
        <v>57.5</v>
      </c>
      <c r="C37" s="23">
        <v>10</v>
      </c>
      <c r="D37" s="32">
        <f t="shared" ref="D37:D42" si="8">D36+I37</f>
        <v>82.5</v>
      </c>
      <c r="E37" s="23">
        <v>7.5</v>
      </c>
      <c r="F37" s="24">
        <f>F34</f>
        <v>30</v>
      </c>
      <c r="G37" s="25">
        <v>30</v>
      </c>
      <c r="H37" s="26">
        <f>G37/F37*7.5</f>
        <v>7.5</v>
      </c>
      <c r="I37" s="26">
        <f t="shared" si="6"/>
        <v>7.5</v>
      </c>
    </row>
    <row r="38" spans="1:9" ht="26" hidden="1">
      <c r="A38" s="22" t="s">
        <v>127</v>
      </c>
      <c r="B38" s="32">
        <f t="shared" si="7"/>
        <v>62.5</v>
      </c>
      <c r="C38" s="23">
        <v>5</v>
      </c>
      <c r="D38" s="32">
        <f t="shared" si="8"/>
        <v>85</v>
      </c>
      <c r="E38" s="23">
        <v>2.5</v>
      </c>
      <c r="F38" s="24">
        <f>F34</f>
        <v>30</v>
      </c>
      <c r="G38" s="25">
        <v>30</v>
      </c>
      <c r="H38" s="26">
        <f>G38/F38*C38</f>
        <v>5</v>
      </c>
      <c r="I38" s="26">
        <f t="shared" si="6"/>
        <v>2.5</v>
      </c>
    </row>
    <row r="39" spans="1:9" hidden="1">
      <c r="A39" s="22" t="s">
        <v>125</v>
      </c>
      <c r="B39" s="32">
        <f t="shared" si="7"/>
        <v>67.5</v>
      </c>
      <c r="C39" s="23">
        <v>5</v>
      </c>
      <c r="D39" s="32">
        <f t="shared" si="8"/>
        <v>87.5</v>
      </c>
      <c r="E39" s="23">
        <v>2.5</v>
      </c>
      <c r="F39" s="24">
        <f>F35</f>
        <v>30</v>
      </c>
      <c r="G39" s="25">
        <v>30</v>
      </c>
      <c r="H39" s="26">
        <f t="shared" ref="H39:H40" si="9">G39/F39*C39</f>
        <v>5</v>
      </c>
      <c r="I39" s="26">
        <f t="shared" ref="I39:I40" si="10">G39/F39*E39</f>
        <v>2.5</v>
      </c>
    </row>
    <row r="40" spans="1:9" hidden="1">
      <c r="A40" s="22" t="s">
        <v>129</v>
      </c>
      <c r="B40" s="32">
        <f t="shared" si="7"/>
        <v>77.5</v>
      </c>
      <c r="C40" s="23">
        <v>10</v>
      </c>
      <c r="D40" s="32">
        <f t="shared" si="8"/>
        <v>90</v>
      </c>
      <c r="E40" s="23">
        <v>2.5</v>
      </c>
      <c r="F40" s="24">
        <f>F34</f>
        <v>30</v>
      </c>
      <c r="G40" s="25">
        <v>30</v>
      </c>
      <c r="H40" s="26">
        <f t="shared" si="9"/>
        <v>10</v>
      </c>
      <c r="I40" s="26">
        <f t="shared" si="10"/>
        <v>2.5</v>
      </c>
    </row>
    <row r="41" spans="1:9" hidden="1">
      <c r="A41" s="22" t="s">
        <v>131</v>
      </c>
      <c r="B41" s="32">
        <f t="shared" si="7"/>
        <v>87.5</v>
      </c>
      <c r="C41" s="23">
        <v>10</v>
      </c>
      <c r="D41" s="32">
        <f t="shared" si="8"/>
        <v>95</v>
      </c>
      <c r="E41" s="23">
        <v>5</v>
      </c>
      <c r="F41" s="24">
        <f>F35</f>
        <v>30</v>
      </c>
      <c r="G41" s="25">
        <v>30</v>
      </c>
      <c r="H41" s="26">
        <f t="shared" ref="H41:H43" si="11">G41/F41*C41</f>
        <v>10</v>
      </c>
      <c r="I41" s="26">
        <f t="shared" ref="I41:I43" si="12">G41/F41*E41</f>
        <v>5</v>
      </c>
    </row>
    <row r="42" spans="1:9" ht="26" hidden="1">
      <c r="A42" s="22" t="s">
        <v>133</v>
      </c>
      <c r="B42" s="32">
        <f t="shared" si="7"/>
        <v>92.5</v>
      </c>
      <c r="C42" s="23">
        <v>5</v>
      </c>
      <c r="D42" s="32">
        <f t="shared" si="8"/>
        <v>97.5</v>
      </c>
      <c r="E42" s="23">
        <v>2.5</v>
      </c>
      <c r="F42" s="24">
        <f>F34</f>
        <v>30</v>
      </c>
      <c r="G42" s="25">
        <v>30</v>
      </c>
      <c r="H42" s="26">
        <f t="shared" si="11"/>
        <v>5</v>
      </c>
      <c r="I42" s="26">
        <f t="shared" si="12"/>
        <v>2.5</v>
      </c>
    </row>
    <row r="43" spans="1:9" hidden="1">
      <c r="A43" s="22" t="s">
        <v>135</v>
      </c>
      <c r="B43" s="23">
        <v>100</v>
      </c>
      <c r="C43" s="23">
        <v>5</v>
      </c>
      <c r="D43" s="23">
        <v>100</v>
      </c>
      <c r="E43" s="23">
        <v>2.5</v>
      </c>
      <c r="F43" s="24">
        <f>F34</f>
        <v>30</v>
      </c>
      <c r="G43" s="25">
        <v>30</v>
      </c>
      <c r="H43" s="26">
        <f t="shared" si="11"/>
        <v>5</v>
      </c>
      <c r="I43" s="26">
        <f t="shared" si="12"/>
        <v>2.5</v>
      </c>
    </row>
    <row r="44" spans="1:9" hidden="1">
      <c r="A44" s="28"/>
      <c r="B44" s="28"/>
      <c r="C44" s="28">
        <f>SUM(C34:C43)</f>
        <v>100</v>
      </c>
      <c r="D44" s="28"/>
      <c r="E44" s="28">
        <f>SUM(E34:E43)</f>
        <v>100</v>
      </c>
      <c r="F44" s="28"/>
      <c r="G44" s="29" t="s">
        <v>243</v>
      </c>
      <c r="H44" s="30">
        <f>SUM(H34:H43)</f>
        <v>97.5</v>
      </c>
      <c r="I44" s="30">
        <f>SUM(I34:I43)</f>
        <v>100</v>
      </c>
    </row>
  </sheetData>
  <mergeCells count="5">
    <mergeCell ref="A1:I1"/>
    <mergeCell ref="A2:I2"/>
    <mergeCell ref="A14:I14"/>
    <mergeCell ref="A15:I15"/>
    <mergeCell ref="A32:I32"/>
  </mergeCells>
  <pageMargins left="0.7" right="0.7" top="0.75" bottom="0.75" header="0.3" footer="0.3"/>
  <pageSetup paperSize="9" orientation="portrait" horizont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7" workbookViewId="0">
      <selection activeCell="I294" sqref="I294"/>
    </sheetView>
  </sheetViews>
  <sheetFormatPr defaultColWidth="9.1796875" defaultRowHeight="14.5"/>
  <cols>
    <col min="1" max="1" width="9.1796875" style="1"/>
    <col min="2" max="2" width="12.26953125" style="1" customWidth="1"/>
    <col min="3" max="16384" width="9.1796875" style="1"/>
  </cols>
  <sheetData>
    <row r="2" spans="1:12">
      <c r="B2" s="14" t="s">
        <v>246</v>
      </c>
      <c r="C2" s="292"/>
      <c r="D2" s="292"/>
    </row>
    <row r="3" spans="1:12">
      <c r="D3" s="15"/>
      <c r="E3" s="15"/>
      <c r="F3" s="15"/>
      <c r="G3" s="15"/>
      <c r="H3" s="15"/>
      <c r="I3" s="15"/>
    </row>
    <row r="4" spans="1:12">
      <c r="A4" s="14" t="s">
        <v>247</v>
      </c>
      <c r="B4" s="16" t="s">
        <v>248</v>
      </c>
      <c r="C4" s="293" t="s">
        <v>249</v>
      </c>
      <c r="D4" s="293"/>
      <c r="E4" s="293"/>
      <c r="F4" s="17"/>
      <c r="G4" s="293" t="s">
        <v>250</v>
      </c>
      <c r="H4" s="293"/>
      <c r="I4" s="293"/>
      <c r="J4" s="293" t="s">
        <v>251</v>
      </c>
      <c r="K4" s="293"/>
      <c r="L4" s="293"/>
    </row>
    <row r="5" spans="1:12">
      <c r="A5" s="14">
        <v>202</v>
      </c>
      <c r="B5" s="16"/>
      <c r="C5" s="16" t="s">
        <v>252</v>
      </c>
      <c r="D5" s="16" t="s">
        <v>253</v>
      </c>
      <c r="E5" s="16" t="s">
        <v>254</v>
      </c>
      <c r="F5" s="16"/>
      <c r="G5" s="16" t="s">
        <v>252</v>
      </c>
      <c r="H5" s="16" t="s">
        <v>253</v>
      </c>
      <c r="I5" s="16" t="s">
        <v>254</v>
      </c>
      <c r="J5" s="16" t="s">
        <v>252</v>
      </c>
      <c r="K5" s="16" t="s">
        <v>253</v>
      </c>
      <c r="L5" s="16" t="s">
        <v>254</v>
      </c>
    </row>
    <row r="6" spans="1:12">
      <c r="B6" s="18" t="s">
        <v>255</v>
      </c>
      <c r="C6" s="18"/>
      <c r="D6" s="18"/>
      <c r="E6" s="18">
        <f>C6*D6</f>
        <v>0</v>
      </c>
      <c r="F6" s="18" t="s">
        <v>256</v>
      </c>
      <c r="G6" s="18"/>
      <c r="H6" s="18"/>
      <c r="I6" s="18">
        <f>G6*H6</f>
        <v>0</v>
      </c>
      <c r="J6" s="18"/>
      <c r="K6" s="18"/>
      <c r="L6" s="18">
        <f>J6*K6</f>
        <v>0</v>
      </c>
    </row>
    <row r="7" spans="1:12">
      <c r="B7" s="18"/>
      <c r="C7" s="18"/>
      <c r="D7" s="18"/>
      <c r="E7" s="18">
        <f t="shared" ref="E7:E33" si="0">C7*D7</f>
        <v>0</v>
      </c>
      <c r="F7" s="18" t="s">
        <v>257</v>
      </c>
      <c r="G7" s="18"/>
      <c r="H7" s="18"/>
      <c r="I7" s="18">
        <f t="shared" ref="I7:I33" si="1">G7*H7</f>
        <v>0</v>
      </c>
      <c r="J7" s="18"/>
      <c r="K7" s="18"/>
      <c r="L7" s="18">
        <f t="shared" ref="L7:L33" si="2">J7*K7</f>
        <v>0</v>
      </c>
    </row>
    <row r="8" spans="1:12">
      <c r="B8" s="18"/>
      <c r="C8" s="18"/>
      <c r="D8" s="18"/>
      <c r="E8" s="18">
        <f t="shared" si="0"/>
        <v>0</v>
      </c>
      <c r="F8" s="18"/>
      <c r="G8" s="18"/>
      <c r="H8" s="18"/>
      <c r="I8" s="18">
        <f t="shared" si="1"/>
        <v>0</v>
      </c>
      <c r="J8" s="18"/>
      <c r="K8" s="18"/>
      <c r="L8" s="18">
        <f t="shared" si="2"/>
        <v>0</v>
      </c>
    </row>
    <row r="9" spans="1:12">
      <c r="B9" s="18" t="s">
        <v>258</v>
      </c>
      <c r="C9" s="18"/>
      <c r="D9" s="18"/>
      <c r="E9" s="18">
        <f t="shared" si="0"/>
        <v>0</v>
      </c>
      <c r="F9" s="18" t="s">
        <v>256</v>
      </c>
      <c r="G9" s="18"/>
      <c r="H9" s="18"/>
      <c r="I9" s="18">
        <f t="shared" si="1"/>
        <v>0</v>
      </c>
      <c r="J9" s="18"/>
      <c r="K9" s="18"/>
      <c r="L9" s="18">
        <f t="shared" si="2"/>
        <v>0</v>
      </c>
    </row>
    <row r="10" spans="1:12">
      <c r="B10" s="18"/>
      <c r="C10" s="18"/>
      <c r="D10" s="18"/>
      <c r="E10" s="18">
        <f t="shared" si="0"/>
        <v>0</v>
      </c>
      <c r="F10" s="18" t="s">
        <v>257</v>
      </c>
      <c r="G10" s="18"/>
      <c r="H10" s="18"/>
      <c r="I10" s="18">
        <f t="shared" si="1"/>
        <v>0</v>
      </c>
      <c r="J10" s="18"/>
      <c r="K10" s="18"/>
      <c r="L10" s="18">
        <f t="shared" si="2"/>
        <v>0</v>
      </c>
    </row>
    <row r="11" spans="1:12">
      <c r="B11" s="18"/>
      <c r="C11" s="18"/>
      <c r="D11" s="18"/>
      <c r="E11" s="18">
        <f t="shared" si="0"/>
        <v>0</v>
      </c>
      <c r="F11" s="18"/>
      <c r="G11" s="18"/>
      <c r="H11" s="18"/>
      <c r="I11" s="18">
        <f t="shared" si="1"/>
        <v>0</v>
      </c>
      <c r="J11" s="18"/>
      <c r="K11" s="18"/>
      <c r="L11" s="18">
        <f t="shared" si="2"/>
        <v>0</v>
      </c>
    </row>
    <row r="12" spans="1:12">
      <c r="B12" s="18"/>
      <c r="C12" s="18"/>
      <c r="D12" s="18"/>
      <c r="E12" s="18">
        <f t="shared" si="0"/>
        <v>0</v>
      </c>
      <c r="F12" s="18"/>
      <c r="G12" s="18"/>
      <c r="H12" s="18"/>
      <c r="I12" s="18">
        <f t="shared" si="1"/>
        <v>0</v>
      </c>
      <c r="J12" s="18"/>
      <c r="K12" s="18"/>
      <c r="L12" s="18">
        <f t="shared" si="2"/>
        <v>0</v>
      </c>
    </row>
    <row r="13" spans="1:12">
      <c r="B13" s="18" t="s">
        <v>259</v>
      </c>
      <c r="C13" s="18"/>
      <c r="D13" s="18"/>
      <c r="E13" s="18">
        <f t="shared" si="0"/>
        <v>0</v>
      </c>
      <c r="F13" s="18" t="s">
        <v>256</v>
      </c>
      <c r="G13" s="18"/>
      <c r="H13" s="18"/>
      <c r="I13" s="18">
        <f t="shared" si="1"/>
        <v>0</v>
      </c>
      <c r="J13" s="18"/>
      <c r="K13" s="18"/>
      <c r="L13" s="18">
        <f t="shared" si="2"/>
        <v>0</v>
      </c>
    </row>
    <row r="14" spans="1:12">
      <c r="B14" s="18"/>
      <c r="C14" s="18"/>
      <c r="D14" s="18"/>
      <c r="E14" s="18">
        <f t="shared" si="0"/>
        <v>0</v>
      </c>
      <c r="F14" s="18" t="s">
        <v>257</v>
      </c>
      <c r="G14" s="18"/>
      <c r="H14" s="18"/>
      <c r="I14" s="18">
        <f t="shared" si="1"/>
        <v>0</v>
      </c>
      <c r="J14" s="18"/>
      <c r="K14" s="18"/>
      <c r="L14" s="18">
        <f t="shared" si="2"/>
        <v>0</v>
      </c>
    </row>
    <row r="15" spans="1:12">
      <c r="B15" s="18"/>
      <c r="C15" s="18"/>
      <c r="D15" s="18"/>
      <c r="E15" s="18">
        <f t="shared" si="0"/>
        <v>0</v>
      </c>
      <c r="F15" s="18"/>
      <c r="G15" s="18"/>
      <c r="H15" s="18"/>
      <c r="I15" s="18">
        <f t="shared" si="1"/>
        <v>0</v>
      </c>
      <c r="J15" s="18"/>
      <c r="K15" s="18"/>
      <c r="L15" s="18">
        <f t="shared" si="2"/>
        <v>0</v>
      </c>
    </row>
    <row r="16" spans="1:12">
      <c r="B16" s="18"/>
      <c r="C16" s="18"/>
      <c r="D16" s="18"/>
      <c r="E16" s="18">
        <f t="shared" si="0"/>
        <v>0</v>
      </c>
      <c r="F16" s="18"/>
      <c r="G16" s="18"/>
      <c r="H16" s="18"/>
      <c r="I16" s="18">
        <f t="shared" si="1"/>
        <v>0</v>
      </c>
      <c r="J16" s="18"/>
      <c r="K16" s="18"/>
      <c r="L16" s="18">
        <f t="shared" si="2"/>
        <v>0</v>
      </c>
    </row>
    <row r="17" spans="2:12">
      <c r="B17" s="18" t="s">
        <v>260</v>
      </c>
      <c r="C17" s="18"/>
      <c r="D17" s="18"/>
      <c r="E17" s="18">
        <f t="shared" si="0"/>
        <v>0</v>
      </c>
      <c r="F17" s="18" t="s">
        <v>256</v>
      </c>
      <c r="G17" s="18"/>
      <c r="H17" s="18"/>
      <c r="I17" s="18">
        <f t="shared" si="1"/>
        <v>0</v>
      </c>
      <c r="J17" s="18"/>
      <c r="K17" s="18"/>
      <c r="L17" s="18">
        <f t="shared" si="2"/>
        <v>0</v>
      </c>
    </row>
    <row r="18" spans="2:12">
      <c r="B18" s="18"/>
      <c r="C18" s="18"/>
      <c r="D18" s="18"/>
      <c r="E18" s="18">
        <f t="shared" si="0"/>
        <v>0</v>
      </c>
      <c r="F18" s="18" t="s">
        <v>257</v>
      </c>
      <c r="G18" s="18"/>
      <c r="H18" s="18"/>
      <c r="I18" s="18">
        <f t="shared" si="1"/>
        <v>0</v>
      </c>
      <c r="J18" s="18"/>
      <c r="K18" s="18"/>
      <c r="L18" s="18">
        <f t="shared" si="2"/>
        <v>0</v>
      </c>
    </row>
    <row r="19" spans="2:12">
      <c r="B19" s="18"/>
      <c r="C19" s="18"/>
      <c r="D19" s="18"/>
      <c r="E19" s="18">
        <f t="shared" si="0"/>
        <v>0</v>
      </c>
      <c r="F19" s="18"/>
      <c r="G19" s="18"/>
      <c r="H19" s="18"/>
      <c r="I19" s="18">
        <f t="shared" si="1"/>
        <v>0</v>
      </c>
      <c r="J19" s="18"/>
      <c r="K19" s="18"/>
      <c r="L19" s="18">
        <f t="shared" si="2"/>
        <v>0</v>
      </c>
    </row>
    <row r="20" spans="2:12">
      <c r="B20" s="18" t="s">
        <v>260</v>
      </c>
      <c r="C20" s="18"/>
      <c r="D20" s="18"/>
      <c r="E20" s="18">
        <f t="shared" si="0"/>
        <v>0</v>
      </c>
      <c r="F20" s="18" t="s">
        <v>256</v>
      </c>
      <c r="G20" s="18"/>
      <c r="H20" s="18"/>
      <c r="I20" s="18">
        <f t="shared" si="1"/>
        <v>0</v>
      </c>
      <c r="J20" s="18"/>
      <c r="K20" s="18"/>
      <c r="L20" s="18">
        <f t="shared" si="2"/>
        <v>0</v>
      </c>
    </row>
    <row r="21" spans="2:12">
      <c r="B21" s="18"/>
      <c r="C21" s="18"/>
      <c r="D21" s="18"/>
      <c r="E21" s="18">
        <f t="shared" si="0"/>
        <v>0</v>
      </c>
      <c r="F21" s="18" t="s">
        <v>257</v>
      </c>
      <c r="G21" s="18"/>
      <c r="H21" s="18"/>
      <c r="I21" s="18">
        <f t="shared" si="1"/>
        <v>0</v>
      </c>
      <c r="J21" s="18"/>
      <c r="K21" s="18"/>
      <c r="L21" s="18">
        <f t="shared" si="2"/>
        <v>0</v>
      </c>
    </row>
    <row r="22" spans="2:12">
      <c r="B22" s="18"/>
      <c r="C22" s="18"/>
      <c r="D22" s="18"/>
      <c r="E22" s="18">
        <f t="shared" si="0"/>
        <v>0</v>
      </c>
      <c r="F22" s="18"/>
      <c r="G22" s="18"/>
      <c r="H22" s="18"/>
      <c r="I22" s="18">
        <f t="shared" si="1"/>
        <v>0</v>
      </c>
      <c r="J22" s="18"/>
      <c r="K22" s="18"/>
      <c r="L22" s="18">
        <f t="shared" si="2"/>
        <v>0</v>
      </c>
    </row>
    <row r="23" spans="2:12">
      <c r="B23" s="18" t="s">
        <v>261</v>
      </c>
      <c r="C23" s="18"/>
      <c r="D23" s="18"/>
      <c r="E23" s="18">
        <f t="shared" si="0"/>
        <v>0</v>
      </c>
      <c r="F23" s="18" t="s">
        <v>262</v>
      </c>
      <c r="G23" s="18"/>
      <c r="H23" s="18"/>
      <c r="I23" s="18">
        <f t="shared" si="1"/>
        <v>0</v>
      </c>
      <c r="J23" s="18"/>
      <c r="K23" s="18"/>
      <c r="L23" s="18">
        <f t="shared" si="2"/>
        <v>0</v>
      </c>
    </row>
    <row r="24" spans="2:12">
      <c r="B24" s="18" t="s">
        <v>263</v>
      </c>
      <c r="C24" s="18"/>
      <c r="D24" s="18"/>
      <c r="E24" s="18">
        <f t="shared" si="0"/>
        <v>0</v>
      </c>
      <c r="F24" s="18" t="s">
        <v>262</v>
      </c>
      <c r="G24" s="18"/>
      <c r="H24" s="18"/>
      <c r="I24" s="18">
        <f t="shared" si="1"/>
        <v>0</v>
      </c>
      <c r="J24" s="18"/>
      <c r="K24" s="18"/>
      <c r="L24" s="18">
        <f t="shared" si="2"/>
        <v>0</v>
      </c>
    </row>
    <row r="25" spans="2:12">
      <c r="B25" s="18" t="s">
        <v>264</v>
      </c>
      <c r="C25" s="18"/>
      <c r="D25" s="18"/>
      <c r="E25" s="18">
        <f t="shared" si="0"/>
        <v>0</v>
      </c>
      <c r="F25" s="18" t="s">
        <v>262</v>
      </c>
      <c r="G25" s="18"/>
      <c r="H25" s="18"/>
      <c r="I25" s="18">
        <f t="shared" si="1"/>
        <v>0</v>
      </c>
      <c r="J25" s="18"/>
      <c r="K25" s="18"/>
      <c r="L25" s="18">
        <f t="shared" si="2"/>
        <v>0</v>
      </c>
    </row>
    <row r="26" spans="2:12">
      <c r="B26" s="18"/>
      <c r="C26" s="18"/>
      <c r="D26" s="18"/>
      <c r="E26" s="18">
        <f t="shared" si="0"/>
        <v>0</v>
      </c>
      <c r="F26" s="18"/>
      <c r="G26" s="18"/>
      <c r="H26" s="18"/>
      <c r="I26" s="18">
        <f t="shared" si="1"/>
        <v>0</v>
      </c>
      <c r="J26" s="18"/>
      <c r="K26" s="18"/>
      <c r="L26" s="18">
        <f t="shared" si="2"/>
        <v>0</v>
      </c>
    </row>
    <row r="27" spans="2:12">
      <c r="B27" s="18" t="s">
        <v>265</v>
      </c>
      <c r="C27" s="18"/>
      <c r="D27" s="18"/>
      <c r="E27" s="18">
        <f t="shared" si="0"/>
        <v>0</v>
      </c>
      <c r="F27" s="18"/>
      <c r="G27" s="18"/>
      <c r="H27" s="18"/>
      <c r="I27" s="18">
        <f t="shared" si="1"/>
        <v>0</v>
      </c>
      <c r="J27" s="18"/>
      <c r="K27" s="18"/>
      <c r="L27" s="18">
        <f t="shared" si="2"/>
        <v>0</v>
      </c>
    </row>
    <row r="28" spans="2:12">
      <c r="B28" s="18" t="s">
        <v>266</v>
      </c>
      <c r="C28" s="18"/>
      <c r="D28" s="18"/>
      <c r="E28" s="18">
        <f t="shared" si="0"/>
        <v>0</v>
      </c>
      <c r="F28" s="18"/>
      <c r="G28" s="18"/>
      <c r="H28" s="18"/>
      <c r="I28" s="18">
        <f t="shared" si="1"/>
        <v>0</v>
      </c>
      <c r="J28" s="18"/>
      <c r="K28" s="18"/>
      <c r="L28" s="18">
        <f t="shared" si="2"/>
        <v>0</v>
      </c>
    </row>
    <row r="29" spans="2:12">
      <c r="B29" s="18" t="s">
        <v>267</v>
      </c>
      <c r="C29" s="18"/>
      <c r="D29" s="18"/>
      <c r="E29" s="18">
        <f t="shared" si="0"/>
        <v>0</v>
      </c>
      <c r="F29" s="18"/>
      <c r="G29" s="18"/>
      <c r="H29" s="18"/>
      <c r="I29" s="18">
        <f t="shared" si="1"/>
        <v>0</v>
      </c>
      <c r="J29" s="18"/>
      <c r="K29" s="18"/>
      <c r="L29" s="18">
        <f t="shared" si="2"/>
        <v>0</v>
      </c>
    </row>
    <row r="30" spans="2:12">
      <c r="B30" s="18" t="s">
        <v>268</v>
      </c>
      <c r="C30" s="18"/>
      <c r="D30" s="18"/>
      <c r="E30" s="18">
        <f t="shared" si="0"/>
        <v>0</v>
      </c>
      <c r="F30" s="18"/>
      <c r="G30" s="18"/>
      <c r="H30" s="18"/>
      <c r="I30" s="18">
        <f t="shared" si="1"/>
        <v>0</v>
      </c>
      <c r="J30" s="18"/>
      <c r="K30" s="18"/>
      <c r="L30" s="18">
        <f t="shared" si="2"/>
        <v>0</v>
      </c>
    </row>
    <row r="31" spans="2:12">
      <c r="B31" s="18"/>
      <c r="C31" s="18"/>
      <c r="D31" s="18"/>
      <c r="E31" s="18">
        <f t="shared" si="0"/>
        <v>0</v>
      </c>
      <c r="F31" s="18"/>
      <c r="G31" s="18"/>
      <c r="H31" s="18"/>
      <c r="I31" s="18">
        <f t="shared" si="1"/>
        <v>0</v>
      </c>
      <c r="J31" s="18"/>
      <c r="K31" s="18"/>
      <c r="L31" s="18">
        <f t="shared" si="2"/>
        <v>0</v>
      </c>
    </row>
    <row r="32" spans="2:12">
      <c r="B32" s="18"/>
      <c r="C32" s="18"/>
      <c r="D32" s="18"/>
      <c r="E32" s="18">
        <f t="shared" si="0"/>
        <v>0</v>
      </c>
      <c r="F32" s="18"/>
      <c r="G32" s="18"/>
      <c r="H32" s="18"/>
      <c r="I32" s="18">
        <f t="shared" si="1"/>
        <v>0</v>
      </c>
      <c r="J32" s="18"/>
      <c r="K32" s="18"/>
      <c r="L32" s="18">
        <f t="shared" si="2"/>
        <v>0</v>
      </c>
    </row>
    <row r="33" spans="2:12">
      <c r="B33" s="18"/>
      <c r="C33" s="18"/>
      <c r="D33" s="18"/>
      <c r="E33" s="18">
        <f t="shared" si="0"/>
        <v>0</v>
      </c>
      <c r="F33" s="18"/>
      <c r="G33" s="18"/>
      <c r="H33" s="18"/>
      <c r="I33" s="18">
        <f t="shared" si="1"/>
        <v>0</v>
      </c>
      <c r="J33" s="18"/>
      <c r="K33" s="18"/>
      <c r="L33" s="18">
        <f t="shared" si="2"/>
        <v>0</v>
      </c>
    </row>
    <row r="34" spans="2:12">
      <c r="B34" s="18" t="s">
        <v>269</v>
      </c>
      <c r="C34" s="18"/>
      <c r="D34" s="18">
        <f>E34*10.764</f>
        <v>0</v>
      </c>
      <c r="E34" s="18">
        <f>SUM(E6:E33)</f>
        <v>0</v>
      </c>
      <c r="F34" s="18"/>
      <c r="G34" s="18"/>
      <c r="H34" s="18">
        <f>I34*10.764</f>
        <v>0</v>
      </c>
      <c r="I34" s="18">
        <f>SUM(I6:I33)</f>
        <v>0</v>
      </c>
      <c r="J34" s="18"/>
      <c r="K34" s="18">
        <f>L34*10.764</f>
        <v>0</v>
      </c>
      <c r="L34" s="18">
        <f>SUM(L6:L33)</f>
        <v>0</v>
      </c>
    </row>
    <row r="36" spans="2:12">
      <c r="D36" s="1">
        <f>D34+H34</f>
        <v>0</v>
      </c>
      <c r="E36" s="1">
        <f>E34+I34</f>
        <v>0</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activeCell="I294" sqref="I294"/>
    </sheetView>
  </sheetViews>
  <sheetFormatPr defaultColWidth="8.7265625" defaultRowHeight="14.5"/>
  <cols>
    <col min="1" max="1" width="8.7265625" style="2"/>
    <col min="2" max="2" width="22.1796875" style="2" customWidth="1"/>
    <col min="3" max="3" width="37" style="2" customWidth="1"/>
    <col min="4" max="5" width="11.453125" style="2" customWidth="1"/>
    <col min="6" max="6" width="14" style="2" customWidth="1"/>
    <col min="7" max="7" width="20" style="2" customWidth="1"/>
    <col min="8" max="8" width="16.453125" style="2" customWidth="1"/>
    <col min="9" max="16384" width="8.7265625" style="2"/>
  </cols>
  <sheetData>
    <row r="1" spans="1:9" ht="15" customHeight="1"/>
    <row r="2" spans="1:9" ht="15" customHeight="1">
      <c r="A2" s="3"/>
      <c r="B2" s="3"/>
      <c r="C2" s="3"/>
      <c r="D2" s="3"/>
      <c r="E2" s="3"/>
      <c r="F2" s="3"/>
      <c r="G2" s="3"/>
      <c r="H2" s="3"/>
    </row>
    <row r="3" spans="1:9" ht="15.75" customHeight="1">
      <c r="A3" s="3"/>
      <c r="B3" s="294" t="s">
        <v>270</v>
      </c>
      <c r="C3" s="294"/>
      <c r="D3" s="294"/>
      <c r="E3" s="294"/>
      <c r="F3" s="294"/>
      <c r="G3" s="294"/>
      <c r="H3" s="294"/>
    </row>
    <row r="4" spans="1:9">
      <c r="A4" s="3"/>
      <c r="B4" s="4" t="s">
        <v>271</v>
      </c>
      <c r="C4" s="4" t="s">
        <v>272</v>
      </c>
      <c r="D4" s="4" t="s">
        <v>247</v>
      </c>
      <c r="E4" s="4" t="s">
        <v>273</v>
      </c>
      <c r="F4" s="4" t="s">
        <v>274</v>
      </c>
      <c r="G4" s="4" t="s">
        <v>275</v>
      </c>
      <c r="H4" s="4" t="s">
        <v>276</v>
      </c>
    </row>
    <row r="5" spans="1:9" ht="15" customHeight="1">
      <c r="A5" s="3"/>
      <c r="B5" s="5" t="s">
        <v>277</v>
      </c>
      <c r="C5" s="6"/>
      <c r="D5" s="5" t="s">
        <v>278</v>
      </c>
      <c r="E5" s="5">
        <v>1106</v>
      </c>
      <c r="F5" s="7">
        <f>E5*1.6</f>
        <v>1769.6000000000001</v>
      </c>
      <c r="G5" s="7">
        <f>H5/F5</f>
        <v>31532.549728752259</v>
      </c>
      <c r="H5" s="8">
        <v>55800000</v>
      </c>
    </row>
    <row r="6" spans="1:9">
      <c r="A6" s="3"/>
      <c r="B6" s="5" t="s">
        <v>277</v>
      </c>
      <c r="C6" s="9"/>
      <c r="D6" s="5"/>
      <c r="E6" s="5"/>
      <c r="F6" s="7">
        <f t="shared" ref="F6:F11" si="0">E6*1.6</f>
        <v>0</v>
      </c>
      <c r="G6" s="7" t="e">
        <f t="shared" ref="G6:G11" si="1">H6/F6</f>
        <v>#DIV/0!</v>
      </c>
      <c r="H6" s="8"/>
    </row>
    <row r="7" spans="1:9" ht="15" customHeight="1">
      <c r="A7" s="3"/>
      <c r="B7" s="5" t="s">
        <v>277</v>
      </c>
      <c r="C7" s="6"/>
      <c r="D7" s="5"/>
      <c r="E7" s="5"/>
      <c r="F7" s="7">
        <f t="shared" si="0"/>
        <v>0</v>
      </c>
      <c r="G7" s="7" t="e">
        <f t="shared" si="1"/>
        <v>#DIV/0!</v>
      </c>
      <c r="H7" s="8"/>
    </row>
    <row r="8" spans="1:9">
      <c r="A8" s="3"/>
      <c r="B8" s="5" t="s">
        <v>277</v>
      </c>
      <c r="C8" s="9"/>
      <c r="D8" s="5"/>
      <c r="E8" s="5"/>
      <c r="F8" s="7">
        <f t="shared" si="0"/>
        <v>0</v>
      </c>
      <c r="G8" s="7" t="e">
        <f t="shared" si="1"/>
        <v>#DIV/0!</v>
      </c>
      <c r="H8" s="8"/>
    </row>
    <row r="9" spans="1:9" ht="15" customHeight="1">
      <c r="A9" s="3"/>
      <c r="B9" s="5" t="s">
        <v>277</v>
      </c>
      <c r="C9" s="9"/>
      <c r="D9" s="5"/>
      <c r="E9" s="5"/>
      <c r="F9" s="7">
        <f t="shared" si="0"/>
        <v>0</v>
      </c>
      <c r="G9" s="7" t="e">
        <f t="shared" si="1"/>
        <v>#DIV/0!</v>
      </c>
      <c r="H9" s="8"/>
    </row>
    <row r="10" spans="1:9" ht="15" customHeight="1">
      <c r="A10" s="3"/>
      <c r="B10" s="5" t="s">
        <v>279</v>
      </c>
      <c r="C10" s="6"/>
      <c r="D10" s="5"/>
      <c r="E10" s="5"/>
      <c r="F10" s="7">
        <f t="shared" si="0"/>
        <v>0</v>
      </c>
      <c r="G10" s="7" t="e">
        <f t="shared" si="1"/>
        <v>#DIV/0!</v>
      </c>
      <c r="H10" s="8"/>
    </row>
    <row r="11" spans="1:9" ht="15" customHeight="1">
      <c r="A11" s="3"/>
      <c r="B11" s="5" t="s">
        <v>279</v>
      </c>
      <c r="C11" s="6"/>
      <c r="D11" s="5"/>
      <c r="E11" s="5"/>
      <c r="F11" s="7">
        <f t="shared" si="0"/>
        <v>0</v>
      </c>
      <c r="G11" s="7" t="e">
        <f t="shared" si="1"/>
        <v>#DIV/0!</v>
      </c>
      <c r="H11" s="8"/>
    </row>
    <row r="12" spans="1:9" ht="15" customHeight="1">
      <c r="A12" s="3"/>
      <c r="B12" s="10" t="s">
        <v>280</v>
      </c>
      <c r="C12" s="5"/>
      <c r="D12" s="5"/>
      <c r="E12" s="5"/>
      <c r="F12" s="5"/>
      <c r="G12" s="11" t="e">
        <f>AVERAGE(G5:G11)</f>
        <v>#DIV/0!</v>
      </c>
      <c r="H12" s="5"/>
    </row>
    <row r="13" spans="1:9" ht="15" customHeight="1">
      <c r="B13" s="10" t="s">
        <v>281</v>
      </c>
      <c r="C13" s="5"/>
      <c r="D13" s="5"/>
      <c r="E13" s="5"/>
      <c r="F13" s="12"/>
      <c r="G13" s="10"/>
      <c r="H13" s="10"/>
      <c r="I13" s="13"/>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workbookViewId="0">
      <selection activeCell="K15" sqref="K15"/>
    </sheetView>
  </sheetViews>
  <sheetFormatPr defaultColWidth="9.1796875" defaultRowHeight="14.5"/>
  <cols>
    <col min="1" max="16384" width="9.1796875" style="1"/>
  </cols>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AXIS</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2025-08-22T05:47:59Z</cp:lastPrinted>
  <dcterms:created xsi:type="dcterms:W3CDTF">2019-07-16T09:29:00Z</dcterms:created>
  <dcterms:modified xsi:type="dcterms:W3CDTF">2025-08-22T05:50:00Z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C6CBDD8463DF457EA24512FB32945F97_12</vt:lpwstr>
  </property>
  <property fmtid="{D5CDD505-2E9C-101B-9397-08002B2CF9AE}" pid="3" name="KSOProductBuildVer">
    <vt:lpwstr>1033-12.2.0.17562</vt:lpwstr>
  </property>
</Properties>
</file>