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18-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4" i="1" l="1"/>
  <c r="A255" i="1" s="1"/>
  <c r="A256" i="1" s="1"/>
  <c r="A257" i="1" s="1"/>
  <c r="A258" i="1" s="1"/>
  <c r="A259" i="1" s="1"/>
  <c r="A260" i="1" s="1"/>
  <c r="A261" i="1" s="1"/>
  <c r="E46" i="1" l="1"/>
  <c r="E43" i="1"/>
  <c r="D195" i="1"/>
  <c r="I146" i="1"/>
  <c r="K146" i="1"/>
  <c r="J146" i="1"/>
  <c r="I184" i="1"/>
  <c r="I172" i="1"/>
  <c r="E220" i="1" l="1"/>
  <c r="D220" i="1"/>
  <c r="F220" i="1" s="1"/>
  <c r="H220" i="1" s="1"/>
  <c r="E219" i="1"/>
  <c r="D219" i="1"/>
  <c r="E218" i="1"/>
  <c r="D218" i="1"/>
  <c r="E217" i="1"/>
  <c r="D217" i="1"/>
  <c r="E216" i="1"/>
  <c r="D216" i="1"/>
  <c r="F216" i="1" s="1"/>
  <c r="H216" i="1" s="1"/>
  <c r="E215" i="1"/>
  <c r="D215" i="1"/>
  <c r="D213" i="1"/>
  <c r="D212" i="1"/>
  <c r="D211" i="1"/>
  <c r="D210" i="1"/>
  <c r="D209" i="1"/>
  <c r="D208" i="1"/>
  <c r="E213" i="1"/>
  <c r="F213" i="1" s="1"/>
  <c r="H213" i="1" s="1"/>
  <c r="E212" i="1"/>
  <c r="E211" i="1"/>
  <c r="E210" i="1"/>
  <c r="E209" i="1"/>
  <c r="E208" i="1"/>
  <c r="E204" i="1"/>
  <c r="D204" i="1"/>
  <c r="F204" i="1" s="1"/>
  <c r="H204" i="1" s="1"/>
  <c r="E203" i="1"/>
  <c r="D203" i="1"/>
  <c r="E202" i="1"/>
  <c r="D202" i="1"/>
  <c r="E201" i="1"/>
  <c r="D201" i="1"/>
  <c r="E200" i="1"/>
  <c r="D200" i="1"/>
  <c r="F200" i="1" s="1"/>
  <c r="H200" i="1" s="1"/>
  <c r="E199" i="1"/>
  <c r="D199" i="1"/>
  <c r="E197" i="1"/>
  <c r="D197" i="1"/>
  <c r="E196" i="1"/>
  <c r="D196" i="1"/>
  <c r="E195" i="1"/>
  <c r="E194" i="1"/>
  <c r="D194" i="1"/>
  <c r="E193" i="1"/>
  <c r="D193" i="1"/>
  <c r="E192" i="1"/>
  <c r="D192" i="1"/>
  <c r="E185" i="1"/>
  <c r="D185" i="1"/>
  <c r="E183" i="1"/>
  <c r="D183" i="1"/>
  <c r="E182" i="1"/>
  <c r="D182" i="1"/>
  <c r="E181" i="1"/>
  <c r="D181" i="1"/>
  <c r="E179" i="1"/>
  <c r="D179" i="1"/>
  <c r="E178" i="1"/>
  <c r="D178" i="1"/>
  <c r="E177" i="1"/>
  <c r="D177" i="1"/>
  <c r="E176" i="1"/>
  <c r="D176" i="1"/>
  <c r="D173" i="1"/>
  <c r="D171" i="1"/>
  <c r="D170" i="1"/>
  <c r="D169" i="1"/>
  <c r="E173" i="1"/>
  <c r="E171" i="1"/>
  <c r="E170" i="1"/>
  <c r="E169" i="1"/>
  <c r="E167" i="1"/>
  <c r="D167" i="1"/>
  <c r="E166" i="1"/>
  <c r="D166" i="1"/>
  <c r="E165" i="1"/>
  <c r="D165" i="1"/>
  <c r="E164" i="1"/>
  <c r="D164" i="1"/>
  <c r="E162" i="1"/>
  <c r="D162" i="1"/>
  <c r="E160" i="1"/>
  <c r="D160" i="1"/>
  <c r="E159" i="1"/>
  <c r="D159" i="1"/>
  <c r="E158" i="1"/>
  <c r="D158" i="1"/>
  <c r="E156" i="1"/>
  <c r="D156" i="1"/>
  <c r="E155" i="1"/>
  <c r="D155" i="1"/>
  <c r="E154" i="1"/>
  <c r="D154" i="1"/>
  <c r="E153" i="1"/>
  <c r="D153" i="1"/>
  <c r="E151" i="1"/>
  <c r="D151" i="1"/>
  <c r="E150" i="1"/>
  <c r="D150" i="1"/>
  <c r="E149" i="1"/>
  <c r="D149" i="1"/>
  <c r="E148" i="1"/>
  <c r="D148" i="1"/>
  <c r="E146" i="1"/>
  <c r="D146" i="1"/>
  <c r="E145" i="1"/>
  <c r="D145" i="1"/>
  <c r="E144" i="1"/>
  <c r="D144" i="1"/>
  <c r="E143" i="1"/>
  <c r="D143" i="1"/>
  <c r="K140" i="1"/>
  <c r="I193" i="1"/>
  <c r="I212" i="1"/>
  <c r="I201" i="1"/>
  <c r="I195" i="1"/>
  <c r="I199" i="1"/>
  <c r="J195" i="1"/>
  <c r="J193" i="1"/>
  <c r="A216" i="1"/>
  <c r="A217" i="1" s="1"/>
  <c r="A218" i="1" s="1"/>
  <c r="A219" i="1" s="1"/>
  <c r="A220" i="1" s="1"/>
  <c r="A209" i="1"/>
  <c r="A210" i="1" s="1"/>
  <c r="A211" i="1" s="1"/>
  <c r="A212" i="1" s="1"/>
  <c r="A213" i="1" s="1"/>
  <c r="A200" i="1"/>
  <c r="A201" i="1" s="1"/>
  <c r="A202" i="1" s="1"/>
  <c r="A203" i="1" s="1"/>
  <c r="A204" i="1" s="1"/>
  <c r="F199" i="1" l="1"/>
  <c r="H199" i="1" s="1"/>
  <c r="F203" i="1"/>
  <c r="H203" i="1" s="1"/>
  <c r="F215" i="1"/>
  <c r="H215" i="1" s="1"/>
  <c r="C122" i="1"/>
  <c r="C124" i="1" s="1"/>
  <c r="C123" i="1"/>
  <c r="F209" i="1"/>
  <c r="H209" i="1" s="1"/>
  <c r="F211" i="1"/>
  <c r="H211" i="1" s="1"/>
  <c r="F212" i="1"/>
  <c r="H212" i="1" s="1"/>
  <c r="F218" i="1"/>
  <c r="H218" i="1" s="1"/>
  <c r="F208" i="1"/>
  <c r="H208" i="1" s="1"/>
  <c r="F219" i="1"/>
  <c r="H219" i="1" s="1"/>
  <c r="F202" i="1"/>
  <c r="H202" i="1" s="1"/>
  <c r="F201" i="1"/>
  <c r="H201" i="1" s="1"/>
  <c r="F210" i="1"/>
  <c r="H210" i="1" s="1"/>
  <c r="F217" i="1"/>
  <c r="H217" i="1" s="1"/>
  <c r="F197" i="1"/>
  <c r="H197" i="1" s="1"/>
  <c r="A193" i="1"/>
  <c r="A194" i="1" s="1"/>
  <c r="A195" i="1" s="1"/>
  <c r="A196" i="1" s="1"/>
  <c r="A197" i="1" s="1"/>
  <c r="F196" i="1"/>
  <c r="H196" i="1" s="1"/>
  <c r="F195" i="1"/>
  <c r="H195" i="1" s="1"/>
  <c r="F194" i="1"/>
  <c r="H194" i="1" s="1"/>
  <c r="F193" i="1"/>
  <c r="H193" i="1" s="1"/>
  <c r="F192" i="1"/>
  <c r="H192" i="1" l="1"/>
  <c r="G123" i="1" s="1"/>
  <c r="E123" i="1"/>
  <c r="F183" i="1"/>
  <c r="H183" i="1" s="1"/>
  <c r="F178" i="1"/>
  <c r="H178" i="1" s="1"/>
  <c r="F177" i="1"/>
  <c r="H177" i="1" s="1"/>
  <c r="A177" i="1"/>
  <c r="A178" i="1" s="1"/>
  <c r="A179" i="1" s="1"/>
  <c r="A182" i="1"/>
  <c r="A183" i="1" s="1"/>
  <c r="A185" i="1" s="1"/>
  <c r="F185" i="1"/>
  <c r="H185" i="1" s="1"/>
  <c r="F182" i="1"/>
  <c r="H182" i="1" s="1"/>
  <c r="F181" i="1"/>
  <c r="H181" i="1" s="1"/>
  <c r="F173" i="1"/>
  <c r="H173" i="1" s="1"/>
  <c r="F171" i="1"/>
  <c r="H171" i="1" s="1"/>
  <c r="F170" i="1"/>
  <c r="H170" i="1" s="1"/>
  <c r="A170" i="1"/>
  <c r="A171" i="1" s="1"/>
  <c r="A173" i="1" s="1"/>
  <c r="F169" i="1"/>
  <c r="H169" i="1" s="1"/>
  <c r="F166" i="1"/>
  <c r="H166" i="1" s="1"/>
  <c r="F164" i="1"/>
  <c r="H164" i="1" s="1"/>
  <c r="A165" i="1"/>
  <c r="A166" i="1" s="1"/>
  <c r="A167" i="1" s="1"/>
  <c r="F167" i="1"/>
  <c r="H167" i="1" s="1"/>
  <c r="F165" i="1"/>
  <c r="H165" i="1" s="1"/>
  <c r="I162" i="1"/>
  <c r="F160" i="1"/>
  <c r="H160" i="1" s="1"/>
  <c r="F159" i="1"/>
  <c r="H159" i="1" s="1"/>
  <c r="F158" i="1"/>
  <c r="H158" i="1" s="1"/>
  <c r="A159" i="1"/>
  <c r="A160" i="1" s="1"/>
  <c r="A162" i="1" s="1"/>
  <c r="F162" i="1"/>
  <c r="H162" i="1" s="1"/>
  <c r="F156" i="1"/>
  <c r="H156" i="1" s="1"/>
  <c r="F154" i="1"/>
  <c r="H154" i="1" s="1"/>
  <c r="F153" i="1"/>
  <c r="H153" i="1" s="1"/>
  <c r="A154" i="1"/>
  <c r="A155" i="1" s="1"/>
  <c r="A156" i="1" s="1"/>
  <c r="F155" i="1"/>
  <c r="H155" i="1" s="1"/>
  <c r="I150" i="1"/>
  <c r="J150" i="1"/>
  <c r="F151" i="1"/>
  <c r="H151" i="1" s="1"/>
  <c r="F150" i="1"/>
  <c r="H150" i="1" s="1"/>
  <c r="F149" i="1"/>
  <c r="H149" i="1" s="1"/>
  <c r="F148" i="1"/>
  <c r="H148" i="1" s="1"/>
  <c r="A149" i="1"/>
  <c r="A150" i="1" s="1"/>
  <c r="A151" i="1" s="1"/>
  <c r="J143" i="1"/>
  <c r="I143" i="1"/>
  <c r="F146" i="1"/>
  <c r="H146" i="1" s="1"/>
  <c r="F145" i="1"/>
  <c r="H145" i="1" s="1"/>
  <c r="F144" i="1"/>
  <c r="H144" i="1" s="1"/>
  <c r="F143" i="1"/>
  <c r="A144" i="1"/>
  <c r="A145" i="1" s="1"/>
  <c r="A146" i="1" s="1"/>
  <c r="H143" i="1" l="1"/>
  <c r="F179" i="1"/>
  <c r="H179" i="1" s="1"/>
  <c r="F176" i="1"/>
  <c r="H176" i="1" s="1"/>
  <c r="C88" i="1"/>
  <c r="G122" i="1" l="1"/>
  <c r="G124" i="1" s="1"/>
  <c r="E122" i="1"/>
  <c r="E124" i="1" s="1"/>
  <c r="F131" i="1"/>
  <c r="H131" i="1" s="1"/>
  <c r="E31" i="1" l="1"/>
  <c r="E26" i="1"/>
  <c r="F224" i="1" l="1"/>
  <c r="H224"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I42" i="7" s="1"/>
  <c r="H42" i="7" s="1"/>
  <c r="E6" i="7"/>
  <c r="L42" i="7" l="1"/>
  <c r="K42" i="7" s="1"/>
  <c r="E42" i="7"/>
  <c r="D42" i="7" s="1"/>
  <c r="D44" i="7" s="1"/>
  <c r="E44" i="7" l="1"/>
  <c r="B254" i="1"/>
  <c r="F132" i="1" l="1"/>
  <c r="H132" i="1" s="1"/>
  <c r="F133" i="1"/>
  <c r="H133" i="1" s="1"/>
  <c r="F134" i="1"/>
  <c r="H134" i="1" s="1"/>
  <c r="S33" i="1" l="1"/>
  <c r="F11" i="5" l="1"/>
  <c r="G11" i="5" s="1"/>
  <c r="G10" i="5"/>
  <c r="F10" i="5"/>
  <c r="F9" i="5"/>
  <c r="G9" i="5" s="1"/>
  <c r="G8" i="5"/>
  <c r="F8" i="5"/>
  <c r="G7" i="5"/>
  <c r="F7" i="5"/>
  <c r="F6" i="5"/>
  <c r="G6" i="5" s="1"/>
  <c r="F5" i="5"/>
  <c r="G5" i="5" s="1"/>
  <c r="G12" i="5" s="1"/>
  <c r="D280" i="1"/>
  <c r="B255" i="1"/>
  <c r="F251" i="1"/>
  <c r="H251" i="1" s="1"/>
  <c r="F250" i="1"/>
  <c r="H250" i="1" s="1"/>
  <c r="F249" i="1"/>
  <c r="H249" i="1" s="1"/>
  <c r="F248" i="1"/>
  <c r="H248" i="1" s="1"/>
  <c r="F247" i="1"/>
  <c r="H247" i="1" s="1"/>
  <c r="F245" i="1"/>
  <c r="H245" i="1" s="1"/>
  <c r="F244" i="1"/>
  <c r="H244" i="1" s="1"/>
  <c r="F243" i="1"/>
  <c r="H243" i="1" s="1"/>
  <c r="F242" i="1"/>
  <c r="H242" i="1" s="1"/>
  <c r="F241" i="1"/>
  <c r="H241" i="1" s="1"/>
  <c r="F239" i="1"/>
  <c r="H239" i="1" s="1"/>
  <c r="F238" i="1"/>
  <c r="H238" i="1" s="1"/>
  <c r="F237" i="1"/>
  <c r="H237" i="1" s="1"/>
  <c r="F236" i="1"/>
  <c r="H236" i="1" s="1"/>
  <c r="F235" i="1"/>
  <c r="H235" i="1" s="1"/>
  <c r="F233" i="1"/>
  <c r="H233" i="1" s="1"/>
  <c r="F232" i="1"/>
  <c r="H232" i="1" s="1"/>
  <c r="F231" i="1"/>
  <c r="H231" i="1" s="1"/>
  <c r="F230" i="1"/>
  <c r="H230" i="1" s="1"/>
  <c r="F229" i="1"/>
  <c r="H229" i="1" s="1"/>
  <c r="A229" i="1"/>
  <c r="A230" i="1" s="1"/>
  <c r="A231" i="1" s="1"/>
  <c r="A232" i="1" s="1"/>
  <c r="A233" i="1" s="1"/>
  <c r="F227" i="1"/>
  <c r="H227" i="1" s="1"/>
  <c r="F226" i="1"/>
  <c r="H226" i="1" s="1"/>
  <c r="F225" i="1"/>
  <c r="H225" i="1" s="1"/>
  <c r="A225" i="1"/>
  <c r="A226" i="1" s="1"/>
  <c r="A227" i="1" s="1"/>
  <c r="A132" i="1"/>
  <c r="A133" i="1" s="1"/>
  <c r="A134" i="1" s="1"/>
  <c r="G125" i="1"/>
  <c r="E125" i="1"/>
  <c r="C125" i="1"/>
  <c r="F114" i="1"/>
  <c r="C74" i="1"/>
  <c r="B75" i="1" s="1"/>
  <c r="G51" i="1"/>
  <c r="G52" i="1" s="1"/>
  <c r="C51" i="1"/>
  <c r="C52" i="1" s="1"/>
  <c r="E44" i="1"/>
  <c r="E45" i="1" s="1"/>
  <c r="E28" i="1"/>
  <c r="C16" i="1"/>
  <c r="I15" i="1"/>
  <c r="Z13" i="1"/>
  <c r="E8" i="1"/>
  <c r="E3" i="1"/>
  <c r="D68" i="1" s="1"/>
  <c r="A241" i="1"/>
  <c r="A235" i="1"/>
  <c r="A247" i="1"/>
  <c r="J85" i="1" l="1"/>
  <c r="A236" i="1"/>
  <c r="H75" i="1"/>
  <c r="A248" i="1"/>
  <c r="A242" i="1"/>
  <c r="J77" i="1" l="1"/>
  <c r="D86" i="1"/>
  <c r="J78" i="1"/>
  <c r="C78" i="1" s="1"/>
  <c r="D80" i="1"/>
  <c r="J79" i="1"/>
  <c r="D85" i="1"/>
  <c r="D82" i="1"/>
  <c r="J80" i="1"/>
  <c r="J81" i="1" s="1"/>
  <c r="D83" i="1"/>
  <c r="D87" i="1"/>
  <c r="J74" i="1"/>
  <c r="J76" i="1" s="1"/>
  <c r="D81" i="1"/>
  <c r="D84" i="1"/>
  <c r="B89" i="1"/>
  <c r="A249" i="1"/>
  <c r="A243" i="1"/>
  <c r="H89" i="1"/>
  <c r="A237" i="1"/>
  <c r="D78" i="1" l="1"/>
  <c r="J86" i="1"/>
  <c r="J82" i="1"/>
  <c r="J83" i="1" s="1"/>
  <c r="J84" i="1" s="1"/>
  <c r="J91" i="1"/>
  <c r="D101" i="1"/>
  <c r="D95" i="1"/>
  <c r="J93" i="1"/>
  <c r="D99" i="1"/>
  <c r="J88" i="1"/>
  <c r="J90" i="1" s="1"/>
  <c r="D96" i="1"/>
  <c r="D100" i="1"/>
  <c r="D94" i="1"/>
  <c r="D98" i="1"/>
  <c r="J92" i="1"/>
  <c r="C92" i="1" s="1"/>
  <c r="D97" i="1"/>
  <c r="J94" i="1"/>
  <c r="J95" i="1" s="1"/>
  <c r="J100" i="1" s="1"/>
  <c r="J99" i="1"/>
  <c r="A238" i="1"/>
  <c r="A244" i="1"/>
  <c r="A250" i="1"/>
  <c r="J87" i="1" l="1"/>
  <c r="J96" i="1"/>
  <c r="J97" i="1" s="1"/>
  <c r="J98" i="1" s="1"/>
  <c r="D79" i="1"/>
  <c r="I75" i="1" s="1"/>
  <c r="I76" i="1" s="1"/>
  <c r="E78" i="1"/>
  <c r="J75" i="1"/>
  <c r="G78" i="1"/>
  <c r="D72" i="1" s="1"/>
  <c r="D92" i="1"/>
  <c r="A239" i="1"/>
  <c r="A251" i="1"/>
  <c r="A245" i="1"/>
  <c r="J101" i="1" l="1"/>
  <c r="D93" i="1" s="1"/>
  <c r="I89" i="1" s="1"/>
  <c r="I90" i="1" s="1"/>
  <c r="I74" i="1"/>
  <c r="C76" i="1" s="1"/>
  <c r="D73" i="1"/>
  <c r="F73" i="1"/>
  <c r="J89" i="1" l="1"/>
  <c r="I88" i="1" s="1"/>
  <c r="C90" i="1" s="1"/>
  <c r="G92" i="1"/>
  <c r="E9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<sst xmlns="http://schemas.openxmlformats.org/spreadsheetml/2006/main" count="722" uniqueCount="432">
  <si>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</si>
  <si>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</si>
  <si>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</si>
  <si>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</si>
  <si>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</si>
  <si>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</si>
  <si>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</si>
  <si>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</si>
  <si>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</si>
  <si>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</si>
  <si>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</si>
  <si>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</si>
  <si>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</si>
  <si>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</si>
  <si>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</si>
  <si>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</si>
  <si>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</si>
  <si>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</si>
  <si>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</si>
  <si>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</si>
  <si>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</si>
  <si>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</si>
  <si>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</si>
  <si>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</si>
  <si>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</si>
  <si>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</si>
  <si>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</si>
  <si>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</si>
  <si>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</si>
  <si>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</si>
  <si>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</si>
  <si>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</si>
  <si>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</si>
  <si>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</si>
  <si>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</si>
  <si>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</si>
  <si>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</si>
  <si>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</si>
  <si>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</si>
  <si>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</si>
  <si>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</si>
  <si>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</si>
  <si>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</si>
  <si>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</si>
  <si>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</si>
  <si>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</si>
  <si>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</si>
  <si>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</si>
  <si>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</si>
  <si>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</si>
  <si>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</si>
  <si>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</si>
  <si>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</si>
  <si>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</si>
  <si>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</si>
  <si>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</si>
  <si>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</si>
  <si>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</si>
  <si>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</si>
  <si>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</si>
  <si>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</si>
  <si>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</si>
  <si>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</si>
  <si>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</si>
  <si>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</si>
  <si>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</si>
  <si>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</si>
  <si>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</si>
  <si>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</si>
  <si>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</si>
  <si>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</si>
  <si>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</si>
  <si>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</si>
  <si>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</si>
  <si>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</si>
  <si>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</si>
  <si>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</si>
  <si>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</si>
  <si>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</si>
  <si>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</si>
  <si>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</si>
  <si>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</si>
  <si>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</si>
  <si>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</si>
  <si>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</si>
  <si>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</si>
  <si>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</si>
  <si>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</si>
  <si>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</si>
  <si>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</si>
  <si>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</si>
  <si>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</si>
  <si>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</si>
  <si>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</si>
  <si>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</si>
  <si>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</si>
  <si>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</si>
  <si>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</si>
  <si>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</si>
  <si>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</si>
  <si>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</si>
  <si>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</si>
  <si>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</si>
  <si>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</si>
  <si>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</si>
  <si>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</si>
  <si>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</si>
  <si>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</si>
  <si>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</si>
  <si>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</si>
  <si>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</si>
  <si>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</si>
  <si>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</si>
  <si>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</si>
  <si>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</si>
  <si>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</si>
  <si>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</si>
  <si>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</si>
  <si>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</si>
  <si>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</si>
  <si>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</si>
  <si>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</si>
  <si>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</si>
  <si>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</si>
  <si>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</si>
  <si>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</si>
  <si>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</si>
  <si>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</si>
  <si>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</si>
  <si>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</si>
  <si>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</si>
  <si>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</si>
  <si>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</si>
  <si>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</si>
  <si>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</si>
  <si>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</si>
  <si>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</si>
  <si>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</si>
  <si>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</si>
  <si>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</si>
  <si>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</si>
  <si>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</si>
  <si>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</si>
  <si>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</si>
  <si>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</si>
  <si>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</si>
  <si>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</si>
  <si>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</si>
  <si>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</si>
  <si>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</si>
  <si>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</si>
  <si>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</si>
  <si>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</si>
  <si>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</si>
  <si>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</si>
  <si>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</si>
  <si>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</si>
  <si>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</si>
  <si>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</si>
  <si>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</si>
  <si>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</si>
  <si>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</si>
  <si>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</si>
  <si>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</si>
  <si>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</si>
  <si>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</si>
  <si>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</si>
  <si>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</si>
  <si>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</si>
  <si>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</si>
  <si>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</si>
  <si>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</si>
  <si>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</si>
  <si>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</si>
  <si>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</si>
  <si>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</si>
  <si>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</si>
  <si>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</si>
  <si>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</si>
  <si>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</si>
  <si>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</si>
  <si>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</si>
  <si>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</si>
  <si>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</si>
  <si>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</si>
  <si>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</si>
  <si>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</si>
  <si>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</si>
  <si>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</si>
  <si>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</si>
  <si>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</si>
  <si>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</si>
  <si>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</si>
  <si>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</si>
  <si>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</si>
  <si>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</si>
  <si>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</si>
  <si>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</si>
  <si>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</si>
  <si>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</si>
  <si>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</si>
  <si>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</si>
  <si>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</si>
  <si>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</si>
  <si>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</si>
  <si>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</si>
  <si>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</si>
  <si>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</si>
  <si>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</si>
  <si>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</si>
  <si>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</si>
  <si>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</si>
  <si>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</si>
  <si>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</si>
  <si>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</si>
  <si>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</si>
  <si>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</si>
  <si>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</si>
  <si>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</si>
  <si>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</si>
  <si>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</si>
  <si>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</si>
  <si>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</si>
  <si>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</si>
  <si>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</si>
  <si>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</si>
  <si>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</si>
  <si>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</si>
  <si>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</si>
  <si>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</si>
  <si>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</si>
  <si>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</si>
  <si>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</si>
  <si>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</si>
  <si>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</si>
  <si>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</si>
  <si>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</si>
  <si>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</si>
  <si>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</si>
  <si>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</si>
  <si>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</si>
  <si>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</si>
  <si>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</si>
  <si>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</si>
  <si>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</si>
  <si>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</si>
  <si>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</si>
  <si>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</si>
  <si>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</si>
  <si>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</si>
  <si>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</si>
  <si>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</si>
  <si>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</si>
  <si>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</si>
  <si>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</si>
  <si>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</si>
  <si>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</si>
  <si>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</si>
  <si>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</si>
  <si>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</si>
  <si>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</si>
  <si>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</si>
  <si>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</si>
  <si>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</si>
  <si>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</si>
  <si>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</si>
  <si>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</si>
  <si>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</si>
  <si>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</si>
  <si>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</si>
  <si>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</si>
  <si>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</si>
  <si>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</si>
  <si>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</si>
  <si>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</si>
  <si>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</si>
  <si>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</si>
  <si>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</si>
  <si>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</si>
  <si>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</si>
  <si>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</si>
  <si>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</si>
  <si>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</si>
  <si>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</si>
  <si>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</si>
  <si>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</si>
  <si>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</si>
  <si>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</si>
  <si>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</si>
  <si>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</si>
  <si>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</si>
  <si>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</si>
  <si>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</si>
  <si>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</si>
  <si>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</si>
  <si>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</si>
  <si>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</si>
  <si>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</si>
  <si>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</si>
  <si>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</si>
  <si>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</si>
  <si>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</si>
  <si>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</si>
  <si>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</si>
  <si>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</si>
  <si>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</si>
  <si>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</si>
  <si>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</si>
  <si>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</si>
  <si>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</si>
  <si>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</si>
  <si>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</si>
  <si>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</si>
  <si>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</si>
  <si>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</si>
  <si>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</si>
  <si>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</si>
  <si>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</si>
  <si>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</si>
  <si>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</si>
  <si>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</si>
  <si>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</si>
  <si>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</si>
  <si>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</si>
  <si>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</si>
  <si>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</si>
  <si>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</si>
  <si>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</si>
  <si>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</si>
  <si>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</si>
  <si>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</si>
  <si>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</si>
  <si>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</si>
  <si>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</si>
  <si>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</si>
  <si>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</si>
  <si>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</si>
  <si>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</si>
  <si>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</si>
  <si>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</si>
  <si>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</si>
  <si>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</si>
  <si>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</si>
  <si>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</si>
  <si>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</si>
  <si>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</si>
  <si>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</si>
  <si>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</si>
  <si>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</si>
  <si>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Kapstone Constructions Private Limited</t>
  </si>
  <si>
    <t>Rustomjee Verdant Vistas</t>
  </si>
  <si>
    <t>Wing A = P51700077136
Wing B = P51700077134</t>
  </si>
  <si>
    <t>Survey No</t>
  </si>
  <si>
    <t>12, 13, 14Pt, 15, 16Pt, 17Pt, 18Pt, 19Pt, 20, 21Pt, 30Pt, 35 to 38, 41, 42, 43, 44, 45Pt, 46Pt, 47Pt, 48, 49, 50, 51, 53Pt, 54, 55, 84Pt, 327, 328, 329, 345, 383, 386Pt, 423, 424 &amp; Others</t>
  </si>
  <si>
    <t>Majiwade</t>
  </si>
  <si>
    <t>R G Road</t>
  </si>
  <si>
    <t>Lakshmi Nagar</t>
  </si>
  <si>
    <t>Thane West</t>
  </si>
  <si>
    <t>Lodha Crown</t>
  </si>
  <si>
    <t>Other Plot</t>
  </si>
  <si>
    <t>Internal Road</t>
  </si>
  <si>
    <t>Under Construction Building</t>
  </si>
  <si>
    <t>02 Wings</t>
  </si>
  <si>
    <t>S05/0022/10/TMC/TD-DP/TPS/0141 /(P/C)/2024/Auto DCR</t>
  </si>
  <si>
    <t>Wing A &amp; B = 4B + Stilt/ G + 1st to 22nd Floor + Service Floor + 23rd to 48th Floor + Recreational Floor</t>
  </si>
  <si>
    <t>As per RERA - Wing A = 18/01/2030
Wing B = 20/02/2030</t>
  </si>
  <si>
    <t>Wing A</t>
  </si>
  <si>
    <t>Ground Floor For Society Office, Meter Room, ELV Room, Panel Room, Entrance Lobby &amp; Parking</t>
  </si>
  <si>
    <t>1st Floor For Residential</t>
  </si>
  <si>
    <t>4BHK</t>
  </si>
  <si>
    <t>RERA Carpet area</t>
  </si>
  <si>
    <t>2nd Floor For Residential</t>
  </si>
  <si>
    <t>3rd to 5th &amp; 7th to 9th Floor For Residential</t>
  </si>
  <si>
    <t>6th &amp; 10th Floor (Part Refuge Area)</t>
  </si>
  <si>
    <t>3BHK</t>
  </si>
  <si>
    <t>11th to 13th, 15th to 17th, 19th to 21st, 23rd to 25th Floor</t>
  </si>
  <si>
    <t>14th, 18th &amp; 22nd Floor (Part Refuge Area)</t>
  </si>
  <si>
    <t>Service Floor Between 22nd &amp; 23rd Floor</t>
  </si>
  <si>
    <t>26th, 30th, 34th, 38th, 42nd &amp; 46th Floor (Part Refuge Area)</t>
  </si>
  <si>
    <t>27th to 29th, 31st to 33rd, 35th to 37th, 39th to 41st, 43rd to 45th, 47th &amp; 48th Floor</t>
  </si>
  <si>
    <t>Wing B</t>
  </si>
  <si>
    <t>Recreational Floor</t>
  </si>
  <si>
    <t>Ground Floor For Drivers Room, Meter Room, ELV Room, Panel Room, Entrance Lobby &amp; Parking</t>
  </si>
  <si>
    <t>6th, 10th, 14th, 18th &amp; 22nd Floor (Part Refuge Area)</t>
  </si>
  <si>
    <t>2BHK</t>
  </si>
  <si>
    <t>1st to 5th, 7th to 9th, 11th to 13th, 15th to 17th, 19th to 21st, 23rd to 25th Floor For Residential</t>
  </si>
  <si>
    <t>We considered Gross carpet area = Net carpet + Balcony + Utility Area</t>
  </si>
  <si>
    <t xml:space="preserve">Details of Residential in Building   </t>
  </si>
  <si>
    <t>Flats - 480</t>
  </si>
  <si>
    <t>Club House, Indoor Games, Gymnasium, Kids Play Area, Swimming Pool, Spa, Recreational Area, etc.</t>
  </si>
  <si>
    <t>https://www.googleadservices.com/pagead/aclk?sa=L&amp;ai=DChcSEwje8_rB6ICIAxUPJoMDHZuvKJ0YABAAGgJzZg&amp;co=1&amp;ase=2&amp;gclid=Cj0KCQjw2ou2BhCCARIsANAwM2G_s56QI529s45Hi2bQEi9_vL6E8Qh5bhGq5OyErqBlS_VXyeMPPkAaAgPaEALw_wcB&amp;ohost=www.google.com&amp;cid=CAESVuD2o6R72MDJ14RP4_p_AKkyQUwYqn1KtSjZJdg5k1r7U6IVPumg4RLIH8sfymM4cxlzcM0KwJTUc_0yYBzd4-EHmDp1uBJkTnyPpib919CUS2fo2cOV&amp;sig=AOD64_2bXpht-wE5_MjWV9HvA0dYW8JIsg&amp;q&amp;nis=4&amp;adurl&amp;ved=2ahUKEwiTyfbB6ICIAxURT2cHHccrDBYQ0Qx6BAgIEAE</t>
  </si>
  <si>
    <t xml:space="preserve">Please check for Fire Noc &amp; Environment Clearance Certificate.
</t>
  </si>
  <si>
    <t>TMC/CFO/M/HR/362/381</t>
  </si>
  <si>
    <t>Wing A &amp; B = 4 Basement + Gr to 22nd + Service Floor + 23rd  to 48th Floor + Recreational Floor (Total Height = 174.74 m.)</t>
  </si>
  <si>
    <t>SNCR/WEST/B/030824/938702</t>
  </si>
  <si>
    <t>Valid Upto 
Date</t>
  </si>
  <si>
    <t>SIA/MH/INFRA2/438523/2023</t>
  </si>
  <si>
    <t>Construction work is in process at the time of Visit. Internal Visit was not allowed.</t>
  </si>
  <si>
    <t xml:space="preserve">Environmental &amp; CRZ Clearance Certificate (EC) No
Valid Up for: </t>
  </si>
  <si>
    <t>Ajay Songare</t>
  </si>
  <si>
    <t>2nd to 4th Basement For Parking</t>
  </si>
  <si>
    <t>1st Basement For Fire Water Tank, Water Treatment Tank, Pump Room &amp; Parking</t>
  </si>
  <si>
    <t>Project Rustomjee Verdant Vistas plot doesn’t Falls under CRZ Zone.</t>
  </si>
  <si>
    <t>Mr. Santosh Shetty 9820995007 / 
Mr. Prathamesh Gawane 9167712147</t>
  </si>
  <si>
    <t>Resi Sub Plot 3 Wing A &amp; B</t>
  </si>
  <si>
    <t>4.40 KM from Thane Railway Station</t>
  </si>
  <si>
    <t>Plot Area = 523468.15 Sqm. 
Built Up Area = 2044259.32 Sqm
Resi Plot 3 Building 1 &amp; 2 = 4B + St/Gr + 54 Floor + Service Floor + Recreational Floor (Height 177.53 M)</t>
  </si>
  <si>
    <t xml:space="preserve">Wing A &amp; B = 4B + Gr + 1st to 22nd Floor + Service Floor + 23rd to 48th Floor + Recreational Floor
</t>
  </si>
  <si>
    <t>Internaal Road</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</si>
  <si>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</si>
  <si>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</si>
  <si>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</si>
  <si>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19.210722,72.993781</t>
  </si>
  <si>
    <t>https://maps.app.goo.gl/w2JhfM8WfSkK169M6</t>
  </si>
  <si>
    <t>Approved Plans, CC, Fire Noc, Airport Noc, EC cum CRZ clearance Certificate.</t>
  </si>
  <si>
    <t xml:space="preserve">Rustomjee La Vie </t>
  </si>
  <si>
    <t>Rate reference</t>
  </si>
  <si>
    <t>Refuge Area</t>
  </si>
  <si>
    <t>-</t>
  </si>
  <si>
    <t>9 M. Wide Road</t>
  </si>
  <si>
    <t xml:space="preserve">Airport Noc No
Valid from AMSL: </t>
  </si>
  <si>
    <t>Site Elevation = 6.98 m
Permissible = 406.98 m</t>
  </si>
  <si>
    <t>As per Arch. Cert (Dtd.12/4/2025) refer from rera, Construction work of wing B is not yet started.</t>
  </si>
  <si>
    <t>Please check</t>
  </si>
  <si>
    <t>Pooja Kawale</t>
  </si>
  <si>
    <t>Wing A = 4B + G + 1st to 54th Floor</t>
  </si>
  <si>
    <t>Wing B = 4B + G + 1st to 54th Floor</t>
  </si>
  <si>
    <t>Security</t>
  </si>
  <si>
    <t>Recommended Rates / Other charges of the Property have been revised on 07/05/2025.</t>
  </si>
  <si>
    <t>Other charges for Flat No. A-3002 can be considered as per cost sheet which is provided
on mail by bank officials.
Infrastructure Charges = 36,22,500,
Township Infrastructure Charges = 29,12,300
Cost Sheet Attached Below.</t>
  </si>
  <si>
    <t>Please check whether agreement value (Flat No. A-3002) is same as per cost sheet or not before any disbursment.</t>
  </si>
  <si>
    <t>Remark No. 11 Cost Sheet Flat No. A-3002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</si>
</sst>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3" fillId="2" borderId="26" xfId="0" applyFont="1" applyFill="1" applyBorder="1"/>
    <xf numFmtId="0" fontId="24" fillId="0" borderId="27"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3" xfId="0" applyFill="1" applyBorder="1"/>
    <xf numFmtId="0" fontId="0" fillId="0" borderId="6"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6" xfId="0" applyFill="1" applyBorder="1"/>
    <xf numFmtId="0" fontId="11" fillId="0" borderId="1" xfId="1" applyFont="1" applyBorder="1"/>
    <xf numFmtId="0" fontId="6" fillId="0" borderId="1" xfId="1" applyFont="1" applyBorder="1"/>
    <xf numFmtId="0" fontId="0" fillId="0" borderId="6" xfId="0" applyBorder="1" applyAlignment="1">
      <alignment vertical="top"/>
    </xf>
    <xf numFmtId="0" fontId="0" fillId="0" borderId="23" xfId="0" applyFill="1" applyBorder="1" applyAlignment="1">
      <alignment horizontal="center" vertical="top"/>
    </xf>
    <xf numFmtId="0" fontId="0" fillId="0" borderId="6" xfId="0" applyFill="1" applyBorder="1" applyAlignment="1">
      <alignment horizontal="left" vertical="top"/>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0" fontId="25" fillId="0" borderId="0" xfId="10" applyAlignment="1">
      <alignment vertical="top" wrapText="1"/>
    </xf>
    <xf numFmtId="0" fontId="6" fillId="0" borderId="0" xfId="1" applyFont="1" applyAlignment="1">
      <alignment horizontal="center" vertical="center"/>
    </xf>
    <xf numFmtId="1" fontId="5" fillId="0" borderId="1" xfId="0" applyNumberFormat="1" applyFont="1" applyFill="1" applyBorder="1" applyAlignment="1" applyProtection="1">
      <alignment horizontal="center" vertical="center" wrapText="1"/>
      <protection locked="0"/>
    </xf>
    <xf numFmtId="1" fontId="6" fillId="0" borderId="0" xfId="1" applyNumberFormat="1" applyFont="1" applyBorder="1" applyAlignment="1">
      <alignment horizontal="center" vertical="center"/>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6" fillId="0" borderId="0" xfId="1" applyFont="1" applyAlignment="1">
      <alignment horizontal="right"/>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3" fillId="2" borderId="13" xfId="0" applyFont="1" applyFill="1" applyBorder="1"/>
    <xf numFmtId="0" fontId="24" fillId="0" borderId="7" xfId="0" applyFont="1" applyBorder="1"/>
    <xf numFmtId="0" fontId="11" fillId="0" borderId="3" xfId="1" applyFont="1" applyBorder="1" applyAlignment="1" applyProtection="1">
      <alignment horizontal="center" vertical="top" wrapText="1"/>
      <protection locked="0"/>
    </xf>
    <xf numFmtId="9" fontId="11" fillId="0" borderId="3" xfId="8" applyFont="1" applyFill="1" applyBorder="1" applyAlignment="1" applyProtection="1">
      <alignment horizontal="center" vertical="top" wrapText="1"/>
      <protection locked="0"/>
    </xf>
    <xf numFmtId="1" fontId="7" fillId="0" borderId="6"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7" xfId="0" applyNumberFormat="1" applyFont="1" applyBorder="1" applyAlignment="1" applyProtection="1">
      <alignment vertical="top" wrapText="1"/>
      <protection locked="0"/>
    </xf>
    <xf numFmtId="1" fontId="5" fillId="0" borderId="6"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7" fillId="6" borderId="6" xfId="1" applyNumberFormat="1" applyFont="1" applyFill="1" applyBorder="1" applyAlignment="1" applyProtection="1">
      <alignment horizontal="center" vertical="center" wrapText="1"/>
      <protection locked="0"/>
    </xf>
    <xf numFmtId="1" fontId="7" fillId="6" borderId="19" xfId="1" applyNumberFormat="1" applyFont="1" applyFill="1" applyBorder="1" applyAlignment="1" applyProtection="1">
      <alignment horizontal="center" vertical="center" wrapText="1"/>
      <protection locked="0"/>
    </xf>
    <xf numFmtId="1" fontId="7" fillId="6" borderId="7" xfId="1" applyNumberFormat="1" applyFont="1" applyFill="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12" fillId="0" borderId="6"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5" fillId="0" borderId="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6"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7"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0" xfId="1" applyFont="1" applyFill="1" applyBorder="1" applyAlignment="1" applyProtection="1">
      <alignment horizontal="left" vertical="top" wrapText="1"/>
      <protection locked="0"/>
    </xf>
    <xf numFmtId="0" fontId="7" fillId="0" borderId="13" xfId="1" applyFont="1" applyFill="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6"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11" fillId="0" borderId="6"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9" fontId="11" fillId="0" borderId="1" xfId="8"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8" xfId="8" applyFont="1" applyFill="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1" fontId="16" fillId="0" borderId="6"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7" xfId="0" applyNumberFormat="1" applyFont="1" applyBorder="1" applyAlignment="1" applyProtection="1">
      <alignment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12" fillId="0" borderId="6"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1" fontId="7" fillId="0" borderId="29" xfId="0" applyNumberFormat="1" applyFont="1" applyBorder="1" applyAlignment="1" applyProtection="1">
      <alignment horizontal="center" vertical="top" wrapText="1"/>
      <protection locked="0"/>
    </xf>
    <xf numFmtId="1" fontId="7" fillId="0" borderId="30" xfId="0" applyNumberFormat="1" applyFont="1" applyBorder="1" applyAlignment="1" applyProtection="1">
      <alignment horizontal="center" vertical="top" wrapText="1"/>
      <protection locked="0"/>
    </xf>
    <xf numFmtId="14" fontId="5" fillId="0" borderId="6" xfId="1" applyNumberFormat="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0" fontId="5" fillId="0" borderId="6"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7" xfId="1" applyFont="1" applyBorder="1" applyAlignment="1" applyProtection="1">
      <alignmen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5" fillId="0" borderId="14"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1" fillId="0" borderId="6" xfId="1" applyFont="1" applyBorder="1" applyAlignment="1" applyProtection="1">
      <alignment horizontal="center" vertical="top"/>
      <protection locked="0"/>
    </xf>
    <xf numFmtId="0" fontId="11" fillId="0" borderId="19"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5" fillId="0" borderId="1" xfId="1" applyFont="1" applyFill="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center" wrapText="1"/>
      <protection locked="0"/>
    </xf>
    <xf numFmtId="0" fontId="7" fillId="0" borderId="14" xfId="1" applyFont="1" applyBorder="1" applyAlignment="1" applyProtection="1">
      <alignment horizontal="center" vertical="top"/>
      <protection locked="0"/>
    </xf>
    <xf numFmtId="1" fontId="12" fillId="0" borderId="15"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center" wrapText="1"/>
      <protection locked="0"/>
    </xf>
    <xf numFmtId="1" fontId="7" fillId="0" borderId="29" xfId="0" applyNumberFormat="1" applyFont="1" applyBorder="1" applyAlignment="1" applyProtection="1">
      <alignment horizontal="center" vertical="center" wrapText="1"/>
      <protection locked="0"/>
    </xf>
    <xf numFmtId="0" fontId="9" fillId="0" borderId="29" xfId="0" applyFont="1" applyBorder="1" applyAlignment="1" applyProtection="1">
      <alignment horizontal="center" vertical="center"/>
      <protection locked="0"/>
    </xf>
    <xf numFmtId="1" fontId="9" fillId="0" borderId="29"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9" fillId="0" borderId="3" xfId="0" applyFont="1" applyBorder="1" applyAlignment="1" applyProtection="1">
      <alignment horizontal="center" vertical="center"/>
      <protection locked="0"/>
    </xf>
    <xf numFmtId="0" fontId="6" fillId="0" borderId="23" xfId="1" applyFont="1" applyBorder="1" applyAlignment="1">
      <alignment horizontal="center"/>
    </xf>
    <xf numFmtId="0" fontId="6" fillId="0" borderId="0" xfId="1" applyFont="1" applyAlignment="1">
      <alignment horizontal="center"/>
    </xf>
    <xf numFmtId="0" fontId="7" fillId="0" borderId="1" xfId="1" applyFont="1" applyBorder="1" applyAlignment="1" applyProtection="1">
      <alignment horizontal="left" vertical="top" wrapText="1"/>
      <protection locked="0"/>
    </xf>
    <xf numFmtId="14" fontId="7"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6" fillId="0" borderId="31"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727928</xdr:colOff>
      <xdr:row>149</xdr:row>
      <xdr:rowOff>63929</xdr:rowOff>
    </xdr:from>
    <xdr:to>
      <xdr:col>13</xdr:col>
      <xdr:colOff>677668</xdr:colOff>
      <xdr:row>170</xdr:row>
      <xdr:rowOff>194222</xdr:rowOff>
    </xdr:to>
    <xdr:pic>
      <xdr:nvPicPr>
        <xdr:cNvPr id="2" name="Picture 1"/>
        <xdr:cNvPicPr>
          <a:picLocks noChangeAspect="1"/>
        </xdr:cNvPicPr>
      </xdr:nvPicPr>
      <xdr:blipFill>
        <a:blip xmlns:r="http://schemas.openxmlformats.org/officeDocument/2006/relationships" r:embed="rId1"/>
        <a:stretch>
          <a:fillRect/>
        </a:stretch>
      </xdr:blipFill>
      <xdr:spPr>
        <a:xfrm>
          <a:off x="7047558" y="28026016"/>
          <a:ext cx="4289827" cy="4304727"/>
        </a:xfrm>
        <a:prstGeom prst="rect">
          <a:avLst/>
        </a:prstGeom>
      </xdr:spPr>
    </xdr:pic>
    <xdr:clientData/>
  </xdr:twoCellAnchor>
  <xdr:twoCellAnchor editAs="oneCell">
    <xdr:from>
      <xdr:col>8</xdr:col>
      <xdr:colOff>1128705</xdr:colOff>
      <xdr:row>204</xdr:row>
      <xdr:rowOff>101748</xdr:rowOff>
    </xdr:from>
    <xdr:to>
      <xdr:col>14</xdr:col>
      <xdr:colOff>680534</xdr:colOff>
      <xdr:row>251</xdr:row>
      <xdr:rowOff>103011</xdr:rowOff>
    </xdr:to>
    <xdr:pic>
      <xdr:nvPicPr>
        <xdr:cNvPr id="3" name="Picture 2"/>
        <xdr:cNvPicPr>
          <a:picLocks noChangeAspect="1"/>
        </xdr:cNvPicPr>
      </xdr:nvPicPr>
      <xdr:blipFill>
        <a:blip xmlns:r="http://schemas.openxmlformats.org/officeDocument/2006/relationships" r:embed="rId2"/>
        <a:stretch>
          <a:fillRect/>
        </a:stretch>
      </xdr:blipFill>
      <xdr:spPr>
        <a:xfrm>
          <a:off x="7448335" y="39203944"/>
          <a:ext cx="4728460" cy="3579350"/>
        </a:xfrm>
        <a:prstGeom prst="rect">
          <a:avLst/>
        </a:prstGeom>
      </xdr:spPr>
    </xdr:pic>
    <xdr:clientData/>
  </xdr:twoCellAnchor>
  <xdr:twoCellAnchor editAs="oneCell">
    <xdr:from>
      <xdr:col>8</xdr:col>
      <xdr:colOff>1008412</xdr:colOff>
      <xdr:row>55</xdr:row>
      <xdr:rowOff>316397</xdr:rowOff>
    </xdr:from>
    <xdr:to>
      <xdr:col>16</xdr:col>
      <xdr:colOff>488315</xdr:colOff>
      <xdr:row>67</xdr:row>
      <xdr:rowOff>25256</xdr:rowOff>
    </xdr:to>
    <xdr:pic>
      <xdr:nvPicPr>
        <xdr:cNvPr id="4" name="Picture 3"/>
        <xdr:cNvPicPr>
          <a:picLocks noChangeAspect="1"/>
        </xdr:cNvPicPr>
      </xdr:nvPicPr>
      <xdr:blipFill>
        <a:blip xmlns:r="http://schemas.openxmlformats.org/officeDocument/2006/relationships" r:embed="rId3"/>
        <a:stretch>
          <a:fillRect/>
        </a:stretch>
      </xdr:blipFill>
      <xdr:spPr>
        <a:xfrm>
          <a:off x="7328042" y="14603897"/>
          <a:ext cx="6246795" cy="3551990"/>
        </a:xfrm>
        <a:prstGeom prst="rect">
          <a:avLst/>
        </a:prstGeom>
      </xdr:spPr>
    </xdr:pic>
    <xdr:clientData/>
  </xdr:twoCellAnchor>
  <xdr:twoCellAnchor editAs="oneCell">
    <xdr:from>
      <xdr:col>8</xdr:col>
      <xdr:colOff>291962</xdr:colOff>
      <xdr:row>43</xdr:row>
      <xdr:rowOff>124241</xdr:rowOff>
    </xdr:from>
    <xdr:to>
      <xdr:col>12</xdr:col>
      <xdr:colOff>339137</xdr:colOff>
      <xdr:row>49</xdr:row>
      <xdr:rowOff>240150</xdr:rowOff>
    </xdr:to>
    <xdr:pic>
      <xdr:nvPicPr>
        <xdr:cNvPr id="20" name="Picture 19"/>
        <xdr:cNvPicPr>
          <a:picLocks noChangeAspect="1"/>
        </xdr:cNvPicPr>
      </xdr:nvPicPr>
      <xdr:blipFill>
        <a:blip xmlns:r="http://schemas.openxmlformats.org/officeDocument/2006/relationships" r:embed="rId4"/>
        <a:stretch>
          <a:fillRect/>
        </a:stretch>
      </xdr:blipFill>
      <xdr:spPr>
        <a:xfrm>
          <a:off x="6611592" y="10759111"/>
          <a:ext cx="3600415" cy="1540517"/>
        </a:xfrm>
        <a:prstGeom prst="rect">
          <a:avLst/>
        </a:prstGeom>
      </xdr:spPr>
    </xdr:pic>
    <xdr:clientData/>
  </xdr:twoCellAnchor>
  <xdr:twoCellAnchor editAs="oneCell">
    <xdr:from>
      <xdr:col>8</xdr:col>
      <xdr:colOff>190500</xdr:colOff>
      <xdr:row>50</xdr:row>
      <xdr:rowOff>19051</xdr:rowOff>
    </xdr:from>
    <xdr:to>
      <xdr:col>13</xdr:col>
      <xdr:colOff>167100</xdr:colOff>
      <xdr:row>52</xdr:row>
      <xdr:rowOff>292640</xdr:rowOff>
    </xdr:to>
    <xdr:pic>
      <xdr:nvPicPr>
        <xdr:cNvPr id="21" name="Picture 20"/>
        <xdr:cNvPicPr>
          <a:picLocks noChangeAspect="1"/>
        </xdr:cNvPicPr>
      </xdr:nvPicPr>
      <xdr:blipFill>
        <a:blip xmlns:r="http://schemas.openxmlformats.org/officeDocument/2006/relationships" r:embed="rId5"/>
        <a:stretch>
          <a:fillRect/>
        </a:stretch>
      </xdr:blipFill>
      <xdr:spPr>
        <a:xfrm>
          <a:off x="6505575" y="12534901"/>
          <a:ext cx="4320000" cy="1064164"/>
        </a:xfrm>
        <a:prstGeom prst="rect">
          <a:avLst/>
        </a:prstGeom>
      </xdr:spPr>
    </xdr:pic>
    <xdr:clientData/>
  </xdr:twoCellAnchor>
  <xdr:twoCellAnchor editAs="oneCell">
    <xdr:from>
      <xdr:col>8</xdr:col>
      <xdr:colOff>161925</xdr:colOff>
      <xdr:row>52</xdr:row>
      <xdr:rowOff>400050</xdr:rowOff>
    </xdr:from>
    <xdr:to>
      <xdr:col>10</xdr:col>
      <xdr:colOff>495018</xdr:colOff>
      <xdr:row>54</xdr:row>
      <xdr:rowOff>352352</xdr:rowOff>
    </xdr:to>
    <xdr:pic>
      <xdr:nvPicPr>
        <xdr:cNvPr id="22" name="Picture 21"/>
        <xdr:cNvPicPr>
          <a:picLocks noChangeAspect="1"/>
        </xdr:cNvPicPr>
      </xdr:nvPicPr>
      <xdr:blipFill>
        <a:blip xmlns:r="http://schemas.openxmlformats.org/officeDocument/2006/relationships" r:embed="rId6"/>
        <a:stretch>
          <a:fillRect/>
        </a:stretch>
      </xdr:blipFill>
      <xdr:spPr>
        <a:xfrm>
          <a:off x="6477000" y="13706475"/>
          <a:ext cx="2257143" cy="580952"/>
        </a:xfrm>
        <a:prstGeom prst="rect">
          <a:avLst/>
        </a:prstGeom>
      </xdr:spPr>
    </xdr:pic>
    <xdr:clientData/>
  </xdr:twoCellAnchor>
  <xdr:twoCellAnchor editAs="oneCell">
    <xdr:from>
      <xdr:col>10</xdr:col>
      <xdr:colOff>552450</xdr:colOff>
      <xdr:row>53</xdr:row>
      <xdr:rowOff>85725</xdr:rowOff>
    </xdr:from>
    <xdr:to>
      <xdr:col>15</xdr:col>
      <xdr:colOff>85275</xdr:colOff>
      <xdr:row>55</xdr:row>
      <xdr:rowOff>191090</xdr:rowOff>
    </xdr:to>
    <xdr:pic>
      <xdr:nvPicPr>
        <xdr:cNvPr id="23" name="Picture 22"/>
        <xdr:cNvPicPr>
          <a:picLocks noChangeAspect="1"/>
        </xdr:cNvPicPr>
      </xdr:nvPicPr>
      <xdr:blipFill>
        <a:blip xmlns:r="http://schemas.openxmlformats.org/officeDocument/2006/relationships" r:embed="rId7"/>
        <a:stretch>
          <a:fillRect/>
        </a:stretch>
      </xdr:blipFill>
      <xdr:spPr>
        <a:xfrm>
          <a:off x="8791575" y="13820775"/>
          <a:ext cx="3600000" cy="714965"/>
        </a:xfrm>
        <a:prstGeom prst="rect">
          <a:avLst/>
        </a:prstGeom>
      </xdr:spPr>
    </xdr:pic>
    <xdr:clientData/>
  </xdr:twoCellAnchor>
  <xdr:twoCellAnchor>
    <xdr:from>
      <xdr:col>0</xdr:col>
      <xdr:colOff>496955</xdr:colOff>
      <xdr:row>405</xdr:row>
      <xdr:rowOff>24848</xdr:rowOff>
    </xdr:from>
    <xdr:to>
      <xdr:col>7</xdr:col>
      <xdr:colOff>159337</xdr:colOff>
      <xdr:row>440</xdr:row>
      <xdr:rowOff>130190</xdr:rowOff>
    </xdr:to>
    <xdr:grpSp>
      <xdr:nvGrpSpPr>
        <xdr:cNvPr id="24" name="Group 23"/>
        <xdr:cNvGrpSpPr/>
      </xdr:nvGrpSpPr>
      <xdr:grpSpPr>
        <a:xfrm>
          <a:off x="496955" y="76726498"/>
          <a:ext cx="5517082" cy="6995092"/>
          <a:chOff x="690366" y="154427"/>
          <a:chExt cx="5244860" cy="7062734"/>
        </a:xfrm>
      </xdr:grpSpPr>
      <xdr:pic>
        <xdr:nvPicPr>
          <xdr:cNvPr id="25" name="Picture 24"/>
          <xdr:cNvPicPr>
            <a:picLocks noChangeAspect="1"/>
          </xdr:cNvPicPr>
        </xdr:nvPicPr>
        <xdr:blipFill rotWithShape="1">
          <a:blip xmlns:r="http://schemas.openxmlformats.org/officeDocument/2006/relationships" r:embed="rId8"/>
          <a:srcRect l="31336" t="30189" r="35249" b="20754"/>
          <a:stretch/>
        </xdr:blipFill>
        <xdr:spPr>
          <a:xfrm>
            <a:off x="1144776" y="154427"/>
            <a:ext cx="4347712" cy="3588589"/>
          </a:xfrm>
          <a:prstGeom prst="rect">
            <a:avLst/>
          </a:prstGeom>
          <a:ln>
            <a:solidFill>
              <a:schemeClr val="tx1"/>
            </a:solidFill>
          </a:ln>
        </xdr:spPr>
      </xdr:pic>
      <xdr:grpSp>
        <xdr:nvGrpSpPr>
          <xdr:cNvPr id="26" name="Group 25"/>
          <xdr:cNvGrpSpPr/>
        </xdr:nvGrpSpPr>
        <xdr:grpSpPr>
          <a:xfrm>
            <a:off x="690366" y="3904616"/>
            <a:ext cx="5244860" cy="3312545"/>
            <a:chOff x="586597" y="276044"/>
            <a:chExt cx="5244860" cy="3312545"/>
          </a:xfrm>
        </xdr:grpSpPr>
        <xdr:pic>
          <xdr:nvPicPr>
            <xdr:cNvPr id="27" name="Picture 26"/>
            <xdr:cNvPicPr>
              <a:picLocks noChangeAspect="1"/>
            </xdr:cNvPicPr>
          </xdr:nvPicPr>
          <xdr:blipFill rotWithShape="1">
            <a:blip xmlns:r="http://schemas.openxmlformats.org/officeDocument/2006/relationships" r:embed="rId9"/>
            <a:srcRect l="29636" t="39427" r="30054" b="15289"/>
            <a:stretch/>
          </xdr:blipFill>
          <xdr:spPr>
            <a:xfrm>
              <a:off x="586597" y="276044"/>
              <a:ext cx="5244860" cy="3312545"/>
            </a:xfrm>
            <a:prstGeom prst="rect">
              <a:avLst/>
            </a:prstGeom>
            <a:ln>
              <a:solidFill>
                <a:schemeClr val="tx1"/>
              </a:solidFill>
            </a:ln>
          </xdr:spPr>
        </xdr:pic>
        <xdr:sp macro="" textlink="">
          <xdr:nvSpPr>
            <xdr:cNvPr id="28" name="Rectangle 27"/>
            <xdr:cNvSpPr/>
          </xdr:nvSpPr>
          <xdr:spPr>
            <a:xfrm rot="1261846">
              <a:off x="2462830" y="1561337"/>
              <a:ext cx="758868" cy="66714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9" name="Freeform 28"/>
            <xdr:cNvSpPr/>
          </xdr:nvSpPr>
          <xdr:spPr>
            <a:xfrm>
              <a:off x="3314700" y="317500"/>
              <a:ext cx="320448" cy="3098800"/>
            </a:xfrm>
            <a:custGeom>
              <a:avLst/>
              <a:gdLst>
                <a:gd name="connsiteX0" fmla="*/ 177800 w 320448"/>
                <a:gd name="connsiteY0" fmla="*/ 0 h 3098800"/>
                <a:gd name="connsiteX1" fmla="*/ 152400 w 320448"/>
                <a:gd name="connsiteY1" fmla="*/ 501650 h 3098800"/>
                <a:gd name="connsiteX2" fmla="*/ 260350 w 320448"/>
                <a:gd name="connsiteY2" fmla="*/ 1403350 h 3098800"/>
                <a:gd name="connsiteX3" fmla="*/ 317500 w 320448"/>
                <a:gd name="connsiteY3" fmla="*/ 2089150 h 3098800"/>
                <a:gd name="connsiteX4" fmla="*/ 171450 w 320448"/>
                <a:gd name="connsiteY4" fmla="*/ 2800350 h 3098800"/>
                <a:gd name="connsiteX5" fmla="*/ 0 w 320448"/>
                <a:gd name="connsiteY5" fmla="*/ 3098800 h 3098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0448" h="3098800">
                  <a:moveTo>
                    <a:pt x="177800" y="0"/>
                  </a:moveTo>
                  <a:cubicBezTo>
                    <a:pt x="158221" y="133879"/>
                    <a:pt x="138642" y="267758"/>
                    <a:pt x="152400" y="501650"/>
                  </a:cubicBezTo>
                  <a:cubicBezTo>
                    <a:pt x="166158" y="735542"/>
                    <a:pt x="232833" y="1138767"/>
                    <a:pt x="260350" y="1403350"/>
                  </a:cubicBezTo>
                  <a:cubicBezTo>
                    <a:pt x="287867" y="1667933"/>
                    <a:pt x="332317" y="1856317"/>
                    <a:pt x="317500" y="2089150"/>
                  </a:cubicBezTo>
                  <a:cubicBezTo>
                    <a:pt x="302683" y="2321983"/>
                    <a:pt x="224367" y="2632075"/>
                    <a:pt x="171450" y="2800350"/>
                  </a:cubicBezTo>
                  <a:cubicBezTo>
                    <a:pt x="118533" y="2968625"/>
                    <a:pt x="59266" y="3033712"/>
                    <a:pt x="0" y="3098800"/>
                  </a:cubicBez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xnSp macro="">
          <xdr:nvCxnSpPr>
            <xdr:cNvPr id="30" name="Straight Connector 29"/>
            <xdr:cNvCxnSpPr/>
          </xdr:nvCxnSpPr>
          <xdr:spPr>
            <a:xfrm>
              <a:off x="3692000" y="2215188"/>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a:off x="3715322" y="378243"/>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a:off x="3556792" y="480197"/>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a:off x="3603476" y="742590"/>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a:off x="3525119" y="891636"/>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a:off x="3556792" y="1141561"/>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3588465" y="1398916"/>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xdr:cNvCxnSpPr/>
          </xdr:nvCxnSpPr>
          <xdr:spPr>
            <a:xfrm>
              <a:off x="3601132" y="1648841"/>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xdr:cNvCxnSpPr/>
          </xdr:nvCxnSpPr>
          <xdr:spPr>
            <a:xfrm>
              <a:off x="3663574" y="1943937"/>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xdr:cNvCxnSpPr/>
          </xdr:nvCxnSpPr>
          <xdr:spPr>
            <a:xfrm>
              <a:off x="3948996" y="301444"/>
              <a:ext cx="1762284" cy="54226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a:off x="3715322" y="2489197"/>
              <a:ext cx="2019300" cy="635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TextBox 24"/>
            <xdr:cNvSpPr txBox="1"/>
          </xdr:nvSpPr>
          <xdr:spPr>
            <a:xfrm>
              <a:off x="4003066" y="1361671"/>
              <a:ext cx="106978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CRZ Zone</a:t>
              </a:r>
              <a:endParaRPr lang="en-IN" b="1">
                <a:solidFill>
                  <a:srgbClr val="FFFF00"/>
                </a:solidFill>
              </a:endParaRPr>
            </a:p>
          </xdr:txBody>
        </xdr:sp>
        <xdr:sp macro="" textlink="">
          <xdr:nvSpPr>
            <xdr:cNvPr id="42" name="TextBox 26"/>
            <xdr:cNvSpPr txBox="1"/>
          </xdr:nvSpPr>
          <xdr:spPr>
            <a:xfrm>
              <a:off x="2566400" y="1781675"/>
              <a:ext cx="54252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Site</a:t>
              </a:r>
              <a:endParaRPr lang="en-IN" b="1">
                <a:solidFill>
                  <a:srgbClr val="FFFF00"/>
                </a:solidFill>
              </a:endParaRPr>
            </a:p>
          </xdr:txBody>
        </xdr:sp>
      </xdr:grpSp>
    </xdr:grpSp>
    <xdr:clientData/>
  </xdr:twoCellAnchor>
  <xdr:twoCellAnchor>
    <xdr:from>
      <xdr:col>1</xdr:col>
      <xdr:colOff>157370</xdr:colOff>
      <xdr:row>319</xdr:row>
      <xdr:rowOff>33131</xdr:rowOff>
    </xdr:from>
    <xdr:to>
      <xdr:col>6</xdr:col>
      <xdr:colOff>604630</xdr:colOff>
      <xdr:row>358</xdr:row>
      <xdr:rowOff>182218</xdr:rowOff>
    </xdr:to>
    <xdr:grpSp>
      <xdr:nvGrpSpPr>
        <xdr:cNvPr id="43" name="Group 42"/>
        <xdr:cNvGrpSpPr/>
      </xdr:nvGrpSpPr>
      <xdr:grpSpPr>
        <a:xfrm>
          <a:off x="957470" y="59805681"/>
          <a:ext cx="4733510" cy="7826237"/>
          <a:chOff x="1371239" y="189757"/>
          <a:chExt cx="3960000" cy="7072301"/>
        </a:xfrm>
      </xdr:grpSpPr>
      <xdr:pic>
        <xdr:nvPicPr>
          <xdr:cNvPr id="44" name="Picture 43"/>
          <xdr:cNvPicPr>
            <a:picLocks noChangeAspect="1"/>
          </xdr:cNvPicPr>
        </xdr:nvPicPr>
        <xdr:blipFill>
          <a:blip xmlns:r="http://schemas.openxmlformats.org/officeDocument/2006/relationships" r:embed="rId10"/>
          <a:stretch>
            <a:fillRect/>
          </a:stretch>
        </xdr:blipFill>
        <xdr:spPr>
          <a:xfrm>
            <a:off x="1551239" y="3898900"/>
            <a:ext cx="3600000" cy="3363158"/>
          </a:xfrm>
          <a:prstGeom prst="rect">
            <a:avLst/>
          </a:prstGeom>
          <a:ln>
            <a:solidFill>
              <a:schemeClr val="tx1"/>
            </a:solidFill>
          </a:ln>
        </xdr:spPr>
      </xdr:pic>
      <xdr:grpSp>
        <xdr:nvGrpSpPr>
          <xdr:cNvPr id="45" name="Group 44"/>
          <xdr:cNvGrpSpPr/>
        </xdr:nvGrpSpPr>
        <xdr:grpSpPr>
          <a:xfrm>
            <a:off x="1371239" y="189757"/>
            <a:ext cx="3960000" cy="3564000"/>
            <a:chOff x="1371239" y="189757"/>
            <a:chExt cx="3960000" cy="3564000"/>
          </a:xfrm>
        </xdr:grpSpPr>
        <xdr:pic>
          <xdr:nvPicPr>
            <xdr:cNvPr id="46" name="Picture 45"/>
            <xdr:cNvPicPr>
              <a:picLocks noChangeAspect="1"/>
            </xdr:cNvPicPr>
          </xdr:nvPicPr>
          <xdr:blipFill>
            <a:blip xmlns:r="http://schemas.openxmlformats.org/officeDocument/2006/relationships" r:embed="rId11"/>
            <a:stretch>
              <a:fillRect/>
            </a:stretch>
          </xdr:blipFill>
          <xdr:spPr>
            <a:xfrm>
              <a:off x="1371239" y="189757"/>
              <a:ext cx="3960000" cy="3564000"/>
            </a:xfrm>
            <a:prstGeom prst="rect">
              <a:avLst/>
            </a:prstGeom>
            <a:ln>
              <a:solidFill>
                <a:schemeClr val="tx1"/>
              </a:solidFill>
            </a:ln>
          </xdr:spPr>
        </xdr:pic>
        <xdr:sp macro="" textlink="">
          <xdr:nvSpPr>
            <xdr:cNvPr id="47" name="Rectangle 46"/>
            <xdr:cNvSpPr/>
          </xdr:nvSpPr>
          <xdr:spPr>
            <a:xfrm rot="1160885">
              <a:off x="3178143" y="2195705"/>
              <a:ext cx="1370982" cy="88929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8" name="Rectangle 47"/>
            <xdr:cNvSpPr/>
          </xdr:nvSpPr>
          <xdr:spPr>
            <a:xfrm rot="2769122">
              <a:off x="4029075" y="2395538"/>
              <a:ext cx="395288" cy="29051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9" name="Rectangle 48"/>
            <xdr:cNvSpPr/>
          </xdr:nvSpPr>
          <xdr:spPr>
            <a:xfrm rot="2769122">
              <a:off x="3962401" y="2783844"/>
              <a:ext cx="395288" cy="29051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0" name="TextBox 7"/>
            <xdr:cNvSpPr txBox="1"/>
          </xdr:nvSpPr>
          <xdr:spPr>
            <a:xfrm>
              <a:off x="3985045" y="1964159"/>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A</a:t>
              </a:r>
              <a:endParaRPr lang="en-IN" sz="1200" b="1">
                <a:solidFill>
                  <a:srgbClr val="FF0000"/>
                </a:solidFill>
              </a:endParaRPr>
            </a:p>
          </xdr:txBody>
        </xdr:sp>
        <xdr:sp macro="" textlink="">
          <xdr:nvSpPr>
            <xdr:cNvPr id="51" name="TextBox 8"/>
            <xdr:cNvSpPr txBox="1"/>
          </xdr:nvSpPr>
          <xdr:spPr>
            <a:xfrm>
              <a:off x="3323291" y="2690860"/>
              <a:ext cx="641522"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B</a:t>
              </a:r>
              <a:endParaRPr lang="en-IN" sz="1200" b="1">
                <a:solidFill>
                  <a:srgbClr val="FF0000"/>
                </a:solidFill>
              </a:endParaRPr>
            </a:p>
          </xdr:txBody>
        </xdr:sp>
        <xdr:cxnSp macro="">
          <xdr:nvCxnSpPr>
            <xdr:cNvPr id="52" name="Straight Arrow Connector 51"/>
            <xdr:cNvCxnSpPr/>
          </xdr:nvCxnSpPr>
          <xdr:spPr>
            <a:xfrm flipH="1">
              <a:off x="4226719" y="2219175"/>
              <a:ext cx="175000" cy="32161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8</xdr:col>
      <xdr:colOff>530088</xdr:colOff>
      <xdr:row>113</xdr:row>
      <xdr:rowOff>82825</xdr:rowOff>
    </xdr:from>
    <xdr:to>
      <xdr:col>12</xdr:col>
      <xdr:colOff>576848</xdr:colOff>
      <xdr:row>135</xdr:row>
      <xdr:rowOff>454570</xdr:rowOff>
    </xdr:to>
    <xdr:pic>
      <xdr:nvPicPr>
        <xdr:cNvPr id="53" name="Picture 52"/>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6849718" y="23050499"/>
          <a:ext cx="3600000" cy="1978571"/>
        </a:xfrm>
        <a:prstGeom prst="rect">
          <a:avLst/>
        </a:prstGeom>
      </xdr:spPr>
    </xdr:pic>
    <xdr:clientData/>
  </xdr:twoCellAnchor>
  <xdr:twoCellAnchor editAs="oneCell">
    <xdr:from>
      <xdr:col>10</xdr:col>
      <xdr:colOff>234950</xdr:colOff>
      <xdr:row>91</xdr:row>
      <xdr:rowOff>44450</xdr:rowOff>
    </xdr:from>
    <xdr:to>
      <xdr:col>13</xdr:col>
      <xdr:colOff>587650</xdr:colOff>
      <xdr:row>137</xdr:row>
      <xdr:rowOff>43126</xdr:rowOff>
    </xdr:to>
    <xdr:pic>
      <xdr:nvPicPr>
        <xdr:cNvPr id="54" name="Picture 53"/>
        <xdr:cNvPicPr>
          <a:picLocks noChangeAspect="1"/>
        </xdr:cNvPicPr>
      </xdr:nvPicPr>
      <xdr:blipFill>
        <a:blip xmlns:r="http://schemas.openxmlformats.org/officeDocument/2006/relationships" r:embed="rId13"/>
        <a:stretch>
          <a:fillRect/>
        </a:stretch>
      </xdr:blipFill>
      <xdr:spPr>
        <a:xfrm>
          <a:off x="8877300" y="23469600"/>
          <a:ext cx="2880000" cy="4938976"/>
        </a:xfrm>
        <a:prstGeom prst="rect">
          <a:avLst/>
        </a:prstGeom>
        <a:ln>
          <a:solidFill>
            <a:schemeClr val="tx1"/>
          </a:solidFill>
        </a:ln>
      </xdr:spPr>
    </xdr:pic>
    <xdr:clientData/>
  </xdr:twoCellAnchor>
  <xdr:twoCellAnchor>
    <xdr:from>
      <xdr:col>0</xdr:col>
      <xdr:colOff>412750</xdr:colOff>
      <xdr:row>280</xdr:row>
      <xdr:rowOff>146050</xdr:rowOff>
    </xdr:from>
    <xdr:to>
      <xdr:col>7</xdr:col>
      <xdr:colOff>312716</xdr:colOff>
      <xdr:row>314</xdr:row>
      <xdr:rowOff>77286</xdr:rowOff>
    </xdr:to>
    <xdr:grpSp>
      <xdr:nvGrpSpPr>
        <xdr:cNvPr id="6" name="Group 5"/>
        <xdr:cNvGrpSpPr/>
      </xdr:nvGrpSpPr>
      <xdr:grpSpPr>
        <a:xfrm>
          <a:off x="412750" y="52247800"/>
          <a:ext cx="5754666" cy="6617786"/>
          <a:chOff x="412750" y="52457350"/>
          <a:chExt cx="5754666" cy="6617786"/>
        </a:xfrm>
      </xdr:grpSpPr>
      <xdr:pic>
        <xdr:nvPicPr>
          <xdr:cNvPr id="59" name="Picture 5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940393" y="56915136"/>
            <a:ext cx="1618313"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5"/>
          <a:stretch>
            <a:fillRect/>
          </a:stretch>
        </xdr:blipFill>
        <xdr:spPr>
          <a:xfrm>
            <a:off x="412750" y="52457350"/>
            <a:ext cx="5754666" cy="432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901265" y="56915136"/>
            <a:ext cx="2877333" cy="2160000"/>
          </a:xfrm>
          <a:prstGeom prst="rect">
            <a:avLst/>
          </a:prstGeom>
          <a:ln>
            <a:solidFill>
              <a:schemeClr val="tx1"/>
            </a:solidFill>
          </a:ln>
        </xdr:spPr>
      </xdr:pic>
    </xdr:grpSp>
    <xdr:clientData/>
  </xdr:twoCellAnchor>
  <xdr:twoCellAnchor editAs="oneCell">
    <xdr:from>
      <xdr:col>0</xdr:col>
      <xdr:colOff>571500</xdr:colOff>
      <xdr:row>362</xdr:row>
      <xdr:rowOff>31750</xdr:rowOff>
    </xdr:from>
    <xdr:to>
      <xdr:col>7</xdr:col>
      <xdr:colOff>299229</xdr:colOff>
      <xdr:row>399</xdr:row>
      <xdr:rowOff>121679</xdr:rowOff>
    </xdr:to>
    <xdr:pic>
      <xdr:nvPicPr>
        <xdr:cNvPr id="81" name="Picture 80"/>
        <xdr:cNvPicPr>
          <a:picLocks noChangeAspect="1"/>
        </xdr:cNvPicPr>
      </xdr:nvPicPr>
      <xdr:blipFill>
        <a:blip xmlns:r="http://schemas.openxmlformats.org/officeDocument/2006/relationships" r:embed="rId17"/>
        <a:stretch>
          <a:fillRect/>
        </a:stretch>
      </xdr:blipFill>
      <xdr:spPr>
        <a:xfrm>
          <a:off x="571500" y="68478400"/>
          <a:ext cx="5582429" cy="7373379"/>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w2JhfM8WfSkK169M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04"/>
  <sheetViews>
    <sheetView tabSelected="1" view="pageBreakPreview" topLeftCell="A252" zoomScaleNormal="100" zoomScaleSheetLayoutView="100" zoomScalePageLayoutView="85" workbookViewId="0">
      <selection activeCell="A253" sqref="A253:XFD253"/>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221" t="s">
        <v>165</v>
      </c>
      <c r="B1" s="221"/>
      <c r="C1" s="221"/>
      <c r="D1" s="221"/>
      <c r="E1" s="221"/>
      <c r="F1" s="221"/>
      <c r="G1" s="221"/>
      <c r="H1" s="221"/>
    </row>
    <row r="2" spans="1:26" ht="16.5" customHeight="1" x14ac:dyDescent="0.35">
      <c r="A2" s="222" t="s">
        <v>0</v>
      </c>
      <c r="B2" s="222"/>
      <c r="C2" s="222"/>
      <c r="D2" s="222"/>
      <c r="E2" s="222"/>
      <c r="F2" s="222"/>
      <c r="G2" s="222"/>
      <c r="H2" s="222"/>
    </row>
    <row r="3" spans="1:26" x14ac:dyDescent="0.35">
      <c r="A3" s="181" t="s">
        <v>1</v>
      </c>
      <c r="B3" s="181"/>
      <c r="C3" s="181"/>
      <c r="D3" s="181"/>
      <c r="E3" s="181" t="str">
        <f ca="1">TEXT(TODAY(),"DD/MM/YYYY")</f>
        <v>19/08/2025</v>
      </c>
      <c r="F3" s="181"/>
      <c r="G3" s="181"/>
      <c r="H3" s="181"/>
      <c r="K3" s="52" t="s">
        <v>237</v>
      </c>
      <c r="L3" s="49" t="s">
        <v>235</v>
      </c>
      <c r="M3" s="49" t="s">
        <v>240</v>
      </c>
      <c r="N3" s="49" t="s">
        <v>238</v>
      </c>
      <c r="O3" s="49" t="s">
        <v>341</v>
      </c>
      <c r="P3" s="49" t="s">
        <v>241</v>
      </c>
    </row>
    <row r="4" spans="1:26" ht="15" customHeight="1" x14ac:dyDescent="0.35">
      <c r="A4" s="181" t="s">
        <v>234</v>
      </c>
      <c r="B4" s="181"/>
      <c r="C4" s="181"/>
      <c r="D4" s="181"/>
      <c r="E4" s="181" t="s">
        <v>235</v>
      </c>
      <c r="F4" s="181"/>
      <c r="G4" s="181"/>
      <c r="H4" s="181"/>
      <c r="K4" s="48" t="s">
        <v>236</v>
      </c>
      <c r="L4" s="49" t="s">
        <v>171</v>
      </c>
      <c r="M4" s="49" t="s">
        <v>245</v>
      </c>
      <c r="N4" s="49" t="s">
        <v>247</v>
      </c>
      <c r="O4" s="49" t="s">
        <v>342</v>
      </c>
      <c r="P4" s="49"/>
    </row>
    <row r="5" spans="1:26" ht="15" customHeight="1" x14ac:dyDescent="0.35">
      <c r="A5" s="181" t="s">
        <v>2</v>
      </c>
      <c r="B5" s="181"/>
      <c r="C5" s="181"/>
      <c r="D5" s="181"/>
      <c r="E5" s="181" t="s">
        <v>242</v>
      </c>
      <c r="F5" s="181"/>
      <c r="G5" s="181"/>
      <c r="H5" s="181"/>
      <c r="K5" s="48"/>
      <c r="L5" s="49" t="s">
        <v>242</v>
      </c>
      <c r="M5" s="49" t="s">
        <v>246</v>
      </c>
      <c r="N5" s="49" t="s">
        <v>248</v>
      </c>
      <c r="O5" s="49" t="s">
        <v>343</v>
      </c>
      <c r="P5" s="49"/>
    </row>
    <row r="6" spans="1:26" x14ac:dyDescent="0.35">
      <c r="A6" s="201" t="s">
        <v>3</v>
      </c>
      <c r="B6" s="201"/>
      <c r="C6" s="201"/>
      <c r="D6" s="201"/>
      <c r="E6" s="223">
        <v>45887</v>
      </c>
      <c r="F6" s="181"/>
      <c r="G6" s="181"/>
      <c r="H6" s="181"/>
      <c r="K6" s="48"/>
      <c r="L6" s="49" t="s">
        <v>243</v>
      </c>
      <c r="M6" s="49"/>
      <c r="N6" s="49"/>
      <c r="O6" s="49" t="s">
        <v>344</v>
      </c>
      <c r="P6" s="49"/>
    </row>
    <row r="7" spans="1:26" ht="16.5" customHeight="1" x14ac:dyDescent="0.35">
      <c r="A7" s="181" t="s">
        <v>4</v>
      </c>
      <c r="B7" s="181"/>
      <c r="C7" s="181"/>
      <c r="D7" s="181"/>
      <c r="E7" s="181" t="s">
        <v>349</v>
      </c>
      <c r="F7" s="181"/>
      <c r="G7" s="181"/>
      <c r="H7" s="181"/>
      <c r="K7" s="48"/>
      <c r="L7" s="49" t="s">
        <v>244</v>
      </c>
      <c r="M7" s="49"/>
      <c r="N7" s="49"/>
      <c r="O7" s="49" t="s">
        <v>344</v>
      </c>
      <c r="P7" s="49"/>
    </row>
    <row r="8" spans="1:26" ht="15" customHeight="1" x14ac:dyDescent="0.35">
      <c r="A8" s="181" t="s">
        <v>5</v>
      </c>
      <c r="B8" s="181"/>
      <c r="C8" s="181"/>
      <c r="D8" s="181"/>
      <c r="E8" s="181" t="str">
        <f>E7</f>
        <v>Kapstone Constructions Private Limited</v>
      </c>
      <c r="F8" s="181"/>
      <c r="G8" s="181"/>
      <c r="H8" s="181"/>
      <c r="K8" s="48"/>
      <c r="L8" s="49"/>
      <c r="M8" s="49"/>
      <c r="N8" s="49"/>
      <c r="O8" s="49" t="s">
        <v>345</v>
      </c>
      <c r="P8" s="49"/>
    </row>
    <row r="9" spans="1:26" x14ac:dyDescent="0.35">
      <c r="A9" s="181" t="s">
        <v>6</v>
      </c>
      <c r="B9" s="181"/>
      <c r="C9" s="181"/>
      <c r="D9" s="181"/>
      <c r="E9" s="160" t="s">
        <v>350</v>
      </c>
      <c r="F9" s="134"/>
      <c r="G9" s="134"/>
      <c r="H9" s="134"/>
      <c r="K9" s="48"/>
      <c r="L9" s="49"/>
      <c r="M9" s="49"/>
      <c r="N9" s="49"/>
      <c r="O9" s="49" t="s">
        <v>346</v>
      </c>
      <c r="P9" s="49"/>
    </row>
    <row r="10" spans="1:26" ht="31.5" customHeight="1" x14ac:dyDescent="0.35">
      <c r="A10" s="181" t="s">
        <v>168</v>
      </c>
      <c r="B10" s="181"/>
      <c r="C10" s="181"/>
      <c r="D10" s="181"/>
      <c r="E10" s="180" t="s">
        <v>403</v>
      </c>
      <c r="F10" s="180"/>
      <c r="G10" s="180"/>
      <c r="H10" s="180"/>
      <c r="K10" s="48"/>
      <c r="L10" s="49"/>
      <c r="M10" s="49"/>
      <c r="N10" s="49"/>
      <c r="O10" s="49" t="s">
        <v>347</v>
      </c>
      <c r="P10" s="49"/>
    </row>
    <row r="11" spans="1:26" x14ac:dyDescent="0.35">
      <c r="A11" s="201" t="s">
        <v>169</v>
      </c>
      <c r="B11" s="201"/>
      <c r="C11" s="201"/>
      <c r="D11" s="201"/>
      <c r="E11" s="181" t="s">
        <v>427</v>
      </c>
      <c r="F11" s="181"/>
      <c r="G11" s="181"/>
      <c r="H11" s="181"/>
      <c r="O11" s="49" t="s">
        <v>348</v>
      </c>
    </row>
    <row r="12" spans="1:26" x14ac:dyDescent="0.35">
      <c r="A12" s="181" t="s">
        <v>7</v>
      </c>
      <c r="B12" s="181"/>
      <c r="C12" s="181"/>
      <c r="D12" s="181"/>
      <c r="E12" s="181" t="s">
        <v>404</v>
      </c>
      <c r="F12" s="181"/>
      <c r="G12" s="181"/>
      <c r="H12" s="181"/>
    </row>
    <row r="13" spans="1:26" x14ac:dyDescent="0.35">
      <c r="A13" s="181" t="s">
        <v>172</v>
      </c>
      <c r="B13" s="181"/>
      <c r="C13" s="181"/>
      <c r="D13" s="181"/>
      <c r="E13" s="181" t="s">
        <v>28</v>
      </c>
      <c r="F13" s="181"/>
      <c r="G13" s="181"/>
      <c r="H13" s="181"/>
      <c r="S13" s="49" t="s">
        <v>180</v>
      </c>
      <c r="T13" s="49" t="s">
        <v>189</v>
      </c>
      <c r="U13" s="49" t="s">
        <v>173</v>
      </c>
      <c r="V13" s="49" t="s">
        <v>194</v>
      </c>
      <c r="W13" s="49" t="s">
        <v>212</v>
      </c>
      <c r="X13"/>
      <c r="Y13" t="s">
        <v>194</v>
      </c>
      <c r="Z13" t="e">
        <f ca="1">OFFSET($S$13,1,MATCH($G20,$S$13:$W$13,0)-1,15,1)</f>
        <v>#VALUE!</v>
      </c>
    </row>
    <row r="14" spans="1:26" ht="34.5" customHeight="1" x14ac:dyDescent="0.35">
      <c r="A14" s="220" t="s">
        <v>280</v>
      </c>
      <c r="B14" s="220"/>
      <c r="C14" s="220"/>
      <c r="D14" s="220"/>
      <c r="E14" s="180" t="s">
        <v>414</v>
      </c>
      <c r="F14" s="180"/>
      <c r="G14" s="180"/>
      <c r="H14" s="180"/>
      <c r="S14" s="49" t="s">
        <v>180</v>
      </c>
      <c r="T14" s="49" t="s">
        <v>187</v>
      </c>
      <c r="U14" s="49" t="s">
        <v>209</v>
      </c>
      <c r="V14" s="49" t="s">
        <v>195</v>
      </c>
      <c r="W14" s="49" t="s">
        <v>213</v>
      </c>
      <c r="X14"/>
      <c r="Y14"/>
      <c r="Z14"/>
    </row>
    <row r="15" spans="1:26" ht="32.25" customHeight="1" x14ac:dyDescent="0.35">
      <c r="A15" s="140" t="s">
        <v>8</v>
      </c>
      <c r="B15" s="140"/>
      <c r="C15" s="140"/>
      <c r="D15" s="140"/>
      <c r="E15" s="180" t="s">
        <v>351</v>
      </c>
      <c r="F15" s="181"/>
      <c r="G15" s="181"/>
      <c r="H15" s="181"/>
      <c r="I15" s="236" t="e">
        <f ca="1">OFFSET($D$5,1,MATCH($J13,$D$5:$H$5,0)-1,15,1)</f>
        <v>#N/A</v>
      </c>
      <c r="J15" s="237"/>
      <c r="K15" s="237"/>
      <c r="L15" s="237"/>
      <c r="M15" s="237"/>
      <c r="N15" s="237"/>
      <c r="O15" s="237"/>
      <c r="P15" s="237"/>
      <c r="S15" s="49" t="s">
        <v>181</v>
      </c>
      <c r="T15" s="49" t="s">
        <v>188</v>
      </c>
      <c r="U15" s="49" t="s">
        <v>210</v>
      </c>
      <c r="V15" s="49" t="s">
        <v>196</v>
      </c>
      <c r="W15" s="49" t="s">
        <v>226</v>
      </c>
      <c r="X15"/>
      <c r="Y15"/>
      <c r="Z15"/>
    </row>
    <row r="16" spans="1:26" ht="65.25" customHeight="1" x14ac:dyDescent="0.35">
      <c r="A16" s="179" t="s">
        <v>9</v>
      </c>
      <c r="B16" s="179"/>
      <c r="C16" s="179" t="str">
        <f>CONCATENATE((IF(OR(E9="",E9="NA"),"",E9)),", ",(IF(OR(A17="",A17="NA"),"",A17)),".",(IF(OR(C17="",C17="NA"),"",C17)),", near ",(IF(OR(C22="",C22="NA"),"",C22)),", ",(IF(OR(C19="",C19="NA"),"",C19)),", ",(IF(OR(C18="",C18="NA"),"",C18)),", ",(IF(OR(G19="",G19="NA"),"",G19)),", ",(IF(OR(C20="",C20="NA"),"",C20)),", ",(IF(OR(C21="",C21="NA"),"",C21)),", ",(IF(OR(G20="",G20="NA"),"",G20))," - ",(IF(OR(G21="",G21="NA"),"",G21)),".")</f>
        <v>Rustomjee Verdant Vistas, Survey No.12, 13, 14Pt, 15, 16Pt, 17Pt, 18Pt, 19Pt, 20, 21Pt, 30Pt, 35 to 38, 41, 42, 43, 44, 45Pt, 46Pt, 47Pt, 48, 49, 50, 51, 53Pt, 54, 55, 84Pt, 327, 328, 329, 345, 383, 386Pt, 423, 424 &amp; Others, near Lodha Crown, R G Road, Lakshmi Nagar, Majiwade, Thane West, Thane, Thane - 400601.</v>
      </c>
      <c r="D16" s="179"/>
      <c r="E16" s="179"/>
      <c r="F16" s="179"/>
      <c r="G16" s="179"/>
      <c r="H16" s="179"/>
      <c r="S16" s="49" t="s">
        <v>182</v>
      </c>
      <c r="T16" s="49" t="s">
        <v>190</v>
      </c>
      <c r="U16" s="49" t="s">
        <v>211</v>
      </c>
      <c r="V16" s="49" t="s">
        <v>197</v>
      </c>
      <c r="W16" s="49" t="s">
        <v>214</v>
      </c>
      <c r="X16"/>
      <c r="Y16"/>
      <c r="Z16"/>
    </row>
    <row r="17" spans="1:26" ht="48.75" customHeight="1" x14ac:dyDescent="0.35">
      <c r="A17" s="180" t="s">
        <v>352</v>
      </c>
      <c r="B17" s="180"/>
      <c r="C17" s="180" t="s">
        <v>353</v>
      </c>
      <c r="D17" s="180"/>
      <c r="E17" s="180"/>
      <c r="F17" s="180"/>
      <c r="G17" s="180"/>
      <c r="H17" s="180"/>
      <c r="S17" s="49" t="s">
        <v>183</v>
      </c>
      <c r="T17" s="49" t="s">
        <v>191</v>
      </c>
      <c r="U17" s="49" t="s">
        <v>173</v>
      </c>
      <c r="V17" s="49" t="s">
        <v>198</v>
      </c>
      <c r="W17" s="49" t="s">
        <v>215</v>
      </c>
      <c r="X17"/>
      <c r="Y17"/>
      <c r="Z17"/>
    </row>
    <row r="18" spans="1:26" ht="15.75" customHeight="1" x14ac:dyDescent="0.35">
      <c r="A18" s="180" t="s">
        <v>163</v>
      </c>
      <c r="B18" s="180"/>
      <c r="C18" s="180" t="s">
        <v>356</v>
      </c>
      <c r="D18" s="180"/>
      <c r="E18" s="180"/>
      <c r="F18" s="180"/>
      <c r="G18" s="180"/>
      <c r="H18" s="180"/>
      <c r="S18" s="49" t="s">
        <v>184</v>
      </c>
      <c r="T18" s="49" t="s">
        <v>189</v>
      </c>
      <c r="U18" s="49"/>
      <c r="V18" s="49" t="s">
        <v>199</v>
      </c>
      <c r="W18" s="49" t="s">
        <v>216</v>
      </c>
      <c r="X18"/>
      <c r="Y18"/>
      <c r="Z18"/>
    </row>
    <row r="19" spans="1:26" ht="15.75" customHeight="1" x14ac:dyDescent="0.35">
      <c r="A19" s="179" t="s">
        <v>10</v>
      </c>
      <c r="B19" s="179"/>
      <c r="C19" s="181" t="s">
        <v>355</v>
      </c>
      <c r="D19" s="181"/>
      <c r="E19" s="179" t="s">
        <v>70</v>
      </c>
      <c r="F19" s="179"/>
      <c r="G19" s="180" t="s">
        <v>354</v>
      </c>
      <c r="H19" s="180"/>
      <c r="S19" s="49" t="s">
        <v>185</v>
      </c>
      <c r="T19" s="49" t="s">
        <v>192</v>
      </c>
      <c r="U19" s="49"/>
      <c r="V19" s="49" t="s">
        <v>200</v>
      </c>
      <c r="W19" s="49" t="s">
        <v>217</v>
      </c>
      <c r="X19"/>
      <c r="Y19"/>
      <c r="Z19"/>
    </row>
    <row r="20" spans="1:26" x14ac:dyDescent="0.35">
      <c r="A20" s="140" t="s">
        <v>12</v>
      </c>
      <c r="B20" s="140"/>
      <c r="C20" s="180" t="s">
        <v>357</v>
      </c>
      <c r="D20" s="180"/>
      <c r="E20" s="180" t="s">
        <v>11</v>
      </c>
      <c r="F20" s="180"/>
      <c r="G20" s="219" t="s">
        <v>180</v>
      </c>
      <c r="H20" s="219"/>
      <c r="S20" s="49" t="s">
        <v>186</v>
      </c>
      <c r="T20" s="49" t="s">
        <v>193</v>
      </c>
      <c r="U20" s="49"/>
      <c r="V20" s="49" t="s">
        <v>201</v>
      </c>
      <c r="W20" s="49" t="s">
        <v>218</v>
      </c>
      <c r="X20"/>
      <c r="Y20"/>
      <c r="Z20"/>
    </row>
    <row r="21" spans="1:26" x14ac:dyDescent="0.35">
      <c r="A21" s="140" t="s">
        <v>71</v>
      </c>
      <c r="B21" s="140"/>
      <c r="C21" s="180" t="s">
        <v>180</v>
      </c>
      <c r="D21" s="180"/>
      <c r="E21" s="180" t="s">
        <v>13</v>
      </c>
      <c r="F21" s="180"/>
      <c r="G21" s="180">
        <v>400601</v>
      </c>
      <c r="H21" s="180"/>
      <c r="S21" s="49"/>
      <c r="T21" s="49"/>
      <c r="U21" s="49"/>
      <c r="V21" s="49" t="s">
        <v>202</v>
      </c>
      <c r="W21" s="49" t="s">
        <v>219</v>
      </c>
      <c r="X21"/>
      <c r="Y21"/>
      <c r="Z21"/>
    </row>
    <row r="22" spans="1:26" ht="32.25" customHeight="1" x14ac:dyDescent="0.35">
      <c r="A22" s="140" t="s">
        <v>119</v>
      </c>
      <c r="B22" s="140"/>
      <c r="C22" s="180" t="s">
        <v>358</v>
      </c>
      <c r="D22" s="180"/>
      <c r="E22" s="180" t="s">
        <v>14</v>
      </c>
      <c r="F22" s="180"/>
      <c r="G22" s="180" t="s">
        <v>405</v>
      </c>
      <c r="H22" s="180"/>
      <c r="S22" s="49"/>
      <c r="T22" s="49"/>
      <c r="U22" s="49"/>
      <c r="V22" s="49" t="s">
        <v>203</v>
      </c>
      <c r="W22" s="49" t="s">
        <v>220</v>
      </c>
      <c r="X22"/>
      <c r="Y22"/>
      <c r="Z22"/>
    </row>
    <row r="23" spans="1:26" ht="15" customHeight="1" x14ac:dyDescent="0.35">
      <c r="A23" s="179" t="s">
        <v>73</v>
      </c>
      <c r="B23" s="179"/>
      <c r="C23" s="179"/>
      <c r="D23" s="179"/>
      <c r="E23" s="181" t="s">
        <v>15</v>
      </c>
      <c r="F23" s="181"/>
      <c r="G23" s="181"/>
      <c r="H23" s="181"/>
      <c r="S23" s="49"/>
      <c r="T23" s="49"/>
      <c r="U23" s="49"/>
      <c r="V23" s="49" t="s">
        <v>204</v>
      </c>
      <c r="W23" s="49" t="s">
        <v>221</v>
      </c>
      <c r="X23"/>
      <c r="Y23"/>
      <c r="Z23"/>
    </row>
    <row r="24" spans="1:26" ht="18.75" customHeight="1" x14ac:dyDescent="0.35">
      <c r="A24" s="179"/>
      <c r="B24" s="179"/>
      <c r="C24" s="179"/>
      <c r="D24" s="179"/>
      <c r="E24" s="181"/>
      <c r="F24" s="181"/>
      <c r="G24" s="181"/>
      <c r="H24" s="181"/>
      <c r="S24" s="49"/>
      <c r="T24" s="49"/>
      <c r="U24" s="49"/>
      <c r="V24" s="49" t="s">
        <v>205</v>
      </c>
      <c r="W24" s="49" t="s">
        <v>222</v>
      </c>
      <c r="X24"/>
      <c r="Y24"/>
      <c r="Z24"/>
    </row>
    <row r="25" spans="1:26" ht="15" customHeight="1" x14ac:dyDescent="0.35">
      <c r="A25" s="179" t="s">
        <v>16</v>
      </c>
      <c r="B25" s="179"/>
      <c r="C25" s="179"/>
      <c r="D25" s="179"/>
      <c r="E25" s="180" t="s">
        <v>17</v>
      </c>
      <c r="F25" s="180"/>
      <c r="G25" s="180"/>
      <c r="H25" s="180"/>
      <c r="S25" s="49"/>
      <c r="T25" s="49"/>
      <c r="U25" s="49"/>
      <c r="V25" s="49" t="s">
        <v>206</v>
      </c>
      <c r="W25" s="49" t="s">
        <v>223</v>
      </c>
      <c r="X25"/>
      <c r="Y25"/>
      <c r="Z25"/>
    </row>
    <row r="26" spans="1:26" ht="15" customHeight="1" x14ac:dyDescent="0.35">
      <c r="A26" s="140" t="s">
        <v>18</v>
      </c>
      <c r="B26" s="140"/>
      <c r="C26" s="140"/>
      <c r="D26" s="140"/>
      <c r="E26" s="180" t="str">
        <f>IF(AND(G20="Mumbai"),"Upper Class","Middle Class")</f>
        <v>Middle Class</v>
      </c>
      <c r="F26" s="180"/>
      <c r="G26" s="180"/>
      <c r="H26" s="180"/>
      <c r="S26" s="49"/>
      <c r="T26" s="49"/>
      <c r="U26" s="49"/>
      <c r="V26" s="49" t="s">
        <v>207</v>
      </c>
      <c r="W26" s="49" t="s">
        <v>224</v>
      </c>
      <c r="X26"/>
      <c r="Y26"/>
      <c r="Z26"/>
    </row>
    <row r="27" spans="1:26" x14ac:dyDescent="0.35">
      <c r="A27" s="140" t="s">
        <v>19</v>
      </c>
      <c r="B27" s="140"/>
      <c r="C27" s="140"/>
      <c r="D27" s="140"/>
      <c r="E27" s="180" t="s">
        <v>20</v>
      </c>
      <c r="F27" s="180"/>
      <c r="G27" s="180"/>
      <c r="H27" s="180"/>
      <c r="S27" s="49"/>
      <c r="T27" s="49"/>
      <c r="U27" s="49"/>
      <c r="V27" s="49" t="s">
        <v>208</v>
      </c>
      <c r="W27" s="49" t="s">
        <v>225</v>
      </c>
      <c r="X27"/>
      <c r="Y27"/>
      <c r="Z27"/>
    </row>
    <row r="28" spans="1:26" ht="15.75" customHeight="1" x14ac:dyDescent="0.35">
      <c r="A28" s="140" t="s">
        <v>21</v>
      </c>
      <c r="B28" s="140"/>
      <c r="C28" s="140"/>
      <c r="D28" s="140"/>
      <c r="E28" s="180" t="str">
        <f>IF(AND(G20="Mumbai"),"Developed","Developing")</f>
        <v>Developing</v>
      </c>
      <c r="F28" s="180"/>
      <c r="G28" s="180"/>
      <c r="H28" s="180"/>
    </row>
    <row r="29" spans="1:26" x14ac:dyDescent="0.35">
      <c r="A29" s="140" t="s">
        <v>22</v>
      </c>
      <c r="B29" s="140"/>
      <c r="C29" s="140"/>
      <c r="D29" s="140"/>
      <c r="E29" s="180" t="s">
        <v>23</v>
      </c>
      <c r="F29" s="180"/>
      <c r="G29" s="180"/>
      <c r="H29" s="180"/>
    </row>
    <row r="30" spans="1:26" ht="15.75" customHeight="1" x14ac:dyDescent="0.35">
      <c r="A30" s="140" t="s">
        <v>78</v>
      </c>
      <c r="B30" s="140"/>
      <c r="C30" s="140"/>
      <c r="D30" s="140"/>
      <c r="E30" s="180" t="s">
        <v>79</v>
      </c>
      <c r="F30" s="180"/>
      <c r="G30" s="180"/>
      <c r="H30" s="180"/>
    </row>
    <row r="31" spans="1:26" ht="15" customHeight="1" x14ac:dyDescent="0.35">
      <c r="A31" s="140" t="s">
        <v>30</v>
      </c>
      <c r="B31" s="140"/>
      <c r="C31" s="140"/>
      <c r="D31" s="140"/>
      <c r="E31" s="18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80"/>
      <c r="G31" s="180"/>
      <c r="H31" s="180"/>
    </row>
    <row r="32" spans="1:26" ht="15.75" customHeight="1" x14ac:dyDescent="0.35">
      <c r="A32" s="140" t="s">
        <v>90</v>
      </c>
      <c r="B32" s="140"/>
      <c r="C32" s="140"/>
      <c r="D32" s="140"/>
      <c r="E32" s="180" t="s">
        <v>31</v>
      </c>
      <c r="F32" s="180"/>
      <c r="G32" s="180"/>
      <c r="H32" s="180"/>
    </row>
    <row r="33" spans="1:19" s="19" customFormat="1" x14ac:dyDescent="0.35">
      <c r="A33" s="217" t="s">
        <v>91</v>
      </c>
      <c r="B33" s="217"/>
      <c r="C33" s="212" t="s">
        <v>174</v>
      </c>
      <c r="D33" s="212"/>
      <c r="E33" s="212"/>
      <c r="F33" s="212" t="s">
        <v>29</v>
      </c>
      <c r="G33" s="212"/>
      <c r="H33" s="212"/>
      <c r="S33" s="19" t="e">
        <f ca="1">OFFSET($S$13,1,MATCH($G20,$S$13:$W$13,0)-1,15,1)</f>
        <v>#VALUE!</v>
      </c>
    </row>
    <row r="34" spans="1:19" s="19" customFormat="1" x14ac:dyDescent="0.35">
      <c r="A34" s="216" t="s">
        <v>24</v>
      </c>
      <c r="B34" s="216" t="s">
        <v>28</v>
      </c>
      <c r="C34" s="218" t="s">
        <v>408</v>
      </c>
      <c r="D34" s="218"/>
      <c r="E34" s="218"/>
      <c r="F34" s="218" t="s">
        <v>360</v>
      </c>
      <c r="G34" s="218"/>
      <c r="H34" s="218"/>
    </row>
    <row r="35" spans="1:19" x14ac:dyDescent="0.35">
      <c r="A35" s="216" t="s">
        <v>25</v>
      </c>
      <c r="B35" s="216" t="s">
        <v>28</v>
      </c>
      <c r="C35" s="218" t="s">
        <v>359</v>
      </c>
      <c r="D35" s="218"/>
      <c r="E35" s="218"/>
      <c r="F35" s="218" t="s">
        <v>361</v>
      </c>
      <c r="G35" s="218"/>
      <c r="H35" s="218"/>
    </row>
    <row r="36" spans="1:19" s="19" customFormat="1" x14ac:dyDescent="0.35">
      <c r="A36" s="216" t="s">
        <v>27</v>
      </c>
      <c r="B36" s="216" t="s">
        <v>28</v>
      </c>
      <c r="C36" s="213" t="s">
        <v>10</v>
      </c>
      <c r="D36" s="214"/>
      <c r="E36" s="215"/>
      <c r="F36" s="213" t="s">
        <v>360</v>
      </c>
      <c r="G36" s="214"/>
      <c r="H36" s="215"/>
    </row>
    <row r="37" spans="1:19" x14ac:dyDescent="0.35">
      <c r="A37" s="216" t="s">
        <v>26</v>
      </c>
      <c r="B37" s="216" t="s">
        <v>28</v>
      </c>
      <c r="C37" s="213" t="s">
        <v>419</v>
      </c>
      <c r="D37" s="214"/>
      <c r="E37" s="215"/>
      <c r="F37" s="213" t="s">
        <v>355</v>
      </c>
      <c r="G37" s="214"/>
      <c r="H37" s="215"/>
    </row>
    <row r="38" spans="1:19" x14ac:dyDescent="0.35">
      <c r="A38" s="140" t="s">
        <v>281</v>
      </c>
      <c r="B38" s="140"/>
      <c r="C38" s="140"/>
      <c r="D38" s="140"/>
      <c r="E38" s="140"/>
      <c r="F38" s="140"/>
      <c r="G38" s="140"/>
      <c r="H38" s="140"/>
    </row>
    <row r="39" spans="1:19" ht="15.75" customHeight="1" x14ac:dyDescent="0.35">
      <c r="A39" s="140" t="s">
        <v>166</v>
      </c>
      <c r="B39" s="140"/>
      <c r="C39" s="147" t="s">
        <v>412</v>
      </c>
      <c r="D39" s="147"/>
      <c r="E39" s="147"/>
      <c r="F39" s="147"/>
      <c r="G39" s="147"/>
      <c r="H39" s="147"/>
    </row>
    <row r="40" spans="1:19" x14ac:dyDescent="0.35">
      <c r="A40" s="140" t="s">
        <v>162</v>
      </c>
      <c r="B40" s="140"/>
      <c r="C40" s="182" t="s">
        <v>413</v>
      </c>
      <c r="D40" s="180"/>
      <c r="E40" s="180"/>
      <c r="F40" s="180"/>
      <c r="G40" s="180"/>
      <c r="H40" s="180"/>
    </row>
    <row r="41" spans="1:19" x14ac:dyDescent="0.35">
      <c r="A41" s="147" t="s">
        <v>32</v>
      </c>
      <c r="B41" s="147"/>
      <c r="C41" s="147"/>
      <c r="D41" s="147"/>
      <c r="E41" s="147"/>
      <c r="F41" s="147"/>
      <c r="G41" s="147"/>
      <c r="H41" s="147"/>
    </row>
    <row r="42" spans="1:19" x14ac:dyDescent="0.35">
      <c r="A42" s="140" t="s">
        <v>33</v>
      </c>
      <c r="B42" s="140"/>
      <c r="C42" s="140"/>
      <c r="D42" s="140"/>
      <c r="E42" s="199">
        <v>441616.81</v>
      </c>
      <c r="F42" s="199"/>
      <c r="G42" s="199"/>
      <c r="H42" s="199"/>
    </row>
    <row r="43" spans="1:19" x14ac:dyDescent="0.35">
      <c r="A43" s="140" t="s">
        <v>34</v>
      </c>
      <c r="B43" s="140"/>
      <c r="C43" s="140"/>
      <c r="D43" s="140"/>
      <c r="E43" s="197">
        <f>441626.81/E42</f>
        <v>1.0000226440655644</v>
      </c>
      <c r="F43" s="197"/>
      <c r="G43" s="197"/>
      <c r="H43" s="197"/>
    </row>
    <row r="44" spans="1:19" x14ac:dyDescent="0.35">
      <c r="A44" s="140" t="s">
        <v>35</v>
      </c>
      <c r="B44" s="140"/>
      <c r="C44" s="140"/>
      <c r="D44" s="140"/>
      <c r="E44" s="197">
        <f>E46/E42-E43</f>
        <v>0.21282369210537966</v>
      </c>
      <c r="F44" s="197"/>
      <c r="G44" s="197"/>
      <c r="H44" s="197"/>
    </row>
    <row r="45" spans="1:19" x14ac:dyDescent="0.35">
      <c r="A45" s="140" t="s">
        <v>36</v>
      </c>
      <c r="B45" s="140"/>
      <c r="C45" s="140"/>
      <c r="D45" s="140"/>
      <c r="E45" s="197">
        <f>E43+E44</f>
        <v>1.2128463361709441</v>
      </c>
      <c r="F45" s="197"/>
      <c r="G45" s="197"/>
      <c r="H45" s="197"/>
    </row>
    <row r="46" spans="1:19" x14ac:dyDescent="0.35">
      <c r="A46" s="140" t="s">
        <v>89</v>
      </c>
      <c r="B46" s="140"/>
      <c r="C46" s="140"/>
      <c r="D46" s="140"/>
      <c r="E46" s="198">
        <f>535613.33</f>
        <v>535613.32999999996</v>
      </c>
      <c r="F46" s="198"/>
      <c r="G46" s="198"/>
      <c r="H46" s="198"/>
    </row>
    <row r="47" spans="1:19" x14ac:dyDescent="0.35">
      <c r="A47" s="181" t="s">
        <v>37</v>
      </c>
      <c r="B47" s="181"/>
      <c r="C47" s="181"/>
      <c r="D47" s="181"/>
      <c r="E47" s="181" t="s">
        <v>362</v>
      </c>
      <c r="F47" s="181"/>
      <c r="G47" s="181"/>
      <c r="H47" s="181"/>
    </row>
    <row r="48" spans="1:19" x14ac:dyDescent="0.35">
      <c r="A48" s="147" t="s">
        <v>38</v>
      </c>
      <c r="B48" s="147"/>
      <c r="C48" s="147"/>
      <c r="D48" s="147"/>
      <c r="E48" s="147"/>
      <c r="F48" s="147"/>
      <c r="G48" s="147"/>
      <c r="H48" s="147"/>
    </row>
    <row r="49" spans="1:24" ht="33.75" customHeight="1" x14ac:dyDescent="0.35">
      <c r="A49" s="122" t="s">
        <v>151</v>
      </c>
      <c r="B49" s="124"/>
      <c r="C49" s="205" t="s">
        <v>261</v>
      </c>
      <c r="D49" s="206"/>
      <c r="E49" s="206"/>
      <c r="F49" s="206"/>
      <c r="G49" s="206"/>
      <c r="H49" s="207"/>
      <c r="R49" t="s">
        <v>254</v>
      </c>
      <c r="S49" s="53" t="s">
        <v>173</v>
      </c>
      <c r="T49" s="53" t="s">
        <v>180</v>
      </c>
      <c r="U49" s="53" t="s">
        <v>194</v>
      </c>
      <c r="V49" s="53" t="s">
        <v>189</v>
      </c>
    </row>
    <row r="50" spans="1:24" ht="32.25" customHeight="1" x14ac:dyDescent="0.35">
      <c r="A50" s="122" t="s">
        <v>39</v>
      </c>
      <c r="B50" s="124"/>
      <c r="C50" s="122" t="s">
        <v>363</v>
      </c>
      <c r="D50" s="123"/>
      <c r="E50" s="124"/>
      <c r="F50" s="17" t="s">
        <v>40</v>
      </c>
      <c r="G50" s="185">
        <v>45471</v>
      </c>
      <c r="H50" s="124"/>
      <c r="R50"/>
      <c r="S50" s="53" t="s">
        <v>255</v>
      </c>
      <c r="T50" s="53" t="s">
        <v>260</v>
      </c>
      <c r="U50" s="53" t="s">
        <v>271</v>
      </c>
      <c r="V50" s="53" t="s">
        <v>276</v>
      </c>
    </row>
    <row r="51" spans="1:24" ht="31.5" customHeight="1" x14ac:dyDescent="0.35">
      <c r="A51" s="122" t="s">
        <v>41</v>
      </c>
      <c r="B51" s="124"/>
      <c r="C51" s="122" t="str">
        <f>C50</f>
        <v>S05/0022/10/TMC/TD-DP/TPS/0141 /(P/C)/2024/Auto DCR</v>
      </c>
      <c r="D51" s="123"/>
      <c r="E51" s="124"/>
      <c r="F51" s="17" t="s">
        <v>40</v>
      </c>
      <c r="G51" s="185">
        <f>G50</f>
        <v>45471</v>
      </c>
      <c r="H51" s="186"/>
      <c r="R51"/>
      <c r="S51" s="53" t="s">
        <v>256</v>
      </c>
      <c r="T51" s="53" t="s">
        <v>261</v>
      </c>
      <c r="U51" s="53" t="s">
        <v>269</v>
      </c>
      <c r="V51" s="53" t="s">
        <v>277</v>
      </c>
    </row>
    <row r="52" spans="1:24" s="20" customFormat="1" ht="30.75" customHeight="1" x14ac:dyDescent="0.35">
      <c r="A52" s="187" t="s">
        <v>155</v>
      </c>
      <c r="B52" s="188"/>
      <c r="C52" s="122" t="str">
        <f>C51</f>
        <v>S05/0022/10/TMC/TD-DP/TPS/0141 /(P/C)/2024/Auto DCR</v>
      </c>
      <c r="D52" s="123"/>
      <c r="E52" s="124"/>
      <c r="F52" s="17" t="s">
        <v>40</v>
      </c>
      <c r="G52" s="185">
        <f>G51</f>
        <v>45471</v>
      </c>
      <c r="H52" s="186"/>
      <c r="R52"/>
      <c r="S52" s="53" t="s">
        <v>257</v>
      </c>
      <c r="T52" s="53" t="s">
        <v>262</v>
      </c>
      <c r="U52" s="53" t="s">
        <v>259</v>
      </c>
      <c r="V52" s="53" t="s">
        <v>278</v>
      </c>
    </row>
    <row r="53" spans="1:24" s="20" customFormat="1" ht="33.75" customHeight="1" x14ac:dyDescent="0.35">
      <c r="A53" s="189"/>
      <c r="B53" s="190"/>
      <c r="C53" s="122" t="s">
        <v>364</v>
      </c>
      <c r="D53" s="123"/>
      <c r="E53" s="123"/>
      <c r="F53" s="123"/>
      <c r="G53" s="123"/>
      <c r="H53" s="124"/>
      <c r="R53"/>
      <c r="S53" s="53" t="s">
        <v>258</v>
      </c>
      <c r="T53" s="53" t="s">
        <v>265</v>
      </c>
      <c r="U53" s="53" t="s">
        <v>272</v>
      </c>
      <c r="V53" s="71"/>
    </row>
    <row r="54" spans="1:24" s="20" customFormat="1" x14ac:dyDescent="0.35">
      <c r="A54" s="126" t="s">
        <v>282</v>
      </c>
      <c r="B54" s="209"/>
      <c r="C54" s="122" t="s">
        <v>392</v>
      </c>
      <c r="D54" s="123"/>
      <c r="E54" s="124"/>
      <c r="F54" s="17" t="s">
        <v>40</v>
      </c>
      <c r="G54" s="185">
        <v>45373</v>
      </c>
      <c r="H54" s="124"/>
      <c r="R54"/>
      <c r="S54" s="53" t="s">
        <v>257</v>
      </c>
      <c r="T54" s="53" t="s">
        <v>262</v>
      </c>
      <c r="U54" s="53" t="s">
        <v>259</v>
      </c>
      <c r="V54" s="53" t="s">
        <v>278</v>
      </c>
    </row>
    <row r="55" spans="1:24" s="20" customFormat="1" ht="32.25" customHeight="1" x14ac:dyDescent="0.35">
      <c r="A55" s="210"/>
      <c r="B55" s="211"/>
      <c r="C55" s="194" t="s">
        <v>393</v>
      </c>
      <c r="D55" s="195"/>
      <c r="E55" s="195"/>
      <c r="F55" s="195"/>
      <c r="G55" s="195"/>
      <c r="H55" s="196"/>
      <c r="R55"/>
      <c r="S55" s="53" t="s">
        <v>259</v>
      </c>
      <c r="T55" s="53" t="s">
        <v>263</v>
      </c>
      <c r="U55" s="53" t="s">
        <v>273</v>
      </c>
      <c r="V55" s="72"/>
      <c r="W55" s="18"/>
      <c r="X55" s="18"/>
    </row>
    <row r="56" spans="1:24" s="20" customFormat="1" ht="32.25" customHeight="1" x14ac:dyDescent="0.35">
      <c r="A56" s="126" t="s">
        <v>398</v>
      </c>
      <c r="B56" s="209"/>
      <c r="C56" s="122" t="s">
        <v>396</v>
      </c>
      <c r="D56" s="123"/>
      <c r="E56" s="124"/>
      <c r="F56" s="17" t="s">
        <v>40</v>
      </c>
      <c r="G56" s="185">
        <v>45275</v>
      </c>
      <c r="H56" s="124"/>
      <c r="R56"/>
      <c r="S56" s="72"/>
      <c r="T56" s="53" t="s">
        <v>264</v>
      </c>
      <c r="U56" s="53" t="s">
        <v>274</v>
      </c>
      <c r="V56" s="72"/>
      <c r="W56" s="18"/>
      <c r="X56" s="18"/>
    </row>
    <row r="57" spans="1:24" s="20" customFormat="1" ht="64.5" customHeight="1" x14ac:dyDescent="0.35">
      <c r="A57" s="210"/>
      <c r="B57" s="211"/>
      <c r="C57" s="122" t="s">
        <v>406</v>
      </c>
      <c r="D57" s="123"/>
      <c r="E57" s="123"/>
      <c r="F57" s="123"/>
      <c r="G57" s="123"/>
      <c r="H57" s="124"/>
      <c r="R57"/>
      <c r="S57" s="72"/>
      <c r="T57" s="53" t="s">
        <v>266</v>
      </c>
      <c r="U57" s="53" t="s">
        <v>275</v>
      </c>
      <c r="V57" s="72"/>
      <c r="W57" s="18"/>
      <c r="X57" s="18"/>
    </row>
    <row r="58" spans="1:24" s="20" customFormat="1" ht="15.75" customHeight="1" x14ac:dyDescent="0.35">
      <c r="A58" s="126" t="s">
        <v>420</v>
      </c>
      <c r="B58" s="209"/>
      <c r="C58" s="191" t="s">
        <v>394</v>
      </c>
      <c r="D58" s="192"/>
      <c r="E58" s="193"/>
      <c r="F58" s="87" t="s">
        <v>40</v>
      </c>
      <c r="G58" s="185">
        <v>45394</v>
      </c>
      <c r="H58" s="124"/>
      <c r="R58"/>
      <c r="S58" s="72"/>
      <c r="T58" s="53" t="s">
        <v>267</v>
      </c>
      <c r="U58" s="72" t="s">
        <v>296</v>
      </c>
      <c r="V58" s="72"/>
      <c r="W58" s="18"/>
      <c r="X58" s="18"/>
    </row>
    <row r="59" spans="1:24" s="20" customFormat="1" ht="33" customHeight="1" x14ac:dyDescent="0.35">
      <c r="A59" s="210"/>
      <c r="B59" s="211"/>
      <c r="C59" s="191" t="s">
        <v>421</v>
      </c>
      <c r="D59" s="192"/>
      <c r="E59" s="193"/>
      <c r="F59" s="87" t="s">
        <v>395</v>
      </c>
      <c r="G59" s="185">
        <v>48314</v>
      </c>
      <c r="H59" s="124"/>
      <c r="R59"/>
      <c r="S59" s="72"/>
      <c r="T59" s="53" t="s">
        <v>268</v>
      </c>
      <c r="U59" s="72"/>
      <c r="V59" s="72"/>
      <c r="W59" s="18"/>
      <c r="X59" s="18"/>
    </row>
    <row r="60" spans="1:24" x14ac:dyDescent="0.35">
      <c r="A60" s="238" t="s">
        <v>42</v>
      </c>
      <c r="B60" s="238"/>
      <c r="C60" s="238" t="s">
        <v>103</v>
      </c>
      <c r="D60" s="238"/>
      <c r="E60" s="238"/>
      <c r="F60" s="96" t="s">
        <v>40</v>
      </c>
      <c r="G60" s="239" t="s">
        <v>28</v>
      </c>
      <c r="H60" s="239"/>
      <c r="R60"/>
      <c r="S60" s="72"/>
      <c r="T60" s="53" t="s">
        <v>270</v>
      </c>
      <c r="U60" s="72"/>
      <c r="V60" s="72"/>
    </row>
    <row r="61" spans="1:24" x14ac:dyDescent="0.35">
      <c r="A61" s="178" t="s">
        <v>44</v>
      </c>
      <c r="B61" s="178"/>
      <c r="C61" s="178"/>
      <c r="D61" s="178"/>
      <c r="E61" s="178"/>
      <c r="F61" s="178"/>
      <c r="G61" s="178"/>
      <c r="H61" s="178"/>
      <c r="S61" s="72"/>
      <c r="T61" s="53" t="s">
        <v>279</v>
      </c>
      <c r="U61" s="72"/>
      <c r="V61" s="72"/>
    </row>
    <row r="62" spans="1:24" x14ac:dyDescent="0.35">
      <c r="A62" s="179" t="s">
        <v>88</v>
      </c>
      <c r="B62" s="179"/>
      <c r="C62" s="179"/>
      <c r="D62" s="140">
        <v>85492.4</v>
      </c>
      <c r="E62" s="140"/>
      <c r="F62" s="140"/>
      <c r="G62" s="140"/>
      <c r="H62" s="140"/>
      <c r="R62"/>
    </row>
    <row r="63" spans="1:24" x14ac:dyDescent="0.35">
      <c r="A63" s="180" t="s">
        <v>45</v>
      </c>
      <c r="B63" s="181"/>
      <c r="C63" s="181"/>
      <c r="D63" s="181" t="s">
        <v>388</v>
      </c>
      <c r="E63" s="181"/>
      <c r="F63" s="181"/>
      <c r="G63" s="181"/>
      <c r="H63" s="181"/>
      <c r="I63" s="21"/>
      <c r="R63"/>
    </row>
    <row r="64" spans="1:24" ht="32.25" customHeight="1" x14ac:dyDescent="0.35">
      <c r="A64" s="180" t="s">
        <v>46</v>
      </c>
      <c r="B64" s="180"/>
      <c r="C64" s="180"/>
      <c r="D64" s="180" t="s">
        <v>407</v>
      </c>
      <c r="E64" s="181"/>
      <c r="F64" s="181"/>
      <c r="G64" s="181"/>
      <c r="H64" s="181"/>
      <c r="R64"/>
    </row>
    <row r="65" spans="1:19" ht="15.75" customHeight="1" x14ac:dyDescent="0.35">
      <c r="A65" s="126" t="s">
        <v>86</v>
      </c>
      <c r="B65" s="127"/>
      <c r="C65" s="127"/>
      <c r="D65" s="130" t="s">
        <v>425</v>
      </c>
      <c r="E65" s="131"/>
      <c r="F65" s="131"/>
      <c r="G65" s="131"/>
      <c r="H65" s="132"/>
      <c r="R65"/>
    </row>
    <row r="66" spans="1:19" x14ac:dyDescent="0.35">
      <c r="A66" s="128"/>
      <c r="B66" s="129"/>
      <c r="C66" s="129"/>
      <c r="D66" s="130" t="s">
        <v>426</v>
      </c>
      <c r="E66" s="131"/>
      <c r="F66" s="131"/>
      <c r="G66" s="131"/>
      <c r="H66" s="132"/>
      <c r="R66"/>
    </row>
    <row r="67" spans="1:19" ht="31.5" customHeight="1" x14ac:dyDescent="0.35">
      <c r="A67" s="140" t="s">
        <v>43</v>
      </c>
      <c r="B67" s="140"/>
      <c r="C67" s="140"/>
      <c r="D67" s="208" t="s">
        <v>365</v>
      </c>
      <c r="E67" s="208"/>
      <c r="F67" s="208"/>
      <c r="G67" s="208"/>
      <c r="H67" s="208"/>
      <c r="J67" s="22"/>
      <c r="K67" s="21"/>
      <c r="N67" s="21"/>
      <c r="S67"/>
    </row>
    <row r="68" spans="1:19" ht="15.75" customHeight="1" x14ac:dyDescent="0.35">
      <c r="A68" s="140" t="s">
        <v>84</v>
      </c>
      <c r="B68" s="140"/>
      <c r="C68" s="140"/>
      <c r="D68" s="125" t="str">
        <f>(IF(G60="NA","60 Years After Completion",IF(G60&lt;&gt;"NA",""&amp;60-ROUNDDOWN((E3-G60)/360,0)&amp;" Years"," ")))</f>
        <v>60 Years After Completion</v>
      </c>
      <c r="E68" s="125"/>
      <c r="F68" s="125"/>
      <c r="G68" s="125"/>
      <c r="H68" s="125"/>
      <c r="N68" s="21"/>
      <c r="S68"/>
    </row>
    <row r="69" spans="1:19" ht="15.75" customHeight="1" x14ac:dyDescent="0.35">
      <c r="A69" s="140" t="s">
        <v>85</v>
      </c>
      <c r="B69" s="140"/>
      <c r="C69" s="140"/>
      <c r="D69" s="179" t="s">
        <v>23</v>
      </c>
      <c r="E69" s="179"/>
      <c r="F69" s="179"/>
      <c r="G69" s="179"/>
      <c r="H69" s="179"/>
      <c r="J69" s="23"/>
      <c r="K69" s="23"/>
      <c r="S69"/>
    </row>
    <row r="70" spans="1:19" ht="33" customHeight="1" x14ac:dyDescent="0.35">
      <c r="A70" s="201" t="s">
        <v>409</v>
      </c>
      <c r="B70" s="201"/>
      <c r="C70" s="201"/>
      <c r="D70" s="180" t="s">
        <v>389</v>
      </c>
      <c r="E70" s="180"/>
      <c r="F70" s="180"/>
      <c r="G70" s="180"/>
      <c r="H70" s="180"/>
      <c r="I70" s="83" t="s">
        <v>390</v>
      </c>
      <c r="S70"/>
    </row>
    <row r="71" spans="1:19" x14ac:dyDescent="0.35">
      <c r="A71" s="179" t="s">
        <v>147</v>
      </c>
      <c r="B71" s="179"/>
      <c r="C71" s="179"/>
      <c r="D71" s="179" t="s">
        <v>28</v>
      </c>
      <c r="E71" s="179"/>
      <c r="F71" s="179"/>
      <c r="G71" s="179"/>
      <c r="H71" s="179"/>
      <c r="I71" s="24"/>
      <c r="J71" s="24"/>
      <c r="K71" s="24"/>
      <c r="L71" s="24"/>
      <c r="M71" s="24"/>
      <c r="N71" s="24"/>
    </row>
    <row r="72" spans="1:19" ht="15.75" customHeight="1" x14ac:dyDescent="0.35">
      <c r="A72" s="204" t="s">
        <v>83</v>
      </c>
      <c r="B72" s="204"/>
      <c r="C72" s="204"/>
      <c r="D72" s="203" t="str">
        <f ca="1">(IF(G78&gt;95%,"Nothing",IF(G78&gt;0%,"Cement, Aggregate, Steel, etc",IF(G78=0%,"Work not yet Started"))))</f>
        <v>Cement, Aggregate, Steel, etc</v>
      </c>
      <c r="E72" s="203"/>
      <c r="F72" s="203"/>
      <c r="G72" s="203"/>
      <c r="H72" s="203"/>
      <c r="J72" s="23"/>
      <c r="S72"/>
    </row>
    <row r="73" spans="1:19" ht="33.75" customHeight="1" thickBot="1" x14ac:dyDescent="0.4">
      <c r="A73" s="202" t="s">
        <v>116</v>
      </c>
      <c r="B73" s="202"/>
      <c r="C73" s="202"/>
      <c r="D73" s="203" t="str">
        <f ca="1">(IF(D72="Nothing","Yes",IF(D72="Cement, Aggregate, Steel, etc","Under Construction",IF(D72="Work not yet Started","Work not yet Started"))))</f>
        <v>Under Construction</v>
      </c>
      <c r="E73" s="203"/>
      <c r="F73" s="203" t="str">
        <f ca="1">(IF(D72="Nothing","Yes",IF(D72="Cement, Aggregate, Steel, etc","Under Construction",IF(D72="Work not yet Started","Work not yet Started"))))</f>
        <v>Under Construction</v>
      </c>
      <c r="G73" s="203"/>
      <c r="H73" s="203"/>
      <c r="S73"/>
    </row>
    <row r="74" spans="1:19" ht="15.75" customHeight="1" x14ac:dyDescent="0.35">
      <c r="A74" s="135" t="s">
        <v>137</v>
      </c>
      <c r="B74" s="136"/>
      <c r="C74" s="137" t="str">
        <f>D65</f>
        <v>Wing A = 4B + G + 1st to 54th Floor</v>
      </c>
      <c r="D74" s="138"/>
      <c r="E74" s="138"/>
      <c r="F74" s="138"/>
      <c r="G74" s="138"/>
      <c r="H74" s="139"/>
      <c r="I74" s="41" t="str">
        <f ca="1">IF(D87=100%,"All work Completed. Possession granted to the Building.",IF(D86=100%,"All work Completed, Waiting for OC",I75&amp;""&amp;I76&amp;""&amp;J75&amp;""&amp;J74&amp;" "&amp;J76))</f>
        <v xml:space="preserve">Excavation work in process </v>
      </c>
      <c r="J74" s="42"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35">
      <c r="A75" s="15" t="s">
        <v>139</v>
      </c>
      <c r="B75" s="45">
        <f>IF(AND(ISNUMBER(SEARCH("1B",C74))),1,IF(AND(ISNUMBER(SEARCH("2B",C74))),2,IF(AND(ISNUMBER(SEARCH("3B",C74))),3,IF(AND(ISNUMBER(SEARCH("4B",C74))),4,IF(ISNUMBER(SEARCH("5B",C74)),5,0)))))</f>
        <v>4</v>
      </c>
      <c r="C75" s="46" t="s">
        <v>69</v>
      </c>
      <c r="D75" s="46">
        <v>1</v>
      </c>
      <c r="E75" s="46" t="s">
        <v>68</v>
      </c>
      <c r="F75" s="46">
        <v>0</v>
      </c>
      <c r="G75" s="46" t="s">
        <v>77</v>
      </c>
      <c r="H75" s="16">
        <f ca="1">--TRIM(RIGHT(SUBSTITUTE(LEFT(C74,_xlfn.AGGREGATE(16,6,FIND({0,1,2,3,4,5,6,7,8,9},C74,ROW(INDIRECT("1:"&amp;LEN(C74)))),1))," ",REPT(" ",LEN(C74))),LEN(C74)))</f>
        <v>54</v>
      </c>
      <c r="I75" s="43" t="str">
        <f ca="1">IF(D78=100%,"Excavation","")&amp;IF(D79=100%,", Plinth","")&amp;IF(D80=100%,", RCC Slab","")&amp;IF(D81=100%,", Brickwork","")&amp;IF(D82=100%,", Internal Plaster","")&amp;IF(D83=100%,", External Plaster","")&amp;IF(D84=100%,", Flooring","")&amp;IF(D85=100%,", Painting","")&amp;IF(D86=100%,", Building common Amenities","")</f>
        <v/>
      </c>
      <c r="J75" s="44"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Excavation work in process</v>
      </c>
      <c r="S75"/>
    </row>
    <row r="76" spans="1:19" x14ac:dyDescent="0.35">
      <c r="A76" s="133" t="s">
        <v>87</v>
      </c>
      <c r="B76" s="134"/>
      <c r="C76" s="160" t="str">
        <f ca="1">I74</f>
        <v xml:space="preserve">Excavation work in process </v>
      </c>
      <c r="D76" s="160"/>
      <c r="E76" s="160"/>
      <c r="F76" s="160"/>
      <c r="G76" s="160"/>
      <c r="H76" s="200"/>
      <c r="I76" s="43" t="str">
        <f ca="1">IF(I75&lt;&gt;""," Completed","")</f>
        <v/>
      </c>
      <c r="J76" s="44" t="str">
        <f ca="1">IF(J74&lt;&gt;"","Completed","")</f>
        <v/>
      </c>
      <c r="S76"/>
    </row>
    <row r="77" spans="1:19" ht="15.75" customHeight="1" x14ac:dyDescent="0.35">
      <c r="A77" s="152" t="s">
        <v>47</v>
      </c>
      <c r="B77" s="153"/>
      <c r="C77" s="88" t="s">
        <v>136</v>
      </c>
      <c r="D77" s="88" t="s">
        <v>80</v>
      </c>
      <c r="E77" s="142" t="s">
        <v>82</v>
      </c>
      <c r="F77" s="142"/>
      <c r="G77" s="142" t="s">
        <v>81</v>
      </c>
      <c r="H77" s="241"/>
      <c r="I77" s="13" t="s">
        <v>138</v>
      </c>
      <c r="J77" s="25">
        <f ca="1">H75*25%</f>
        <v>13.5</v>
      </c>
      <c r="S77"/>
    </row>
    <row r="78" spans="1:19" x14ac:dyDescent="0.35">
      <c r="A78" s="152" t="s">
        <v>125</v>
      </c>
      <c r="B78" s="153"/>
      <c r="C78" s="88">
        <f ca="1">J78</f>
        <v>27</v>
      </c>
      <c r="D78" s="89">
        <f ca="1">((100/H75)*C78)/100</f>
        <v>0.5</v>
      </c>
      <c r="E78" s="154">
        <f ca="1">(((C79/H75*10)+(40/(D75+F75+H75)*C80)+(7.5/(H75)*C81)+(7.5/(H75)*C82)+(10/H75*C83)+(10/H75*C84)+(5/H75*C85)+(5/H75*C86)+(5/H75*C87))/100)</f>
        <v>0</v>
      </c>
      <c r="F78" s="155"/>
      <c r="G78" s="154">
        <f ca="1">((((C78/H75)*20)+((C79/H75)*25)+(30/(H75+F75+D75)*C80)+(5/H75*C81)+(5/H75*C82)+(5/H75*C83)+(5/H75*C84)+(0/H75*C85)+(0/H75*C86)+(5/H75*C87))/100)</f>
        <v>0.1</v>
      </c>
      <c r="H78" s="158"/>
      <c r="I78" s="13" t="s">
        <v>98</v>
      </c>
      <c r="J78" s="26">
        <f ca="1">H75*50%</f>
        <v>27</v>
      </c>
    </row>
    <row r="79" spans="1:19" x14ac:dyDescent="0.35">
      <c r="A79" s="152" t="s">
        <v>48</v>
      </c>
      <c r="B79" s="153"/>
      <c r="C79" s="88">
        <v>0</v>
      </c>
      <c r="D79" s="89">
        <f ca="1">((100/H75)*C79)/100</f>
        <v>0</v>
      </c>
      <c r="E79" s="156"/>
      <c r="F79" s="157"/>
      <c r="G79" s="156"/>
      <c r="H79" s="159"/>
      <c r="I79" s="13" t="s">
        <v>99</v>
      </c>
      <c r="J79" s="26">
        <f ca="1">H75</f>
        <v>54</v>
      </c>
      <c r="S79"/>
    </row>
    <row r="80" spans="1:19" ht="15.75" customHeight="1" x14ac:dyDescent="0.35">
      <c r="A80" s="152" t="s">
        <v>126</v>
      </c>
      <c r="B80" s="153"/>
      <c r="C80" s="88">
        <v>0</v>
      </c>
      <c r="D80" s="89">
        <f ca="1">((100/(D75+F75+H75))*C80)/100</f>
        <v>0</v>
      </c>
      <c r="E80" s="156"/>
      <c r="F80" s="157"/>
      <c r="G80" s="156"/>
      <c r="H80" s="159"/>
      <c r="I80" s="13" t="s">
        <v>100</v>
      </c>
      <c r="J80" s="27">
        <f ca="1">(IF(B75&gt;1,(H75/(B75+2)),H75/4))</f>
        <v>9</v>
      </c>
      <c r="S80"/>
    </row>
    <row r="81" spans="1:19" ht="15.75" customHeight="1" x14ac:dyDescent="0.35">
      <c r="A81" s="152" t="s">
        <v>133</v>
      </c>
      <c r="B81" s="153" t="s">
        <v>127</v>
      </c>
      <c r="C81" s="88">
        <v>0</v>
      </c>
      <c r="D81" s="89">
        <f ca="1">((100/H75)*C81)/100</f>
        <v>0</v>
      </c>
      <c r="E81" s="156"/>
      <c r="F81" s="157"/>
      <c r="G81" s="156"/>
      <c r="H81" s="159"/>
      <c r="I81" s="13" t="s">
        <v>101</v>
      </c>
      <c r="J81" s="27">
        <f ca="1">(IF(B75&gt;1,(H75/(B75+2)+J80),H75/4+J80))</f>
        <v>18</v>
      </c>
    </row>
    <row r="82" spans="1:19" ht="15.75" customHeight="1" x14ac:dyDescent="0.35">
      <c r="A82" s="152" t="s">
        <v>134</v>
      </c>
      <c r="B82" s="153" t="s">
        <v>127</v>
      </c>
      <c r="C82" s="88">
        <v>0</v>
      </c>
      <c r="D82" s="89">
        <f ca="1">((100/H75)*C82)/100</f>
        <v>0</v>
      </c>
      <c r="E82" s="156"/>
      <c r="F82" s="157"/>
      <c r="G82" s="156"/>
      <c r="H82" s="159"/>
      <c r="I82" s="13" t="s">
        <v>145</v>
      </c>
      <c r="J82" s="27">
        <f ca="1">(IF(B75&gt;1,(H75/(B75+2)+J81),0))</f>
        <v>27</v>
      </c>
    </row>
    <row r="83" spans="1:19" ht="15" customHeight="1" x14ac:dyDescent="0.35">
      <c r="A83" s="152" t="s">
        <v>132</v>
      </c>
      <c r="B83" s="153" t="s">
        <v>129</v>
      </c>
      <c r="C83" s="88">
        <v>0</v>
      </c>
      <c r="D83" s="89">
        <f ca="1">((100/(H75))*C83)/100</f>
        <v>0</v>
      </c>
      <c r="E83" s="156"/>
      <c r="F83" s="157"/>
      <c r="G83" s="156"/>
      <c r="H83" s="159"/>
      <c r="I83" s="13" t="s">
        <v>140</v>
      </c>
      <c r="J83" s="27">
        <f ca="1">(IF(B75&gt;2,(H75/(B75+2)+J82),0))</f>
        <v>36</v>
      </c>
    </row>
    <row r="84" spans="1:19" ht="15.75" customHeight="1" x14ac:dyDescent="0.35">
      <c r="A84" s="152" t="s">
        <v>128</v>
      </c>
      <c r="B84" s="153" t="s">
        <v>128</v>
      </c>
      <c r="C84" s="88">
        <v>0</v>
      </c>
      <c r="D84" s="89">
        <f ca="1">((100/H75)*C84)/100</f>
        <v>0</v>
      </c>
      <c r="E84" s="156"/>
      <c r="F84" s="157"/>
      <c r="G84" s="156"/>
      <c r="H84" s="159"/>
      <c r="I84" s="13" t="s">
        <v>141</v>
      </c>
      <c r="J84" s="28">
        <f ca="1">(IF(B75&gt;3,(H75/(B75+2)+J83),0))</f>
        <v>45</v>
      </c>
    </row>
    <row r="85" spans="1:19" ht="15.75" customHeight="1" x14ac:dyDescent="0.35">
      <c r="A85" s="152" t="s">
        <v>135</v>
      </c>
      <c r="B85" s="153"/>
      <c r="C85" s="88">
        <v>0</v>
      </c>
      <c r="D85" s="89">
        <f ca="1">((100/H75)*C85)/100</f>
        <v>0</v>
      </c>
      <c r="E85" s="156"/>
      <c r="F85" s="157"/>
      <c r="G85" s="156"/>
      <c r="H85" s="159"/>
      <c r="I85" s="13" t="s">
        <v>142</v>
      </c>
      <c r="J85" s="27">
        <f>(IF(B75&gt;4,(H75/(B75+2)+J84),0))</f>
        <v>0</v>
      </c>
    </row>
    <row r="86" spans="1:19" ht="15.75" customHeight="1" x14ac:dyDescent="0.35">
      <c r="A86" s="152" t="s">
        <v>130</v>
      </c>
      <c r="B86" s="153" t="s">
        <v>130</v>
      </c>
      <c r="C86" s="88">
        <v>0</v>
      </c>
      <c r="D86" s="89">
        <f ca="1">((100/(H75))*C86)/100</f>
        <v>0</v>
      </c>
      <c r="E86" s="156"/>
      <c r="F86" s="157"/>
      <c r="G86" s="156"/>
      <c r="H86" s="159"/>
      <c r="I86" s="13" t="s">
        <v>146</v>
      </c>
      <c r="J86" s="27">
        <f>(IF(B75=1,(H75/(B75+3)+J81),IF(B75=0,(H75/4+J81),IF(B75&gt;1,0))))</f>
        <v>0</v>
      </c>
    </row>
    <row r="87" spans="1:19" ht="16" thickBot="1" x14ac:dyDescent="0.4">
      <c r="A87" s="242" t="s">
        <v>131</v>
      </c>
      <c r="B87" s="243"/>
      <c r="C87" s="103">
        <v>0</v>
      </c>
      <c r="D87" s="104">
        <f ca="1">((100/(H75))*C87)/100</f>
        <v>0</v>
      </c>
      <c r="E87" s="156"/>
      <c r="F87" s="157"/>
      <c r="G87" s="156"/>
      <c r="H87" s="159"/>
      <c r="I87" s="14" t="s">
        <v>102</v>
      </c>
      <c r="J87" s="29">
        <f ca="1">(IF(B75&gt;1.5,(H75/(B75+2)+J81+MAX(0,J82-J81)+MAX(0,J83-J82)+MAX(0,J84-J83)+MAX(0,J85-J84)+MAX(0,J86-J85)),IF(B75=1,(H75/(B75+3)+J86),IF(B75=0,H75/4+J86))))</f>
        <v>54</v>
      </c>
    </row>
    <row r="88" spans="1:19" ht="15.75" customHeight="1" x14ac:dyDescent="0.35">
      <c r="A88" s="160" t="s">
        <v>137</v>
      </c>
      <c r="B88" s="160"/>
      <c r="C88" s="160" t="str">
        <f>D66</f>
        <v>Wing B = 4B + G + 1st to 54th Floor</v>
      </c>
      <c r="D88" s="160"/>
      <c r="E88" s="160"/>
      <c r="F88" s="160"/>
      <c r="G88" s="160"/>
      <c r="H88" s="160"/>
      <c r="I88" s="101" t="str">
        <f ca="1">IF(D101=100%,"All work Completed. Possession granted to the Building.",IF(D100=100%,"All work Completed, Waiting for OC",I89&amp;""&amp;I90&amp;""&amp;J89&amp;""&amp;J88&amp;" "&amp;J90))</f>
        <v xml:space="preserve">Excavation work in process </v>
      </c>
      <c r="J88" s="42"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x14ac:dyDescent="0.35">
      <c r="A89" s="100" t="s">
        <v>139</v>
      </c>
      <c r="B89" s="100">
        <f>IF(AND(ISNUMBER(SEARCH("1B",C88))),1,IF(AND(ISNUMBER(SEARCH("2B",C88))),2,IF(AND(ISNUMBER(SEARCH("3B",C88))),3,IF(AND(ISNUMBER(SEARCH("4B",C88))),4,IF(ISNUMBER(SEARCH("5B",C88)),5,0)))))</f>
        <v>4</v>
      </c>
      <c r="C89" s="100" t="s">
        <v>69</v>
      </c>
      <c r="D89" s="100">
        <v>1</v>
      </c>
      <c r="E89" s="100" t="s">
        <v>68</v>
      </c>
      <c r="F89" s="100">
        <v>0</v>
      </c>
      <c r="G89" s="100" t="s">
        <v>77</v>
      </c>
      <c r="H89" s="100">
        <f ca="1">--TRIM(RIGHT(SUBSTITUTE(LEFT(C88,_xlfn.AGGREGATE(16,6,FIND({0,1,2,3,4,5,6,7,8,9},C88,ROW(INDIRECT("1:"&amp;LEN(C88)))),1))," ",REPT(" ",LEN(C88))),LEN(C88)))</f>
        <v>54</v>
      </c>
      <c r="I89" s="102" t="str">
        <f ca="1">IF(D92=100%,"Excavation","")&amp;IF(D93=100%,", Plinth","")&amp;IF(D94=100%,", RCC Slab","")&amp;IF(D95=100%,", Brickwork","")&amp;IF(D96=100%,", Internal Plaster","")&amp;IF(D97=100%,", External Plaster","")&amp;IF(D98=100%,", Flooring","")&amp;IF(D99=100%,", Painting","")&amp;IF(D100=100%,", Building common Amenities","")</f>
        <v/>
      </c>
      <c r="J89" s="44"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Excavation work in process</v>
      </c>
      <c r="S89"/>
    </row>
    <row r="90" spans="1:19" x14ac:dyDescent="0.35">
      <c r="A90" s="134" t="s">
        <v>87</v>
      </c>
      <c r="B90" s="134"/>
      <c r="C90" s="160" t="str">
        <f ca="1">I88</f>
        <v xml:space="preserve">Excavation work in process </v>
      </c>
      <c r="D90" s="160"/>
      <c r="E90" s="160"/>
      <c r="F90" s="160"/>
      <c r="G90" s="160"/>
      <c r="H90" s="160"/>
      <c r="I90" s="102" t="str">
        <f ca="1">IF(I89&lt;&gt;""," Completed","")</f>
        <v/>
      </c>
      <c r="J90" s="44" t="str">
        <f ca="1">IF(J88&lt;&gt;"","Completed","")</f>
        <v/>
      </c>
      <c r="K90" s="19" t="s">
        <v>422</v>
      </c>
      <c r="S90"/>
    </row>
    <row r="91" spans="1:19" ht="15.75" customHeight="1" x14ac:dyDescent="0.35">
      <c r="A91" s="142" t="s">
        <v>47</v>
      </c>
      <c r="B91" s="142"/>
      <c r="C91" s="97" t="s">
        <v>136</v>
      </c>
      <c r="D91" s="97" t="s">
        <v>80</v>
      </c>
      <c r="E91" s="142" t="s">
        <v>82</v>
      </c>
      <c r="F91" s="142"/>
      <c r="G91" s="142" t="s">
        <v>81</v>
      </c>
      <c r="H91" s="142"/>
      <c r="I91" s="13" t="s">
        <v>138</v>
      </c>
      <c r="J91" s="25">
        <f ca="1">H89*25%</f>
        <v>13.5</v>
      </c>
      <c r="K91" s="19" t="s">
        <v>423</v>
      </c>
      <c r="S91"/>
    </row>
    <row r="92" spans="1:19" x14ac:dyDescent="0.35">
      <c r="A92" s="142" t="s">
        <v>125</v>
      </c>
      <c r="B92" s="142"/>
      <c r="C92" s="97">
        <f ca="1">J92</f>
        <v>27</v>
      </c>
      <c r="D92" s="89">
        <f ca="1">((100/H89)*C92)/100</f>
        <v>0.5</v>
      </c>
      <c r="E92" s="151">
        <f ca="1">(((C93/H89*10)+(40/(D89+F89+H89)*C94)+(7.5/(H89)*C95)+(7.5/(H89)*C96)+(10/H89*C97)+(10/H89*C98)+(5/H89*C99)+(5/H89*C100)+(5/H89*C101))/100)</f>
        <v>0</v>
      </c>
      <c r="F92" s="151"/>
      <c r="G92" s="151">
        <f ca="1">((((C92/H89)*20)+((C93/H89)*25)+(30/(H89+F89+D89)*C94)+(5/H89*C95)+(5/H89*C96)+(5/H89*C97)+(5/H89*C98)+(0/H89*C99)+(0/H89*C100)+(5/H89*C101))/100)</f>
        <v>0.1</v>
      </c>
      <c r="H92" s="151"/>
      <c r="I92" s="13" t="s">
        <v>98</v>
      </c>
      <c r="J92" s="26">
        <f ca="1">H89*50%</f>
        <v>27</v>
      </c>
    </row>
    <row r="93" spans="1:19" x14ac:dyDescent="0.35">
      <c r="A93" s="142" t="s">
        <v>48</v>
      </c>
      <c r="B93" s="142"/>
      <c r="C93" s="97">
        <v>0</v>
      </c>
      <c r="D93" s="89">
        <f ca="1">((100/H89)*C93)/100</f>
        <v>0</v>
      </c>
      <c r="E93" s="151"/>
      <c r="F93" s="151"/>
      <c r="G93" s="151"/>
      <c r="H93" s="151"/>
      <c r="I93" s="13" t="s">
        <v>99</v>
      </c>
      <c r="J93" s="26">
        <f ca="1">H89</f>
        <v>54</v>
      </c>
      <c r="S93"/>
    </row>
    <row r="94" spans="1:19" ht="15.75" customHeight="1" x14ac:dyDescent="0.35">
      <c r="A94" s="142" t="s">
        <v>126</v>
      </c>
      <c r="B94" s="142"/>
      <c r="C94" s="97">
        <v>0</v>
      </c>
      <c r="D94" s="89">
        <f ca="1">((100/(D89+F89+H89))*C94)/100</f>
        <v>0</v>
      </c>
      <c r="E94" s="151"/>
      <c r="F94" s="151"/>
      <c r="G94" s="151"/>
      <c r="H94" s="151"/>
      <c r="I94" s="13" t="s">
        <v>100</v>
      </c>
      <c r="J94" s="27">
        <f ca="1">(IF(B89&gt;1,(H89/(B89+2)),H89/4))</f>
        <v>9</v>
      </c>
      <c r="S94"/>
    </row>
    <row r="95" spans="1:19" ht="15.75" customHeight="1" x14ac:dyDescent="0.35">
      <c r="A95" s="142" t="s">
        <v>133</v>
      </c>
      <c r="B95" s="142" t="s">
        <v>127</v>
      </c>
      <c r="C95" s="97">
        <v>0</v>
      </c>
      <c r="D95" s="89">
        <f ca="1">((100/H89)*C95)/100</f>
        <v>0</v>
      </c>
      <c r="E95" s="151"/>
      <c r="F95" s="151"/>
      <c r="G95" s="151"/>
      <c r="H95" s="151"/>
      <c r="I95" s="13" t="s">
        <v>101</v>
      </c>
      <c r="J95" s="27">
        <f ca="1">(IF(B89&gt;1,(H89/(B89+2)+J94),H89/4+J94))</f>
        <v>18</v>
      </c>
    </row>
    <row r="96" spans="1:19" ht="15.75" customHeight="1" x14ac:dyDescent="0.35">
      <c r="A96" s="142" t="s">
        <v>134</v>
      </c>
      <c r="B96" s="142" t="s">
        <v>127</v>
      </c>
      <c r="C96" s="97">
        <v>0</v>
      </c>
      <c r="D96" s="89">
        <f ca="1">((100/H89)*C96)/100</f>
        <v>0</v>
      </c>
      <c r="E96" s="151"/>
      <c r="F96" s="151"/>
      <c r="G96" s="151"/>
      <c r="H96" s="151"/>
      <c r="I96" s="13" t="s">
        <v>145</v>
      </c>
      <c r="J96" s="27">
        <f ca="1">(IF(B89&gt;1,(H89/(B89+2)+J95),0))</f>
        <v>27</v>
      </c>
    </row>
    <row r="97" spans="1:22" ht="15" customHeight="1" x14ac:dyDescent="0.35">
      <c r="A97" s="142" t="s">
        <v>132</v>
      </c>
      <c r="B97" s="142" t="s">
        <v>129</v>
      </c>
      <c r="C97" s="97">
        <v>0</v>
      </c>
      <c r="D97" s="89">
        <f ca="1">((100/(H89))*C97)/100</f>
        <v>0</v>
      </c>
      <c r="E97" s="151"/>
      <c r="F97" s="151"/>
      <c r="G97" s="151"/>
      <c r="H97" s="151"/>
      <c r="I97" s="13" t="s">
        <v>140</v>
      </c>
      <c r="J97" s="27">
        <f ca="1">(IF(B89&gt;2,(H89/(B89+2)+J96),0))</f>
        <v>36</v>
      </c>
    </row>
    <row r="98" spans="1:22" ht="15.75" customHeight="1" x14ac:dyDescent="0.35">
      <c r="A98" s="142" t="s">
        <v>128</v>
      </c>
      <c r="B98" s="142" t="s">
        <v>128</v>
      </c>
      <c r="C98" s="97">
        <v>0</v>
      </c>
      <c r="D98" s="89">
        <f ca="1">((100/H89)*C98)/100</f>
        <v>0</v>
      </c>
      <c r="E98" s="151"/>
      <c r="F98" s="151"/>
      <c r="G98" s="151"/>
      <c r="H98" s="151"/>
      <c r="I98" s="13" t="s">
        <v>141</v>
      </c>
      <c r="J98" s="28">
        <f ca="1">(IF(B89&gt;3,(H89/(B89+2)+J97),0))</f>
        <v>45</v>
      </c>
    </row>
    <row r="99" spans="1:22" ht="15.75" customHeight="1" x14ac:dyDescent="0.35">
      <c r="A99" s="142" t="s">
        <v>135</v>
      </c>
      <c r="B99" s="142"/>
      <c r="C99" s="97">
        <v>0</v>
      </c>
      <c r="D99" s="89">
        <f ca="1">((100/H89)*C99)/100</f>
        <v>0</v>
      </c>
      <c r="E99" s="151"/>
      <c r="F99" s="151"/>
      <c r="G99" s="151"/>
      <c r="H99" s="151"/>
      <c r="I99" s="13" t="s">
        <v>142</v>
      </c>
      <c r="J99" s="27">
        <f>(IF(B89&gt;4,(H89/(B89+2)+J98),0))</f>
        <v>0</v>
      </c>
    </row>
    <row r="100" spans="1:22" ht="15.75" customHeight="1" x14ac:dyDescent="0.35">
      <c r="A100" s="142" t="s">
        <v>130</v>
      </c>
      <c r="B100" s="142" t="s">
        <v>130</v>
      </c>
      <c r="C100" s="97">
        <v>0</v>
      </c>
      <c r="D100" s="89">
        <f ca="1">((100/(H89))*C100)/100</f>
        <v>0</v>
      </c>
      <c r="E100" s="151"/>
      <c r="F100" s="151"/>
      <c r="G100" s="151"/>
      <c r="H100" s="151"/>
      <c r="I100" s="13" t="s">
        <v>146</v>
      </c>
      <c r="J100" s="27">
        <f>(IF(B89=1,(H89/(B89+3)+J95),IF(B89=0,(H89/4+J95),IF(B89&gt;1,0))))</f>
        <v>0</v>
      </c>
    </row>
    <row r="101" spans="1:22" ht="16" thickBot="1" x14ac:dyDescent="0.4">
      <c r="A101" s="142" t="s">
        <v>131</v>
      </c>
      <c r="B101" s="142"/>
      <c r="C101" s="97">
        <v>0</v>
      </c>
      <c r="D101" s="89">
        <f ca="1">((100/(H89))*C101)/100</f>
        <v>0</v>
      </c>
      <c r="E101" s="151"/>
      <c r="F101" s="151"/>
      <c r="G101" s="151"/>
      <c r="H101" s="151"/>
      <c r="I101" s="14" t="s">
        <v>102</v>
      </c>
      <c r="J101" s="29">
        <f ca="1">(IF(B89&gt;1.5,(H89/(B89+2)+J95+MAX(0,J96-J95)+MAX(0,J97-J96)+MAX(0,J98-J97)+MAX(0,J99-J98)+MAX(0,J100-J99)),IF(B89=1,(H89/(B89+3)+J100),IF(B89=0,H89/4+J100))))</f>
        <v>54</v>
      </c>
    </row>
    <row r="102" spans="1:22" x14ac:dyDescent="0.35">
      <c r="A102" s="147" t="s">
        <v>157</v>
      </c>
      <c r="B102" s="147"/>
      <c r="C102" s="147"/>
      <c r="D102" s="147"/>
      <c r="E102" s="147"/>
      <c r="F102" s="222" t="s">
        <v>161</v>
      </c>
      <c r="G102" s="222"/>
      <c r="H102" s="222"/>
      <c r="R102" t="s">
        <v>254</v>
      </c>
      <c r="S102" t="s">
        <v>173</v>
      </c>
      <c r="T102" t="s">
        <v>180</v>
      </c>
      <c r="U102" t="s">
        <v>194</v>
      </c>
      <c r="V102" t="s">
        <v>189</v>
      </c>
    </row>
    <row r="103" spans="1:22" x14ac:dyDescent="0.35">
      <c r="A103" s="140" t="s">
        <v>159</v>
      </c>
      <c r="B103" s="140"/>
      <c r="C103" s="140"/>
      <c r="D103" s="140"/>
      <c r="E103" s="140"/>
      <c r="F103" s="148">
        <v>16750</v>
      </c>
      <c r="G103" s="148"/>
      <c r="H103" s="148"/>
      <c r="R103"/>
      <c r="S103">
        <v>800000</v>
      </c>
      <c r="T103">
        <v>150000</v>
      </c>
      <c r="U103">
        <v>100000</v>
      </c>
      <c r="V103">
        <v>100000</v>
      </c>
    </row>
    <row r="104" spans="1:22" hidden="1" x14ac:dyDescent="0.35">
      <c r="A104" s="140" t="s">
        <v>158</v>
      </c>
      <c r="B104" s="140"/>
      <c r="C104" s="140"/>
      <c r="D104" s="140"/>
      <c r="E104" s="140"/>
      <c r="F104" s="148"/>
      <c r="G104" s="148"/>
      <c r="H104" s="148"/>
      <c r="R104"/>
      <c r="S104">
        <v>900000</v>
      </c>
      <c r="T104">
        <v>200000</v>
      </c>
      <c r="U104">
        <v>150000</v>
      </c>
      <c r="V104">
        <v>150000</v>
      </c>
    </row>
    <row r="105" spans="1:22" hidden="1" x14ac:dyDescent="0.35">
      <c r="A105" s="140" t="s">
        <v>160</v>
      </c>
      <c r="B105" s="140"/>
      <c r="C105" s="140"/>
      <c r="D105" s="140"/>
      <c r="E105" s="140"/>
      <c r="F105" s="148"/>
      <c r="G105" s="148"/>
      <c r="H105" s="148"/>
      <c r="R105"/>
      <c r="S105">
        <v>1000000</v>
      </c>
      <c r="T105">
        <v>250000</v>
      </c>
      <c r="U105">
        <v>200000</v>
      </c>
      <c r="V105">
        <v>200000</v>
      </c>
    </row>
    <row r="106" spans="1:22" s="30" customFormat="1" hidden="1" x14ac:dyDescent="0.35">
      <c r="A106" s="140" t="s">
        <v>175</v>
      </c>
      <c r="B106" s="140"/>
      <c r="C106" s="140"/>
      <c r="D106" s="140"/>
      <c r="E106" s="140"/>
      <c r="F106" s="148"/>
      <c r="G106" s="148"/>
      <c r="H106" s="148"/>
      <c r="R106"/>
      <c r="S106">
        <v>1100000</v>
      </c>
      <c r="T106">
        <v>300000</v>
      </c>
      <c r="U106">
        <v>250000</v>
      </c>
      <c r="V106" s="20">
        <v>250000</v>
      </c>
    </row>
    <row r="107" spans="1:22" s="30" customFormat="1" hidden="1" x14ac:dyDescent="0.35">
      <c r="A107" s="140" t="s">
        <v>92</v>
      </c>
      <c r="B107" s="140"/>
      <c r="C107" s="140"/>
      <c r="D107" s="140"/>
      <c r="E107" s="140"/>
      <c r="F107" s="148"/>
      <c r="G107" s="148"/>
      <c r="H107" s="148"/>
      <c r="R107"/>
      <c r="S107">
        <v>1200000</v>
      </c>
      <c r="T107">
        <v>350000</v>
      </c>
      <c r="U107">
        <v>300000</v>
      </c>
      <c r="V107">
        <v>300000</v>
      </c>
    </row>
    <row r="108" spans="1:22" s="30" customFormat="1" hidden="1" x14ac:dyDescent="0.35">
      <c r="A108" s="140" t="s">
        <v>93</v>
      </c>
      <c r="B108" s="140"/>
      <c r="C108" s="140"/>
      <c r="D108" s="140"/>
      <c r="E108" s="140"/>
      <c r="F108" s="148"/>
      <c r="G108" s="148"/>
      <c r="H108" s="148"/>
      <c r="R108"/>
      <c r="S108">
        <v>1300000</v>
      </c>
      <c r="T108">
        <v>400000</v>
      </c>
      <c r="U108">
        <v>350000</v>
      </c>
      <c r="V108" s="20">
        <v>400000</v>
      </c>
    </row>
    <row r="109" spans="1:22" s="30" customFormat="1" hidden="1" x14ac:dyDescent="0.35">
      <c r="A109" s="140" t="s">
        <v>94</v>
      </c>
      <c r="B109" s="140"/>
      <c r="C109" s="140"/>
      <c r="D109" s="140"/>
      <c r="E109" s="140"/>
      <c r="F109" s="148"/>
      <c r="G109" s="148"/>
      <c r="H109" s="148"/>
      <c r="R109"/>
      <c r="S109">
        <v>1400000</v>
      </c>
      <c r="T109">
        <v>500000</v>
      </c>
      <c r="U109">
        <v>400000</v>
      </c>
      <c r="V109"/>
    </row>
    <row r="110" spans="1:22" s="30" customFormat="1" hidden="1" x14ac:dyDescent="0.35">
      <c r="A110" s="140" t="s">
        <v>95</v>
      </c>
      <c r="B110" s="140"/>
      <c r="C110" s="140"/>
      <c r="D110" s="140"/>
      <c r="E110" s="140"/>
      <c r="F110" s="148"/>
      <c r="G110" s="148"/>
      <c r="H110" s="148"/>
      <c r="R110"/>
      <c r="S110">
        <v>1500000</v>
      </c>
      <c r="T110">
        <v>600000</v>
      </c>
      <c r="U110">
        <v>500000</v>
      </c>
      <c r="V110" s="20"/>
    </row>
    <row r="111" spans="1:22" s="30" customFormat="1" hidden="1" x14ac:dyDescent="0.35">
      <c r="A111" s="140" t="s">
        <v>96</v>
      </c>
      <c r="B111" s="140"/>
      <c r="C111" s="140"/>
      <c r="D111" s="140"/>
      <c r="E111" s="140"/>
      <c r="F111" s="148"/>
      <c r="G111" s="148"/>
      <c r="H111" s="148"/>
      <c r="R111"/>
      <c r="S111">
        <v>1600000</v>
      </c>
      <c r="T111">
        <v>700000</v>
      </c>
      <c r="U111">
        <v>600000</v>
      </c>
      <c r="V111"/>
    </row>
    <row r="112" spans="1:22" s="30" customFormat="1" hidden="1" x14ac:dyDescent="0.35">
      <c r="A112" s="140" t="s">
        <v>97</v>
      </c>
      <c r="B112" s="140"/>
      <c r="C112" s="140"/>
      <c r="D112" s="140"/>
      <c r="E112" s="140"/>
      <c r="F112" s="148"/>
      <c r="G112" s="148"/>
      <c r="H112" s="148"/>
      <c r="R112"/>
      <c r="S112">
        <v>1700000</v>
      </c>
      <c r="T112">
        <v>800000</v>
      </c>
      <c r="U112"/>
      <c r="V112" s="20"/>
    </row>
    <row r="113" spans="1:22" x14ac:dyDescent="0.35">
      <c r="A113" s="140" t="s">
        <v>49</v>
      </c>
      <c r="B113" s="140"/>
      <c r="C113" s="140"/>
      <c r="D113" s="140"/>
      <c r="E113" s="140"/>
      <c r="F113" s="148">
        <v>800000</v>
      </c>
      <c r="G113" s="148"/>
      <c r="H113" s="148"/>
      <c r="I113" s="94" t="s">
        <v>416</v>
      </c>
      <c r="J113" s="18" t="s">
        <v>415</v>
      </c>
      <c r="R113"/>
      <c r="S113">
        <v>1800000</v>
      </c>
      <c r="T113">
        <v>900000</v>
      </c>
      <c r="U113"/>
    </row>
    <row r="114" spans="1:22" s="31" customFormat="1" x14ac:dyDescent="0.35">
      <c r="A114" s="147" t="s">
        <v>50</v>
      </c>
      <c r="B114" s="147"/>
      <c r="C114" s="147"/>
      <c r="D114" s="147"/>
      <c r="E114" s="147"/>
      <c r="F114" s="148">
        <f>F103*0.8</f>
        <v>13400</v>
      </c>
      <c r="G114" s="148"/>
      <c r="H114" s="148"/>
      <c r="R114" s="18"/>
      <c r="S114" s="18"/>
      <c r="T114">
        <v>1000000</v>
      </c>
      <c r="U114"/>
      <c r="V114" s="18"/>
    </row>
    <row r="115" spans="1:22" s="32" customFormat="1" ht="15.75" hidden="1" customHeight="1" x14ac:dyDescent="0.35">
      <c r="A115" s="169" t="s">
        <v>72</v>
      </c>
      <c r="B115" s="169"/>
      <c r="C115" s="169"/>
      <c r="D115" s="169"/>
      <c r="E115" s="169"/>
      <c r="F115" s="169"/>
      <c r="G115" s="169"/>
      <c r="H115" s="169"/>
      <c r="R115"/>
      <c r="S115" s="18"/>
      <c r="T115"/>
      <c r="U115"/>
      <c r="V115" s="18"/>
    </row>
    <row r="116" spans="1:22" s="32" customFormat="1" ht="15.75" hidden="1" customHeight="1" x14ac:dyDescent="0.35">
      <c r="A116" s="172" t="s">
        <v>51</v>
      </c>
      <c r="B116" s="172"/>
      <c r="C116" s="170" t="s">
        <v>75</v>
      </c>
      <c r="D116" s="170"/>
      <c r="E116" s="171" t="s">
        <v>52</v>
      </c>
      <c r="F116" s="171"/>
      <c r="G116" s="172" t="s">
        <v>53</v>
      </c>
      <c r="H116" s="172"/>
      <c r="R116"/>
      <c r="S116" s="18"/>
      <c r="T116"/>
      <c r="U116" s="18"/>
      <c r="V116" s="18"/>
    </row>
    <row r="117" spans="1:22" s="32" customFormat="1" hidden="1" x14ac:dyDescent="0.35">
      <c r="A117" s="173"/>
      <c r="B117" s="173"/>
      <c r="C117" s="166"/>
      <c r="D117" s="166"/>
      <c r="E117" s="167"/>
      <c r="F117" s="167"/>
      <c r="G117" s="168"/>
      <c r="H117" s="168"/>
      <c r="R117"/>
      <c r="S117" s="18"/>
      <c r="T117"/>
      <c r="U117" s="18"/>
      <c r="V117" s="18"/>
    </row>
    <row r="118" spans="1:22" s="32" customFormat="1" hidden="1" x14ac:dyDescent="0.35">
      <c r="A118" s="173"/>
      <c r="B118" s="173"/>
      <c r="C118" s="166"/>
      <c r="D118" s="166"/>
      <c r="E118" s="167"/>
      <c r="F118" s="167"/>
      <c r="G118" s="168"/>
      <c r="H118" s="168"/>
      <c r="R118"/>
      <c r="S118" s="18"/>
      <c r="T118"/>
      <c r="U118" s="18"/>
      <c r="V118" s="18"/>
    </row>
    <row r="119" spans="1:22" s="32" customFormat="1" hidden="1" x14ac:dyDescent="0.35">
      <c r="A119" s="169" t="s">
        <v>150</v>
      </c>
      <c r="B119" s="169"/>
      <c r="C119" s="170"/>
      <c r="D119" s="170"/>
      <c r="E119" s="171"/>
      <c r="F119" s="171"/>
      <c r="G119" s="172"/>
      <c r="H119" s="172"/>
      <c r="R119"/>
      <c r="S119" s="18"/>
      <c r="T119"/>
      <c r="U119" s="18"/>
      <c r="V119" s="18"/>
    </row>
    <row r="120" spans="1:22" s="32" customFormat="1" x14ac:dyDescent="0.35">
      <c r="A120" s="169" t="s">
        <v>67</v>
      </c>
      <c r="B120" s="169"/>
      <c r="C120" s="169"/>
      <c r="D120" s="169"/>
      <c r="E120" s="169"/>
      <c r="F120" s="169"/>
      <c r="G120" s="169"/>
      <c r="H120" s="169"/>
      <c r="T120"/>
    </row>
    <row r="121" spans="1:22" s="32" customFormat="1" ht="15.75" customHeight="1" x14ac:dyDescent="0.35">
      <c r="A121" s="172" t="s">
        <v>51</v>
      </c>
      <c r="B121" s="172"/>
      <c r="C121" s="170" t="s">
        <v>75</v>
      </c>
      <c r="D121" s="170"/>
      <c r="E121" s="171" t="s">
        <v>52</v>
      </c>
      <c r="F121" s="171"/>
      <c r="G121" s="172" t="s">
        <v>53</v>
      </c>
      <c r="H121" s="172"/>
      <c r="T121"/>
    </row>
    <row r="122" spans="1:22" s="32" customFormat="1" x14ac:dyDescent="0.35">
      <c r="A122" s="173" t="s">
        <v>366</v>
      </c>
      <c r="B122" s="173"/>
      <c r="C122" s="166">
        <f>COUNT(D143:D146)+COUNT(D148:D151)+COUNT(D153:D156)*6+COUNT(D158:D160,D162)*2+COUNT(D164:D167)*12+COUNT(D169:D171,D173)*3+COUNT(D176:D179)*17+COUNT(D181:D183,D185)*6</f>
        <v>192</v>
      </c>
      <c r="D122" s="166"/>
      <c r="E122" s="174">
        <f>SUM(F143:F146)+SUM(F148:F151)+SUM(F153:F156)*6+SUM(F158:F160,F162)*2+SUM(F164:F167)*12+SUM(F169:F171,F173)*3+SUM(F176:F179)*17+SUM(F181:F183,F185)*6</f>
        <v>377297.14464000001</v>
      </c>
      <c r="F122" s="174"/>
      <c r="G122" s="174">
        <f>SUM(H143:H146)+SUM(H148:H151)+SUM(H153:H156)*6+SUM(H158:H160,H162)*2+SUM(H164:H167)*12+SUM(H169:H171,H173)*3+SUM(H176:H179)*17+SUM(H181:H183,H185)*6</f>
        <v>565945.71695999999</v>
      </c>
      <c r="H122" s="174"/>
      <c r="T122"/>
    </row>
    <row r="123" spans="1:22" s="32" customFormat="1" ht="16" thickBot="1" x14ac:dyDescent="0.4">
      <c r="A123" s="173" t="s">
        <v>380</v>
      </c>
      <c r="B123" s="173"/>
      <c r="C123" s="166">
        <f>COUNT(D192:D197)*20+COUNT(D199:D204)*5+COUNT(D208:D213)*17+COUNT(D215:D220)*6</f>
        <v>288</v>
      </c>
      <c r="D123" s="166"/>
      <c r="E123" s="174">
        <f>SUM(F192:F197)*20+SUM(F199:F204)*5+SUM(F208:F213)*17+SUM(F215:F220)*6</f>
        <v>339641.44344</v>
      </c>
      <c r="F123" s="174"/>
      <c r="G123" s="174">
        <f t="shared" ref="G123" si="0">SUM(H192:H197)*20+SUM(H199:H204)*5+SUM(H208:H213)*17+SUM(H215:H220)*6</f>
        <v>509462.16516000003</v>
      </c>
      <c r="H123" s="174"/>
      <c r="T123"/>
    </row>
    <row r="124" spans="1:22" s="32" customFormat="1" ht="16" hidden="1" thickBot="1" x14ac:dyDescent="0.4">
      <c r="A124" s="164" t="s">
        <v>150</v>
      </c>
      <c r="B124" s="164"/>
      <c r="C124" s="235">
        <f>SUM(C122:D123)</f>
        <v>480</v>
      </c>
      <c r="D124" s="235"/>
      <c r="E124" s="165">
        <f t="shared" ref="E124" si="1">SUM(E122:F123)</f>
        <v>716938.58808000002</v>
      </c>
      <c r="F124" s="165"/>
      <c r="G124" s="165">
        <f t="shared" ref="G124" si="2">SUM(G122:H123)</f>
        <v>1075407.88212</v>
      </c>
      <c r="H124" s="165"/>
      <c r="T124"/>
    </row>
    <row r="125" spans="1:22" s="32" customFormat="1" ht="16" thickBot="1" x14ac:dyDescent="0.4">
      <c r="A125" s="230" t="s">
        <v>167</v>
      </c>
      <c r="B125" s="231"/>
      <c r="C125" s="232">
        <f>C119+C124</f>
        <v>480</v>
      </c>
      <c r="D125" s="232"/>
      <c r="E125" s="233">
        <f>E119+E124</f>
        <v>716938.58808000002</v>
      </c>
      <c r="F125" s="233"/>
      <c r="G125" s="183">
        <f>G119+G124</f>
        <v>1075407.88212</v>
      </c>
      <c r="H125" s="184"/>
      <c r="T125"/>
    </row>
    <row r="126" spans="1:22" s="31" customFormat="1" x14ac:dyDescent="0.35">
      <c r="A126" s="227" t="s">
        <v>54</v>
      </c>
      <c r="B126" s="227"/>
      <c r="C126" s="227"/>
      <c r="D126" s="227"/>
      <c r="E126" s="227"/>
      <c r="F126" s="227"/>
      <c r="G126" s="227"/>
      <c r="H126" s="227"/>
      <c r="T126" s="32"/>
    </row>
    <row r="127" spans="1:22" x14ac:dyDescent="0.35">
      <c r="A127" s="212" t="s">
        <v>387</v>
      </c>
      <c r="B127" s="212"/>
      <c r="C127" s="212"/>
      <c r="D127" s="212"/>
      <c r="E127" s="212"/>
      <c r="F127" s="212"/>
      <c r="G127" s="212"/>
      <c r="H127" s="212"/>
      <c r="T127" s="32"/>
    </row>
    <row r="128" spans="1:22" ht="47.25" hidden="1" customHeight="1" x14ac:dyDescent="0.35">
      <c r="A128" s="145" t="s">
        <v>410</v>
      </c>
      <c r="B128" s="145" t="s">
        <v>176</v>
      </c>
      <c r="C128" s="145" t="s">
        <v>55</v>
      </c>
      <c r="D128" s="145" t="s">
        <v>233</v>
      </c>
      <c r="E128" s="143" t="s">
        <v>156</v>
      </c>
      <c r="F128" s="145" t="s">
        <v>56</v>
      </c>
      <c r="G128" s="143" t="s">
        <v>57</v>
      </c>
      <c r="H128" s="90" t="s">
        <v>148</v>
      </c>
      <c r="T128" s="32"/>
    </row>
    <row r="129" spans="1:20" s="34" customFormat="1" hidden="1" x14ac:dyDescent="0.35">
      <c r="A129" s="146"/>
      <c r="B129" s="146"/>
      <c r="C129" s="146"/>
      <c r="D129" s="146"/>
      <c r="E129" s="144"/>
      <c r="F129" s="146"/>
      <c r="G129" s="144"/>
      <c r="H129" s="91">
        <v>0.45</v>
      </c>
      <c r="T129" s="32"/>
    </row>
    <row r="130" spans="1:20" s="34" customFormat="1" hidden="1" x14ac:dyDescent="0.35">
      <c r="A130" s="175" t="s">
        <v>117</v>
      </c>
      <c r="B130" s="176"/>
      <c r="C130" s="176"/>
      <c r="D130" s="176"/>
      <c r="E130" s="176"/>
      <c r="F130" s="176"/>
      <c r="G130" s="176"/>
      <c r="H130" s="177"/>
      <c r="J130" s="33"/>
      <c r="T130" s="32"/>
    </row>
    <row r="131" spans="1:20" s="34" customFormat="1" ht="15.75" hidden="1" customHeight="1" x14ac:dyDescent="0.35">
      <c r="A131" s="149">
        <v>1</v>
      </c>
      <c r="B131" s="150"/>
      <c r="C131" s="92"/>
      <c r="D131" s="92">
        <v>0</v>
      </c>
      <c r="E131" s="92">
        <v>0</v>
      </c>
      <c r="F131" s="92">
        <f>D131+(IF(E131&lt;201,E131,IF(E131&lt;301,E131/2,E131/3)))</f>
        <v>0</v>
      </c>
      <c r="G131" s="93">
        <v>0</v>
      </c>
      <c r="H131" s="92">
        <f>(F131+(IF(G131&lt;101,G131,IF(G131&lt;201,G131/2,IF(G131&lt;=301,G131/3,G131/4)))))*(($H$129)+1)</f>
        <v>0</v>
      </c>
      <c r="I131" s="33"/>
      <c r="L131" s="141"/>
      <c r="M131" s="141"/>
      <c r="N131" s="33"/>
      <c r="T131" s="32"/>
    </row>
    <row r="132" spans="1:20" s="34" customFormat="1" ht="15.75" hidden="1" customHeight="1" x14ac:dyDescent="0.35">
      <c r="A132" s="149">
        <f>A131+1</f>
        <v>2</v>
      </c>
      <c r="B132" s="150"/>
      <c r="C132" s="92"/>
      <c r="D132" s="92"/>
      <c r="E132" s="92">
        <v>0</v>
      </c>
      <c r="F132" s="92">
        <f t="shared" ref="F132:F134" si="3">D132+(IF(E132&lt;201,E132,IF(E132&lt;301,E132/2,E132/3)))</f>
        <v>0</v>
      </c>
      <c r="G132" s="92">
        <v>0</v>
      </c>
      <c r="H132" s="92">
        <f t="shared" ref="H132:H134" si="4">(F132+(IF(G132&lt;101,G132,IF(G132&lt;201,G132/2,IF(G132&lt;=301,G132/3,G132/4)))))*(($H$129)+1)</f>
        <v>0</v>
      </c>
      <c r="I132" s="33"/>
      <c r="L132" s="141"/>
      <c r="M132" s="141"/>
      <c r="N132" s="33"/>
      <c r="T132" s="31"/>
    </row>
    <row r="133" spans="1:20" s="34" customFormat="1" ht="15.75" hidden="1" customHeight="1" x14ac:dyDescent="0.35">
      <c r="A133" s="149">
        <f>A132+1</f>
        <v>3</v>
      </c>
      <c r="B133" s="150"/>
      <c r="C133" s="92"/>
      <c r="D133" s="92"/>
      <c r="E133" s="92">
        <v>0</v>
      </c>
      <c r="F133" s="92">
        <f t="shared" si="3"/>
        <v>0</v>
      </c>
      <c r="G133" s="92">
        <v>0</v>
      </c>
      <c r="H133" s="92">
        <f t="shared" si="4"/>
        <v>0</v>
      </c>
      <c r="I133" s="33"/>
      <c r="L133" s="141"/>
      <c r="M133" s="141"/>
      <c r="N133" s="33"/>
      <c r="T133" s="18"/>
    </row>
    <row r="134" spans="1:20" s="34" customFormat="1" ht="15.75" hidden="1" customHeight="1" x14ac:dyDescent="0.35">
      <c r="A134" s="149">
        <f>A133+1</f>
        <v>4</v>
      </c>
      <c r="B134" s="150"/>
      <c r="C134" s="92"/>
      <c r="D134" s="92"/>
      <c r="E134" s="92">
        <v>0</v>
      </c>
      <c r="F134" s="92">
        <f t="shared" si="3"/>
        <v>0</v>
      </c>
      <c r="G134" s="92">
        <v>0</v>
      </c>
      <c r="H134" s="92">
        <f t="shared" si="4"/>
        <v>0</v>
      </c>
      <c r="I134" s="33"/>
      <c r="L134" s="141"/>
      <c r="M134" s="141"/>
      <c r="N134" s="33"/>
      <c r="T134" s="18"/>
    </row>
    <row r="135" spans="1:20" s="34" customFormat="1" hidden="1" x14ac:dyDescent="0.35">
      <c r="A135" s="149"/>
      <c r="B135" s="226"/>
      <c r="C135" s="226"/>
      <c r="D135" s="226"/>
      <c r="E135" s="226"/>
      <c r="F135" s="226"/>
      <c r="G135" s="226"/>
      <c r="H135" s="150"/>
      <c r="I135" s="33"/>
      <c r="N135" s="33"/>
    </row>
    <row r="136" spans="1:20" ht="47.25" customHeight="1" x14ac:dyDescent="0.35">
      <c r="A136" s="228" t="s">
        <v>411</v>
      </c>
      <c r="B136" s="145" t="s">
        <v>177</v>
      </c>
      <c r="C136" s="145" t="s">
        <v>55</v>
      </c>
      <c r="D136" s="145" t="s">
        <v>370</v>
      </c>
      <c r="E136" s="145" t="s">
        <v>232</v>
      </c>
      <c r="F136" s="145" t="s">
        <v>56</v>
      </c>
      <c r="G136" s="143" t="s">
        <v>57</v>
      </c>
      <c r="H136" s="90" t="s">
        <v>148</v>
      </c>
      <c r="I136" s="33"/>
      <c r="T136" s="34"/>
    </row>
    <row r="137" spans="1:20" s="34" customFormat="1" x14ac:dyDescent="0.35">
      <c r="A137" s="229"/>
      <c r="B137" s="146"/>
      <c r="C137" s="146"/>
      <c r="D137" s="146"/>
      <c r="E137" s="146"/>
      <c r="F137" s="146"/>
      <c r="G137" s="144"/>
      <c r="H137" s="91">
        <v>0.5</v>
      </c>
      <c r="I137" s="33"/>
    </row>
    <row r="138" spans="1:20" s="76" customFormat="1" x14ac:dyDescent="0.35">
      <c r="A138" s="110" t="s">
        <v>366</v>
      </c>
      <c r="B138" s="111"/>
      <c r="C138" s="111"/>
      <c r="D138" s="111"/>
      <c r="E138" s="111"/>
      <c r="F138" s="111"/>
      <c r="G138" s="111"/>
      <c r="H138" s="112"/>
      <c r="J138" s="33"/>
    </row>
    <row r="139" spans="1:20" s="80" customFormat="1" x14ac:dyDescent="0.35">
      <c r="A139" s="113" t="s">
        <v>401</v>
      </c>
      <c r="B139" s="114"/>
      <c r="C139" s="114"/>
      <c r="D139" s="114"/>
      <c r="E139" s="114"/>
      <c r="F139" s="114"/>
      <c r="G139" s="114"/>
      <c r="H139" s="115"/>
      <c r="J139" s="33"/>
      <c r="K139" s="86"/>
    </row>
    <row r="140" spans="1:20" s="76" customFormat="1" x14ac:dyDescent="0.35">
      <c r="A140" s="113" t="s">
        <v>400</v>
      </c>
      <c r="B140" s="114"/>
      <c r="C140" s="114"/>
      <c r="D140" s="114"/>
      <c r="E140" s="114"/>
      <c r="F140" s="114"/>
      <c r="G140" s="114"/>
      <c r="H140" s="115"/>
      <c r="J140" s="33"/>
      <c r="K140" s="82">
        <f>10.764</f>
        <v>10.763999999999999</v>
      </c>
    </row>
    <row r="141" spans="1:20" s="76" customFormat="1" ht="32.25" customHeight="1" x14ac:dyDescent="0.35">
      <c r="A141" s="113" t="s">
        <v>367</v>
      </c>
      <c r="B141" s="114"/>
      <c r="C141" s="114"/>
      <c r="D141" s="114"/>
      <c r="E141" s="114"/>
      <c r="F141" s="114"/>
      <c r="G141" s="114"/>
      <c r="H141" s="115"/>
      <c r="J141" s="33"/>
    </row>
    <row r="142" spans="1:20" s="76" customFormat="1" x14ac:dyDescent="0.35">
      <c r="A142" s="121" t="s">
        <v>368</v>
      </c>
      <c r="B142" s="121"/>
      <c r="C142" s="121"/>
      <c r="D142" s="121"/>
      <c r="E142" s="121"/>
      <c r="F142" s="121"/>
      <c r="G142" s="121"/>
      <c r="H142" s="121"/>
      <c r="I142" s="33"/>
      <c r="L142" s="141"/>
      <c r="M142" s="141"/>
    </row>
    <row r="143" spans="1:20" s="76" customFormat="1" x14ac:dyDescent="0.35">
      <c r="A143" s="119">
        <v>1</v>
      </c>
      <c r="B143" s="119"/>
      <c r="C143" s="77" t="s">
        <v>369</v>
      </c>
      <c r="D143" s="82">
        <f>(185.72)*(10.764)</f>
        <v>1999.0900799999999</v>
      </c>
      <c r="E143" s="82">
        <f>(22.75)*(10.764)</f>
        <v>244.88099999999997</v>
      </c>
      <c r="F143" s="77">
        <f>D143+E143</f>
        <v>2243.9710799999998</v>
      </c>
      <c r="G143" s="77">
        <v>0</v>
      </c>
      <c r="H143" s="77">
        <f>F143*(($H$137)+1)+(IF(G143&lt;101,G143,IF(G143&lt;201,G143/2,IF(G143&lt;=301,G143/3,G143/4))))</f>
        <v>3365.9566199999999</v>
      </c>
      <c r="I143" s="33">
        <f>(9.225*5.485+2.59*2.1+2.525*4.335+3.44*4.27+3.66*4.88+4.57*3.35+4.27*3.36+2.44*1.525+2.14*2.146+2.44*1.475+1.35*2.14+2.06*2.14+2.29*1.675+2.39*1.675+2.39*1.525+1.225*1.525+1.375*1.998+2.44*1.525+1.675*1.225+1.375*1.975+1.1*2.2+1.3*1.5)</f>
        <v>177.35776499999994</v>
      </c>
      <c r="J143" s="33">
        <f>4.85*3.05+3.91*1.225</f>
        <v>19.582249999999998</v>
      </c>
      <c r="N143" s="33"/>
    </row>
    <row r="144" spans="1:20" s="76" customFormat="1" x14ac:dyDescent="0.35">
      <c r="A144" s="119">
        <f>A143+1</f>
        <v>2</v>
      </c>
      <c r="B144" s="119"/>
      <c r="C144" s="77" t="s">
        <v>369</v>
      </c>
      <c r="D144" s="82">
        <f>(182.34)*(10.764)</f>
        <v>1962.70776</v>
      </c>
      <c r="E144" s="82">
        <f>(22.38)*(10.764)</f>
        <v>240.89831999999998</v>
      </c>
      <c r="F144" s="77">
        <f>D144+E144</f>
        <v>2203.60608</v>
      </c>
      <c r="G144" s="77">
        <v>0</v>
      </c>
      <c r="H144" s="77">
        <f>F144*(($H$137)+1)+(IF(G144&lt;101,G144,IF(G144&lt;201,G144/2,IF(G144&lt;=301,G144/3,G144/4))))</f>
        <v>3305.4091200000003</v>
      </c>
      <c r="I144" s="33"/>
      <c r="N144" s="33"/>
    </row>
    <row r="145" spans="1:14" s="76" customFormat="1" x14ac:dyDescent="0.35">
      <c r="A145" s="119">
        <f>A144+1</f>
        <v>3</v>
      </c>
      <c r="B145" s="119"/>
      <c r="C145" s="77" t="s">
        <v>369</v>
      </c>
      <c r="D145" s="82">
        <f>(155.08)*(10.764)</f>
        <v>1669.2811200000001</v>
      </c>
      <c r="E145" s="82">
        <f>(8.41)*(10.764)</f>
        <v>90.525239999999997</v>
      </c>
      <c r="F145" s="77">
        <f>D145+E145</f>
        <v>1759.80636</v>
      </c>
      <c r="G145" s="77">
        <v>0</v>
      </c>
      <c r="H145" s="77">
        <f>F145*(($H$137)+1)+(IF(G145&lt;101,G145,IF(G145&lt;201,G145/2,IF(G145&lt;=301,G145/3,G145/4))))</f>
        <v>2639.7095399999998</v>
      </c>
      <c r="I145" s="33"/>
      <c r="N145" s="33"/>
    </row>
    <row r="146" spans="1:14" s="76" customFormat="1" x14ac:dyDescent="0.35">
      <c r="A146" s="119">
        <f>A145+1</f>
        <v>4</v>
      </c>
      <c r="B146" s="119"/>
      <c r="C146" s="77" t="s">
        <v>369</v>
      </c>
      <c r="D146" s="82">
        <f>(155.08)*(10.764)</f>
        <v>1669.2811200000001</v>
      </c>
      <c r="E146" s="82">
        <f>(8.41)*(10.764)</f>
        <v>90.525239999999997</v>
      </c>
      <c r="F146" s="77">
        <f>D146+E146</f>
        <v>1759.80636</v>
      </c>
      <c r="G146" s="77">
        <v>0</v>
      </c>
      <c r="H146" s="77">
        <f>F146*(($H$137)+1)+(IF(G146&lt;101,G146,IF(G146&lt;201,G146/2,IF(G146&lt;=301,G146/3,G146/4))))</f>
        <v>2639.7095399999998</v>
      </c>
      <c r="I146" s="33">
        <f>5.46*5.46+3.61*3.21+2.44*4.04+3.965*3.35+2.95*4.49+3.66*4.49+3.69*4.57+1.525*2.44+1.225*1.425+2.44*1.475+1.525*2.14+1.525*1.225+1.825*1.5+1.525*2.44+2.61*1.65+3.05*1.05+1.525*2.05+0.9*3.6+0.9*2.6</f>
        <v>147.95325000000003</v>
      </c>
      <c r="J146" s="76">
        <f>3.41*1.83</f>
        <v>6.2403000000000004</v>
      </c>
      <c r="K146" s="76">
        <f>2.44*0.9</f>
        <v>2.1960000000000002</v>
      </c>
      <c r="N146" s="33"/>
    </row>
    <row r="147" spans="1:14" s="76" customFormat="1" x14ac:dyDescent="0.35">
      <c r="A147" s="121" t="s">
        <v>371</v>
      </c>
      <c r="B147" s="121"/>
      <c r="C147" s="121"/>
      <c r="D147" s="121"/>
      <c r="E147" s="121"/>
      <c r="F147" s="121"/>
      <c r="G147" s="121"/>
      <c r="H147" s="121"/>
      <c r="I147" s="33"/>
      <c r="L147" s="141"/>
      <c r="M147" s="141"/>
    </row>
    <row r="148" spans="1:14" s="76" customFormat="1" x14ac:dyDescent="0.35">
      <c r="A148" s="119">
        <v>1</v>
      </c>
      <c r="B148" s="119"/>
      <c r="C148" s="77" t="s">
        <v>369</v>
      </c>
      <c r="D148" s="82">
        <f>(185.72)*(10.764)</f>
        <v>1999.0900799999999</v>
      </c>
      <c r="E148" s="82">
        <f>(22.75)*(10.764)</f>
        <v>244.88099999999997</v>
      </c>
      <c r="F148" s="77">
        <f>D148+E148</f>
        <v>2243.9710799999998</v>
      </c>
      <c r="G148" s="77">
        <v>0</v>
      </c>
      <c r="H148" s="77">
        <f>F148*(($H$137)+1)+(IF(G148&lt;101,G148,IF(G148&lt;201,G148/2,IF(G148&lt;=301,G148/3,G148/4))))</f>
        <v>3365.9566199999999</v>
      </c>
      <c r="I148" s="33"/>
      <c r="J148" s="33"/>
      <c r="N148" s="33"/>
    </row>
    <row r="149" spans="1:14" s="76" customFormat="1" x14ac:dyDescent="0.35">
      <c r="A149" s="119">
        <f>A148+1</f>
        <v>2</v>
      </c>
      <c r="B149" s="119"/>
      <c r="C149" s="77" t="s">
        <v>369</v>
      </c>
      <c r="D149" s="82">
        <f>(182.34)*(10.764)</f>
        <v>1962.70776</v>
      </c>
      <c r="E149" s="82">
        <f>(22.38)*(10.764)</f>
        <v>240.89831999999998</v>
      </c>
      <c r="F149" s="77">
        <f>D149+E149</f>
        <v>2203.60608</v>
      </c>
      <c r="G149" s="77">
        <v>0</v>
      </c>
      <c r="H149" s="77">
        <f>F149*(($H$137)+1)+(IF(G149&lt;101,G149,IF(G149&lt;201,G149/2,IF(G149&lt;=301,G149/3,G149/4))))</f>
        <v>3305.4091200000003</v>
      </c>
      <c r="I149" s="33"/>
      <c r="N149" s="33"/>
    </row>
    <row r="150" spans="1:14" s="76" customFormat="1" x14ac:dyDescent="0.35">
      <c r="A150" s="119">
        <f>A149+1</f>
        <v>3</v>
      </c>
      <c r="B150" s="119"/>
      <c r="C150" s="77" t="s">
        <v>369</v>
      </c>
      <c r="D150" s="82">
        <f>(155.08)*(10.764)</f>
        <v>1669.2811200000001</v>
      </c>
      <c r="E150" s="82">
        <f>(8.41)*(10.764)</f>
        <v>90.525239999999997</v>
      </c>
      <c r="F150" s="77">
        <f>D150+E150</f>
        <v>1759.80636</v>
      </c>
      <c r="G150" s="77">
        <v>0</v>
      </c>
      <c r="H150" s="77">
        <f>F150*(($H$137)+1)+(IF(G150&lt;101,G150,IF(G150&lt;201,G150/2,IF(G150&lt;=301,G150/3,G150/4))))</f>
        <v>2639.7095399999998</v>
      </c>
      <c r="I150" s="33">
        <f>(5.46*4.46+3.61*3.21+2.4*4.04+1.525*2.14+1.525*1.225+3.69*4.57+1.525*2.44+2.95*4.49+1.825*1.5+1.525*2.44+3.66*4.49+2.51*1.65+3.05*1.65+0.9*1.7+3.965*3.35+2.44*1.475+1.225*1.425+1.525*2.05+0.9*4.25+2.44*0.9)</f>
        <v>145.96764999999999</v>
      </c>
      <c r="J150" s="33">
        <f>3.41*1.83</f>
        <v>6.2403000000000004</v>
      </c>
      <c r="N150" s="33"/>
    </row>
    <row r="151" spans="1:14" s="76" customFormat="1" x14ac:dyDescent="0.35">
      <c r="A151" s="119">
        <f>A150+1</f>
        <v>4</v>
      </c>
      <c r="B151" s="119"/>
      <c r="C151" s="77" t="s">
        <v>369</v>
      </c>
      <c r="D151" s="82">
        <f>(155.08)*(10.764)</f>
        <v>1669.2811200000001</v>
      </c>
      <c r="E151" s="82">
        <f>(8.41)*(10.764)</f>
        <v>90.525239999999997</v>
      </c>
      <c r="F151" s="77">
        <f>D151+E151</f>
        <v>1759.80636</v>
      </c>
      <c r="G151" s="77">
        <v>0</v>
      </c>
      <c r="H151" s="77">
        <f>F151*(($H$137)+1)+(IF(G151&lt;101,G151,IF(G151&lt;201,G151/2,IF(G151&lt;=301,G151/3,G151/4))))</f>
        <v>2639.7095399999998</v>
      </c>
      <c r="I151" s="33"/>
      <c r="N151" s="33"/>
    </row>
    <row r="152" spans="1:14" s="76" customFormat="1" ht="15.75" customHeight="1" x14ac:dyDescent="0.35">
      <c r="A152" s="113" t="s">
        <v>372</v>
      </c>
      <c r="B152" s="114"/>
      <c r="C152" s="114"/>
      <c r="D152" s="114"/>
      <c r="E152" s="114"/>
      <c r="F152" s="114"/>
      <c r="G152" s="114"/>
      <c r="H152" s="115"/>
      <c r="I152" s="33"/>
    </row>
    <row r="153" spans="1:14" s="76" customFormat="1" ht="15.75" customHeight="1" x14ac:dyDescent="0.35">
      <c r="A153" s="108">
        <v>1</v>
      </c>
      <c r="B153" s="109"/>
      <c r="C153" s="77" t="s">
        <v>369</v>
      </c>
      <c r="D153" s="82">
        <f>(185.72)*(10.764)</f>
        <v>1999.0900799999999</v>
      </c>
      <c r="E153" s="82">
        <f>(22.75)*(10.764)</f>
        <v>244.88099999999997</v>
      </c>
      <c r="F153" s="77">
        <f>D153+E153</f>
        <v>2243.9710799999998</v>
      </c>
      <c r="G153" s="77">
        <v>0</v>
      </c>
      <c r="H153" s="77">
        <f>F153*(($H$137)+1)+(IF(G153&lt;101,G153,IF(G153&lt;201,G153/2,IF(G153&lt;=301,G153/3,G153/4))))</f>
        <v>3365.9566199999999</v>
      </c>
      <c r="I153" s="33"/>
    </row>
    <row r="154" spans="1:14" s="76" customFormat="1" ht="15.75" customHeight="1" x14ac:dyDescent="0.35">
      <c r="A154" s="108">
        <f>A153+1</f>
        <v>2</v>
      </c>
      <c r="B154" s="109"/>
      <c r="C154" s="77" t="s">
        <v>369</v>
      </c>
      <c r="D154" s="82">
        <f>(182.34)*(10.764)</f>
        <v>1962.70776</v>
      </c>
      <c r="E154" s="82">
        <f>(22.38)*(10.764)</f>
        <v>240.89831999999998</v>
      </c>
      <c r="F154" s="77">
        <f>D154+E154</f>
        <v>2203.60608</v>
      </c>
      <c r="G154" s="77">
        <v>0</v>
      </c>
      <c r="H154" s="77">
        <f>F154*(($H$137)+1)+(IF(G154&lt;101,G154,IF(G154&lt;201,G154/2,IF(G154&lt;=301,G154/3,G154/4))))</f>
        <v>3305.4091200000003</v>
      </c>
      <c r="I154" s="33"/>
    </row>
    <row r="155" spans="1:14" s="76" customFormat="1" ht="15.75" customHeight="1" x14ac:dyDescent="0.35">
      <c r="A155" s="108">
        <f t="shared" ref="A155:A156" si="5">A154+1</f>
        <v>3</v>
      </c>
      <c r="B155" s="109"/>
      <c r="C155" s="77" t="s">
        <v>369</v>
      </c>
      <c r="D155" s="82">
        <f>(155.08)*(10.764)</f>
        <v>1669.2811200000001</v>
      </c>
      <c r="E155" s="82">
        <f>(8.41)*(10.764)</f>
        <v>90.525239999999997</v>
      </c>
      <c r="F155" s="77">
        <f>D155+E155</f>
        <v>1759.80636</v>
      </c>
      <c r="G155" s="77">
        <v>0</v>
      </c>
      <c r="H155" s="77">
        <f>F155*(($H$137)+1)+(IF(G155&lt;101,G155,IF(G155&lt;201,G155/2,IF(G155&lt;=301,G155/3,G155/4))))</f>
        <v>2639.7095399999998</v>
      </c>
      <c r="I155" s="33"/>
    </row>
    <row r="156" spans="1:14" s="76" customFormat="1" ht="15.75" customHeight="1" x14ac:dyDescent="0.35">
      <c r="A156" s="108">
        <f t="shared" si="5"/>
        <v>4</v>
      </c>
      <c r="B156" s="109"/>
      <c r="C156" s="77" t="s">
        <v>369</v>
      </c>
      <c r="D156" s="82">
        <f>(155.08)*(10.764)</f>
        <v>1669.2811200000001</v>
      </c>
      <c r="E156" s="82">
        <f>(8.41)*(10.764)</f>
        <v>90.525239999999997</v>
      </c>
      <c r="F156" s="77">
        <f>D156+E156</f>
        <v>1759.80636</v>
      </c>
      <c r="G156" s="77">
        <v>0</v>
      </c>
      <c r="H156" s="77">
        <f>F156*(($H$137)+1)+(IF(G156&lt;101,G156,IF(G156&lt;201,G156/2,IF(G156&lt;=301,G156/3,G156/4))))</f>
        <v>2639.7095399999998</v>
      </c>
      <c r="I156" s="33"/>
    </row>
    <row r="157" spans="1:14" s="76" customFormat="1" x14ac:dyDescent="0.35">
      <c r="A157" s="121" t="s">
        <v>373</v>
      </c>
      <c r="B157" s="121"/>
      <c r="C157" s="121"/>
      <c r="D157" s="121"/>
      <c r="E157" s="121"/>
      <c r="F157" s="121"/>
      <c r="G157" s="121"/>
      <c r="H157" s="121"/>
      <c r="I157" s="33"/>
    </row>
    <row r="158" spans="1:14" s="76" customFormat="1" ht="15.75" customHeight="1" x14ac:dyDescent="0.35">
      <c r="A158" s="119">
        <v>1</v>
      </c>
      <c r="B158" s="119"/>
      <c r="C158" s="99" t="s">
        <v>369</v>
      </c>
      <c r="D158" s="82">
        <f>(185.72)*(10.764)</f>
        <v>1999.0900799999999</v>
      </c>
      <c r="E158" s="82">
        <f>(22.75)*(10.764)</f>
        <v>244.88099999999997</v>
      </c>
      <c r="F158" s="99">
        <f>D158+E158</f>
        <v>2243.9710799999998</v>
      </c>
      <c r="G158" s="99">
        <v>0</v>
      </c>
      <c r="H158" s="99">
        <f>F158*(($H$137)+1)+(IF(G158&lt;101,G158,IF(G158&lt;201,G158/2,IF(G158&lt;=301,G158/3,G158/4))))</f>
        <v>3365.9566199999999</v>
      </c>
      <c r="I158" s="33"/>
    </row>
    <row r="159" spans="1:14" s="76" customFormat="1" ht="15.75" customHeight="1" x14ac:dyDescent="0.35">
      <c r="A159" s="119">
        <f>A158+1</f>
        <v>2</v>
      </c>
      <c r="B159" s="119"/>
      <c r="C159" s="99" t="s">
        <v>369</v>
      </c>
      <c r="D159" s="82">
        <f>(182.34)*(10.764)</f>
        <v>1962.70776</v>
      </c>
      <c r="E159" s="82">
        <f>(22.38)*(10.764)</f>
        <v>240.89831999999998</v>
      </c>
      <c r="F159" s="99">
        <f>D159+E159</f>
        <v>2203.60608</v>
      </c>
      <c r="G159" s="99">
        <v>0</v>
      </c>
      <c r="H159" s="99">
        <f>F159*(($H$137)+1)+(IF(G159&lt;101,G159,IF(G159&lt;201,G159/2,IF(G159&lt;=301,G159/3,G159/4))))</f>
        <v>3305.4091200000003</v>
      </c>
      <c r="I159" s="33"/>
    </row>
    <row r="160" spans="1:14" s="76" customFormat="1" ht="15.75" customHeight="1" x14ac:dyDescent="0.35">
      <c r="A160" s="119">
        <f t="shared" ref="A160" si="6">A159+1</f>
        <v>3</v>
      </c>
      <c r="B160" s="119"/>
      <c r="C160" s="99" t="s">
        <v>374</v>
      </c>
      <c r="D160" s="82">
        <f>(133.03)*(10.764)</f>
        <v>1431.9349199999999</v>
      </c>
      <c r="E160" s="82">
        <f>(8.41)*(10.764)</f>
        <v>90.525239999999997</v>
      </c>
      <c r="F160" s="99">
        <f>D160+E160</f>
        <v>1522.4601599999999</v>
      </c>
      <c r="G160" s="99">
        <v>0</v>
      </c>
      <c r="H160" s="99">
        <f>F160*(($H$137)+1)+(IF(G160&lt;101,G160,IF(G160&lt;201,G160/2,IF(G160&lt;=301,G160/3,G160/4))))</f>
        <v>2283.6902399999999</v>
      </c>
      <c r="I160" s="33"/>
    </row>
    <row r="161" spans="1:10" s="84" customFormat="1" ht="15.75" customHeight="1" x14ac:dyDescent="0.35">
      <c r="A161" s="119" t="s">
        <v>418</v>
      </c>
      <c r="B161" s="119"/>
      <c r="C161" s="119" t="s">
        <v>417</v>
      </c>
      <c r="D161" s="119"/>
      <c r="E161" s="119"/>
      <c r="F161" s="119"/>
      <c r="G161" s="119"/>
      <c r="H161" s="119"/>
    </row>
    <row r="162" spans="1:10" s="76" customFormat="1" ht="15.75" customHeight="1" x14ac:dyDescent="0.35">
      <c r="A162" s="119">
        <f>A160+1</f>
        <v>4</v>
      </c>
      <c r="B162" s="119"/>
      <c r="C162" s="99" t="s">
        <v>374</v>
      </c>
      <c r="D162" s="82">
        <f>(127.58)*(10.764)</f>
        <v>1373.2711199999999</v>
      </c>
      <c r="E162" s="82">
        <f>(8.41)*(10.764)</f>
        <v>90.525239999999997</v>
      </c>
      <c r="F162" s="99">
        <f>D162+E162</f>
        <v>1463.7963599999998</v>
      </c>
      <c r="G162" s="99">
        <v>0</v>
      </c>
      <c r="H162" s="99">
        <f>F162*(($H$137)+1)+(IF(G162&lt;101,G162,IF(G162&lt;201,G162/2,IF(G162&lt;=301,G162/3,G162/4))))</f>
        <v>2195.6945399999995</v>
      </c>
      <c r="I162" s="33">
        <f>(5.46*4.46+3.61*3.21+2.44*4.04+1.525*2.14+1.525*1.225+2.44*0.9+2.95*4.49+1.825*1.5+1.525*2.44+3.66*4.49+2.51*1.65+3.965*3.35+2.44*1.475+3.05*1.65+1.225*1.425+1*1.72+1*4.35)</f>
        <v>123.1337</v>
      </c>
    </row>
    <row r="163" spans="1:10" s="76" customFormat="1" ht="15.75" customHeight="1" x14ac:dyDescent="0.35">
      <c r="A163" s="121" t="s">
        <v>375</v>
      </c>
      <c r="B163" s="121"/>
      <c r="C163" s="121"/>
      <c r="D163" s="121"/>
      <c r="E163" s="121"/>
      <c r="F163" s="121"/>
      <c r="G163" s="121"/>
      <c r="H163" s="121"/>
      <c r="I163" s="33"/>
    </row>
    <row r="164" spans="1:10" s="76" customFormat="1" ht="15.75" customHeight="1" x14ac:dyDescent="0.35">
      <c r="A164" s="119">
        <v>1</v>
      </c>
      <c r="B164" s="119"/>
      <c r="C164" s="99" t="s">
        <v>369</v>
      </c>
      <c r="D164" s="82">
        <f>(185.75)*(10.764)</f>
        <v>1999.4129999999998</v>
      </c>
      <c r="E164" s="82">
        <f>(23)*(10.764)</f>
        <v>247.57199999999997</v>
      </c>
      <c r="F164" s="99">
        <f>D164+E164</f>
        <v>2246.9849999999997</v>
      </c>
      <c r="G164" s="99">
        <v>0</v>
      </c>
      <c r="H164" s="99">
        <f>F164*(($H$137)+1)+(IF(G164&lt;101,G164,IF(G164&lt;201,G164/2,IF(G164&lt;=301,G164/3,G164/4))))</f>
        <v>3370.4774999999995</v>
      </c>
      <c r="I164" s="33"/>
    </row>
    <row r="165" spans="1:10" s="76" customFormat="1" ht="15.75" customHeight="1" x14ac:dyDescent="0.35">
      <c r="A165" s="119">
        <f>A164+1</f>
        <v>2</v>
      </c>
      <c r="B165" s="119"/>
      <c r="C165" s="99" t="s">
        <v>369</v>
      </c>
      <c r="D165" s="82">
        <f>(182.43)*(10.764)</f>
        <v>1963.67652</v>
      </c>
      <c r="E165" s="82">
        <f>(22.7)*(10.764)</f>
        <v>244.34279999999998</v>
      </c>
      <c r="F165" s="99">
        <f>D165+E165</f>
        <v>2208.0193199999999</v>
      </c>
      <c r="G165" s="99">
        <v>0</v>
      </c>
      <c r="H165" s="99">
        <f>F165*(($H$137)+1)+(IF(G165&lt;101,G165,IF(G165&lt;201,G165/2,IF(G165&lt;=301,G165/3,G165/4))))</f>
        <v>3312.02898</v>
      </c>
      <c r="I165" s="33"/>
    </row>
    <row r="166" spans="1:10" s="76" customFormat="1" ht="15.75" customHeight="1" x14ac:dyDescent="0.35">
      <c r="A166" s="119">
        <f t="shared" ref="A166:A167" si="7">A165+1</f>
        <v>3</v>
      </c>
      <c r="B166" s="119"/>
      <c r="C166" s="99" t="s">
        <v>369</v>
      </c>
      <c r="D166" s="82">
        <f>(155.23)*(10.764)</f>
        <v>1670.8957199999998</v>
      </c>
      <c r="E166" s="82">
        <f>(8.6)*(10.764)</f>
        <v>92.570399999999992</v>
      </c>
      <c r="F166" s="99">
        <f>D166+E166</f>
        <v>1763.4661199999998</v>
      </c>
      <c r="G166" s="99">
        <v>0</v>
      </c>
      <c r="H166" s="99">
        <f>F166*(($H$137)+1)+(IF(G166&lt;101,G166,IF(G166&lt;201,G166/2,IF(G166&lt;=301,G166/3,G166/4))))</f>
        <v>2645.1991799999996</v>
      </c>
      <c r="I166" s="33"/>
    </row>
    <row r="167" spans="1:10" s="76" customFormat="1" ht="15.75" customHeight="1" x14ac:dyDescent="0.35">
      <c r="A167" s="119">
        <f t="shared" si="7"/>
        <v>4</v>
      </c>
      <c r="B167" s="119"/>
      <c r="C167" s="99" t="s">
        <v>369</v>
      </c>
      <c r="D167" s="82">
        <f>(155.23)*(10.764)</f>
        <v>1670.8957199999998</v>
      </c>
      <c r="E167" s="82">
        <f>(8.6)*(10.764)</f>
        <v>92.570399999999992</v>
      </c>
      <c r="F167" s="99">
        <f>D167+E167</f>
        <v>1763.4661199999998</v>
      </c>
      <c r="G167" s="99">
        <v>0</v>
      </c>
      <c r="H167" s="99">
        <f>F167*(($H$137)+1)+(IF(G167&lt;101,G167,IF(G167&lt;201,G167/2,IF(G167&lt;=301,G167/3,G167/4))))</f>
        <v>2645.1991799999996</v>
      </c>
      <c r="I167" s="33"/>
    </row>
    <row r="168" spans="1:10" s="76" customFormat="1" x14ac:dyDescent="0.35">
      <c r="A168" s="121" t="s">
        <v>376</v>
      </c>
      <c r="B168" s="121"/>
      <c r="C168" s="121"/>
      <c r="D168" s="121"/>
      <c r="E168" s="121"/>
      <c r="F168" s="121"/>
      <c r="G168" s="121"/>
      <c r="H168" s="121"/>
      <c r="I168" s="33"/>
    </row>
    <row r="169" spans="1:10" s="76" customFormat="1" ht="15.75" customHeight="1" x14ac:dyDescent="0.35">
      <c r="A169" s="108">
        <v>1</v>
      </c>
      <c r="B169" s="109"/>
      <c r="C169" s="77" t="s">
        <v>369</v>
      </c>
      <c r="D169" s="82">
        <f>(185.75)*(10.764)</f>
        <v>1999.4129999999998</v>
      </c>
      <c r="E169" s="82">
        <f>(22.75)*(10.764)</f>
        <v>244.88099999999997</v>
      </c>
      <c r="F169" s="77">
        <f>D169+E169</f>
        <v>2244.2939999999999</v>
      </c>
      <c r="G169" s="77">
        <v>0</v>
      </c>
      <c r="H169" s="77">
        <f>F169*(($H$137)+1)+(IF(G169&lt;101,G169,IF(G169&lt;201,G169/2,IF(G169&lt;=301,G169/3,G169/4))))</f>
        <v>3366.4409999999998</v>
      </c>
      <c r="I169" s="33"/>
    </row>
    <row r="170" spans="1:10" s="76" customFormat="1" ht="15.75" customHeight="1" x14ac:dyDescent="0.35">
      <c r="A170" s="108">
        <f>A169+1</f>
        <v>2</v>
      </c>
      <c r="B170" s="109"/>
      <c r="C170" s="77" t="s">
        <v>369</v>
      </c>
      <c r="D170" s="82">
        <f>(182.43)*(10.764)</f>
        <v>1963.67652</v>
      </c>
      <c r="E170" s="82">
        <f>(22.38)*(10.764)</f>
        <v>240.89831999999998</v>
      </c>
      <c r="F170" s="77">
        <f>D170+E170</f>
        <v>2204.5748399999998</v>
      </c>
      <c r="G170" s="77">
        <v>0</v>
      </c>
      <c r="H170" s="77">
        <f>F170*(($H$137)+1)+(IF(G170&lt;101,G170,IF(G170&lt;201,G170/2,IF(G170&lt;=301,G170/3,G170/4))))</f>
        <v>3306.8622599999999</v>
      </c>
      <c r="I170" s="33"/>
    </row>
    <row r="171" spans="1:10" s="76" customFormat="1" ht="15.75" customHeight="1" x14ac:dyDescent="0.35">
      <c r="A171" s="108">
        <f t="shared" ref="A171" si="8">A170+1</f>
        <v>3</v>
      </c>
      <c r="B171" s="109"/>
      <c r="C171" s="77" t="s">
        <v>374</v>
      </c>
      <c r="D171" s="82">
        <f>(133.15)*(10.764)</f>
        <v>1433.2266</v>
      </c>
      <c r="E171" s="82">
        <f>(8.41)*(10.764)</f>
        <v>90.525239999999997</v>
      </c>
      <c r="F171" s="77">
        <f>D171+E171</f>
        <v>1523.7518399999999</v>
      </c>
      <c r="G171" s="77">
        <v>0</v>
      </c>
      <c r="H171" s="77">
        <f>F171*(($H$137)+1)+(IF(G171&lt;101,G171,IF(G171&lt;201,G171/2,IF(G171&lt;=301,G171/3,G171/4))))</f>
        <v>2285.6277599999999</v>
      </c>
      <c r="I171" s="33"/>
    </row>
    <row r="172" spans="1:10" s="84" customFormat="1" ht="15.75" customHeight="1" x14ac:dyDescent="0.35">
      <c r="A172" s="108" t="s">
        <v>418</v>
      </c>
      <c r="B172" s="109"/>
      <c r="C172" s="108" t="s">
        <v>417</v>
      </c>
      <c r="D172" s="120"/>
      <c r="E172" s="120"/>
      <c r="F172" s="120"/>
      <c r="G172" s="120"/>
      <c r="H172" s="109"/>
      <c r="I172" s="33">
        <f>(5.46*4.46+3.61*3.21+2.44*4.04+1.525*2.14+1.525*1.225+2.44*0.9+2.95*4.49+1.825*1.5+1.525*2.44+3.66*4.49+2.51*1.65+3.965*3.35+2.44*1.475+3.05*1.65+1.225*1.425+1*1.72+1*4.35)</f>
        <v>123.1337</v>
      </c>
    </row>
    <row r="173" spans="1:10" s="76" customFormat="1" ht="15.75" customHeight="1" x14ac:dyDescent="0.35">
      <c r="A173" s="108">
        <f>A171+1</f>
        <v>4</v>
      </c>
      <c r="B173" s="109"/>
      <c r="C173" s="77" t="s">
        <v>374</v>
      </c>
      <c r="D173" s="82">
        <f>(127.69)*(10.764)</f>
        <v>1374.45516</v>
      </c>
      <c r="E173" s="82">
        <f>(8.41)*(10.764)</f>
        <v>90.525239999999997</v>
      </c>
      <c r="F173" s="77">
        <f>D173+E173</f>
        <v>1464.9803999999999</v>
      </c>
      <c r="G173" s="77">
        <v>0</v>
      </c>
      <c r="H173" s="77">
        <f>F173*(($H$137)+1)+(IF(G173&lt;101,G173,IF(G173&lt;201,G173/2,IF(G173&lt;=301,G173/3,G173/4))))</f>
        <v>2197.4705999999996</v>
      </c>
      <c r="I173" s="33"/>
    </row>
    <row r="174" spans="1:10" s="76" customFormat="1" x14ac:dyDescent="0.35">
      <c r="A174" s="113" t="s">
        <v>377</v>
      </c>
      <c r="B174" s="114"/>
      <c r="C174" s="114"/>
      <c r="D174" s="114"/>
      <c r="E174" s="114"/>
      <c r="F174" s="114"/>
      <c r="G174" s="114"/>
      <c r="H174" s="115"/>
      <c r="J174" s="33"/>
    </row>
    <row r="175" spans="1:10" s="76" customFormat="1" ht="15.75" customHeight="1" x14ac:dyDescent="0.35">
      <c r="A175" s="113" t="s">
        <v>379</v>
      </c>
      <c r="B175" s="114"/>
      <c r="C175" s="114"/>
      <c r="D175" s="114"/>
      <c r="E175" s="114"/>
      <c r="F175" s="114"/>
      <c r="G175" s="114"/>
      <c r="H175" s="115"/>
      <c r="I175" s="33"/>
    </row>
    <row r="176" spans="1:10" s="76" customFormat="1" ht="15.75" customHeight="1" x14ac:dyDescent="0.35">
      <c r="A176" s="108">
        <v>1</v>
      </c>
      <c r="B176" s="109"/>
      <c r="C176" s="77" t="s">
        <v>369</v>
      </c>
      <c r="D176" s="82">
        <f>(185.92)*(10.764)</f>
        <v>2001.2428799999998</v>
      </c>
      <c r="E176" s="82">
        <f>(23)*(10.764)</f>
        <v>247.57199999999997</v>
      </c>
      <c r="F176" s="77">
        <f>D176+E176</f>
        <v>2248.8148799999999</v>
      </c>
      <c r="G176" s="77">
        <v>0</v>
      </c>
      <c r="H176" s="77">
        <f>F176*(($H$137)+1)+(IF(G176&lt;101,G176,IF(G176&lt;201,G176/2,IF(G176&lt;=301,G176/3,G176/4))))</f>
        <v>3373.2223199999999</v>
      </c>
      <c r="I176" s="33"/>
    </row>
    <row r="177" spans="1:11" s="76" customFormat="1" ht="15.75" customHeight="1" x14ac:dyDescent="0.35">
      <c r="A177" s="108">
        <f>A176+1</f>
        <v>2</v>
      </c>
      <c r="B177" s="109"/>
      <c r="C177" s="77" t="s">
        <v>369</v>
      </c>
      <c r="D177" s="82">
        <f>(182.53)*(10.764)</f>
        <v>1964.7529199999999</v>
      </c>
      <c r="E177" s="82">
        <f>(22.7)*(10.764)</f>
        <v>244.34279999999998</v>
      </c>
      <c r="F177" s="77">
        <f>D177+E177</f>
        <v>2209.0957199999998</v>
      </c>
      <c r="G177" s="77">
        <v>0</v>
      </c>
      <c r="H177" s="77">
        <f>F177*(($H$137)+1)+(IF(G177&lt;101,G177,IF(G177&lt;201,G177/2,IF(G177&lt;=301,G177/3,G177/4))))</f>
        <v>3313.6435799999999</v>
      </c>
      <c r="I177" s="33"/>
    </row>
    <row r="178" spans="1:11" s="76" customFormat="1" ht="15.75" customHeight="1" x14ac:dyDescent="0.35">
      <c r="A178" s="108">
        <f t="shared" ref="A178:A179" si="9">A177+1</f>
        <v>3</v>
      </c>
      <c r="B178" s="109"/>
      <c r="C178" s="77" t="s">
        <v>369</v>
      </c>
      <c r="D178" s="82">
        <f>(155.35)*(10.764)</f>
        <v>1672.1873999999998</v>
      </c>
      <c r="E178" s="82">
        <f>(8.78)*(10.764)</f>
        <v>94.507919999999984</v>
      </c>
      <c r="F178" s="77">
        <f>D178+E178</f>
        <v>1766.6953199999998</v>
      </c>
      <c r="G178" s="77">
        <v>0</v>
      </c>
      <c r="H178" s="77">
        <f>F178*(($H$137)+1)+(IF(G178&lt;101,G178,IF(G178&lt;201,G178/2,IF(G178&lt;=301,G178/3,G178/4))))</f>
        <v>2650.0429799999997</v>
      </c>
      <c r="I178" s="33"/>
    </row>
    <row r="179" spans="1:11" s="76" customFormat="1" ht="15.75" customHeight="1" x14ac:dyDescent="0.35">
      <c r="A179" s="108">
        <f t="shared" si="9"/>
        <v>4</v>
      </c>
      <c r="B179" s="109"/>
      <c r="C179" s="77" t="s">
        <v>369</v>
      </c>
      <c r="D179" s="82">
        <f>(155.35)*(10.764)</f>
        <v>1672.1873999999998</v>
      </c>
      <c r="E179" s="82">
        <f>(8.78)*(10.764)</f>
        <v>94.507919999999984</v>
      </c>
      <c r="F179" s="77">
        <f>D179+E179</f>
        <v>1766.6953199999998</v>
      </c>
      <c r="G179" s="77">
        <v>0</v>
      </c>
      <c r="H179" s="77">
        <f>F179*(($H$137)+1)+(IF(G179&lt;101,G179,IF(G179&lt;201,G179/2,IF(G179&lt;=301,G179/3,G179/4))))</f>
        <v>2650.0429799999997</v>
      </c>
      <c r="I179" s="33"/>
    </row>
    <row r="180" spans="1:11" s="76" customFormat="1" ht="15.75" customHeight="1" x14ac:dyDescent="0.35">
      <c r="A180" s="113" t="s">
        <v>378</v>
      </c>
      <c r="B180" s="114"/>
      <c r="C180" s="114"/>
      <c r="D180" s="114"/>
      <c r="E180" s="114"/>
      <c r="F180" s="114"/>
      <c r="G180" s="114"/>
      <c r="H180" s="115"/>
      <c r="I180" s="33"/>
    </row>
    <row r="181" spans="1:11" s="76" customFormat="1" ht="15.75" customHeight="1" x14ac:dyDescent="0.35">
      <c r="A181" s="108">
        <v>1</v>
      </c>
      <c r="B181" s="109"/>
      <c r="C181" s="77" t="s">
        <v>369</v>
      </c>
      <c r="D181" s="82">
        <f>(185.92)*(10.764)</f>
        <v>2001.2428799999998</v>
      </c>
      <c r="E181" s="82">
        <f>(23)*(10.764)</f>
        <v>247.57199999999997</v>
      </c>
      <c r="F181" s="77">
        <f>D181+E181</f>
        <v>2248.8148799999999</v>
      </c>
      <c r="G181" s="77">
        <v>0</v>
      </c>
      <c r="H181" s="77">
        <f>F181*(($H$137)+1)+(IF(G181&lt;101,G181,IF(G181&lt;201,G181/2,IF(G181&lt;=301,G181/3,G181/4))))</f>
        <v>3373.2223199999999</v>
      </c>
      <c r="I181" s="33"/>
    </row>
    <row r="182" spans="1:11" s="76" customFormat="1" ht="15.75" customHeight="1" x14ac:dyDescent="0.35">
      <c r="A182" s="108">
        <f>A181+1</f>
        <v>2</v>
      </c>
      <c r="B182" s="109"/>
      <c r="C182" s="77" t="s">
        <v>369</v>
      </c>
      <c r="D182" s="82">
        <f>(182.53)*(10.764)</f>
        <v>1964.7529199999999</v>
      </c>
      <c r="E182" s="82">
        <f>(22.7)*(10.764)</f>
        <v>244.34279999999998</v>
      </c>
      <c r="F182" s="77">
        <f>D182+E182</f>
        <v>2209.0957199999998</v>
      </c>
      <c r="G182" s="77">
        <v>0</v>
      </c>
      <c r="H182" s="77">
        <f>F182*(($H$137)+1)+(IF(G182&lt;101,G182,IF(G182&lt;201,G182/2,IF(G182&lt;=301,G182/3,G182/4))))</f>
        <v>3313.6435799999999</v>
      </c>
      <c r="I182" s="33"/>
    </row>
    <row r="183" spans="1:11" s="76" customFormat="1" ht="15.75" customHeight="1" x14ac:dyDescent="0.35">
      <c r="A183" s="108">
        <f t="shared" ref="A183" si="10">A182+1</f>
        <v>3</v>
      </c>
      <c r="B183" s="109"/>
      <c r="C183" s="77" t="s">
        <v>374</v>
      </c>
      <c r="D183" s="82">
        <f>(133.27)*(10.764)</f>
        <v>1434.51828</v>
      </c>
      <c r="E183" s="82">
        <f>(8.78)*(10.764)</f>
        <v>94.507919999999984</v>
      </c>
      <c r="F183" s="77">
        <f>D183+E183</f>
        <v>1529.0262</v>
      </c>
      <c r="G183" s="77">
        <v>0</v>
      </c>
      <c r="H183" s="77">
        <f>F183*(($H$137)+1)+(IF(G183&lt;101,G183,IF(G183&lt;201,G183/2,IF(G183&lt;=301,G183/3,G183/4))))</f>
        <v>2293.5392999999999</v>
      </c>
      <c r="I183" s="33"/>
    </row>
    <row r="184" spans="1:11" s="84" customFormat="1" ht="15.75" customHeight="1" x14ac:dyDescent="0.35">
      <c r="A184" s="108" t="s">
        <v>418</v>
      </c>
      <c r="B184" s="109"/>
      <c r="C184" s="108" t="s">
        <v>417</v>
      </c>
      <c r="D184" s="120"/>
      <c r="E184" s="120"/>
      <c r="F184" s="120"/>
      <c r="G184" s="120"/>
      <c r="H184" s="109"/>
      <c r="I184" s="33">
        <f>(5.46*4.46+3.61*3.21+2.44*4.04+1.525*2.14+1.525*1.225+2.44*0.9+2.95*4.49+1.825*1.5+1.525*2.44+3.66*4.49+2.51*1.65+3.965*3.35+2.44*1.475+3.05*1.65+1.225*1.425+1*1.72+1*4.35)</f>
        <v>123.1337</v>
      </c>
    </row>
    <row r="185" spans="1:11" s="76" customFormat="1" ht="15.75" customHeight="1" x14ac:dyDescent="0.35">
      <c r="A185" s="108">
        <f>A183+1</f>
        <v>4</v>
      </c>
      <c r="B185" s="109"/>
      <c r="C185" s="77" t="s">
        <v>374</v>
      </c>
      <c r="D185" s="82">
        <f>(127.82)*(10.764)</f>
        <v>1375.8544799999997</v>
      </c>
      <c r="E185" s="82">
        <f>(8.78)*(10.764)</f>
        <v>94.507919999999984</v>
      </c>
      <c r="F185" s="77">
        <f>D185+E185</f>
        <v>1470.3623999999998</v>
      </c>
      <c r="G185" s="77">
        <v>0</v>
      </c>
      <c r="H185" s="77">
        <f>F185*(($H$137)+1)+(IF(G185&lt;101,G185,IF(G185&lt;201,G185/2,IF(G185&lt;=301,G185/3,G185/4))))</f>
        <v>2205.5435999999995</v>
      </c>
      <c r="I185" s="33"/>
    </row>
    <row r="186" spans="1:11" s="76" customFormat="1" x14ac:dyDescent="0.35">
      <c r="A186" s="113" t="s">
        <v>381</v>
      </c>
      <c r="B186" s="114"/>
      <c r="C186" s="114"/>
      <c r="D186" s="114"/>
      <c r="E186" s="114"/>
      <c r="F186" s="114"/>
      <c r="G186" s="114"/>
      <c r="H186" s="115"/>
      <c r="J186" s="33"/>
    </row>
    <row r="187" spans="1:11" s="76" customFormat="1" x14ac:dyDescent="0.35">
      <c r="A187" s="110" t="s">
        <v>380</v>
      </c>
      <c r="B187" s="111"/>
      <c r="C187" s="111"/>
      <c r="D187" s="111"/>
      <c r="E187" s="111"/>
      <c r="F187" s="111"/>
      <c r="G187" s="111"/>
      <c r="H187" s="112"/>
      <c r="J187" s="33"/>
    </row>
    <row r="188" spans="1:11" s="80" customFormat="1" x14ac:dyDescent="0.35">
      <c r="A188" s="113" t="s">
        <v>401</v>
      </c>
      <c r="B188" s="114"/>
      <c r="C188" s="114"/>
      <c r="D188" s="114"/>
      <c r="E188" s="114"/>
      <c r="F188" s="114"/>
      <c r="G188" s="114"/>
      <c r="H188" s="115"/>
      <c r="J188" s="33"/>
      <c r="K188" s="86"/>
    </row>
    <row r="189" spans="1:11" s="80" customFormat="1" x14ac:dyDescent="0.35">
      <c r="A189" s="113" t="s">
        <v>400</v>
      </c>
      <c r="B189" s="114"/>
      <c r="C189" s="114"/>
      <c r="D189" s="114"/>
      <c r="E189" s="114"/>
      <c r="F189" s="114"/>
      <c r="G189" s="114"/>
      <c r="H189" s="115"/>
      <c r="J189" s="33"/>
      <c r="K189" s="86"/>
    </row>
    <row r="190" spans="1:11" s="76" customFormat="1" ht="32.25" customHeight="1" x14ac:dyDescent="0.35">
      <c r="A190" s="113" t="s">
        <v>382</v>
      </c>
      <c r="B190" s="114"/>
      <c r="C190" s="114"/>
      <c r="D190" s="114"/>
      <c r="E190" s="114"/>
      <c r="F190" s="114"/>
      <c r="G190" s="114"/>
      <c r="H190" s="115"/>
      <c r="J190" s="33"/>
    </row>
    <row r="191" spans="1:11" s="76" customFormat="1" x14ac:dyDescent="0.35">
      <c r="A191" s="113" t="s">
        <v>385</v>
      </c>
      <c r="B191" s="114"/>
      <c r="C191" s="114"/>
      <c r="D191" s="114"/>
      <c r="E191" s="114"/>
      <c r="F191" s="114"/>
      <c r="G191" s="114"/>
      <c r="H191" s="115"/>
      <c r="I191" s="33"/>
    </row>
    <row r="192" spans="1:11" s="76" customFormat="1" ht="15.75" customHeight="1" x14ac:dyDescent="0.35">
      <c r="A192" s="108">
        <v>1</v>
      </c>
      <c r="B192" s="109"/>
      <c r="C192" s="77" t="s">
        <v>374</v>
      </c>
      <c r="D192" s="82">
        <f>(103.49)*(10.764)</f>
        <v>1113.9663599999999</v>
      </c>
      <c r="E192" s="82">
        <f>(7.03)*(10.764)</f>
        <v>75.670919999999995</v>
      </c>
      <c r="F192" s="77">
        <f t="shared" ref="F192:F197" si="11">D192+E192</f>
        <v>1189.6372799999999</v>
      </c>
      <c r="G192" s="77">
        <v>0</v>
      </c>
      <c r="H192" s="77">
        <f t="shared" ref="H192:H197" si="12">F192*(($H$137)+1)+(IF(G192&lt;101,G192,IF(G192&lt;201,G192/2,IF(G192&lt;=301,G192/3,G192/4))))</f>
        <v>1784.4559199999999</v>
      </c>
      <c r="I192" s="33"/>
    </row>
    <row r="193" spans="1:10" s="76" customFormat="1" ht="15.75" customHeight="1" x14ac:dyDescent="0.35">
      <c r="A193" s="108">
        <f>A192+1</f>
        <v>2</v>
      </c>
      <c r="B193" s="109"/>
      <c r="C193" s="77" t="s">
        <v>374</v>
      </c>
      <c r="D193" s="82">
        <f>(100.72)*(10.764)</f>
        <v>1084.1500799999999</v>
      </c>
      <c r="E193" s="82">
        <f>(6.76)*(10.764)</f>
        <v>72.76464</v>
      </c>
      <c r="F193" s="77">
        <f t="shared" si="11"/>
        <v>1156.91472</v>
      </c>
      <c r="G193" s="77">
        <v>0</v>
      </c>
      <c r="H193" s="77">
        <f t="shared" si="12"/>
        <v>1735.3720800000001</v>
      </c>
      <c r="I193" s="81">
        <f>(3.36*3.15+4.225*3.45+1.275*2.975+2.29*3.05+3.05*3.375+3.5*3.975+2.45*1.525+2.9*1.525+2.05*0.6+3.5*3.65+2.45*1.525+0.9*1.6+0.9*0.75+0.9*2.35+1.525*2.45)</f>
        <v>94.010374999999996</v>
      </c>
      <c r="J193" s="81">
        <f>2.285*1.93+1.915*1.225</f>
        <v>6.7559250000000004</v>
      </c>
    </row>
    <row r="194" spans="1:10" s="76" customFormat="1" ht="15.75" customHeight="1" x14ac:dyDescent="0.35">
      <c r="A194" s="108">
        <f t="shared" ref="A194:A196" si="13">A193+1</f>
        <v>3</v>
      </c>
      <c r="B194" s="109"/>
      <c r="C194" s="77" t="s">
        <v>374</v>
      </c>
      <c r="D194" s="82">
        <f>(110.36)*(10.764)</f>
        <v>1187.9150399999999</v>
      </c>
      <c r="E194" s="82">
        <f>(7.03)*(10.764)</f>
        <v>75.670919999999995</v>
      </c>
      <c r="F194" s="77">
        <f t="shared" si="11"/>
        <v>1263.5859599999999</v>
      </c>
      <c r="G194" s="77">
        <v>0</v>
      </c>
      <c r="H194" s="77">
        <f t="shared" si="12"/>
        <v>1895.3789399999998</v>
      </c>
      <c r="I194" s="33"/>
    </row>
    <row r="195" spans="1:10" s="76" customFormat="1" ht="15.75" customHeight="1" x14ac:dyDescent="0.35">
      <c r="A195" s="108">
        <f t="shared" si="13"/>
        <v>4</v>
      </c>
      <c r="B195" s="109"/>
      <c r="C195" s="77" t="s">
        <v>374</v>
      </c>
      <c r="D195" s="82">
        <f>(103.59)*(10.764)</f>
        <v>1115.04276</v>
      </c>
      <c r="E195" s="82">
        <f>(7.03)*(10.764)</f>
        <v>75.670919999999995</v>
      </c>
      <c r="F195" s="77">
        <f t="shared" si="11"/>
        <v>1190.7136800000001</v>
      </c>
      <c r="G195" s="77">
        <v>0</v>
      </c>
      <c r="H195" s="77">
        <f t="shared" si="12"/>
        <v>1786.0705200000002</v>
      </c>
      <c r="I195" s="33">
        <f>(6.25*3.35+3.125*1.675+3.655*2.45+3.95*3.05+1.525*2.45+4.575*3.35+1.925*1.525+1.525*2.45+3.125*3.975+1.825*0.6+1.525*2.45+1.825*1.525+1.2*2.25+1.625*1.375+1*0.4)</f>
        <v>98.279125000000008</v>
      </c>
      <c r="J195" s="81">
        <f>1.6*3.3+0.97*1.8</f>
        <v>7.0259999999999998</v>
      </c>
    </row>
    <row r="196" spans="1:10" s="76" customFormat="1" ht="15.75" customHeight="1" x14ac:dyDescent="0.35">
      <c r="A196" s="108">
        <f t="shared" si="13"/>
        <v>5</v>
      </c>
      <c r="B196" s="109"/>
      <c r="C196" s="77" t="s">
        <v>374</v>
      </c>
      <c r="D196" s="82">
        <f>(100.72)*(10.764)</f>
        <v>1084.1500799999999</v>
      </c>
      <c r="E196" s="82">
        <f>(6.76)*(10.764)</f>
        <v>72.76464</v>
      </c>
      <c r="F196" s="77">
        <f t="shared" si="11"/>
        <v>1156.91472</v>
      </c>
      <c r="G196" s="77">
        <v>0</v>
      </c>
      <c r="H196" s="77">
        <f t="shared" si="12"/>
        <v>1735.3720800000001</v>
      </c>
    </row>
    <row r="197" spans="1:10" s="76" customFormat="1" ht="15.75" customHeight="1" x14ac:dyDescent="0.35">
      <c r="A197" s="108">
        <f t="shared" ref="A197" si="14">A196+1</f>
        <v>6</v>
      </c>
      <c r="B197" s="109"/>
      <c r="C197" s="77" t="s">
        <v>374</v>
      </c>
      <c r="D197" s="82">
        <f>(103.49)*(10.764)</f>
        <v>1113.9663599999999</v>
      </c>
      <c r="E197" s="82">
        <f>(7.03)*(10.764)</f>
        <v>75.670919999999995</v>
      </c>
      <c r="F197" s="77">
        <f t="shared" si="11"/>
        <v>1189.6372799999999</v>
      </c>
      <c r="G197" s="77">
        <v>0</v>
      </c>
      <c r="H197" s="77">
        <f t="shared" si="12"/>
        <v>1784.4559199999999</v>
      </c>
      <c r="I197" s="33"/>
      <c r="J197" s="81"/>
    </row>
    <row r="198" spans="1:10" s="79" customFormat="1" ht="15.75" customHeight="1" x14ac:dyDescent="0.35">
      <c r="A198" s="121" t="s">
        <v>383</v>
      </c>
      <c r="B198" s="121"/>
      <c r="C198" s="121"/>
      <c r="D198" s="121"/>
      <c r="E198" s="121"/>
      <c r="F198" s="121"/>
      <c r="G198" s="121"/>
      <c r="H198" s="121"/>
      <c r="I198" s="33"/>
    </row>
    <row r="199" spans="1:10" s="79" customFormat="1" ht="15.75" customHeight="1" x14ac:dyDescent="0.35">
      <c r="A199" s="119">
        <v>1</v>
      </c>
      <c r="B199" s="119"/>
      <c r="C199" s="99" t="s">
        <v>384</v>
      </c>
      <c r="D199" s="82">
        <f>(86.9)*(10.764)</f>
        <v>935.39160000000004</v>
      </c>
      <c r="E199" s="82">
        <f>(7.03)*(10.764)</f>
        <v>75.670919999999995</v>
      </c>
      <c r="F199" s="99">
        <f t="shared" ref="F199:F204" si="15">D199+E199</f>
        <v>1011.0625200000001</v>
      </c>
      <c r="G199" s="99">
        <v>0</v>
      </c>
      <c r="H199" s="99">
        <f t="shared" ref="H199:H204" si="16">F199*(($H$137)+1)+(IF(G199&lt;101,G199,IF(G199&lt;201,G199/2,IF(G199&lt;=301,G199/3,G199/4))))</f>
        <v>1516.5937800000002</v>
      </c>
      <c r="I199" s="33">
        <f>(6.25*3.35+3.125*1.675+1.9*1.375+3.655*2.45+4.575*3.35+1.925*1.525+3.125*3.975+1.825*0.6+1.525*2.45+1.525*2.45+1.825*1.525+1.1*2.25)</f>
        <v>82.248499999999993</v>
      </c>
    </row>
    <row r="200" spans="1:10" s="79" customFormat="1" ht="15.75" customHeight="1" x14ac:dyDescent="0.35">
      <c r="A200" s="119">
        <f>A199+1</f>
        <v>2</v>
      </c>
      <c r="B200" s="119"/>
      <c r="C200" s="99" t="s">
        <v>374</v>
      </c>
      <c r="D200" s="82">
        <f>(100.72)*(10.764)</f>
        <v>1084.1500799999999</v>
      </c>
      <c r="E200" s="82">
        <f>(6.76)*(10.764)</f>
        <v>72.76464</v>
      </c>
      <c r="F200" s="99">
        <f t="shared" si="15"/>
        <v>1156.91472</v>
      </c>
      <c r="G200" s="99">
        <v>0</v>
      </c>
      <c r="H200" s="99">
        <f t="shared" si="16"/>
        <v>1735.3720800000001</v>
      </c>
      <c r="I200" s="33"/>
    </row>
    <row r="201" spans="1:10" s="79" customFormat="1" ht="15.75" customHeight="1" x14ac:dyDescent="0.35">
      <c r="A201" s="119">
        <f t="shared" ref="A201:A204" si="17">A200+1</f>
        <v>3</v>
      </c>
      <c r="B201" s="119"/>
      <c r="C201" s="99" t="s">
        <v>374</v>
      </c>
      <c r="D201" s="82">
        <f>(110.36)*(10.764)</f>
        <v>1187.9150399999999</v>
      </c>
      <c r="E201" s="82">
        <f>(7.03)*(10.764)</f>
        <v>75.670919999999995</v>
      </c>
      <c r="F201" s="99">
        <f t="shared" si="15"/>
        <v>1263.5859599999999</v>
      </c>
      <c r="G201" s="99">
        <v>0</v>
      </c>
      <c r="H201" s="99">
        <f t="shared" si="16"/>
        <v>1895.3789399999998</v>
      </c>
      <c r="I201" s="33">
        <f>(6.25*3.35+3.125*1.675+3.655*2.45+4.575*3.35+1.925*1.525+1.525*2.45+3.125*3.975+1.825*0.6+1.525*2.45+3.95*3.05+1.525*2.45+1.825*1.525+1.2*2.25+2.1*1.55+1.45*1.55+1.6*1.5+1.1*0.45)</f>
        <v>104.04225000000001</v>
      </c>
    </row>
    <row r="202" spans="1:10" s="79" customFormat="1" ht="15.75" customHeight="1" x14ac:dyDescent="0.35">
      <c r="A202" s="119">
        <f t="shared" si="17"/>
        <v>4</v>
      </c>
      <c r="B202" s="119"/>
      <c r="C202" s="99" t="s">
        <v>374</v>
      </c>
      <c r="D202" s="82">
        <f>(103.49)*(10.764)</f>
        <v>1113.9663599999999</v>
      </c>
      <c r="E202" s="82">
        <f>(7.03)*(10.764)</f>
        <v>75.670919999999995</v>
      </c>
      <c r="F202" s="99">
        <f>D202+E202</f>
        <v>1189.6372799999999</v>
      </c>
      <c r="G202" s="99">
        <v>0</v>
      </c>
      <c r="H202" s="99">
        <f t="shared" si="16"/>
        <v>1784.4559199999999</v>
      </c>
      <c r="I202" s="33"/>
    </row>
    <row r="203" spans="1:10" s="79" customFormat="1" ht="15.75" customHeight="1" x14ac:dyDescent="0.35">
      <c r="A203" s="119">
        <f t="shared" si="17"/>
        <v>5</v>
      </c>
      <c r="B203" s="119"/>
      <c r="C203" s="99" t="s">
        <v>374</v>
      </c>
      <c r="D203" s="82">
        <f>(100.72)*(10.764)</f>
        <v>1084.1500799999999</v>
      </c>
      <c r="E203" s="82">
        <f>(6.76)*(10.764)</f>
        <v>72.76464</v>
      </c>
      <c r="F203" s="99">
        <f t="shared" si="15"/>
        <v>1156.91472</v>
      </c>
      <c r="G203" s="99">
        <v>0</v>
      </c>
      <c r="H203" s="99">
        <f t="shared" si="16"/>
        <v>1735.3720800000001</v>
      </c>
      <c r="I203" s="33"/>
    </row>
    <row r="204" spans="1:10" s="79" customFormat="1" ht="15.75" customHeight="1" x14ac:dyDescent="0.35">
      <c r="A204" s="119">
        <f t="shared" si="17"/>
        <v>6</v>
      </c>
      <c r="B204" s="119"/>
      <c r="C204" s="99" t="s">
        <v>384</v>
      </c>
      <c r="D204" s="82">
        <f>(86.9)*(10.764)</f>
        <v>935.39160000000004</v>
      </c>
      <c r="E204" s="82">
        <f>(7.03)*(10.764)</f>
        <v>75.670919999999995</v>
      </c>
      <c r="F204" s="99">
        <f t="shared" si="15"/>
        <v>1011.0625200000001</v>
      </c>
      <c r="G204" s="99">
        <v>0</v>
      </c>
      <c r="H204" s="99">
        <f t="shared" si="16"/>
        <v>1516.5937800000002</v>
      </c>
      <c r="I204" s="33"/>
    </row>
    <row r="205" spans="1:10" s="84" customFormat="1" ht="15.75" customHeight="1" x14ac:dyDescent="0.35">
      <c r="A205" s="119" t="s">
        <v>418</v>
      </c>
      <c r="B205" s="119"/>
      <c r="C205" s="119" t="s">
        <v>417</v>
      </c>
      <c r="D205" s="119"/>
      <c r="E205" s="119"/>
      <c r="F205" s="119"/>
      <c r="G205" s="119"/>
      <c r="H205" s="119"/>
      <c r="I205" s="33"/>
    </row>
    <row r="206" spans="1:10" s="79" customFormat="1" x14ac:dyDescent="0.35">
      <c r="A206" s="121" t="s">
        <v>377</v>
      </c>
      <c r="B206" s="121"/>
      <c r="C206" s="121"/>
      <c r="D206" s="121"/>
      <c r="E206" s="121"/>
      <c r="F206" s="121"/>
      <c r="G206" s="121"/>
      <c r="H206" s="121"/>
      <c r="J206" s="33"/>
    </row>
    <row r="207" spans="1:10" s="79" customFormat="1" x14ac:dyDescent="0.35">
      <c r="A207" s="121" t="s">
        <v>379</v>
      </c>
      <c r="B207" s="121"/>
      <c r="C207" s="121"/>
      <c r="D207" s="121"/>
      <c r="E207" s="121"/>
      <c r="F207" s="121"/>
      <c r="G207" s="121"/>
      <c r="H207" s="121"/>
      <c r="I207" s="33"/>
    </row>
    <row r="208" spans="1:10" s="79" customFormat="1" ht="15.75" customHeight="1" x14ac:dyDescent="0.35">
      <c r="A208" s="119">
        <v>1</v>
      </c>
      <c r="B208" s="119"/>
      <c r="C208" s="99" t="s">
        <v>374</v>
      </c>
      <c r="D208" s="82">
        <f>(103.49)*(10.764)</f>
        <v>1113.9663599999999</v>
      </c>
      <c r="E208" s="82">
        <f>(7.03)*(10.764)</f>
        <v>75.670919999999995</v>
      </c>
      <c r="F208" s="99">
        <f t="shared" ref="F208:F213" si="18">D208+E208</f>
        <v>1189.6372799999999</v>
      </c>
      <c r="G208" s="99">
        <v>0</v>
      </c>
      <c r="H208" s="99">
        <f t="shared" ref="H208:H213" si="19">F208*(($H$137)+1)+(IF(G208&lt;101,G208,IF(G208&lt;201,G208/2,IF(G208&lt;=301,G208/3,G208/4))))</f>
        <v>1784.4559199999999</v>
      </c>
      <c r="I208" s="33"/>
    </row>
    <row r="209" spans="1:14" s="79" customFormat="1" ht="15.75" customHeight="1" x14ac:dyDescent="0.35">
      <c r="A209" s="119">
        <f>A208+1</f>
        <v>2</v>
      </c>
      <c r="B209" s="119"/>
      <c r="C209" s="99" t="s">
        <v>374</v>
      </c>
      <c r="D209" s="82">
        <f>(101.73)*(10.764)</f>
        <v>1095.02172</v>
      </c>
      <c r="E209" s="82">
        <f>(6.76)*(10.764)</f>
        <v>72.76464</v>
      </c>
      <c r="F209" s="99">
        <f t="shared" si="18"/>
        <v>1167.7863600000001</v>
      </c>
      <c r="G209" s="99">
        <v>0</v>
      </c>
      <c r="H209" s="99">
        <f t="shared" si="19"/>
        <v>1751.6795400000001</v>
      </c>
      <c r="I209" s="33"/>
    </row>
    <row r="210" spans="1:14" s="79" customFormat="1" ht="15.75" customHeight="1" x14ac:dyDescent="0.35">
      <c r="A210" s="119">
        <f t="shared" ref="A210:A213" si="20">A209+1</f>
        <v>3</v>
      </c>
      <c r="B210" s="119"/>
      <c r="C210" s="99" t="s">
        <v>374</v>
      </c>
      <c r="D210" s="82">
        <f>(110.36)*(10.764)</f>
        <v>1187.9150399999999</v>
      </c>
      <c r="E210" s="82">
        <f>(7.03)*(10.764)</f>
        <v>75.670919999999995</v>
      </c>
      <c r="F210" s="99">
        <f t="shared" si="18"/>
        <v>1263.5859599999999</v>
      </c>
      <c r="G210" s="99">
        <v>0</v>
      </c>
      <c r="H210" s="99">
        <f t="shared" si="19"/>
        <v>1895.3789399999998</v>
      </c>
      <c r="I210" s="33"/>
    </row>
    <row r="211" spans="1:14" s="79" customFormat="1" ht="15.75" customHeight="1" x14ac:dyDescent="0.35">
      <c r="A211" s="119">
        <f t="shared" si="20"/>
        <v>4</v>
      </c>
      <c r="B211" s="119"/>
      <c r="C211" s="95" t="s">
        <v>374</v>
      </c>
      <c r="D211" s="82">
        <f>(103.59)*(10.764)</f>
        <v>1115.04276</v>
      </c>
      <c r="E211" s="82">
        <f>(7.03)*(10.764)</f>
        <v>75.670919999999995</v>
      </c>
      <c r="F211" s="95">
        <f t="shared" si="18"/>
        <v>1190.7136800000001</v>
      </c>
      <c r="G211" s="95">
        <v>0</v>
      </c>
      <c r="H211" s="95">
        <f t="shared" si="19"/>
        <v>1786.0705200000002</v>
      </c>
      <c r="I211" s="33"/>
    </row>
    <row r="212" spans="1:14" s="79" customFormat="1" ht="15.75" customHeight="1" x14ac:dyDescent="0.35">
      <c r="A212" s="108">
        <f t="shared" si="20"/>
        <v>5</v>
      </c>
      <c r="B212" s="109"/>
      <c r="C212" s="78" t="s">
        <v>374</v>
      </c>
      <c r="D212" s="82">
        <f>(101.73)*(10.764)</f>
        <v>1095.02172</v>
      </c>
      <c r="E212" s="82">
        <f>(6.76)*(10.764)</f>
        <v>72.76464</v>
      </c>
      <c r="F212" s="78">
        <f t="shared" si="18"/>
        <v>1167.7863600000001</v>
      </c>
      <c r="G212" s="78">
        <v>0</v>
      </c>
      <c r="H212" s="78">
        <f t="shared" si="19"/>
        <v>1751.6795400000001</v>
      </c>
      <c r="I212" s="33">
        <f>(4.225*3.55+3.36*3.15+2.29*3.05+3.05*3.375+0.85*0.75+3.55*3.975+2.5*1.525+0.9*1.65+2.9*1.525+2.05*0.6+3.55*3.65+2.5*1.525+1*1.65+0.9*2.25+1.525*2.55+2.975*1.275)</f>
        <v>96.686625000000006</v>
      </c>
    </row>
    <row r="213" spans="1:14" s="79" customFormat="1" ht="15.75" customHeight="1" x14ac:dyDescent="0.35">
      <c r="A213" s="108">
        <f t="shared" si="20"/>
        <v>6</v>
      </c>
      <c r="B213" s="109"/>
      <c r="C213" s="78" t="s">
        <v>374</v>
      </c>
      <c r="D213" s="82">
        <f>(103.49)*(10.764)</f>
        <v>1113.9663599999999</v>
      </c>
      <c r="E213" s="82">
        <f>(7.03)*(10.764)</f>
        <v>75.670919999999995</v>
      </c>
      <c r="F213" s="78">
        <f t="shared" si="18"/>
        <v>1189.6372799999999</v>
      </c>
      <c r="G213" s="78">
        <v>0</v>
      </c>
      <c r="H213" s="78">
        <f t="shared" si="19"/>
        <v>1784.4559199999999</v>
      </c>
      <c r="I213" s="33"/>
    </row>
    <row r="214" spans="1:14" s="79" customFormat="1" ht="15.75" customHeight="1" x14ac:dyDescent="0.35">
      <c r="A214" s="113" t="s">
        <v>378</v>
      </c>
      <c r="B214" s="114"/>
      <c r="C214" s="114"/>
      <c r="D214" s="114"/>
      <c r="E214" s="114"/>
      <c r="F214" s="114"/>
      <c r="G214" s="114"/>
      <c r="H214" s="115"/>
      <c r="I214" s="33"/>
    </row>
    <row r="215" spans="1:14" s="79" customFormat="1" ht="15.75" customHeight="1" x14ac:dyDescent="0.35">
      <c r="A215" s="108">
        <v>1</v>
      </c>
      <c r="B215" s="109"/>
      <c r="C215" s="78" t="s">
        <v>384</v>
      </c>
      <c r="D215" s="82">
        <f>(86.9)*(10.764)</f>
        <v>935.39160000000004</v>
      </c>
      <c r="E215" s="82">
        <f>(7.03)*(10.764)</f>
        <v>75.670919999999995</v>
      </c>
      <c r="F215" s="78">
        <f t="shared" ref="F215:F220" si="21">D215+E215</f>
        <v>1011.0625200000001</v>
      </c>
      <c r="G215" s="78">
        <v>0</v>
      </c>
      <c r="H215" s="78">
        <f t="shared" ref="H215:H220" si="22">F215*(($H$137)+1)+(IF(G215&lt;101,G215,IF(G215&lt;201,G215/2,IF(G215&lt;=301,G215/3,G215/4))))</f>
        <v>1516.5937800000002</v>
      </c>
      <c r="I215" s="33"/>
    </row>
    <row r="216" spans="1:14" s="79" customFormat="1" ht="15.75" customHeight="1" x14ac:dyDescent="0.35">
      <c r="A216" s="108">
        <f>A215+1</f>
        <v>2</v>
      </c>
      <c r="B216" s="109"/>
      <c r="C216" s="78" t="s">
        <v>374</v>
      </c>
      <c r="D216" s="82">
        <f>(101.73)*(10.764)</f>
        <v>1095.02172</v>
      </c>
      <c r="E216" s="82">
        <f>(6.76)*(10.764)</f>
        <v>72.76464</v>
      </c>
      <c r="F216" s="78">
        <f t="shared" si="21"/>
        <v>1167.7863600000001</v>
      </c>
      <c r="G216" s="78">
        <v>0</v>
      </c>
      <c r="H216" s="78">
        <f t="shared" si="22"/>
        <v>1751.6795400000001</v>
      </c>
      <c r="I216" s="33"/>
    </row>
    <row r="217" spans="1:14" s="79" customFormat="1" ht="15.75" customHeight="1" x14ac:dyDescent="0.35">
      <c r="A217" s="108">
        <f t="shared" ref="A217:A220" si="23">A216+1</f>
        <v>3</v>
      </c>
      <c r="B217" s="109"/>
      <c r="C217" s="78" t="s">
        <v>374</v>
      </c>
      <c r="D217" s="82">
        <f>(110.36)*(10.764)</f>
        <v>1187.9150399999999</v>
      </c>
      <c r="E217" s="82">
        <f>(7.03)*(10.764)</f>
        <v>75.670919999999995</v>
      </c>
      <c r="F217" s="78">
        <f t="shared" si="21"/>
        <v>1263.5859599999999</v>
      </c>
      <c r="G217" s="78">
        <v>0</v>
      </c>
      <c r="H217" s="78">
        <f t="shared" si="22"/>
        <v>1895.3789399999998</v>
      </c>
      <c r="I217" s="33"/>
    </row>
    <row r="218" spans="1:14" s="79" customFormat="1" ht="15.75" customHeight="1" x14ac:dyDescent="0.35">
      <c r="A218" s="108">
        <f t="shared" si="23"/>
        <v>4</v>
      </c>
      <c r="B218" s="109"/>
      <c r="C218" s="78" t="s">
        <v>374</v>
      </c>
      <c r="D218" s="82">
        <f>(103.59)*(10.764)</f>
        <v>1115.04276</v>
      </c>
      <c r="E218" s="82">
        <f>(7.03)*(10.764)</f>
        <v>75.670919999999995</v>
      </c>
      <c r="F218" s="78">
        <f t="shared" si="21"/>
        <v>1190.7136800000001</v>
      </c>
      <c r="G218" s="78">
        <v>0</v>
      </c>
      <c r="H218" s="78">
        <f t="shared" si="22"/>
        <v>1786.0705200000002</v>
      </c>
      <c r="I218" s="33"/>
    </row>
    <row r="219" spans="1:14" s="79" customFormat="1" ht="15.75" customHeight="1" x14ac:dyDescent="0.35">
      <c r="A219" s="108">
        <f t="shared" si="23"/>
        <v>5</v>
      </c>
      <c r="B219" s="109"/>
      <c r="C219" s="78" t="s">
        <v>374</v>
      </c>
      <c r="D219" s="82">
        <f>(101.73)*(10.764)</f>
        <v>1095.02172</v>
      </c>
      <c r="E219" s="82">
        <f>(6.76)*(10.764)</f>
        <v>72.76464</v>
      </c>
      <c r="F219" s="78">
        <f t="shared" si="21"/>
        <v>1167.7863600000001</v>
      </c>
      <c r="G219" s="78">
        <v>0</v>
      </c>
      <c r="H219" s="78">
        <f t="shared" si="22"/>
        <v>1751.6795400000001</v>
      </c>
      <c r="I219" s="33"/>
    </row>
    <row r="220" spans="1:14" s="79" customFormat="1" ht="15.75" customHeight="1" x14ac:dyDescent="0.35">
      <c r="A220" s="108">
        <f t="shared" si="23"/>
        <v>6</v>
      </c>
      <c r="B220" s="109"/>
      <c r="C220" s="78" t="s">
        <v>384</v>
      </c>
      <c r="D220" s="82">
        <f>(86.9)*(10.764)</f>
        <v>935.39160000000004</v>
      </c>
      <c r="E220" s="82">
        <f>(7.03)*(10.764)</f>
        <v>75.670919999999995</v>
      </c>
      <c r="F220" s="78">
        <f t="shared" si="21"/>
        <v>1011.0625200000001</v>
      </c>
      <c r="G220" s="78">
        <v>0</v>
      </c>
      <c r="H220" s="78">
        <f t="shared" si="22"/>
        <v>1516.5937800000002</v>
      </c>
      <c r="I220" s="33"/>
    </row>
    <row r="221" spans="1:14" s="84" customFormat="1" ht="15.75" customHeight="1" x14ac:dyDescent="0.35">
      <c r="A221" s="108" t="s">
        <v>418</v>
      </c>
      <c r="B221" s="109"/>
      <c r="C221" s="108" t="s">
        <v>417</v>
      </c>
      <c r="D221" s="120"/>
      <c r="E221" s="120"/>
      <c r="F221" s="120"/>
      <c r="G221" s="120"/>
      <c r="H221" s="109"/>
      <c r="I221" s="33"/>
    </row>
    <row r="222" spans="1:14" s="84" customFormat="1" ht="15.75" customHeight="1" x14ac:dyDescent="0.35">
      <c r="A222" s="113" t="s">
        <v>381</v>
      </c>
      <c r="B222" s="114"/>
      <c r="C222" s="114"/>
      <c r="D222" s="114"/>
      <c r="E222" s="114"/>
      <c r="F222" s="114"/>
      <c r="G222" s="114"/>
      <c r="H222" s="115"/>
      <c r="J222" s="33"/>
    </row>
    <row r="223" spans="1:14" s="34" customFormat="1" hidden="1" x14ac:dyDescent="0.35">
      <c r="A223" s="113" t="s">
        <v>117</v>
      </c>
      <c r="B223" s="114"/>
      <c r="C223" s="114"/>
      <c r="D223" s="114"/>
      <c r="E223" s="114"/>
      <c r="F223" s="114"/>
      <c r="G223" s="114"/>
      <c r="H223" s="115"/>
      <c r="J223" s="33"/>
    </row>
    <row r="224" spans="1:14" s="34" customFormat="1" ht="15.75" hidden="1" customHeight="1" x14ac:dyDescent="0.35">
      <c r="A224" s="108">
        <v>1</v>
      </c>
      <c r="B224" s="109"/>
      <c r="C224" s="39"/>
      <c r="D224" s="39"/>
      <c r="E224" s="39">
        <v>0</v>
      </c>
      <c r="F224" s="39">
        <f>D224+E224</f>
        <v>0</v>
      </c>
      <c r="G224" s="50">
        <v>0</v>
      </c>
      <c r="H224" s="50">
        <f>F224*(($H$137)+1)+(IF(G224&lt;101,G224,IF(G224&lt;201,G224/2,IF(G224&lt;=301,G224/3,G224/4))))</f>
        <v>0</v>
      </c>
      <c r="I224" s="33"/>
      <c r="L224" s="141"/>
      <c r="M224" s="141"/>
      <c r="N224" s="33"/>
    </row>
    <row r="225" spans="1:20" s="34" customFormat="1" ht="15.75" hidden="1" customHeight="1" x14ac:dyDescent="0.35">
      <c r="A225" s="108">
        <f>A224+1</f>
        <v>2</v>
      </c>
      <c r="B225" s="109"/>
      <c r="C225" s="39"/>
      <c r="D225" s="39"/>
      <c r="E225" s="39">
        <v>0</v>
      </c>
      <c r="F225" s="50">
        <f>D225+E225</f>
        <v>0</v>
      </c>
      <c r="G225" s="50">
        <v>0</v>
      </c>
      <c r="H225" s="50">
        <f>F225*(($H$137)+1)+(IF(G225&lt;101,G225,IF(G225&lt;201,G225/2,IF(G225&lt;=301,G225/3,G225/4))))</f>
        <v>0</v>
      </c>
      <c r="I225" s="33"/>
      <c r="L225" s="141"/>
      <c r="M225" s="141"/>
      <c r="N225" s="33"/>
    </row>
    <row r="226" spans="1:20" s="34" customFormat="1" ht="15.75" hidden="1" customHeight="1" x14ac:dyDescent="0.35">
      <c r="A226" s="108">
        <f>A225+1</f>
        <v>3</v>
      </c>
      <c r="B226" s="109"/>
      <c r="C226" s="39"/>
      <c r="D226" s="39"/>
      <c r="E226" s="39">
        <v>0</v>
      </c>
      <c r="F226" s="50">
        <f>D226+E226</f>
        <v>0</v>
      </c>
      <c r="G226" s="50">
        <v>0</v>
      </c>
      <c r="H226" s="50">
        <f>F226*(($H$137)+1)+(IF(G226&lt;101,G226,IF(G226&lt;201,G226/2,IF(G226&lt;=301,G226/3,G226/4))))</f>
        <v>0</v>
      </c>
      <c r="I226" s="33"/>
      <c r="L226" s="141"/>
      <c r="M226" s="141"/>
      <c r="N226" s="33"/>
    </row>
    <row r="227" spans="1:20" s="34" customFormat="1" ht="15.75" hidden="1" customHeight="1" x14ac:dyDescent="0.35">
      <c r="A227" s="108">
        <f>A226+1</f>
        <v>4</v>
      </c>
      <c r="B227" s="109"/>
      <c r="C227" s="39"/>
      <c r="D227" s="39"/>
      <c r="E227" s="39">
        <v>0</v>
      </c>
      <c r="F227" s="50">
        <f>D227+E227</f>
        <v>0</v>
      </c>
      <c r="G227" s="50">
        <v>0</v>
      </c>
      <c r="H227" s="50">
        <f>F227*(($H$137)+1)+(IF(G227&lt;101,G227,IF(G227&lt;201,G227/2,IF(G227&lt;=301,G227/3,G227/4))))</f>
        <v>0</v>
      </c>
      <c r="I227" s="33"/>
      <c r="L227" s="141"/>
      <c r="M227" s="141"/>
      <c r="N227" s="33"/>
      <c r="T227" s="18"/>
    </row>
    <row r="228" spans="1:20" s="34" customFormat="1" hidden="1" x14ac:dyDescent="0.35">
      <c r="A228" s="121" t="s">
        <v>118</v>
      </c>
      <c r="B228" s="121"/>
      <c r="C228" s="121"/>
      <c r="D228" s="121"/>
      <c r="E228" s="121"/>
      <c r="F228" s="121"/>
      <c r="G228" s="121"/>
      <c r="H228" s="121"/>
      <c r="I228" s="33"/>
      <c r="L228" s="141"/>
      <c r="M228" s="141"/>
    </row>
    <row r="229" spans="1:20" s="34" customFormat="1" hidden="1" x14ac:dyDescent="0.35">
      <c r="A229" s="119">
        <f>LEFT(A228,SUM(LEN(A228)-LEN(SUBSTITUTE(A228,{"0","1","2","3","4","5","6","7","8","9"},""))))*100+1</f>
        <v>201</v>
      </c>
      <c r="B229" s="119"/>
      <c r="C229" s="39"/>
      <c r="D229" s="39"/>
      <c r="E229" s="50">
        <v>0</v>
      </c>
      <c r="F229" s="50">
        <f>D229+E229</f>
        <v>0</v>
      </c>
      <c r="G229" s="50">
        <v>0</v>
      </c>
      <c r="H229" s="50">
        <f>F229*(($H$137)+1)+(IF(G229&lt;101,G229,IF(G229&lt;201,G229/2,IF(G229&lt;=301,G229/3,G229/4))))</f>
        <v>0</v>
      </c>
      <c r="I229" s="33"/>
      <c r="N229" s="33"/>
    </row>
    <row r="230" spans="1:20" s="34" customFormat="1" hidden="1" x14ac:dyDescent="0.35">
      <c r="A230" s="119">
        <f>A229+1</f>
        <v>202</v>
      </c>
      <c r="B230" s="119"/>
      <c r="C230" s="39"/>
      <c r="D230" s="39"/>
      <c r="E230" s="50">
        <v>0</v>
      </c>
      <c r="F230" s="50">
        <f>D230+E230</f>
        <v>0</v>
      </c>
      <c r="G230" s="50">
        <v>0</v>
      </c>
      <c r="H230" s="50">
        <f>F230*(($H$137)+1)+(IF(G230&lt;101,G230,IF(G230&lt;201,G230/2,IF(G230&lt;=301,G230/3,G230/4))))</f>
        <v>0</v>
      </c>
      <c r="I230" s="33"/>
      <c r="N230" s="33"/>
    </row>
    <row r="231" spans="1:20" s="34" customFormat="1" hidden="1" x14ac:dyDescent="0.35">
      <c r="A231" s="119">
        <f>A230+1</f>
        <v>203</v>
      </c>
      <c r="B231" s="119"/>
      <c r="C231" s="39"/>
      <c r="D231" s="39"/>
      <c r="E231" s="50">
        <v>0</v>
      </c>
      <c r="F231" s="50">
        <f>D231+E231</f>
        <v>0</v>
      </c>
      <c r="G231" s="50">
        <v>0</v>
      </c>
      <c r="H231" s="50">
        <f>F231*(($H$137)+1)+(IF(G231&lt;101,G231,IF(G231&lt;201,G231/2,IF(G231&lt;=301,G231/3,G231/4))))</f>
        <v>0</v>
      </c>
      <c r="I231" s="33"/>
      <c r="N231" s="33"/>
    </row>
    <row r="232" spans="1:20" s="34" customFormat="1" hidden="1" x14ac:dyDescent="0.35">
      <c r="A232" s="119">
        <f>A231+1</f>
        <v>204</v>
      </c>
      <c r="B232" s="119"/>
      <c r="C232" s="39"/>
      <c r="D232" s="39"/>
      <c r="E232" s="50">
        <v>0</v>
      </c>
      <c r="F232" s="50">
        <f>D232+E232</f>
        <v>0</v>
      </c>
      <c r="G232" s="50">
        <v>0</v>
      </c>
      <c r="H232" s="50">
        <f>F232*(($H$137)+1)+(IF(G232&lt;101,G232,IF(G232&lt;201,G232/2,IF(G232&lt;=301,G232/3,G232/4))))</f>
        <v>0</v>
      </c>
      <c r="I232" s="33"/>
      <c r="N232" s="33"/>
    </row>
    <row r="233" spans="1:20" s="34" customFormat="1" hidden="1" x14ac:dyDescent="0.35">
      <c r="A233" s="119">
        <f>A232+1</f>
        <v>205</v>
      </c>
      <c r="B233" s="119"/>
      <c r="C233" s="39"/>
      <c r="D233" s="39"/>
      <c r="E233" s="50">
        <v>0</v>
      </c>
      <c r="F233" s="50">
        <f>D233+E233</f>
        <v>0</v>
      </c>
      <c r="G233" s="50">
        <v>0</v>
      </c>
      <c r="H233" s="50">
        <f>F233*(($H$137)+1)+(IF(G233&lt;101,G233,IF(G233&lt;201,G233/2,IF(G233&lt;=301,G233/3,G233/4))))</f>
        <v>0</v>
      </c>
      <c r="I233" s="33"/>
      <c r="N233" s="33"/>
    </row>
    <row r="234" spans="1:20" s="34" customFormat="1" ht="15.75" hidden="1" customHeight="1" x14ac:dyDescent="0.35">
      <c r="A234" s="113" t="s">
        <v>149</v>
      </c>
      <c r="B234" s="114"/>
      <c r="C234" s="114"/>
      <c r="D234" s="114"/>
      <c r="E234" s="114"/>
      <c r="F234" s="114"/>
      <c r="G234" s="114"/>
      <c r="H234" s="115"/>
      <c r="I234" s="33"/>
    </row>
    <row r="235" spans="1:20" s="34" customFormat="1" ht="15.75" hidden="1" customHeight="1" x14ac:dyDescent="0.35">
      <c r="A235" s="108"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10^ROW(INDIRECT("1:"&amp;LEN((LEFT(A234,SUM(LEN(A234)-LEN(SUBSTITUTE(A234,{"0","1","2"},""))))))))/10))*100+1&amp;""&amp;" ,..,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",LEN(A234))),LEN(A234)))))))/10))*100+1</f>
        <v>301 ,.., 1501</v>
      </c>
      <c r="B235" s="109"/>
      <c r="C235" s="39"/>
      <c r="D235" s="39"/>
      <c r="E235" s="50">
        <v>0</v>
      </c>
      <c r="F235" s="50">
        <f>D235+E235</f>
        <v>0</v>
      </c>
      <c r="G235" s="50">
        <v>0</v>
      </c>
      <c r="H235" s="50">
        <f>F235*(($H$137)+1)+(IF(G235&lt;101,G235,IF(G235&lt;201,G235/2,IF(G235&lt;=301,G235/3,G235/4))))</f>
        <v>0</v>
      </c>
      <c r="I235" s="33"/>
    </row>
    <row r="236" spans="1:20" s="34" customFormat="1" ht="15.75" hidden="1" customHeight="1" x14ac:dyDescent="0.35">
      <c r="A236" s="108"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302 ,.., 1502</v>
      </c>
      <c r="B236" s="109"/>
      <c r="C236" s="39"/>
      <c r="D236" s="39"/>
      <c r="E236" s="50">
        <v>0</v>
      </c>
      <c r="F236" s="50">
        <f>D236+E236</f>
        <v>0</v>
      </c>
      <c r="G236" s="50">
        <v>0</v>
      </c>
      <c r="H236" s="50">
        <f>F236*(($H$137)+1)+(IF(G236&lt;101,G236,IF(G236&lt;201,G236/2,IF(G236&lt;=301,G236/3,G236/4))))</f>
        <v>0</v>
      </c>
      <c r="I236" s="33"/>
    </row>
    <row r="237" spans="1:20" s="34" customFormat="1" ht="15.75" hidden="1" customHeight="1" x14ac:dyDescent="0.35">
      <c r="A237" s="108"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303 ,.., 1503</v>
      </c>
      <c r="B237" s="109"/>
      <c r="C237" s="39"/>
      <c r="D237" s="39"/>
      <c r="E237" s="50">
        <v>0</v>
      </c>
      <c r="F237" s="50">
        <f>D237+E237</f>
        <v>0</v>
      </c>
      <c r="G237" s="50">
        <v>0</v>
      </c>
      <c r="H237" s="50">
        <f>F237*(($H$137)+1)+(IF(G237&lt;101,G237,IF(G237&lt;201,G237/2,IF(G237&lt;=301,G237/3,G237/4))))</f>
        <v>0</v>
      </c>
      <c r="I237" s="33"/>
    </row>
    <row r="238" spans="1:20" s="34" customFormat="1" ht="15.75" hidden="1" customHeight="1" x14ac:dyDescent="0.35">
      <c r="A238" s="108"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304 ,.., 1504</v>
      </c>
      <c r="B238" s="109"/>
      <c r="C238" s="39"/>
      <c r="D238" s="39"/>
      <c r="E238" s="50">
        <v>0</v>
      </c>
      <c r="F238" s="50">
        <f>D238+E238</f>
        <v>0</v>
      </c>
      <c r="G238" s="50">
        <v>0</v>
      </c>
      <c r="H238" s="50">
        <f>F238*(($H$137)+1)+(IF(G238&lt;101,G238,IF(G238&lt;201,G238/2,IF(G238&lt;=301,G238/3,G238/4))))</f>
        <v>0</v>
      </c>
      <c r="I238" s="33"/>
    </row>
    <row r="239" spans="1:20" s="34" customFormat="1" ht="15.75" hidden="1" customHeight="1" x14ac:dyDescent="0.35">
      <c r="A239" s="108"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305 ,.., 1505</v>
      </c>
      <c r="B239" s="109"/>
      <c r="C239" s="39"/>
      <c r="D239" s="39"/>
      <c r="E239" s="50">
        <v>0</v>
      </c>
      <c r="F239" s="50">
        <f>D239+E239</f>
        <v>0</v>
      </c>
      <c r="G239" s="50">
        <v>0</v>
      </c>
      <c r="H239" s="50">
        <f>F239*(($H$137)+1)+(IF(G239&lt;101,G239,IF(G239&lt;201,G239/2,IF(G239&lt;=301,G239/3,G239/4))))</f>
        <v>0</v>
      </c>
      <c r="I239" s="33"/>
    </row>
    <row r="240" spans="1:20" s="34" customFormat="1" hidden="1" x14ac:dyDescent="0.35">
      <c r="A240" s="113" t="s">
        <v>143</v>
      </c>
      <c r="B240" s="114"/>
      <c r="C240" s="114"/>
      <c r="D240" s="114"/>
      <c r="E240" s="114"/>
      <c r="F240" s="114"/>
      <c r="G240" s="114"/>
      <c r="H240" s="115"/>
      <c r="I240" s="33"/>
    </row>
    <row r="241" spans="1:20" s="34" customFormat="1" ht="15.75" hidden="1" customHeight="1" x14ac:dyDescent="0.35">
      <c r="A241" s="108"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10^ROW(INDIRECT("1:"&amp;LEN((LEFT(A240,SUM(LEN(A240)-LEN(SUBSTITUTE(A240,{"0","1","2"},""))))))))/10))*100+1&amp;""&amp;" to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",LEN(A240))),LEN(A240)))))))/10))*100+1</f>
        <v>201 to 501</v>
      </c>
      <c r="B241" s="109"/>
      <c r="C241" s="39"/>
      <c r="D241" s="39"/>
      <c r="E241" s="50">
        <v>0</v>
      </c>
      <c r="F241" s="50">
        <f>D241+E241</f>
        <v>0</v>
      </c>
      <c r="G241" s="50">
        <v>0</v>
      </c>
      <c r="H241" s="50">
        <f>F241*(($H$137)+1)+(IF(G241&lt;101,G241,IF(G241&lt;201,G241/2,IF(G241&lt;=301,G241/3,G241/4))))</f>
        <v>0</v>
      </c>
      <c r="I241" s="33"/>
    </row>
    <row r="242" spans="1:20" s="34" customFormat="1" ht="15.75" hidden="1" customHeight="1" x14ac:dyDescent="0.35">
      <c r="A242" s="108"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to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202 to 502</v>
      </c>
      <c r="B242" s="109"/>
      <c r="C242" s="39"/>
      <c r="D242" s="39"/>
      <c r="E242" s="50">
        <v>0</v>
      </c>
      <c r="F242" s="50">
        <f>D242+E242</f>
        <v>0</v>
      </c>
      <c r="G242" s="50">
        <v>0</v>
      </c>
      <c r="H242" s="50">
        <f>F242*(($H$137)+1)+(IF(G242&lt;101,G242,IF(G242&lt;201,G242/2,IF(G242&lt;=301,G242/3,G242/4))))</f>
        <v>0</v>
      </c>
      <c r="I242" s="33"/>
    </row>
    <row r="243" spans="1:20" s="34" customFormat="1" ht="15.75" hidden="1" customHeight="1" x14ac:dyDescent="0.35">
      <c r="A243" s="108"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to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203 to 503</v>
      </c>
      <c r="B243" s="109"/>
      <c r="C243" s="39"/>
      <c r="D243" s="39"/>
      <c r="E243" s="50">
        <v>0</v>
      </c>
      <c r="F243" s="50">
        <f>D243+E243</f>
        <v>0</v>
      </c>
      <c r="G243" s="50">
        <v>0</v>
      </c>
      <c r="H243" s="50">
        <f>F243*(($H$137)+1)+(IF(G243&lt;101,G243,IF(G243&lt;201,G243/2,IF(G243&lt;=301,G243/3,G243/4))))</f>
        <v>0</v>
      </c>
      <c r="I243" s="33"/>
    </row>
    <row r="244" spans="1:20" s="34" customFormat="1" ht="15.75" hidden="1" customHeight="1" x14ac:dyDescent="0.35">
      <c r="A244" s="108"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to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204 to 504</v>
      </c>
      <c r="B244" s="109"/>
      <c r="C244" s="39"/>
      <c r="D244" s="39"/>
      <c r="E244" s="50">
        <v>0</v>
      </c>
      <c r="F244" s="50">
        <f>D244+E244</f>
        <v>0</v>
      </c>
      <c r="G244" s="50">
        <v>0</v>
      </c>
      <c r="H244" s="50">
        <f>F244*(($H$137)+1)+(IF(G244&lt;101,G244,IF(G244&lt;201,G244/2,IF(G244&lt;=301,G244/3,G244/4))))</f>
        <v>0</v>
      </c>
      <c r="I244" s="33"/>
    </row>
    <row r="245" spans="1:20" s="34" customFormat="1" ht="15.75" hidden="1" customHeight="1" x14ac:dyDescent="0.35">
      <c r="A245" s="108"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to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205 to 505</v>
      </c>
      <c r="B245" s="109"/>
      <c r="C245" s="39"/>
      <c r="D245" s="39"/>
      <c r="E245" s="50">
        <v>0</v>
      </c>
      <c r="F245" s="50">
        <f>D245+E245</f>
        <v>0</v>
      </c>
      <c r="G245" s="50">
        <v>0</v>
      </c>
      <c r="H245" s="50">
        <f>F245*(($H$137)+1)+(IF(G245&lt;101,G245,IF(G245&lt;201,G245/2,IF(G245&lt;=301,G245/3,G245/4))))</f>
        <v>0</v>
      </c>
      <c r="I245" s="33"/>
    </row>
    <row r="246" spans="1:20" s="34" customFormat="1" hidden="1" x14ac:dyDescent="0.35">
      <c r="A246" s="113" t="s">
        <v>144</v>
      </c>
      <c r="B246" s="114"/>
      <c r="C246" s="114"/>
      <c r="D246" s="114"/>
      <c r="E246" s="114"/>
      <c r="F246" s="114"/>
      <c r="G246" s="114"/>
      <c r="H246" s="115"/>
      <c r="I246" s="33"/>
    </row>
    <row r="247" spans="1:20" s="34" customFormat="1" ht="15.75" hidden="1" customHeight="1" x14ac:dyDescent="0.35">
      <c r="A247" s="108"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10^ROW(INDIRECT("1:"&amp;LEN((LEFT(A246,SUM(LEN(A246)-LEN(SUBSTITUTE(A246,{"0","1","2"},""))))))))/10))*100+1&amp;""&amp;" &amp;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",LEN(A246))),LEN(A246)))))))/10))*100+1</f>
        <v>201 &amp; 501</v>
      </c>
      <c r="B247" s="109"/>
      <c r="C247" s="39"/>
      <c r="D247" s="39"/>
      <c r="E247" s="50">
        <v>0</v>
      </c>
      <c r="F247" s="50">
        <f>D247+E247</f>
        <v>0</v>
      </c>
      <c r="G247" s="50">
        <v>0</v>
      </c>
      <c r="H247" s="50">
        <f>F247*(($H$137)+1)+(IF(G247&lt;101,G247,IF(G247&lt;201,G247/2,IF(G247&lt;=301,G247/3,G247/4))))</f>
        <v>0</v>
      </c>
      <c r="I247" s="33"/>
    </row>
    <row r="248" spans="1:20" s="34" customFormat="1" ht="15.75" hidden="1" customHeight="1" x14ac:dyDescent="0.35">
      <c r="A248" s="108"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&amp;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202 &amp; 502</v>
      </c>
      <c r="B248" s="109"/>
      <c r="C248" s="39"/>
      <c r="D248" s="39"/>
      <c r="E248" s="50">
        <v>0</v>
      </c>
      <c r="F248" s="50">
        <f>D248+E248</f>
        <v>0</v>
      </c>
      <c r="G248" s="50">
        <v>0</v>
      </c>
      <c r="H248" s="50">
        <f>F248*(($H$137)+1)+(IF(G248&lt;101,G248,IF(G248&lt;201,G248/2,IF(G248&lt;=301,G248/3,G248/4))))</f>
        <v>0</v>
      </c>
      <c r="I248" s="33"/>
    </row>
    <row r="249" spans="1:20" s="34" customFormat="1" ht="15.75" hidden="1" customHeight="1" x14ac:dyDescent="0.35">
      <c r="A249" s="108"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&amp;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203 &amp; 503</v>
      </c>
      <c r="B249" s="109"/>
      <c r="C249" s="39"/>
      <c r="D249" s="39"/>
      <c r="E249" s="50">
        <v>0</v>
      </c>
      <c r="F249" s="50">
        <f>D249+E249</f>
        <v>0</v>
      </c>
      <c r="G249" s="50">
        <v>0</v>
      </c>
      <c r="H249" s="50">
        <f>F249*(($H$137)+1)+(IF(G249&lt;101,G249,IF(G249&lt;201,G249/2,IF(G249&lt;=301,G249/3,G249/4))))</f>
        <v>0</v>
      </c>
      <c r="I249" s="33"/>
    </row>
    <row r="250" spans="1:20" s="34" customFormat="1" ht="15.75" hidden="1" customHeight="1" x14ac:dyDescent="0.35">
      <c r="A250" s="108"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&amp;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204 &amp; 504</v>
      </c>
      <c r="B250" s="109"/>
      <c r="C250" s="39"/>
      <c r="D250" s="39"/>
      <c r="E250" s="50">
        <v>0</v>
      </c>
      <c r="F250" s="50">
        <f>D250+E250</f>
        <v>0</v>
      </c>
      <c r="G250" s="50">
        <v>0</v>
      </c>
      <c r="H250" s="50">
        <f>F250*(($H$137)+1)+(IF(G250&lt;101,G250,IF(G250&lt;201,G250/2,IF(G250&lt;=301,G250/3,G250/4))))</f>
        <v>0</v>
      </c>
      <c r="I250" s="33"/>
    </row>
    <row r="251" spans="1:20" s="34" customFormat="1" ht="15.75" hidden="1" customHeight="1" x14ac:dyDescent="0.35">
      <c r="A251" s="108"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&amp;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205 &amp; 505</v>
      </c>
      <c r="B251" s="109"/>
      <c r="C251" s="39"/>
      <c r="D251" s="39"/>
      <c r="E251" s="50">
        <v>0</v>
      </c>
      <c r="F251" s="50">
        <f>D251+E251</f>
        <v>0</v>
      </c>
      <c r="G251" s="50">
        <v>0</v>
      </c>
      <c r="H251" s="50">
        <f>F251*(($H$137)+1)+(IF(G251&lt;101,G251,IF(G251&lt;201,G251/2,IF(G251&lt;=301,G251/3,G251/4))))</f>
        <v>0</v>
      </c>
      <c r="I251" s="33"/>
    </row>
    <row r="252" spans="1:20" s="32" customFormat="1" x14ac:dyDescent="0.35">
      <c r="A252" s="240" t="s">
        <v>65</v>
      </c>
      <c r="B252" s="240"/>
      <c r="C252" s="240"/>
      <c r="D252" s="240"/>
      <c r="E252" s="240"/>
      <c r="F252" s="240"/>
      <c r="G252" s="240"/>
      <c r="H252" s="240"/>
      <c r="T252" s="34"/>
    </row>
    <row r="253" spans="1:20" s="32" customFormat="1" x14ac:dyDescent="0.35">
      <c r="A253" s="85">
        <v>1</v>
      </c>
      <c r="B253" s="116" t="s">
        <v>397</v>
      </c>
      <c r="C253" s="117"/>
      <c r="D253" s="117"/>
      <c r="E253" s="117"/>
      <c r="F253" s="117"/>
      <c r="G253" s="117"/>
      <c r="H253" s="118"/>
      <c r="T253" s="34"/>
    </row>
    <row r="254" spans="1:20" s="32" customFormat="1" x14ac:dyDescent="0.35">
      <c r="A254" s="40">
        <f>A253+1</f>
        <v>2</v>
      </c>
      <c r="B254" s="116" t="str">
        <f>(IF(H136="Saleable area Loading :","We have considered Saleable area of Flats as per our Calculation.","We considered Saleable area of Flat as per Builder area Sheet."))</f>
        <v>We have considered Saleable area of Flats as per our Calculation.</v>
      </c>
      <c r="C254" s="117"/>
      <c r="D254" s="117"/>
      <c r="E254" s="117"/>
      <c r="F254" s="117"/>
      <c r="G254" s="117"/>
      <c r="H254" s="118"/>
      <c r="T254" s="34"/>
    </row>
    <row r="255" spans="1:20" s="32" customFormat="1" x14ac:dyDescent="0.35">
      <c r="A255" s="98">
        <f t="shared" ref="A255:A261" si="24">A254+1</f>
        <v>3</v>
      </c>
      <c r="B255" s="116" t="str">
        <f>(IF(H128="Saleable area Loading :","We have considered Saleable area of Commercial as per our Calculation.","We considered Saleable area of Commercial as per Builder area Sheet."))</f>
        <v>We have considered Saleable area of Commercial as per our Calculation.</v>
      </c>
      <c r="C255" s="117"/>
      <c r="D255" s="117"/>
      <c r="E255" s="117"/>
      <c r="F255" s="117"/>
      <c r="G255" s="117"/>
      <c r="H255" s="118"/>
      <c r="T255" s="34"/>
    </row>
    <row r="256" spans="1:20" s="32" customFormat="1" x14ac:dyDescent="0.35">
      <c r="A256" s="98">
        <f t="shared" si="24"/>
        <v>4</v>
      </c>
      <c r="B256" s="105" t="s">
        <v>120</v>
      </c>
      <c r="C256" s="106"/>
      <c r="D256" s="106"/>
      <c r="E256" s="106"/>
      <c r="F256" s="106"/>
      <c r="G256" s="106"/>
      <c r="H256" s="107"/>
      <c r="T256" s="34"/>
    </row>
    <row r="257" spans="1:20" s="32" customFormat="1" x14ac:dyDescent="0.35">
      <c r="A257" s="98">
        <f t="shared" si="24"/>
        <v>5</v>
      </c>
      <c r="B257" s="105" t="s">
        <v>386</v>
      </c>
      <c r="C257" s="106"/>
      <c r="D257" s="106"/>
      <c r="E257" s="106"/>
      <c r="F257" s="106"/>
      <c r="G257" s="106"/>
      <c r="H257" s="107"/>
      <c r="T257" s="34"/>
    </row>
    <row r="258" spans="1:20" s="32" customFormat="1" x14ac:dyDescent="0.35">
      <c r="A258" s="98">
        <f t="shared" si="24"/>
        <v>6</v>
      </c>
      <c r="B258" s="105" t="s">
        <v>152</v>
      </c>
      <c r="C258" s="106"/>
      <c r="D258" s="106"/>
      <c r="E258" s="106"/>
      <c r="F258" s="106"/>
      <c r="G258" s="106"/>
      <c r="H258" s="107"/>
    </row>
    <row r="259" spans="1:20" s="32" customFormat="1" x14ac:dyDescent="0.35">
      <c r="A259" s="98">
        <f t="shared" si="24"/>
        <v>7</v>
      </c>
      <c r="B259" s="105" t="s">
        <v>121</v>
      </c>
      <c r="C259" s="106"/>
      <c r="D259" s="106"/>
      <c r="E259" s="106"/>
      <c r="F259" s="106"/>
      <c r="G259" s="106"/>
      <c r="H259" s="107"/>
    </row>
    <row r="260" spans="1:20" s="32" customFormat="1" ht="34.5" customHeight="1" x14ac:dyDescent="0.35">
      <c r="A260" s="98">
        <f t="shared" si="24"/>
        <v>8</v>
      </c>
      <c r="B260" s="105" t="s">
        <v>154</v>
      </c>
      <c r="C260" s="106"/>
      <c r="D260" s="106"/>
      <c r="E260" s="106"/>
      <c r="F260" s="106"/>
      <c r="G260" s="106"/>
      <c r="H260" s="107"/>
    </row>
    <row r="261" spans="1:20" s="32" customFormat="1" x14ac:dyDescent="0.35">
      <c r="A261" s="98">
        <f t="shared" si="24"/>
        <v>9</v>
      </c>
      <c r="B261" s="105" t="s">
        <v>122</v>
      </c>
      <c r="C261" s="106"/>
      <c r="D261" s="106"/>
      <c r="E261" s="106"/>
      <c r="F261" s="106"/>
      <c r="G261" s="106"/>
      <c r="H261" s="107"/>
    </row>
    <row r="262" spans="1:20" s="32" customFormat="1" hidden="1" x14ac:dyDescent="0.35">
      <c r="A262" s="40" t="s">
        <v>153</v>
      </c>
      <c r="B262" s="161" t="s">
        <v>402</v>
      </c>
      <c r="C262" s="162"/>
      <c r="D262" s="162"/>
      <c r="E262" s="162"/>
      <c r="F262" s="162"/>
      <c r="G262" s="162"/>
      <c r="H262" s="163"/>
    </row>
    <row r="263" spans="1:20" s="32" customFormat="1" ht="32.25" hidden="1" customHeight="1" x14ac:dyDescent="0.35">
      <c r="A263" s="47" t="s">
        <v>153</v>
      </c>
      <c r="B263" s="161" t="s">
        <v>178</v>
      </c>
      <c r="C263" s="162"/>
      <c r="D263" s="162"/>
      <c r="E263" s="162"/>
      <c r="F263" s="162"/>
      <c r="G263" s="162"/>
      <c r="H263" s="163"/>
    </row>
    <row r="264" spans="1:20" s="32" customFormat="1" hidden="1" x14ac:dyDescent="0.35">
      <c r="A264" s="51" t="s">
        <v>153</v>
      </c>
      <c r="B264" s="161" t="s">
        <v>391</v>
      </c>
      <c r="C264" s="162"/>
      <c r="D264" s="162"/>
      <c r="E264" s="162"/>
      <c r="F264" s="162"/>
      <c r="G264" s="162"/>
      <c r="H264" s="163"/>
    </row>
    <row r="265" spans="1:20" s="32" customFormat="1" x14ac:dyDescent="0.35">
      <c r="A265" s="98">
        <v>10</v>
      </c>
      <c r="B265" s="105" t="s">
        <v>428</v>
      </c>
      <c r="C265" s="106"/>
      <c r="D265" s="106"/>
      <c r="E265" s="106"/>
      <c r="F265" s="106"/>
      <c r="G265" s="106"/>
      <c r="H265" s="107"/>
    </row>
    <row r="266" spans="1:20" s="32" customFormat="1" ht="78" customHeight="1" x14ac:dyDescent="0.35">
      <c r="A266" s="98">
        <v>11</v>
      </c>
      <c r="B266" s="105" t="s">
        <v>429</v>
      </c>
      <c r="C266" s="106"/>
      <c r="D266" s="106"/>
      <c r="E266" s="106"/>
      <c r="F266" s="106"/>
      <c r="G266" s="106"/>
      <c r="H266" s="107"/>
    </row>
    <row r="267" spans="1:20" s="32" customFormat="1" ht="31" customHeight="1" x14ac:dyDescent="0.35">
      <c r="A267" s="98">
        <v>12</v>
      </c>
      <c r="B267" s="105" t="s">
        <v>430</v>
      </c>
      <c r="C267" s="106"/>
      <c r="D267" s="106"/>
      <c r="E267" s="106"/>
      <c r="F267" s="106"/>
      <c r="G267" s="106"/>
      <c r="H267" s="107"/>
    </row>
    <row r="268" spans="1:20" x14ac:dyDescent="0.35">
      <c r="A268" s="178" t="s">
        <v>58</v>
      </c>
      <c r="B268" s="178"/>
      <c r="C268" s="178"/>
      <c r="D268" s="178"/>
      <c r="E268" s="178"/>
      <c r="F268" s="178"/>
      <c r="G268" s="178"/>
      <c r="H268" s="178"/>
      <c r="T268" s="32"/>
    </row>
    <row r="269" spans="1:20" x14ac:dyDescent="0.35">
      <c r="A269" s="140" t="s">
        <v>59</v>
      </c>
      <c r="B269" s="140"/>
      <c r="C269" s="140"/>
      <c r="D269" s="140"/>
      <c r="E269" s="140"/>
      <c r="F269" s="140"/>
      <c r="G269" s="140"/>
      <c r="H269" s="140"/>
      <c r="T269" s="32"/>
    </row>
    <row r="270" spans="1:20" ht="15.75" customHeight="1" x14ac:dyDescent="0.35">
      <c r="A270" s="234" t="s">
        <v>60</v>
      </c>
      <c r="B270" s="234"/>
      <c r="C270" s="234"/>
      <c r="D270" s="234"/>
      <c r="E270" s="234"/>
      <c r="F270" s="234"/>
      <c r="G270" s="234"/>
      <c r="H270" s="234"/>
      <c r="T270" s="32"/>
    </row>
    <row r="271" spans="1:20" x14ac:dyDescent="0.35">
      <c r="A271" s="140" t="s">
        <v>61</v>
      </c>
      <c r="B271" s="140"/>
      <c r="C271" s="140"/>
      <c r="D271" s="140"/>
      <c r="E271" s="140"/>
      <c r="F271" s="140"/>
      <c r="G271" s="140"/>
      <c r="H271" s="140"/>
      <c r="T271" s="32"/>
    </row>
    <row r="272" spans="1:20" x14ac:dyDescent="0.35">
      <c r="A272" s="140" t="s">
        <v>62</v>
      </c>
      <c r="B272" s="140"/>
      <c r="C272" s="140"/>
      <c r="D272" s="140"/>
      <c r="E272" s="140"/>
      <c r="F272" s="140"/>
      <c r="G272" s="140"/>
      <c r="H272" s="140"/>
      <c r="T272" s="32"/>
    </row>
    <row r="273" spans="1:20" x14ac:dyDescent="0.35">
      <c r="A273" s="140" t="s">
        <v>123</v>
      </c>
      <c r="B273" s="140"/>
      <c r="C273" s="140"/>
      <c r="D273" s="140"/>
      <c r="E273" s="140"/>
      <c r="F273" s="140"/>
      <c r="G273" s="140"/>
      <c r="H273" s="140"/>
      <c r="T273" s="32"/>
    </row>
    <row r="274" spans="1:20" ht="34" customHeight="1" x14ac:dyDescent="0.35">
      <c r="A274" s="179" t="s">
        <v>124</v>
      </c>
      <c r="B274" s="179"/>
      <c r="C274" s="179"/>
      <c r="D274" s="179"/>
      <c r="E274" s="179"/>
      <c r="F274" s="179"/>
      <c r="G274" s="179"/>
      <c r="H274" s="179"/>
    </row>
    <row r="275" spans="1:20" x14ac:dyDescent="0.35">
      <c r="A275" s="225" t="s">
        <v>74</v>
      </c>
      <c r="B275" s="225"/>
      <c r="C275" s="225" t="s">
        <v>399</v>
      </c>
      <c r="D275" s="225"/>
      <c r="E275" s="225" t="s">
        <v>104</v>
      </c>
      <c r="F275" s="225"/>
      <c r="G275" s="225" t="s">
        <v>424</v>
      </c>
      <c r="H275" s="225"/>
    </row>
    <row r="276" spans="1:20" x14ac:dyDescent="0.35">
      <c r="A276" s="224" t="s">
        <v>76</v>
      </c>
      <c r="B276" s="224"/>
      <c r="C276" s="224"/>
      <c r="D276" s="224"/>
      <c r="E276" s="224"/>
      <c r="F276" s="224"/>
      <c r="G276" s="224"/>
      <c r="H276" s="224"/>
    </row>
    <row r="277" spans="1:20" x14ac:dyDescent="0.35">
      <c r="A277" s="224"/>
      <c r="B277" s="224"/>
      <c r="C277" s="224"/>
      <c r="D277" s="224"/>
      <c r="E277" s="224"/>
      <c r="F277" s="224"/>
      <c r="G277" s="224"/>
      <c r="H277" s="224"/>
    </row>
    <row r="278" spans="1:20" x14ac:dyDescent="0.35">
      <c r="A278" s="224"/>
      <c r="B278" s="224"/>
      <c r="C278" s="224"/>
      <c r="D278" s="224"/>
      <c r="E278" s="224"/>
      <c r="F278" s="224"/>
      <c r="G278" s="224"/>
      <c r="H278" s="224"/>
    </row>
    <row r="279" spans="1:20" x14ac:dyDescent="0.35">
      <c r="A279" s="224"/>
      <c r="B279" s="224"/>
      <c r="C279" s="224"/>
      <c r="D279" s="224"/>
      <c r="E279" s="224"/>
      <c r="F279" s="224"/>
      <c r="G279" s="224"/>
      <c r="H279" s="224"/>
    </row>
    <row r="280" spans="1:20" x14ac:dyDescent="0.35">
      <c r="A280" s="35" t="s">
        <v>63</v>
      </c>
      <c r="B280" s="36"/>
      <c r="C280" s="36"/>
      <c r="D280" s="35" t="str">
        <f>E9</f>
        <v>Rustomjee Verdant Vistas</v>
      </c>
      <c r="F280" s="36"/>
      <c r="G280" s="36"/>
      <c r="H280" s="36"/>
    </row>
    <row r="281" spans="1:20" x14ac:dyDescent="0.35">
      <c r="A281" s="36"/>
      <c r="B281" s="36"/>
      <c r="C281" s="36"/>
      <c r="D281" s="36"/>
      <c r="E281" s="36"/>
      <c r="F281" s="36"/>
      <c r="G281" s="36"/>
      <c r="H281" s="36"/>
    </row>
    <row r="282" spans="1:20" x14ac:dyDescent="0.35">
      <c r="A282" s="36"/>
      <c r="B282" s="36"/>
      <c r="C282" s="36"/>
      <c r="D282" s="36"/>
      <c r="E282" s="36"/>
      <c r="F282" s="36"/>
      <c r="G282" s="36"/>
      <c r="H282" s="36"/>
    </row>
    <row r="283" spans="1:20" ht="15" customHeight="1" x14ac:dyDescent="0.35"/>
    <row r="318" spans="1:1" x14ac:dyDescent="0.35">
      <c r="A318" s="38" t="s">
        <v>164</v>
      </c>
    </row>
    <row r="361" spans="1:1" x14ac:dyDescent="0.35">
      <c r="A361" s="38" t="s">
        <v>431</v>
      </c>
    </row>
    <row r="404" spans="1:1" x14ac:dyDescent="0.35">
      <c r="A404" s="38" t="s">
        <v>64</v>
      </c>
    </row>
  </sheetData>
  <mergeCells count="437">
    <mergeCell ref="B265:H265"/>
    <mergeCell ref="B266:H266"/>
    <mergeCell ref="B267:H267"/>
    <mergeCell ref="A83:B83"/>
    <mergeCell ref="A50:B50"/>
    <mergeCell ref="C52:E52"/>
    <mergeCell ref="A252:H252"/>
    <mergeCell ref="A244:B244"/>
    <mergeCell ref="A245:B245"/>
    <mergeCell ref="A240:H240"/>
    <mergeCell ref="A234:H234"/>
    <mergeCell ref="A249:B249"/>
    <mergeCell ref="A246:H246"/>
    <mergeCell ref="A71:C71"/>
    <mergeCell ref="D72:H72"/>
    <mergeCell ref="A78:B78"/>
    <mergeCell ref="G77:H77"/>
    <mergeCell ref="A86:B86"/>
    <mergeCell ref="A87:B87"/>
    <mergeCell ref="A82:B82"/>
    <mergeCell ref="A79:B79"/>
    <mergeCell ref="A81:B81"/>
    <mergeCell ref="E77:F77"/>
    <mergeCell ref="A84:B84"/>
    <mergeCell ref="A198:H198"/>
    <mergeCell ref="A199:B199"/>
    <mergeCell ref="A200:B200"/>
    <mergeCell ref="I15:P15"/>
    <mergeCell ref="F112:H112"/>
    <mergeCell ref="F110:H110"/>
    <mergeCell ref="A236:B236"/>
    <mergeCell ref="A127:H127"/>
    <mergeCell ref="G116:H116"/>
    <mergeCell ref="A111:E111"/>
    <mergeCell ref="A132:B132"/>
    <mergeCell ref="A60:B60"/>
    <mergeCell ref="C60:E60"/>
    <mergeCell ref="D62:H62"/>
    <mergeCell ref="F111:H111"/>
    <mergeCell ref="E116:F116"/>
    <mergeCell ref="A116:B116"/>
    <mergeCell ref="A118:B118"/>
    <mergeCell ref="C121:D121"/>
    <mergeCell ref="D71:H71"/>
    <mergeCell ref="D63:H63"/>
    <mergeCell ref="G60:H60"/>
    <mergeCell ref="A54:B55"/>
    <mergeCell ref="C54:E54"/>
    <mergeCell ref="G54:H54"/>
    <mergeCell ref="A56:B57"/>
    <mergeCell ref="C56:E56"/>
    <mergeCell ref="A96:B96"/>
    <mergeCell ref="A98:B98"/>
    <mergeCell ref="F103:H103"/>
    <mergeCell ref="G117:H117"/>
    <mergeCell ref="A101:B101"/>
    <mergeCell ref="F109:H109"/>
    <mergeCell ref="C116:D116"/>
    <mergeCell ref="C124:D124"/>
    <mergeCell ref="A223:H223"/>
    <mergeCell ref="A201:B201"/>
    <mergeCell ref="A202:B202"/>
    <mergeCell ref="A203:B203"/>
    <mergeCell ref="A204:B204"/>
    <mergeCell ref="A207:H207"/>
    <mergeCell ref="A208:B208"/>
    <mergeCell ref="A209:B209"/>
    <mergeCell ref="A210:B210"/>
    <mergeCell ref="A211:B211"/>
    <mergeCell ref="A206:H206"/>
    <mergeCell ref="A222:H222"/>
    <mergeCell ref="A212:B212"/>
    <mergeCell ref="A213:B213"/>
    <mergeCell ref="A214:H214"/>
    <mergeCell ref="A215:B215"/>
    <mergeCell ref="B263:H263"/>
    <mergeCell ref="A125:B125"/>
    <mergeCell ref="C125:D125"/>
    <mergeCell ref="E125:F125"/>
    <mergeCell ref="B262:H262"/>
    <mergeCell ref="B259:H259"/>
    <mergeCell ref="A273:H273"/>
    <mergeCell ref="A270:H270"/>
    <mergeCell ref="A229:B229"/>
    <mergeCell ref="D136:D137"/>
    <mergeCell ref="E136:E137"/>
    <mergeCell ref="A238:B238"/>
    <mergeCell ref="B257:H257"/>
    <mergeCell ref="A247:B247"/>
    <mergeCell ref="A248:B248"/>
    <mergeCell ref="A251:B251"/>
    <mergeCell ref="A250:B250"/>
    <mergeCell ref="B253:H253"/>
    <mergeCell ref="B254:H254"/>
    <mergeCell ref="B256:H256"/>
    <mergeCell ref="A216:B216"/>
    <mergeCell ref="A217:B217"/>
    <mergeCell ref="A218:B218"/>
    <mergeCell ref="A219:B219"/>
    <mergeCell ref="A109:E109"/>
    <mergeCell ref="A135:H135"/>
    <mergeCell ref="E121:F121"/>
    <mergeCell ref="A126:H126"/>
    <mergeCell ref="A136:A137"/>
    <mergeCell ref="F136:F137"/>
    <mergeCell ref="A131:B131"/>
    <mergeCell ref="A121:B121"/>
    <mergeCell ref="C128:C129"/>
    <mergeCell ref="B136:B137"/>
    <mergeCell ref="G91:H91"/>
    <mergeCell ref="A276:H279"/>
    <mergeCell ref="A275:B275"/>
    <mergeCell ref="E275:F275"/>
    <mergeCell ref="C275:D275"/>
    <mergeCell ref="G275:H275"/>
    <mergeCell ref="A115:H115"/>
    <mergeCell ref="A113:E113"/>
    <mergeCell ref="F113:H113"/>
    <mergeCell ref="A114:E114"/>
    <mergeCell ref="F114:H114"/>
    <mergeCell ref="A228:H228"/>
    <mergeCell ref="A122:B122"/>
    <mergeCell ref="A237:B237"/>
    <mergeCell ref="A117:B117"/>
    <mergeCell ref="A271:H271"/>
    <mergeCell ref="A120:H120"/>
    <mergeCell ref="A274:H274"/>
    <mergeCell ref="A272:H272"/>
    <mergeCell ref="A269:H269"/>
    <mergeCell ref="F102:H102"/>
    <mergeCell ref="F107:H107"/>
    <mergeCell ref="A224:B224"/>
    <mergeCell ref="A134:B134"/>
    <mergeCell ref="A268:H268"/>
    <mergeCell ref="G121:H121"/>
    <mergeCell ref="B258:H258"/>
    <mergeCell ref="A243:B243"/>
    <mergeCell ref="A232:B232"/>
    <mergeCell ref="A239:B23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8:H38"/>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6:B36"/>
    <mergeCell ref="C36:E36"/>
    <mergeCell ref="A37:B37"/>
    <mergeCell ref="C37:E37"/>
    <mergeCell ref="F37:H37"/>
    <mergeCell ref="D69:H69"/>
    <mergeCell ref="C76:H76"/>
    <mergeCell ref="A70:C70"/>
    <mergeCell ref="D70:H70"/>
    <mergeCell ref="A73:C73"/>
    <mergeCell ref="D73:H73"/>
    <mergeCell ref="A72:C72"/>
    <mergeCell ref="C57:H57"/>
    <mergeCell ref="A48:H48"/>
    <mergeCell ref="D64:H64"/>
    <mergeCell ref="A64:C64"/>
    <mergeCell ref="A49:B49"/>
    <mergeCell ref="C49:H49"/>
    <mergeCell ref="A67:C67"/>
    <mergeCell ref="A68:C68"/>
    <mergeCell ref="D67:H6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G59:H59"/>
    <mergeCell ref="C59:E59"/>
    <mergeCell ref="G52:H52"/>
    <mergeCell ref="C55:H55"/>
    <mergeCell ref="E43:H43"/>
    <mergeCell ref="A43:D43"/>
    <mergeCell ref="A44:D44"/>
    <mergeCell ref="E44:H44"/>
    <mergeCell ref="E45:H45"/>
    <mergeCell ref="E46:H46"/>
    <mergeCell ref="E47:H47"/>
    <mergeCell ref="A45:D45"/>
    <mergeCell ref="A42:D42"/>
    <mergeCell ref="E42:H42"/>
    <mergeCell ref="A41:H41"/>
    <mergeCell ref="A61:H61"/>
    <mergeCell ref="A62:C62"/>
    <mergeCell ref="A63:C63"/>
    <mergeCell ref="L228:M228"/>
    <mergeCell ref="A233:B233"/>
    <mergeCell ref="A230:B230"/>
    <mergeCell ref="A231:B231"/>
    <mergeCell ref="A241:B241"/>
    <mergeCell ref="A40:B40"/>
    <mergeCell ref="C40:H40"/>
    <mergeCell ref="F128:F129"/>
    <mergeCell ref="C117:D117"/>
    <mergeCell ref="E117:F117"/>
    <mergeCell ref="B128:B129"/>
    <mergeCell ref="A128:A129"/>
    <mergeCell ref="C136:C137"/>
    <mergeCell ref="G136:G137"/>
    <mergeCell ref="L227:M227"/>
    <mergeCell ref="L224:M224"/>
    <mergeCell ref="A225:B225"/>
    <mergeCell ref="G125:H125"/>
    <mergeCell ref="L225:M225"/>
    <mergeCell ref="A226:B226"/>
    <mergeCell ref="L226:M226"/>
    <mergeCell ref="A77:B77"/>
    <mergeCell ref="B264:H264"/>
    <mergeCell ref="A107:E107"/>
    <mergeCell ref="A124:B124"/>
    <mergeCell ref="E124:F124"/>
    <mergeCell ref="A112:E112"/>
    <mergeCell ref="G124:H124"/>
    <mergeCell ref="C118:D118"/>
    <mergeCell ref="E118:F118"/>
    <mergeCell ref="G118:H118"/>
    <mergeCell ref="A119:B119"/>
    <mergeCell ref="C119:D119"/>
    <mergeCell ref="E119:F119"/>
    <mergeCell ref="G119:H119"/>
    <mergeCell ref="A123:B123"/>
    <mergeCell ref="C123:D123"/>
    <mergeCell ref="E123:F123"/>
    <mergeCell ref="G123:H123"/>
    <mergeCell ref="B260:H260"/>
    <mergeCell ref="C122:D122"/>
    <mergeCell ref="E122:F122"/>
    <mergeCell ref="G122:H122"/>
    <mergeCell ref="A130:H130"/>
    <mergeCell ref="A100:B100"/>
    <mergeCell ref="A91:B91"/>
    <mergeCell ref="E91:F91"/>
    <mergeCell ref="E92:F101"/>
    <mergeCell ref="A90:B90"/>
    <mergeCell ref="G128:G129"/>
    <mergeCell ref="A242:B242"/>
    <mergeCell ref="A80:B80"/>
    <mergeCell ref="E78:F87"/>
    <mergeCell ref="G78:H87"/>
    <mergeCell ref="A85:B85"/>
    <mergeCell ref="A103:E103"/>
    <mergeCell ref="A88:B88"/>
    <mergeCell ref="C88:H88"/>
    <mergeCell ref="A92:B92"/>
    <mergeCell ref="C90:H90"/>
    <mergeCell ref="A93:B93"/>
    <mergeCell ref="A94:B94"/>
    <mergeCell ref="G92:H101"/>
    <mergeCell ref="A95:B95"/>
    <mergeCell ref="F104:H104"/>
    <mergeCell ref="A104:E104"/>
    <mergeCell ref="A106:E106"/>
    <mergeCell ref="A227:B227"/>
    <mergeCell ref="A105:E105"/>
    <mergeCell ref="L134:M134"/>
    <mergeCell ref="L133:M133"/>
    <mergeCell ref="L132:M132"/>
    <mergeCell ref="L131:M131"/>
    <mergeCell ref="A139:H139"/>
    <mergeCell ref="A152:H152"/>
    <mergeCell ref="A97:B97"/>
    <mergeCell ref="A99:B99"/>
    <mergeCell ref="L142:M142"/>
    <mergeCell ref="A143:B143"/>
    <mergeCell ref="A144:B144"/>
    <mergeCell ref="A145:B145"/>
    <mergeCell ref="A146:B146"/>
    <mergeCell ref="A147:H147"/>
    <mergeCell ref="L147:M147"/>
    <mergeCell ref="E128:E129"/>
    <mergeCell ref="D128:D129"/>
    <mergeCell ref="A102:E102"/>
    <mergeCell ref="F106:H106"/>
    <mergeCell ref="A133:B133"/>
    <mergeCell ref="A108:E108"/>
    <mergeCell ref="F108:H108"/>
    <mergeCell ref="A110:E110"/>
    <mergeCell ref="F105:H105"/>
    <mergeCell ref="A153:B153"/>
    <mergeCell ref="A154:B154"/>
    <mergeCell ref="A155:B155"/>
    <mergeCell ref="A156:B156"/>
    <mergeCell ref="A157:H157"/>
    <mergeCell ref="A158:B158"/>
    <mergeCell ref="A159:B159"/>
    <mergeCell ref="C53:H53"/>
    <mergeCell ref="A141:H141"/>
    <mergeCell ref="A140:H140"/>
    <mergeCell ref="A138:H138"/>
    <mergeCell ref="A149:B149"/>
    <mergeCell ref="A150:B150"/>
    <mergeCell ref="A151:B151"/>
    <mergeCell ref="A142:H142"/>
    <mergeCell ref="D68:H68"/>
    <mergeCell ref="A65:C66"/>
    <mergeCell ref="D65:H65"/>
    <mergeCell ref="D66:H66"/>
    <mergeCell ref="A76:B76"/>
    <mergeCell ref="A74:B74"/>
    <mergeCell ref="C74:H74"/>
    <mergeCell ref="A69:C69"/>
    <mergeCell ref="A148:B148"/>
    <mergeCell ref="A160:B160"/>
    <mergeCell ref="A162:B162"/>
    <mergeCell ref="A163:H163"/>
    <mergeCell ref="A164:B164"/>
    <mergeCell ref="A165:B165"/>
    <mergeCell ref="A166:B166"/>
    <mergeCell ref="A167:B167"/>
    <mergeCell ref="A168:H168"/>
    <mergeCell ref="A169:B169"/>
    <mergeCell ref="A161:B161"/>
    <mergeCell ref="C161:H161"/>
    <mergeCell ref="A170:B170"/>
    <mergeCell ref="A171:B171"/>
    <mergeCell ref="A173:B173"/>
    <mergeCell ref="A180:H180"/>
    <mergeCell ref="A181:B181"/>
    <mergeCell ref="A182:B182"/>
    <mergeCell ref="A183:B183"/>
    <mergeCell ref="A185:B185"/>
    <mergeCell ref="A175:H175"/>
    <mergeCell ref="A176:B176"/>
    <mergeCell ref="A177:B177"/>
    <mergeCell ref="A178:B178"/>
    <mergeCell ref="A179:B179"/>
    <mergeCell ref="A174:H174"/>
    <mergeCell ref="A172:B172"/>
    <mergeCell ref="C172:H172"/>
    <mergeCell ref="A184:B184"/>
    <mergeCell ref="C184:H184"/>
    <mergeCell ref="B261:H261"/>
    <mergeCell ref="A196:B196"/>
    <mergeCell ref="A197:B197"/>
    <mergeCell ref="A187:H187"/>
    <mergeCell ref="A190:H190"/>
    <mergeCell ref="A186:H186"/>
    <mergeCell ref="A191:H191"/>
    <mergeCell ref="A192:B192"/>
    <mergeCell ref="A193:B193"/>
    <mergeCell ref="A194:B194"/>
    <mergeCell ref="A195:B195"/>
    <mergeCell ref="A188:H188"/>
    <mergeCell ref="A189:H189"/>
    <mergeCell ref="B255:H255"/>
    <mergeCell ref="A235:B235"/>
    <mergeCell ref="A205:B205"/>
    <mergeCell ref="C205:H205"/>
    <mergeCell ref="A221:B221"/>
    <mergeCell ref="C221:H221"/>
    <mergeCell ref="A220:B22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75:H275">
      <formula1>"Kunal Kadam,Pranita Mhatre,Shruti Fule,Pooja Kawale,Gaurav Panchal,Shruti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B128:B129">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Area,Chajja Area,Cornice Area,AP Area,WS Area"</formula1>
    </dataValidation>
    <dataValidation type="list" allowBlank="1" showInputMessage="1" showErrorMessage="1" sqref="H129 H13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8 H136">
      <formula1>"Saleable area Loading :,Builder Saleable Area"</formula1>
    </dataValidation>
    <dataValidation type="list" allowBlank="1" showInputMessage="1" showErrorMessage="1" sqref="D128:D129 D136:D137">
      <formula1>"Carpet area,RERA Carpet area"</formula1>
    </dataValidation>
    <dataValidation type="list" allowBlank="1" showInputMessage="1" showErrorMessage="1" sqref="F113:H113">
      <formula1>OFFSET($S$102,1,MATCH($G20,$S$102:$W$102,0)-1,15,1)</formula1>
    </dataValidation>
  </dataValidations>
  <hyperlinks>
    <hyperlink ref="C40" r:id="rId1"/>
    <hyperlink ref="I70" display="https://www.googleadservices.com/pagead/aclk?sa=L&amp;ai=DChcSEwje8_rB6ICIAxUPJoMDHZuvKJ0YABAAGgJzZg&amp;co=1&amp;ase=2&amp;gclid=Cj0KCQjw2ou2BhCCARIsANAwM2G_s56QI529s45Hi2bQEi9_vL6E8Qh5bhGq5OyErqBlS_VXyeMPPkAaAgPaEALw_wcB&amp;ohost=www.google.com&amp;cid=CAESVuD2o6R72MDJ14RP4_p"/>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279" max="16383" man="1"/>
    <brk id="317" max="16383" man="1"/>
    <brk id="360" max="16383" man="1"/>
    <brk id="40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4" t="s">
        <v>105</v>
      </c>
      <c r="C3" s="244"/>
      <c r="D3" s="244"/>
      <c r="E3" s="244"/>
      <c r="F3" s="244"/>
      <c r="G3" s="244"/>
      <c r="H3" s="244"/>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179</v>
      </c>
      <c r="E4" s="49" t="s">
        <v>189</v>
      </c>
      <c r="F4" s="49" t="s">
        <v>173</v>
      </c>
      <c r="G4" s="49" t="s">
        <v>194</v>
      </c>
      <c r="H4" s="49" t="s">
        <v>212</v>
      </c>
      <c r="J4" t="s">
        <v>194</v>
      </c>
      <c r="K4" t="s">
        <v>210</v>
      </c>
    </row>
    <row r="5" spans="2:11" x14ac:dyDescent="0.35">
      <c r="B5" s="48"/>
      <c r="C5" s="48"/>
      <c r="D5" s="49" t="s">
        <v>180</v>
      </c>
      <c r="E5" s="49" t="s">
        <v>187</v>
      </c>
      <c r="F5" s="49" t="s">
        <v>209</v>
      </c>
      <c r="G5" s="49" t="s">
        <v>195</v>
      </c>
      <c r="H5" s="49" t="s">
        <v>213</v>
      </c>
    </row>
    <row r="6" spans="2:11" x14ac:dyDescent="0.35">
      <c r="B6" s="48"/>
      <c r="C6" s="48"/>
      <c r="D6" s="49" t="s">
        <v>181</v>
      </c>
      <c r="E6" s="49" t="s">
        <v>188</v>
      </c>
      <c r="F6" s="49" t="s">
        <v>210</v>
      </c>
      <c r="G6" s="49" t="s">
        <v>196</v>
      </c>
      <c r="H6" s="49" t="s">
        <v>226</v>
      </c>
    </row>
    <row r="7" spans="2:11" x14ac:dyDescent="0.35">
      <c r="B7" s="48"/>
      <c r="C7" s="48"/>
      <c r="D7" s="49" t="s">
        <v>182</v>
      </c>
      <c r="E7" s="49" t="s">
        <v>190</v>
      </c>
      <c r="F7" s="49" t="s">
        <v>211</v>
      </c>
      <c r="G7" s="49" t="s">
        <v>197</v>
      </c>
      <c r="H7" s="49" t="s">
        <v>214</v>
      </c>
    </row>
    <row r="8" spans="2:11" x14ac:dyDescent="0.35">
      <c r="B8" s="48"/>
      <c r="C8" s="48"/>
      <c r="D8" s="49" t="s">
        <v>183</v>
      </c>
      <c r="E8" s="49" t="s">
        <v>191</v>
      </c>
      <c r="F8" s="49"/>
      <c r="G8" s="49" t="s">
        <v>198</v>
      </c>
      <c r="H8" s="49" t="s">
        <v>215</v>
      </c>
    </row>
    <row r="9" spans="2:11" x14ac:dyDescent="0.35">
      <c r="B9" s="48"/>
      <c r="C9" s="48"/>
      <c r="D9" s="49" t="s">
        <v>184</v>
      </c>
      <c r="E9" s="49" t="s">
        <v>189</v>
      </c>
      <c r="F9" s="49"/>
      <c r="G9" s="49" t="s">
        <v>199</v>
      </c>
      <c r="H9" s="49" t="s">
        <v>216</v>
      </c>
    </row>
    <row r="10" spans="2:11" x14ac:dyDescent="0.35">
      <c r="B10" s="48"/>
      <c r="C10" s="48"/>
      <c r="D10" s="49" t="s">
        <v>185</v>
      </c>
      <c r="E10" s="49" t="s">
        <v>192</v>
      </c>
      <c r="F10" s="49"/>
      <c r="G10" s="49" t="s">
        <v>200</v>
      </c>
      <c r="H10" s="49" t="s">
        <v>217</v>
      </c>
    </row>
    <row r="11" spans="2:11" x14ac:dyDescent="0.35">
      <c r="B11" s="48"/>
      <c r="C11" s="48"/>
      <c r="D11" s="49" t="s">
        <v>186</v>
      </c>
      <c r="E11" s="49" t="s">
        <v>193</v>
      </c>
      <c r="F11" s="49"/>
      <c r="G11" s="49" t="s">
        <v>201</v>
      </c>
      <c r="H11" s="49" t="s">
        <v>218</v>
      </c>
    </row>
    <row r="12" spans="2:11" x14ac:dyDescent="0.35">
      <c r="B12" s="48"/>
      <c r="C12" s="48"/>
      <c r="D12" s="49"/>
      <c r="E12" s="49"/>
      <c r="F12" s="49"/>
      <c r="G12" s="49" t="s">
        <v>202</v>
      </c>
      <c r="H12" s="49" t="s">
        <v>219</v>
      </c>
    </row>
    <row r="13" spans="2:11" x14ac:dyDescent="0.35">
      <c r="B13" s="48"/>
      <c r="C13" s="48"/>
      <c r="D13" s="49"/>
      <c r="E13" s="49"/>
      <c r="F13" s="49"/>
      <c r="G13" s="49" t="s">
        <v>203</v>
      </c>
      <c r="H13" s="49" t="s">
        <v>220</v>
      </c>
    </row>
    <row r="14" spans="2:11" x14ac:dyDescent="0.35">
      <c r="B14" s="48"/>
      <c r="C14" s="48"/>
      <c r="D14" s="49"/>
      <c r="E14" s="49"/>
      <c r="F14" s="49"/>
      <c r="G14" s="49" t="s">
        <v>204</v>
      </c>
      <c r="H14" s="49" t="s">
        <v>221</v>
      </c>
    </row>
    <row r="15" spans="2:11" x14ac:dyDescent="0.35">
      <c r="B15" s="48"/>
      <c r="C15" s="48"/>
      <c r="D15" s="49"/>
      <c r="E15" s="49"/>
      <c r="F15" s="49"/>
      <c r="G15" s="49" t="s">
        <v>205</v>
      </c>
      <c r="H15" s="49" t="s">
        <v>222</v>
      </c>
    </row>
    <row r="16" spans="2:11" x14ac:dyDescent="0.35">
      <c r="B16" s="48"/>
      <c r="C16" s="48"/>
      <c r="D16" s="49"/>
      <c r="E16" s="49"/>
      <c r="F16" s="49"/>
      <c r="G16" s="49" t="s">
        <v>206</v>
      </c>
      <c r="H16" s="49" t="s">
        <v>223</v>
      </c>
    </row>
    <row r="17" spans="2:8" x14ac:dyDescent="0.35">
      <c r="B17" s="48"/>
      <c r="C17" s="48"/>
      <c r="D17" s="49"/>
      <c r="E17" s="49"/>
      <c r="F17" s="49"/>
      <c r="G17" s="49" t="s">
        <v>207</v>
      </c>
      <c r="H17" s="49" t="s">
        <v>224</v>
      </c>
    </row>
    <row r="18" spans="2:8" x14ac:dyDescent="0.35">
      <c r="B18" s="48"/>
      <c r="C18" s="48"/>
      <c r="D18" s="49"/>
      <c r="E18" s="49"/>
      <c r="F18" s="49"/>
      <c r="G18" s="49" t="s">
        <v>208</v>
      </c>
      <c r="H18" s="49"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52" t="s">
        <v>237</v>
      </c>
      <c r="D34" s="49" t="s">
        <v>235</v>
      </c>
      <c r="E34" s="49" t="s">
        <v>240</v>
      </c>
      <c r="F34" s="49" t="s">
        <v>238</v>
      </c>
      <c r="G34" s="49" t="s">
        <v>239</v>
      </c>
      <c r="H34" s="49" t="s">
        <v>241</v>
      </c>
      <c r="J34" t="s">
        <v>194</v>
      </c>
      <c r="K34" t="s">
        <v>210</v>
      </c>
    </row>
    <row r="35" spans="3:11" x14ac:dyDescent="0.35">
      <c r="C35" s="48" t="s">
        <v>236</v>
      </c>
      <c r="D35" s="49" t="s">
        <v>171</v>
      </c>
      <c r="E35" s="49" t="s">
        <v>245</v>
      </c>
      <c r="F35" s="49" t="s">
        <v>247</v>
      </c>
      <c r="G35" s="49" t="s">
        <v>249</v>
      </c>
      <c r="H35" s="49"/>
    </row>
    <row r="36" spans="3:11" x14ac:dyDescent="0.35">
      <c r="C36" s="48"/>
      <c r="D36" s="49" t="s">
        <v>242</v>
      </c>
      <c r="E36" s="49" t="s">
        <v>246</v>
      </c>
      <c r="F36" s="49" t="s">
        <v>248</v>
      </c>
      <c r="G36" s="49" t="s">
        <v>250</v>
      </c>
      <c r="H36" s="49"/>
    </row>
    <row r="37" spans="3:11" x14ac:dyDescent="0.35">
      <c r="C37" s="48"/>
      <c r="D37" s="49" t="s">
        <v>243</v>
      </c>
      <c r="E37" s="49"/>
      <c r="F37" s="49"/>
      <c r="G37" s="49" t="s">
        <v>251</v>
      </c>
      <c r="H37" s="49"/>
    </row>
    <row r="38" spans="3:11" x14ac:dyDescent="0.35">
      <c r="C38" s="48"/>
      <c r="D38" s="49" t="s">
        <v>244</v>
      </c>
      <c r="E38" s="49"/>
      <c r="F38" s="49"/>
      <c r="G38" s="49" t="s">
        <v>251</v>
      </c>
      <c r="H38" s="49"/>
    </row>
    <row r="39" spans="3:11" x14ac:dyDescent="0.35">
      <c r="C39" s="48"/>
      <c r="D39" s="49"/>
      <c r="E39" s="49"/>
      <c r="F39" s="49"/>
      <c r="G39" s="49" t="s">
        <v>252</v>
      </c>
      <c r="H39" s="49"/>
    </row>
    <row r="40" spans="3:11" x14ac:dyDescent="0.35">
      <c r="C40" s="48"/>
      <c r="D40" s="49"/>
      <c r="E40" s="49"/>
      <c r="F40" s="49"/>
      <c r="G40" s="49" t="s">
        <v>253</v>
      </c>
      <c r="H40" s="49"/>
    </row>
    <row r="41" spans="3:11" x14ac:dyDescent="0.35">
      <c r="C41" s="48"/>
      <c r="D41" s="49"/>
      <c r="E41" s="49"/>
      <c r="F41" s="49"/>
      <c r="G41" s="49"/>
      <c r="H41" s="49"/>
    </row>
    <row r="43" spans="3:11" x14ac:dyDescent="0.35">
      <c r="C43" t="s">
        <v>254</v>
      </c>
    </row>
    <row r="44" spans="3:11" x14ac:dyDescent="0.35">
      <c r="C44" t="s">
        <v>173</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179</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194</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189</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3">
        <v>1</v>
      </c>
      <c r="C2" s="56" t="s">
        <v>283</v>
      </c>
    </row>
    <row r="3" spans="2:3" x14ac:dyDescent="0.35">
      <c r="B3" s="53">
        <v>2</v>
      </c>
      <c r="C3" s="54" t="s">
        <v>284</v>
      </c>
    </row>
    <row r="4" spans="2:3" x14ac:dyDescent="0.35">
      <c r="B4" s="53">
        <v>3</v>
      </c>
      <c r="C4" s="55" t="s">
        <v>285</v>
      </c>
    </row>
    <row r="5" spans="2:3" x14ac:dyDescent="0.35">
      <c r="B5" s="53">
        <v>4</v>
      </c>
      <c r="C5" s="54" t="s">
        <v>286</v>
      </c>
    </row>
    <row r="6" spans="2:3" x14ac:dyDescent="0.35">
      <c r="B6" s="53">
        <v>5</v>
      </c>
      <c r="C6" s="55" t="s">
        <v>287</v>
      </c>
    </row>
    <row r="7" spans="2:3" ht="29" x14ac:dyDescent="0.35">
      <c r="B7" s="53">
        <v>6</v>
      </c>
      <c r="C7" s="54" t="s">
        <v>288</v>
      </c>
    </row>
    <row r="8" spans="2:3" ht="72.5" x14ac:dyDescent="0.35">
      <c r="B8" s="53">
        <v>7</v>
      </c>
      <c r="C8" s="54" t="s">
        <v>289</v>
      </c>
    </row>
    <row r="9" spans="2:3" x14ac:dyDescent="0.35">
      <c r="B9" s="53">
        <v>8</v>
      </c>
      <c r="C9" s="55" t="s">
        <v>290</v>
      </c>
    </row>
    <row r="10" spans="2:3" x14ac:dyDescent="0.35">
      <c r="B10" s="53">
        <v>9</v>
      </c>
      <c r="C10" s="55" t="s">
        <v>291</v>
      </c>
    </row>
    <row r="11" spans="2:3" x14ac:dyDescent="0.35">
      <c r="B11" s="53">
        <v>10</v>
      </c>
      <c r="C11" s="55" t="s">
        <v>292</v>
      </c>
    </row>
    <row r="12" spans="2:3" x14ac:dyDescent="0.35">
      <c r="B12" s="53">
        <v>11</v>
      </c>
      <c r="C12" s="55" t="s">
        <v>293</v>
      </c>
    </row>
    <row r="13" spans="2:3" x14ac:dyDescent="0.35">
      <c r="B13" s="53">
        <v>12</v>
      </c>
      <c r="C13" s="55" t="s">
        <v>294</v>
      </c>
    </row>
    <row r="14" spans="2:3" x14ac:dyDescent="0.35">
      <c r="B14" s="53">
        <v>13</v>
      </c>
      <c r="C14" s="55" t="s">
        <v>295</v>
      </c>
    </row>
    <row r="15" spans="2:3" x14ac:dyDescent="0.35">
      <c r="B15" s="53">
        <v>14</v>
      </c>
      <c r="C15" s="55" t="s">
        <v>285</v>
      </c>
    </row>
    <row r="16" spans="2:3" x14ac:dyDescent="0.35">
      <c r="B16" s="53">
        <v>15</v>
      </c>
      <c r="C16" s="55" t="s">
        <v>297</v>
      </c>
    </row>
    <row r="17" spans="2:3" x14ac:dyDescent="0.35">
      <c r="B17" s="74">
        <v>16</v>
      </c>
      <c r="C17" s="59" t="s">
        <v>298</v>
      </c>
    </row>
    <row r="18" spans="2:3" x14ac:dyDescent="0.35">
      <c r="B18" s="58">
        <v>17</v>
      </c>
      <c r="C18" s="59" t="s">
        <v>299</v>
      </c>
    </row>
    <row r="19" spans="2:3" x14ac:dyDescent="0.35">
      <c r="B19" s="57">
        <v>18</v>
      </c>
      <c r="C19" s="53" t="s">
        <v>300</v>
      </c>
    </row>
    <row r="20" spans="2:3" x14ac:dyDescent="0.35">
      <c r="B20" s="58">
        <v>19</v>
      </c>
      <c r="C20" s="53" t="s">
        <v>336</v>
      </c>
    </row>
    <row r="21" spans="2:3" x14ac:dyDescent="0.35">
      <c r="B21" s="60">
        <v>20</v>
      </c>
      <c r="C21" s="53" t="s">
        <v>301</v>
      </c>
    </row>
    <row r="22" spans="2:3" x14ac:dyDescent="0.35">
      <c r="B22" s="58">
        <v>21</v>
      </c>
      <c r="C22" s="53" t="s">
        <v>300</v>
      </c>
    </row>
    <row r="23" spans="2:3" s="68" customFormat="1" ht="29.25" customHeight="1" x14ac:dyDescent="0.35">
      <c r="B23" s="67">
        <v>22</v>
      </c>
      <c r="C23" s="56" t="s">
        <v>328</v>
      </c>
    </row>
    <row r="24" spans="2:3" s="68" customFormat="1" ht="30.75" customHeight="1" x14ac:dyDescent="0.35">
      <c r="B24" s="69">
        <v>23</v>
      </c>
      <c r="C24" s="56" t="s">
        <v>329</v>
      </c>
    </row>
    <row r="25" spans="2:3" x14ac:dyDescent="0.35">
      <c r="B25" s="60">
        <v>24</v>
      </c>
      <c r="C25" s="53" t="s">
        <v>332</v>
      </c>
    </row>
    <row r="26" spans="2:3" x14ac:dyDescent="0.35">
      <c r="B26" s="58">
        <v>25</v>
      </c>
      <c r="C26" s="53" t="s">
        <v>330</v>
      </c>
    </row>
    <row r="27" spans="2:3" x14ac:dyDescent="0.35">
      <c r="B27" s="69">
        <v>26</v>
      </c>
      <c r="C27" s="60" t="s">
        <v>331</v>
      </c>
    </row>
    <row r="28" spans="2:3" x14ac:dyDescent="0.35">
      <c r="B28" s="70">
        <v>27</v>
      </c>
      <c r="C28" s="53" t="s">
        <v>333</v>
      </c>
    </row>
    <row r="29" spans="2:3" ht="43.5" x14ac:dyDescent="0.35">
      <c r="B29" s="73">
        <v>28</v>
      </c>
      <c r="C29" s="54" t="s">
        <v>334</v>
      </c>
    </row>
    <row r="30" spans="2:3" x14ac:dyDescent="0.35">
      <c r="B30" s="69">
        <v>29</v>
      </c>
      <c r="C30" s="53" t="s">
        <v>335</v>
      </c>
    </row>
    <row r="31" spans="2:3" ht="29" x14ac:dyDescent="0.35">
      <c r="B31" s="75">
        <v>30</v>
      </c>
      <c r="C31" s="54" t="s">
        <v>337</v>
      </c>
    </row>
    <row r="32" spans="2:3" x14ac:dyDescent="0.35">
      <c r="B32" s="69">
        <v>31</v>
      </c>
      <c r="C32" s="53" t="s">
        <v>338</v>
      </c>
    </row>
    <row r="33" spans="2:3" x14ac:dyDescent="0.35">
      <c r="B33" s="69">
        <v>32</v>
      </c>
      <c r="C33" s="53" t="s">
        <v>339</v>
      </c>
    </row>
    <row r="34" spans="2:3" ht="36.75" customHeight="1" x14ac:dyDescent="0.35">
      <c r="B34" s="75">
        <v>33</v>
      </c>
      <c r="C34" s="59" t="s">
        <v>340</v>
      </c>
    </row>
    <row r="35" spans="2:3" x14ac:dyDescent="0.35">
      <c r="B35" s="69">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1" t="s">
        <v>302</v>
      </c>
      <c r="C2" s="245"/>
      <c r="D2" s="245"/>
    </row>
    <row r="3" spans="1:12" x14ac:dyDescent="0.35">
      <c r="D3" s="62"/>
      <c r="E3" s="62"/>
      <c r="F3" s="62"/>
      <c r="G3" s="62"/>
      <c r="H3" s="62"/>
      <c r="I3" s="62"/>
    </row>
    <row r="4" spans="1:12" x14ac:dyDescent="0.35">
      <c r="A4" s="61" t="s">
        <v>66</v>
      </c>
      <c r="B4" s="63" t="s">
        <v>303</v>
      </c>
      <c r="C4" s="246" t="s">
        <v>304</v>
      </c>
      <c r="D4" s="246"/>
      <c r="E4" s="246"/>
      <c r="F4" s="63"/>
      <c r="G4" s="247" t="s">
        <v>305</v>
      </c>
      <c r="H4" s="247"/>
      <c r="I4" s="247"/>
      <c r="J4" s="248" t="s">
        <v>306</v>
      </c>
      <c r="K4" s="248"/>
      <c r="L4" s="248"/>
    </row>
    <row r="5" spans="1:12" x14ac:dyDescent="0.35">
      <c r="A5" s="61"/>
      <c r="B5" s="63"/>
      <c r="C5" s="63" t="s">
        <v>307</v>
      </c>
      <c r="D5" s="63" t="s">
        <v>308</v>
      </c>
      <c r="E5" s="63" t="s">
        <v>309</v>
      </c>
      <c r="F5" s="63"/>
      <c r="G5" s="63" t="s">
        <v>307</v>
      </c>
      <c r="H5" s="63" t="s">
        <v>308</v>
      </c>
      <c r="I5" s="63" t="s">
        <v>309</v>
      </c>
      <c r="J5" s="63" t="s">
        <v>307</v>
      </c>
      <c r="K5" s="63" t="s">
        <v>308</v>
      </c>
      <c r="L5" s="63" t="s">
        <v>309</v>
      </c>
    </row>
    <row r="6" spans="1:12" x14ac:dyDescent="0.35">
      <c r="B6" s="49" t="s">
        <v>310</v>
      </c>
      <c r="C6" s="49"/>
      <c r="D6" s="49"/>
      <c r="E6" s="49">
        <f>C6*D6</f>
        <v>0</v>
      </c>
      <c r="F6" s="49" t="s">
        <v>327</v>
      </c>
      <c r="G6" s="49"/>
      <c r="H6" s="49"/>
      <c r="I6" s="49">
        <f>G6*H6</f>
        <v>0</v>
      </c>
      <c r="J6" s="49"/>
      <c r="K6" s="49"/>
      <c r="L6" s="49">
        <f>J6*K6</f>
        <v>0</v>
      </c>
    </row>
    <row r="7" spans="1:12" x14ac:dyDescent="0.35">
      <c r="B7" s="49"/>
      <c r="C7" s="49"/>
      <c r="D7" s="49"/>
      <c r="E7" s="49">
        <f t="shared" ref="E7:E41" si="0">C7*D7</f>
        <v>0</v>
      </c>
      <c r="F7" s="49" t="s">
        <v>327</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311</v>
      </c>
      <c r="G9" s="49"/>
      <c r="H9" s="49"/>
      <c r="I9" s="49">
        <f t="shared" si="1"/>
        <v>0</v>
      </c>
      <c r="J9" s="49"/>
      <c r="K9" s="49"/>
      <c r="L9" s="49">
        <f t="shared" si="2"/>
        <v>0</v>
      </c>
    </row>
    <row r="10" spans="1:12" x14ac:dyDescent="0.35">
      <c r="B10" s="49" t="s">
        <v>312</v>
      </c>
      <c r="C10" s="49"/>
      <c r="D10" s="49"/>
      <c r="E10" s="49">
        <f t="shared" si="0"/>
        <v>0</v>
      </c>
      <c r="F10" s="49" t="s">
        <v>311</v>
      </c>
      <c r="G10" s="49"/>
      <c r="H10" s="49"/>
      <c r="I10" s="49">
        <f t="shared" si="1"/>
        <v>0</v>
      </c>
      <c r="J10" s="49"/>
      <c r="K10" s="49"/>
      <c r="L10" s="49">
        <f t="shared" si="2"/>
        <v>0</v>
      </c>
    </row>
    <row r="11" spans="1:12" x14ac:dyDescent="0.35">
      <c r="B11" s="49"/>
      <c r="C11" s="49"/>
      <c r="D11" s="49"/>
      <c r="E11" s="49">
        <f t="shared" si="0"/>
        <v>0</v>
      </c>
      <c r="F11" s="49" t="s">
        <v>313</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314</v>
      </c>
      <c r="C14" s="49"/>
      <c r="D14" s="49"/>
      <c r="E14" s="49">
        <f t="shared" si="0"/>
        <v>0</v>
      </c>
      <c r="F14" s="49" t="s">
        <v>311</v>
      </c>
      <c r="G14" s="49"/>
      <c r="H14" s="49"/>
      <c r="I14" s="49">
        <f t="shared" si="1"/>
        <v>0</v>
      </c>
      <c r="J14" s="49"/>
      <c r="K14" s="49"/>
      <c r="L14" s="49">
        <f t="shared" si="2"/>
        <v>0</v>
      </c>
    </row>
    <row r="15" spans="1:12" x14ac:dyDescent="0.35">
      <c r="B15" s="49"/>
      <c r="C15" s="49"/>
      <c r="D15" s="49"/>
      <c r="E15" s="49">
        <f t="shared" si="0"/>
        <v>0</v>
      </c>
      <c r="F15" s="49" t="s">
        <v>313</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315</v>
      </c>
      <c r="C18" s="49"/>
      <c r="D18" s="49"/>
      <c r="E18" s="49">
        <f t="shared" si="0"/>
        <v>0</v>
      </c>
      <c r="F18" s="49" t="s">
        <v>311</v>
      </c>
      <c r="G18" s="49"/>
      <c r="H18" s="49"/>
      <c r="I18" s="49">
        <f t="shared" si="1"/>
        <v>0</v>
      </c>
      <c r="J18" s="49"/>
      <c r="K18" s="49"/>
      <c r="L18" s="49">
        <f t="shared" si="2"/>
        <v>0</v>
      </c>
    </row>
    <row r="19" spans="2:12" x14ac:dyDescent="0.35">
      <c r="B19" s="49"/>
      <c r="C19" s="49"/>
      <c r="D19" s="49"/>
      <c r="E19" s="49">
        <f t="shared" si="0"/>
        <v>0</v>
      </c>
      <c r="F19" s="49" t="s">
        <v>313</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316</v>
      </c>
      <c r="C21" s="49"/>
      <c r="D21" s="49"/>
      <c r="E21" s="49">
        <f t="shared" si="0"/>
        <v>0</v>
      </c>
      <c r="F21" s="49" t="s">
        <v>311</v>
      </c>
      <c r="G21" s="49"/>
      <c r="H21" s="49"/>
      <c r="I21" s="49">
        <f t="shared" si="1"/>
        <v>0</v>
      </c>
      <c r="J21" s="49"/>
      <c r="K21" s="49"/>
      <c r="L21" s="49">
        <f t="shared" si="2"/>
        <v>0</v>
      </c>
    </row>
    <row r="22" spans="2:12" x14ac:dyDescent="0.35">
      <c r="B22" s="49"/>
      <c r="C22" s="49"/>
      <c r="D22" s="49"/>
      <c r="E22" s="49">
        <f t="shared" si="0"/>
        <v>0</v>
      </c>
      <c r="F22" s="49" t="s">
        <v>313</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317</v>
      </c>
      <c r="C24" s="49"/>
      <c r="D24" s="49"/>
      <c r="E24" s="49">
        <f t="shared" si="0"/>
        <v>0</v>
      </c>
      <c r="F24" s="49" t="s">
        <v>318</v>
      </c>
      <c r="G24" s="49"/>
      <c r="H24" s="49"/>
      <c r="I24" s="49">
        <f t="shared" si="1"/>
        <v>0</v>
      </c>
      <c r="J24" s="49"/>
      <c r="K24" s="49"/>
      <c r="L24" s="49">
        <f t="shared" si="2"/>
        <v>0</v>
      </c>
    </row>
    <row r="25" spans="2:12" x14ac:dyDescent="0.35">
      <c r="B25" s="49"/>
      <c r="C25" s="49"/>
      <c r="D25" s="49"/>
      <c r="E25" s="49">
        <f t="shared" ref="E25:E27" si="3">C25*D25</f>
        <v>0</v>
      </c>
      <c r="F25" s="49" t="s">
        <v>318</v>
      </c>
      <c r="G25" s="49"/>
      <c r="H25" s="49"/>
      <c r="I25" s="49">
        <f t="shared" ref="I25:I27" si="4">G25*H25</f>
        <v>0</v>
      </c>
      <c r="J25" s="49"/>
      <c r="K25" s="49"/>
      <c r="L25" s="49">
        <f t="shared" ref="L25:L27" si="5">J25*K25</f>
        <v>0</v>
      </c>
    </row>
    <row r="26" spans="2:12" x14ac:dyDescent="0.35">
      <c r="B26" s="49"/>
      <c r="C26" s="49"/>
      <c r="D26" s="49"/>
      <c r="E26" s="49">
        <f t="shared" si="3"/>
        <v>0</v>
      </c>
      <c r="F26" s="49" t="s">
        <v>318</v>
      </c>
      <c r="G26" s="49"/>
      <c r="H26" s="49"/>
      <c r="I26" s="49">
        <f t="shared" si="4"/>
        <v>0</v>
      </c>
      <c r="J26" s="49"/>
      <c r="K26" s="49"/>
      <c r="L26" s="49">
        <f t="shared" si="5"/>
        <v>0</v>
      </c>
    </row>
    <row r="27" spans="2:12" x14ac:dyDescent="0.35">
      <c r="B27" s="49"/>
      <c r="C27" s="49"/>
      <c r="D27" s="49"/>
      <c r="E27" s="49">
        <f t="shared" si="3"/>
        <v>0</v>
      </c>
      <c r="F27" s="49" t="s">
        <v>318</v>
      </c>
      <c r="G27" s="49"/>
      <c r="H27" s="49"/>
      <c r="I27" s="49">
        <f t="shared" si="4"/>
        <v>0</v>
      </c>
      <c r="J27" s="49"/>
      <c r="K27" s="49"/>
      <c r="L27" s="49">
        <f t="shared" si="5"/>
        <v>0</v>
      </c>
    </row>
    <row r="28" spans="2:12" x14ac:dyDescent="0.35">
      <c r="B28" s="49" t="s">
        <v>319</v>
      </c>
      <c r="C28" s="49"/>
      <c r="D28" s="49"/>
      <c r="E28" s="49">
        <f t="shared" si="0"/>
        <v>0</v>
      </c>
      <c r="F28" s="49" t="s">
        <v>318</v>
      </c>
      <c r="G28" s="49"/>
      <c r="H28" s="49"/>
      <c r="I28" s="49">
        <f t="shared" si="1"/>
        <v>0</v>
      </c>
      <c r="J28" s="49"/>
      <c r="K28" s="49"/>
      <c r="L28" s="49">
        <f t="shared" si="2"/>
        <v>0</v>
      </c>
    </row>
    <row r="29" spans="2:12" x14ac:dyDescent="0.35">
      <c r="B29" s="49" t="s">
        <v>320</v>
      </c>
      <c r="C29" s="49"/>
      <c r="D29" s="49"/>
      <c r="E29" s="49">
        <f t="shared" si="0"/>
        <v>0</v>
      </c>
      <c r="F29" s="49" t="s">
        <v>318</v>
      </c>
      <c r="G29" s="49"/>
      <c r="H29" s="49"/>
      <c r="I29" s="49">
        <f t="shared" si="1"/>
        <v>0</v>
      </c>
      <c r="J29" s="49"/>
      <c r="K29" s="49"/>
      <c r="L29" s="49">
        <f t="shared" si="2"/>
        <v>0</v>
      </c>
    </row>
    <row r="30" spans="2:12" x14ac:dyDescent="0.35">
      <c r="B30" s="49" t="s">
        <v>324</v>
      </c>
      <c r="C30" s="49"/>
      <c r="D30" s="49"/>
      <c r="E30" s="49">
        <f t="shared" si="0"/>
        <v>0</v>
      </c>
      <c r="F30" s="49"/>
      <c r="G30" s="49"/>
      <c r="H30" s="49"/>
      <c r="I30" s="49">
        <f t="shared" si="1"/>
        <v>0</v>
      </c>
      <c r="J30" s="49"/>
      <c r="K30" s="49"/>
      <c r="L30" s="49">
        <f t="shared" si="2"/>
        <v>0</v>
      </c>
    </row>
    <row r="31" spans="2:12" x14ac:dyDescent="0.35">
      <c r="B31" s="49"/>
      <c r="C31" s="49"/>
      <c r="D31" s="49"/>
      <c r="E31" s="49">
        <f t="shared" ref="E31:E32" si="6">C31*D31</f>
        <v>0</v>
      </c>
      <c r="F31" s="49"/>
      <c r="G31" s="49"/>
      <c r="H31" s="49"/>
      <c r="I31" s="49">
        <f t="shared" ref="I31:I32" si="7">G31*H31</f>
        <v>0</v>
      </c>
      <c r="J31" s="49"/>
      <c r="K31" s="49"/>
      <c r="L31" s="49">
        <f t="shared" ref="L31:L32" si="8">J31*K31</f>
        <v>0</v>
      </c>
    </row>
    <row r="32" spans="2:12" x14ac:dyDescent="0.35">
      <c r="B32" s="49"/>
      <c r="C32" s="49"/>
      <c r="D32" s="49"/>
      <c r="E32" s="49">
        <f t="shared" si="6"/>
        <v>0</v>
      </c>
      <c r="F32" s="49"/>
      <c r="G32" s="49"/>
      <c r="H32" s="49"/>
      <c r="I32" s="49">
        <f t="shared" si="7"/>
        <v>0</v>
      </c>
      <c r="J32" s="49"/>
      <c r="K32" s="49"/>
      <c r="L32" s="49">
        <f t="shared" si="8"/>
        <v>0</v>
      </c>
    </row>
    <row r="33" spans="2:12" x14ac:dyDescent="0.35">
      <c r="B33" s="49" t="s">
        <v>321</v>
      </c>
      <c r="C33" s="49"/>
      <c r="D33" s="49"/>
      <c r="E33" s="49">
        <f t="shared" si="0"/>
        <v>0</v>
      </c>
      <c r="F33" s="49"/>
      <c r="G33" s="49"/>
      <c r="H33" s="49"/>
      <c r="I33" s="49">
        <f t="shared" si="1"/>
        <v>0</v>
      </c>
      <c r="J33" s="49"/>
      <c r="K33" s="49"/>
      <c r="L33" s="49">
        <f t="shared" si="2"/>
        <v>0</v>
      </c>
    </row>
    <row r="34" spans="2:12" x14ac:dyDescent="0.35">
      <c r="B34" s="49" t="s">
        <v>325</v>
      </c>
      <c r="C34" s="49"/>
      <c r="D34" s="49"/>
      <c r="E34" s="49">
        <f t="shared" si="0"/>
        <v>0</v>
      </c>
      <c r="F34" s="49"/>
      <c r="G34" s="49"/>
      <c r="H34" s="49"/>
      <c r="I34" s="49">
        <f t="shared" si="1"/>
        <v>0</v>
      </c>
      <c r="J34" s="49"/>
      <c r="K34" s="49"/>
      <c r="L34" s="49">
        <f t="shared" si="2"/>
        <v>0</v>
      </c>
    </row>
    <row r="35" spans="2:12" x14ac:dyDescent="0.35">
      <c r="B35" s="49" t="s">
        <v>322</v>
      </c>
      <c r="C35" s="49"/>
      <c r="D35" s="49"/>
      <c r="E35" s="49">
        <f t="shared" si="0"/>
        <v>0</v>
      </c>
      <c r="F35" s="49"/>
      <c r="G35" s="49"/>
      <c r="H35" s="49"/>
      <c r="I35" s="49">
        <f t="shared" si="1"/>
        <v>0</v>
      </c>
      <c r="J35" s="49"/>
      <c r="K35" s="49"/>
      <c r="L35" s="49">
        <f t="shared" si="2"/>
        <v>0</v>
      </c>
    </row>
    <row r="36" spans="2:12" x14ac:dyDescent="0.35">
      <c r="B36" s="49" t="s">
        <v>323</v>
      </c>
      <c r="C36" s="49"/>
      <c r="D36" s="49"/>
      <c r="E36" s="49">
        <f t="shared" si="0"/>
        <v>0</v>
      </c>
      <c r="F36" s="49"/>
      <c r="G36" s="49"/>
      <c r="H36" s="49"/>
      <c r="I36" s="49">
        <f>G36*H36</f>
        <v>0</v>
      </c>
      <c r="J36" s="49"/>
      <c r="K36" s="49"/>
      <c r="L36" s="49">
        <f>J36*K36</f>
        <v>0</v>
      </c>
    </row>
    <row r="37" spans="2:12" x14ac:dyDescent="0.35">
      <c r="B37" s="49"/>
      <c r="C37" s="49"/>
      <c r="D37" s="49"/>
      <c r="E37" s="49">
        <f t="shared" ref="E37:E38" si="9">C37*D37</f>
        <v>0</v>
      </c>
      <c r="F37" s="49"/>
      <c r="G37" s="49"/>
      <c r="H37" s="49"/>
      <c r="I37" s="49">
        <f t="shared" ref="I37:I38" si="10">G37*H37</f>
        <v>0</v>
      </c>
      <c r="J37" s="49"/>
      <c r="K37" s="49"/>
      <c r="L37" s="49">
        <f t="shared" ref="L37:L38" si="11">J37*K37</f>
        <v>0</v>
      </c>
    </row>
    <row r="38" spans="2:12" x14ac:dyDescent="0.35">
      <c r="B38" s="49" t="s">
        <v>326</v>
      </c>
      <c r="C38" s="49"/>
      <c r="D38" s="49"/>
      <c r="E38" s="49">
        <f t="shared" si="9"/>
        <v>0</v>
      </c>
      <c r="F38" s="49"/>
      <c r="G38" s="49"/>
      <c r="H38" s="49"/>
      <c r="I38" s="49">
        <f t="shared" si="10"/>
        <v>0</v>
      </c>
      <c r="J38" s="49"/>
      <c r="K38" s="49"/>
      <c r="L38" s="49">
        <f t="shared" si="11"/>
        <v>0</v>
      </c>
    </row>
    <row r="39" spans="2:12" x14ac:dyDescent="0.35">
      <c r="B39" s="49"/>
      <c r="C39" s="49"/>
      <c r="D39" s="49"/>
      <c r="E39" s="49">
        <f t="shared" si="0"/>
        <v>0</v>
      </c>
      <c r="F39" s="49"/>
      <c r="G39" s="49"/>
      <c r="H39" s="49"/>
      <c r="I39" s="49">
        <f>G39*H39</f>
        <v>0</v>
      </c>
      <c r="J39" s="49"/>
      <c r="K39" s="49"/>
      <c r="L39" s="49">
        <f>J39*K39</f>
        <v>0</v>
      </c>
    </row>
    <row r="40" spans="2:12" x14ac:dyDescent="0.35">
      <c r="B40" s="49"/>
      <c r="C40" s="49"/>
      <c r="D40" s="49"/>
      <c r="E40" s="49">
        <f t="shared" si="0"/>
        <v>0</v>
      </c>
      <c r="F40" s="49"/>
      <c r="G40" s="49"/>
      <c r="H40" s="49"/>
      <c r="I40" s="49">
        <f>G40*H40</f>
        <v>0</v>
      </c>
      <c r="J40" s="49"/>
      <c r="K40" s="49"/>
      <c r="L40" s="49">
        <f>J40*K40</f>
        <v>0</v>
      </c>
    </row>
    <row r="41" spans="2:12" x14ac:dyDescent="0.35">
      <c r="B41" s="49"/>
      <c r="C41" s="49"/>
      <c r="D41" s="49"/>
      <c r="E41" s="49">
        <f t="shared" si="0"/>
        <v>0</v>
      </c>
      <c r="F41" s="49"/>
      <c r="G41" s="49"/>
      <c r="H41" s="49"/>
      <c r="I41" s="49">
        <f>G41*H41</f>
        <v>0</v>
      </c>
      <c r="J41" s="49"/>
      <c r="K41" s="49"/>
      <c r="L41" s="49">
        <f>J41*K41</f>
        <v>0</v>
      </c>
    </row>
    <row r="42" spans="2:12" x14ac:dyDescent="0.35">
      <c r="B42" s="49" t="s">
        <v>150</v>
      </c>
      <c r="C42" s="49"/>
      <c r="D42" s="49">
        <f>E42*10.764</f>
        <v>0</v>
      </c>
      <c r="E42" s="66">
        <f>SUM(E6:E41)</f>
        <v>0</v>
      </c>
      <c r="F42" s="49"/>
      <c r="G42" s="49"/>
      <c r="H42" s="49">
        <f>I42*10.764</f>
        <v>0</v>
      </c>
      <c r="I42" s="65">
        <f>SUM(I6:I41)</f>
        <v>0</v>
      </c>
      <c r="J42" s="49"/>
      <c r="K42" s="49">
        <f>L42*10.764</f>
        <v>0</v>
      </c>
      <c r="L42" s="64">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2025-08-19T05:59:11Z</cp:lastPrinted>
  <dcterms:created xsi:type="dcterms:W3CDTF">2019-07-16T09:29:46Z</dcterms:created>
  <dcterms:modified xsi:type="dcterms:W3CDTF">2025-08-19T06:03:21Z</dcterms:modified>
</cp:coreProperties>
</file>