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sjadon\common drive\APF\25-26\August 2025\AXIS\NEW\Saurav\18117 - Imperial III\"/>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1" l="1"/>
  <c r="J137" i="1" l="1"/>
  <c r="E244" i="1" l="1"/>
  <c r="E243" i="1"/>
  <c r="E239" i="1"/>
  <c r="E235" i="1"/>
  <c r="E234" i="1"/>
  <c r="E231" i="1"/>
  <c r="E230" i="1"/>
  <c r="E224" i="1"/>
  <c r="E223" i="1"/>
  <c r="E220" i="1"/>
  <c r="E219" i="1"/>
  <c r="E218" i="1"/>
  <c r="E215" i="1"/>
  <c r="E214" i="1"/>
  <c r="E211" i="1"/>
  <c r="E209" i="1"/>
  <c r="E206" i="1"/>
  <c r="E205" i="1"/>
  <c r="E202" i="1"/>
  <c r="E201" i="1"/>
  <c r="E200" i="1"/>
  <c r="E190" i="1"/>
  <c r="E183" i="1"/>
  <c r="E176" i="1"/>
  <c r="D244" i="1" l="1"/>
  <c r="F244" i="1" s="1"/>
  <c r="H244" i="1" s="1"/>
  <c r="D243" i="1"/>
  <c r="E242" i="1"/>
  <c r="D242" i="1"/>
  <c r="F242" i="1" s="1"/>
  <c r="H242" i="1" s="1"/>
  <c r="E241" i="1"/>
  <c r="D241" i="1"/>
  <c r="D239" i="1"/>
  <c r="F239" i="1" s="1"/>
  <c r="H239" i="1" s="1"/>
  <c r="E238" i="1"/>
  <c r="D238" i="1"/>
  <c r="E237" i="1"/>
  <c r="D237" i="1"/>
  <c r="D235" i="1"/>
  <c r="D234" i="1"/>
  <c r="E233" i="1"/>
  <c r="D233" i="1"/>
  <c r="E232" i="1"/>
  <c r="D232" i="1"/>
  <c r="D231" i="1"/>
  <c r="D230" i="1"/>
  <c r="E229" i="1"/>
  <c r="D229" i="1"/>
  <c r="E228" i="1"/>
  <c r="D228" i="1"/>
  <c r="I236" i="1"/>
  <c r="I240" i="1"/>
  <c r="I239" i="1"/>
  <c r="I237" i="1"/>
  <c r="F237" i="1"/>
  <c r="H237" i="1" s="1"/>
  <c r="I231" i="1"/>
  <c r="I230" i="1"/>
  <c r="I228" i="1"/>
  <c r="F234" i="1"/>
  <c r="H234" i="1" s="1"/>
  <c r="I227" i="1"/>
  <c r="I198" i="1"/>
  <c r="D224" i="1"/>
  <c r="F224" i="1" s="1"/>
  <c r="H224" i="1" s="1"/>
  <c r="F223" i="1"/>
  <c r="H223" i="1" s="1"/>
  <c r="D223" i="1"/>
  <c r="E222" i="1"/>
  <c r="D222" i="1"/>
  <c r="E221" i="1"/>
  <c r="D221" i="1"/>
  <c r="D220" i="1"/>
  <c r="F220" i="1" s="1"/>
  <c r="H220" i="1" s="1"/>
  <c r="F219" i="1"/>
  <c r="H219" i="1" s="1"/>
  <c r="D219" i="1"/>
  <c r="D218" i="1"/>
  <c r="F218" i="1" s="1"/>
  <c r="H218" i="1" s="1"/>
  <c r="E217" i="1"/>
  <c r="F217" i="1" s="1"/>
  <c r="H217" i="1" s="1"/>
  <c r="D217" i="1"/>
  <c r="D215" i="1"/>
  <c r="F215" i="1" s="1"/>
  <c r="H215" i="1" s="1"/>
  <c r="D214" i="1"/>
  <c r="E213" i="1"/>
  <c r="D213" i="1"/>
  <c r="E212" i="1"/>
  <c r="D212" i="1"/>
  <c r="F211" i="1"/>
  <c r="H211" i="1" s="1"/>
  <c r="D211" i="1"/>
  <c r="D209" i="1"/>
  <c r="F209" i="1" s="1"/>
  <c r="H209" i="1" s="1"/>
  <c r="E208" i="1"/>
  <c r="F208" i="1" s="1"/>
  <c r="H208" i="1" s="1"/>
  <c r="D208" i="1"/>
  <c r="D206" i="1"/>
  <c r="F206" i="1" s="1"/>
  <c r="H206" i="1" s="1"/>
  <c r="F205" i="1"/>
  <c r="H205" i="1" s="1"/>
  <c r="D205" i="1"/>
  <c r="E204" i="1"/>
  <c r="D204" i="1"/>
  <c r="E203" i="1"/>
  <c r="D203" i="1"/>
  <c r="D202" i="1"/>
  <c r="D201" i="1"/>
  <c r="D200" i="1"/>
  <c r="E199" i="1"/>
  <c r="D199" i="1"/>
  <c r="I216" i="1"/>
  <c r="I221" i="1"/>
  <c r="F221" i="1"/>
  <c r="H221" i="1" s="1"/>
  <c r="I220" i="1"/>
  <c r="I219" i="1"/>
  <c r="A218" i="1"/>
  <c r="A219" i="1" s="1"/>
  <c r="A220" i="1" s="1"/>
  <c r="A221" i="1" s="1"/>
  <c r="A222" i="1" s="1"/>
  <c r="A223" i="1" s="1"/>
  <c r="A224" i="1" s="1"/>
  <c r="I217" i="1"/>
  <c r="I207" i="1"/>
  <c r="F213" i="1"/>
  <c r="H213" i="1" s="1"/>
  <c r="I212" i="1"/>
  <c r="I211" i="1"/>
  <c r="I210" i="1"/>
  <c r="A209" i="1"/>
  <c r="A210" i="1" s="1"/>
  <c r="A211" i="1" s="1"/>
  <c r="A212" i="1" s="1"/>
  <c r="A213" i="1" s="1"/>
  <c r="A214" i="1" s="1"/>
  <c r="A215" i="1" s="1"/>
  <c r="I208" i="1"/>
  <c r="I203" i="1"/>
  <c r="I202" i="1"/>
  <c r="I201" i="1"/>
  <c r="I199" i="1"/>
  <c r="I181" i="1"/>
  <c r="I188" i="1"/>
  <c r="I174" i="1"/>
  <c r="E194" i="1"/>
  <c r="D194" i="1"/>
  <c r="F194" i="1" s="1"/>
  <c r="H194" i="1" s="1"/>
  <c r="E193" i="1"/>
  <c r="D193" i="1"/>
  <c r="E192" i="1"/>
  <c r="D192" i="1"/>
  <c r="D190" i="1"/>
  <c r="F190" i="1" s="1"/>
  <c r="H190" i="1" s="1"/>
  <c r="E189" i="1"/>
  <c r="F189" i="1" s="1"/>
  <c r="H189" i="1" s="1"/>
  <c r="D189" i="1"/>
  <c r="E187" i="1"/>
  <c r="D187" i="1"/>
  <c r="F187" i="1" s="1"/>
  <c r="H187" i="1" s="1"/>
  <c r="E186" i="1"/>
  <c r="D186" i="1"/>
  <c r="E185" i="1"/>
  <c r="D185" i="1"/>
  <c r="E184" i="1"/>
  <c r="F184" i="1" s="1"/>
  <c r="H184" i="1" s="1"/>
  <c r="D184" i="1"/>
  <c r="D183" i="1"/>
  <c r="E182" i="1"/>
  <c r="D182" i="1"/>
  <c r="E180" i="1"/>
  <c r="D180" i="1"/>
  <c r="E179" i="1"/>
  <c r="D179" i="1"/>
  <c r="E178" i="1"/>
  <c r="D178" i="1"/>
  <c r="E177" i="1"/>
  <c r="D177" i="1"/>
  <c r="D176" i="1"/>
  <c r="E175" i="1"/>
  <c r="D175" i="1"/>
  <c r="I169" i="1"/>
  <c r="F192" i="1"/>
  <c r="H192" i="1" s="1"/>
  <c r="I191" i="1"/>
  <c r="A190" i="1"/>
  <c r="A191" i="1" s="1"/>
  <c r="A192" i="1" s="1"/>
  <c r="A193" i="1" s="1"/>
  <c r="A194" i="1" s="1"/>
  <c r="I189" i="1"/>
  <c r="F186" i="1"/>
  <c r="H186" i="1" s="1"/>
  <c r="I184" i="1"/>
  <c r="A183" i="1"/>
  <c r="A184" i="1" s="1"/>
  <c r="A185" i="1" s="1"/>
  <c r="A186" i="1" s="1"/>
  <c r="A187" i="1" s="1"/>
  <c r="I182" i="1"/>
  <c r="F182" i="1"/>
  <c r="H182" i="1" s="1"/>
  <c r="I177" i="1"/>
  <c r="I175" i="1"/>
  <c r="D167" i="1"/>
  <c r="D166" i="1"/>
  <c r="D164" i="1"/>
  <c r="D163" i="1"/>
  <c r="I159" i="1"/>
  <c r="I163" i="1"/>
  <c r="C119" i="1"/>
  <c r="E46" i="1"/>
  <c r="E42" i="1"/>
  <c r="E43" i="1" s="1"/>
  <c r="C153" i="1" l="1"/>
  <c r="F222" i="1"/>
  <c r="H222" i="1" s="1"/>
  <c r="C154" i="1"/>
  <c r="C152" i="1"/>
  <c r="C155" i="1" s="1"/>
  <c r="F233" i="1"/>
  <c r="H233" i="1" s="1"/>
  <c r="F235" i="1"/>
  <c r="H235" i="1" s="1"/>
  <c r="F238" i="1"/>
  <c r="H238" i="1" s="1"/>
  <c r="F241" i="1"/>
  <c r="H241" i="1" s="1"/>
  <c r="F243" i="1"/>
  <c r="H243" i="1" s="1"/>
  <c r="F180" i="1"/>
  <c r="F183" i="1"/>
  <c r="H183" i="1" s="1"/>
  <c r="F185" i="1"/>
  <c r="H185" i="1" s="1"/>
  <c r="F193" i="1"/>
  <c r="H193" i="1" s="1"/>
  <c r="F204" i="1"/>
  <c r="H204" i="1" s="1"/>
  <c r="F212" i="1"/>
  <c r="H212" i="1" s="1"/>
  <c r="F214" i="1"/>
  <c r="H214" i="1" s="1"/>
  <c r="F179" i="1"/>
  <c r="C148" i="1"/>
  <c r="C149" i="1" s="1"/>
  <c r="C77" i="1"/>
  <c r="H179" i="1" l="1"/>
  <c r="K179" i="1"/>
  <c r="H180" i="1"/>
  <c r="K180" i="1"/>
  <c r="C156" i="1"/>
  <c r="F163" i="1"/>
  <c r="B38" i="6"/>
  <c r="B39" i="6" s="1"/>
  <c r="B40" i="6" s="1"/>
  <c r="B41" i="6" s="1"/>
  <c r="B42" i="6" s="1"/>
  <c r="B43" i="6" s="1"/>
  <c r="B44" i="6" s="1"/>
  <c r="B45" i="6" s="1"/>
  <c r="B46" i="6" s="1"/>
  <c r="B47" i="6" s="1"/>
  <c r="B48" i="6" s="1"/>
  <c r="B49" i="6" s="1"/>
  <c r="B50" i="6" s="1"/>
  <c r="B51" i="6" s="1"/>
  <c r="B52" i="6" s="1"/>
  <c r="B53" i="6" s="1"/>
  <c r="B54" i="6" s="1"/>
  <c r="H163"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71" i="1"/>
  <c r="B248" i="1"/>
  <c r="B247" i="1"/>
  <c r="F232" i="1"/>
  <c r="H232" i="1" s="1"/>
  <c r="F231" i="1"/>
  <c r="H231" i="1" s="1"/>
  <c r="F230" i="1"/>
  <c r="H230" i="1" s="1"/>
  <c r="F229" i="1"/>
  <c r="H229" i="1" s="1"/>
  <c r="F228" i="1"/>
  <c r="F203" i="1"/>
  <c r="H203" i="1" s="1"/>
  <c r="F202" i="1"/>
  <c r="H202" i="1" s="1"/>
  <c r="F201" i="1"/>
  <c r="H201" i="1" s="1"/>
  <c r="F200" i="1"/>
  <c r="H200" i="1" s="1"/>
  <c r="F199" i="1"/>
  <c r="A200" i="1"/>
  <c r="A201" i="1" s="1"/>
  <c r="A202" i="1" s="1"/>
  <c r="A203" i="1" s="1"/>
  <c r="A204" i="1" s="1"/>
  <c r="A205" i="1" s="1"/>
  <c r="A206" i="1" s="1"/>
  <c r="F178" i="1"/>
  <c r="F177" i="1"/>
  <c r="F176" i="1"/>
  <c r="A176" i="1"/>
  <c r="A177" i="1" s="1"/>
  <c r="A178" i="1" s="1"/>
  <c r="A179" i="1" s="1"/>
  <c r="A180" i="1" s="1"/>
  <c r="F175" i="1"/>
  <c r="K175" i="1" s="1"/>
  <c r="F167" i="1"/>
  <c r="H167" i="1" s="1"/>
  <c r="F166" i="1"/>
  <c r="H166" i="1" s="1"/>
  <c r="F164" i="1"/>
  <c r="A164" i="1"/>
  <c r="A166" i="1" s="1"/>
  <c r="A167" i="1" s="1"/>
  <c r="F145" i="1"/>
  <c r="C105" i="1"/>
  <c r="C91" i="1"/>
  <c r="B78" i="1"/>
  <c r="D71" i="1"/>
  <c r="D63" i="1"/>
  <c r="K54" i="1"/>
  <c r="G51" i="1"/>
  <c r="C51" i="1"/>
  <c r="E44" i="1"/>
  <c r="E45" i="1" s="1"/>
  <c r="S33" i="1"/>
  <c r="E31" i="1"/>
  <c r="E28" i="1"/>
  <c r="E26" i="1"/>
  <c r="C16" i="1"/>
  <c r="I15" i="1"/>
  <c r="Z13" i="1"/>
  <c r="E8" i="1"/>
  <c r="E3" i="1"/>
  <c r="B257" i="1" s="1"/>
  <c r="H92" i="1"/>
  <c r="H106" i="1"/>
  <c r="H176" i="1" l="1"/>
  <c r="K176" i="1"/>
  <c r="H177" i="1"/>
  <c r="K177" i="1"/>
  <c r="H178" i="1"/>
  <c r="K178" i="1"/>
  <c r="H228" i="1"/>
  <c r="G154" i="1" s="1"/>
  <c r="E154" i="1"/>
  <c r="H199" i="1"/>
  <c r="G153" i="1" s="1"/>
  <c r="E153" i="1"/>
  <c r="H175" i="1"/>
  <c r="G152" i="1" s="1"/>
  <c r="E152" i="1"/>
  <c r="H164" i="1"/>
  <c r="G148" i="1" s="1"/>
  <c r="G149" i="1" s="1"/>
  <c r="E148" i="1"/>
  <c r="E149" i="1" s="1"/>
  <c r="E42" i="7"/>
  <c r="D42" i="7" s="1"/>
  <c r="J85" i="1"/>
  <c r="J86" i="1"/>
  <c r="B106" i="1"/>
  <c r="J114" i="1" s="1"/>
  <c r="I42" i="7"/>
  <c r="H42" i="7" s="1"/>
  <c r="L42" i="7"/>
  <c r="K42" i="7" s="1"/>
  <c r="J91" i="1"/>
  <c r="J93" i="1" s="1"/>
  <c r="D100" i="1"/>
  <c r="D99" i="1"/>
  <c r="D104" i="1"/>
  <c r="D98" i="1"/>
  <c r="J94" i="1"/>
  <c r="D103" i="1"/>
  <c r="J96" i="1"/>
  <c r="D97" i="1"/>
  <c r="D102" i="1"/>
  <c r="J95" i="1"/>
  <c r="D101" i="1"/>
  <c r="D115" i="1"/>
  <c r="J109" i="1"/>
  <c r="J105" i="1"/>
  <c r="J107" i="1" s="1"/>
  <c r="J108" i="1"/>
  <c r="D113" i="1"/>
  <c r="D118" i="1"/>
  <c r="D112" i="1"/>
  <c r="D117" i="1"/>
  <c r="D111" i="1"/>
  <c r="D114" i="1"/>
  <c r="J110" i="1"/>
  <c r="C109" i="1" s="1"/>
  <c r="D109" i="1" s="1"/>
  <c r="D116" i="1"/>
  <c r="L54" i="1"/>
  <c r="B92" i="1"/>
  <c r="J87" i="1"/>
  <c r="J88" i="1"/>
  <c r="I52" i="1"/>
  <c r="H78" i="1"/>
  <c r="C95" i="1" l="1"/>
  <c r="D95" i="1" s="1"/>
  <c r="E155" i="1"/>
  <c r="E156" i="1" s="1"/>
  <c r="G155" i="1"/>
  <c r="G156" i="1" s="1"/>
  <c r="D89" i="1"/>
  <c r="D83" i="1"/>
  <c r="J83" i="1"/>
  <c r="J84" i="1" s="1"/>
  <c r="J89" i="1" s="1"/>
  <c r="J90" i="1" s="1"/>
  <c r="E81" i="1" s="1"/>
  <c r="J82" i="1"/>
  <c r="D81" i="1" s="1"/>
  <c r="D88" i="1"/>
  <c r="D87" i="1"/>
  <c r="J77" i="1"/>
  <c r="J79" i="1" s="1"/>
  <c r="D86" i="1"/>
  <c r="D90" i="1"/>
  <c r="D84" i="1"/>
  <c r="J81" i="1"/>
  <c r="J80" i="1"/>
  <c r="D85" i="1"/>
  <c r="J116" i="1"/>
  <c r="J115" i="1"/>
  <c r="D44" i="7"/>
  <c r="E44" i="7"/>
  <c r="J113" i="1"/>
  <c r="J111" i="1"/>
  <c r="J112" i="1" s="1"/>
  <c r="J100" i="1"/>
  <c r="J97" i="1"/>
  <c r="J98" i="1" s="1"/>
  <c r="J103" i="1" s="1"/>
  <c r="J104" i="1" s="1"/>
  <c r="J102" i="1"/>
  <c r="J99" i="1"/>
  <c r="J101" i="1"/>
  <c r="J117" i="1" l="1"/>
  <c r="J118" i="1" s="1"/>
  <c r="C110" i="1"/>
  <c r="D110" i="1" s="1"/>
  <c r="I106" i="1" s="1"/>
  <c r="I107" i="1" s="1"/>
  <c r="G81" i="1"/>
  <c r="D82" i="1"/>
  <c r="J78" i="1"/>
  <c r="E95" i="1"/>
  <c r="D96" i="1"/>
  <c r="I92" i="1" s="1"/>
  <c r="J92" i="1"/>
  <c r="G95" i="1"/>
  <c r="D75" i="1" s="1"/>
  <c r="J106" i="1" l="1"/>
  <c r="E109" i="1"/>
  <c r="D76" i="1"/>
  <c r="G109" i="1"/>
  <c r="I78" i="1"/>
  <c r="I79" i="1" s="1"/>
  <c r="F76" i="1"/>
  <c r="I105" i="1"/>
  <c r="C107" i="1" s="1"/>
  <c r="I93" i="1"/>
  <c r="I91" i="1" s="1"/>
  <c r="C93" i="1" s="1"/>
  <c r="I77" i="1" l="1"/>
  <c r="C79" i="1" s="1"/>
  <c r="B120" i="1"/>
  <c r="H120" i="1"/>
  <c r="D131" i="1" l="1"/>
  <c r="D129" i="1"/>
  <c r="D127" i="1"/>
  <c r="D125" i="1"/>
  <c r="J123" i="1"/>
  <c r="J124" i="1"/>
  <c r="C123" i="1" s="1"/>
  <c r="J122" i="1"/>
  <c r="J119" i="1"/>
  <c r="J121" i="1" s="1"/>
  <c r="D132" i="1"/>
  <c r="D130" i="1"/>
  <c r="D128" i="1"/>
  <c r="D126" i="1"/>
  <c r="J129" i="1"/>
  <c r="J127" i="1"/>
  <c r="J125" i="1"/>
  <c r="J126" i="1" s="1"/>
  <c r="J131" i="1" s="1"/>
  <c r="J132" i="1" s="1"/>
  <c r="C124" i="1" s="1"/>
  <c r="E123" i="1" s="1"/>
  <c r="J130" i="1"/>
  <c r="J128" i="1"/>
  <c r="G123" i="1" l="1"/>
  <c r="D124" i="1"/>
  <c r="D123" i="1"/>
  <c r="J120" i="1" s="1"/>
  <c r="I120" i="1" l="1"/>
  <c r="I121" i="1" l="1"/>
  <c r="I119" i="1" s="1"/>
  <c r="C12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<sst xmlns="http://schemas.openxmlformats.org/spreadsheetml/2006/main" count="816" uniqueCount="451">
  <si>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</si>
  <si>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</si>
  <si>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</si>
  <si>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</si>
  <si>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</si>
  <si>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</si>
  <si>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</si>
  <si>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</si>
  <si>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</si>
  <si>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</si>
  <si>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</si>
  <si>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</si>
  <si>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</si>
  <si>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</si>
  <si>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</si>
  <si>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</si>
  <si>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</si>
  <si>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</si>
  <si>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</si>
  <si>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</si>
  <si>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</si>
  <si>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</si>
  <si>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</si>
  <si>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</si>
  <si>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</si>
  <si>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</si>
  <si>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</si>
  <si>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</si>
  <si>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</si>
  <si>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</si>
  <si>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</si>
  <si>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</si>
  <si>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</si>
  <si>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</si>
  <si>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</si>
  <si>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</si>
  <si>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</si>
  <si>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</si>
  <si>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</si>
  <si>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</si>
  <si>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</si>
  <si>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</si>
  <si>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</si>
  <si>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</si>
  <si>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</si>
  <si>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</si>
  <si>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</si>
  <si>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</si>
  <si>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</si>
  <si>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</si>
  <si>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</si>
  <si>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</si>
  <si>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</si>
  <si>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</si>
  <si>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</si>
  <si>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</si>
  <si>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</si>
  <si>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</si>
  <si>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</si>
  <si>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</si>
  <si>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</si>
  <si>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</si>
  <si>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</si>
  <si>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</si>
  <si>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</si>
  <si>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</si>
  <si>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</si>
  <si>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</si>
  <si>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</si>
  <si>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</si>
  <si>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</si>
  <si>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</si>
  <si>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</si>
  <si>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</si>
  <si>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</si>
  <si>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</si>
  <si>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</si>
  <si>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</si>
  <si>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</si>
  <si>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</si>
  <si>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</si>
  <si>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</si>
  <si>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</si>
  <si>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</si>
  <si>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</si>
  <si>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</si>
  <si>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</si>
  <si>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</si>
  <si>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</si>
  <si>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</si>
  <si>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</si>
  <si>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</si>
  <si>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</si>
  <si>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</si>
  <si>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</si>
  <si>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</si>
  <si>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</si>
  <si>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</si>
  <si>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</si>
  <si>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</si>
  <si>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</si>
  <si>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</si>
  <si>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</si>
  <si>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</si>
  <si>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</si>
  <si>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</si>
  <si>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</si>
  <si>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</si>
  <si>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</si>
  <si>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</si>
  <si>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</si>
  <si>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</si>
  <si>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</si>
  <si>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</si>
  <si>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</si>
  <si>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</si>
  <si>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</si>
  <si>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</si>
  <si>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</si>
  <si>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</si>
  <si>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</si>
  <si>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</si>
  <si>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</si>
  <si>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</si>
  <si>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</si>
  <si>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</si>
  <si>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</si>
  <si>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</si>
  <si>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</si>
  <si>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</si>
  <si>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</si>
  <si>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</si>
  <si>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</si>
  <si>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</si>
  <si>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</si>
  <si>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</si>
  <si>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</si>
  <si>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</si>
  <si>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</si>
  <si>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</si>
  <si>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</si>
  <si>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</si>
  <si>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</si>
  <si>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</si>
  <si>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</si>
  <si>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</si>
  <si>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</si>
  <si>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</si>
  <si>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</si>
  <si>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</si>
  <si>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</si>
  <si>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</si>
  <si>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</si>
  <si>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</si>
  <si>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</si>
  <si>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</si>
  <si>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</si>
  <si>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</si>
  <si>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</si>
  <si>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</si>
  <si>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</si>
  <si>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</si>
  <si>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</si>
  <si>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</si>
  <si>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</si>
  <si>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</si>
  <si>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</si>
  <si>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</si>
  <si>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</si>
  <si>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</si>
  <si>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</si>
  <si>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</si>
  <si>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</si>
  <si>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</si>
  <si>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</si>
  <si>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</si>
  <si>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</si>
  <si>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</si>
  <si>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</si>
  <si>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</si>
  <si>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</si>
  <si>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</si>
  <si>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</si>
  <si>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</si>
  <si>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</si>
  <si>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</si>
  <si>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</si>
  <si>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</si>
  <si>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</si>
  <si>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</si>
  <si>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</si>
  <si>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</si>
  <si>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</si>
  <si>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</si>
  <si>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</si>
  <si>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</si>
  <si>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</si>
  <si>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</si>
  <si>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</si>
  <si>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</si>
  <si>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</si>
  <si>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</si>
  <si>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</si>
  <si>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</si>
  <si>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</si>
  <si>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</si>
  <si>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</si>
  <si>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</si>
  <si>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</si>
  <si>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</si>
  <si>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</si>
  <si>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</si>
  <si>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</si>
  <si>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</si>
  <si>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</si>
  <si>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</si>
  <si>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</si>
  <si>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</si>
  <si>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</si>
  <si>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</si>
  <si>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</si>
  <si>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</si>
  <si>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</si>
  <si>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</si>
  <si>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</si>
  <si>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</si>
  <si>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</si>
  <si>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</si>
  <si>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</si>
  <si>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</si>
  <si>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</si>
  <si>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</si>
  <si>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</si>
  <si>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</si>
  <si>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</si>
  <si>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</si>
  <si>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</si>
  <si>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</si>
  <si>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</si>
  <si>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</si>
  <si>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</si>
  <si>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</si>
  <si>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</si>
  <si>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</si>
  <si>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</si>
  <si>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</si>
  <si>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</si>
  <si>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</si>
  <si>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</si>
  <si>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</si>
  <si>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</si>
  <si>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</si>
  <si>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</si>
  <si>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</si>
  <si>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</si>
  <si>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</si>
  <si>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</si>
  <si>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</si>
  <si>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</si>
  <si>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</si>
  <si>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</si>
  <si>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</si>
  <si>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</si>
  <si>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</si>
  <si>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</si>
  <si>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</si>
  <si>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</si>
  <si>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</si>
  <si>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</si>
  <si>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</si>
  <si>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</si>
  <si>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</si>
  <si>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</si>
  <si>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</si>
  <si>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</si>
  <si>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</si>
  <si>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</si>
  <si>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</si>
  <si>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</si>
  <si>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</si>
  <si>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</si>
  <si>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</si>
  <si>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</si>
  <si>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</si>
  <si>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</si>
  <si>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</si>
  <si>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</si>
  <si>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</si>
  <si>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</si>
  <si>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</si>
  <si>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</si>
  <si>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</si>
  <si>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</si>
  <si>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</si>
  <si>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</si>
  <si>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</si>
  <si>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</si>
  <si>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</si>
  <si>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</si>
  <si>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</si>
  <si>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</si>
  <si>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</si>
  <si>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</si>
  <si>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</si>
  <si>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</si>
  <si>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</si>
  <si>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</si>
  <si>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</si>
  <si>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</si>
  <si>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</si>
  <si>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</si>
  <si>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</si>
  <si>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</si>
  <si>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</si>
  <si>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</si>
  <si>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</si>
  <si>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</si>
  <si>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</si>
  <si>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</si>
  <si>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</si>
  <si>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</si>
  <si>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</si>
  <si>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</si>
  <si>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</si>
  <si>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</si>
  <si>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</si>
  <si>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</si>
  <si>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</si>
  <si>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</si>
  <si>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</si>
  <si>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</si>
  <si>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</si>
  <si>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</si>
  <si>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</si>
  <si>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</si>
  <si>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</si>
  <si>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</si>
  <si>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</si>
  <si>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</si>
  <si>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</si>
  <si>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</si>
  <si>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</si>
  <si>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</si>
  <si>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</si>
  <si>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</si>
  <si>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</si>
  <si>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</si>
  <si>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</si>
  <si>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</si>
  <si>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</si>
  <si>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</si>
  <si>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</si>
  <si>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</si>
  <si>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</si>
  <si>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</si>
  <si>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</si>
  <si>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</si>
  <si>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</si>
  <si>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</si>
  <si>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</si>
  <si>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</si>
  <si>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</si>
  <si>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</si>
  <si>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</si>
  <si>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</si>
  <si>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</si>
  <si>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</si>
  <si>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</si>
  <si>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</si>
  <si>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</si>
  <si>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</si>
  <si>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</si>
  <si>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</si>
  <si>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</si>
  <si>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</si>
  <si>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</si>
  <si>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</si>
  <si>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M/s. S M Hitech Developers</t>
  </si>
  <si>
    <t>Imperial III</t>
  </si>
  <si>
    <t>https://maps.app.goo.gl/V129G35VCenaQyC3A</t>
  </si>
  <si>
    <t>19.076748,73.109909</t>
  </si>
  <si>
    <t>Commercial Building
Building No. 2 (Bluebell - Wing B)
Building No. 2 (Aster - Wing A)
Building No. 1 (Lilly - Tower 1)</t>
  </si>
  <si>
    <t>Mr. Neal Jadhav 9833623507</t>
  </si>
  <si>
    <t>P52000078932</t>
  </si>
  <si>
    <t>Survey No</t>
  </si>
  <si>
    <t>1/1/4, 1/1/5 &amp; 1/8/A</t>
  </si>
  <si>
    <t>Koynavele</t>
  </si>
  <si>
    <t>Ghotcamp Koynavele Road</t>
  </si>
  <si>
    <t>Ghotkamp Koynavele</t>
  </si>
  <si>
    <t>2.20 KM from Pendhar Metro Station</t>
  </si>
  <si>
    <t>Adj. Survey No. 1/1/1, 1/1/2, 1/1/3 &amp; 1/2</t>
  </si>
  <si>
    <t>Adj. Survey No. 1/1/7, 1/8B &amp; 2</t>
  </si>
  <si>
    <t>7.50 M Wide Driveway</t>
  </si>
  <si>
    <t>Adj. Survey No. 1/7</t>
  </si>
  <si>
    <t>Internal Road</t>
  </si>
  <si>
    <t>Vatsalya Housing</t>
  </si>
  <si>
    <t>Open Plot</t>
  </si>
  <si>
    <t xml:space="preserve">Siddhivinayak Gaurav </t>
  </si>
  <si>
    <t>04 Buildings</t>
  </si>
  <si>
    <t>PMC/TP/Koynavele/1/1/4 &amp; Others/21-24/17028/1978/2024</t>
  </si>
  <si>
    <t>Commercial Building = G + 1st to 2nd Floor</t>
  </si>
  <si>
    <t>Commercial Building</t>
  </si>
  <si>
    <t>Ground Floor For Commercial, Entrance Lobby &amp; Gym</t>
  </si>
  <si>
    <t>Shop</t>
  </si>
  <si>
    <t>1st Floor For Commercial</t>
  </si>
  <si>
    <r>
      <t xml:space="preserve">Shop No.
</t>
    </r>
    <r>
      <rPr>
        <b/>
        <sz val="11"/>
        <rFont val="Times New Roman"/>
        <family val="1"/>
      </rPr>
      <t>(Approved Plan)</t>
    </r>
  </si>
  <si>
    <t>Building No. 1 (Lilly)</t>
  </si>
  <si>
    <t>Building No. 2</t>
  </si>
  <si>
    <t>Bluebell - Wing B</t>
  </si>
  <si>
    <t>Aster - 
Wing A</t>
  </si>
  <si>
    <t>OK</t>
  </si>
  <si>
    <t>Building No. 1</t>
  </si>
  <si>
    <t xml:space="preserve">Lilly </t>
  </si>
  <si>
    <t>Ground Floor For Parking, Entrance Lobby &amp; Meter Room</t>
  </si>
  <si>
    <t>1st Floor For Residential</t>
  </si>
  <si>
    <t>2BHK</t>
  </si>
  <si>
    <t>1BHK</t>
  </si>
  <si>
    <t>Balcony Area</t>
  </si>
  <si>
    <t>2nd to 6th, 8th to 11th Floor</t>
  </si>
  <si>
    <t xml:space="preserve"> - </t>
  </si>
  <si>
    <t>Refuge Area</t>
  </si>
  <si>
    <t>7th Floor For Residential (Part Refuge Area)</t>
  </si>
  <si>
    <r>
      <t xml:space="preserve">Flat No.
</t>
    </r>
    <r>
      <rPr>
        <b/>
        <sz val="11"/>
        <rFont val="Times New Roman"/>
        <family val="1"/>
      </rPr>
      <t>(Approved Plan)</t>
    </r>
  </si>
  <si>
    <t>Ground Floor For Parking, Driver's Room, Society Office &amp; Telecom Room</t>
  </si>
  <si>
    <t xml:space="preserve"> 1st to 6th, 8th to 11th &amp; 13th Floor For Residential</t>
  </si>
  <si>
    <t>7th &amp; 12th Floor For Residential (Part Refuge Area)</t>
  </si>
  <si>
    <t>14th Floor</t>
  </si>
  <si>
    <t>Ground Floor For Parking, Entrance Lobby, Telecom Room &amp; Meter Room</t>
  </si>
  <si>
    <t>We considered Gross carpet area = Net carpet + Balcony Area.</t>
  </si>
  <si>
    <t>Please check for Fire NOC, Airport NOC.</t>
  </si>
  <si>
    <t>Saurav Panse</t>
  </si>
  <si>
    <t>Mr. Sunil Peravi</t>
  </si>
  <si>
    <t>SM Hitech Imperial Tower</t>
  </si>
  <si>
    <t>Flats -277, Shops - 4</t>
  </si>
  <si>
    <t>As per RERA -  31/12/2028</t>
  </si>
  <si>
    <t>Gym, Vitrified tiles flooring, Granite Kitchen Platform, Decorative Entrance, Landscaping &amp; Garden, etc.</t>
  </si>
  <si>
    <r>
      <t xml:space="preserve">Proposed Amenities :                                                                                                                                                                                                                         </t>
    </r>
    <r>
      <rPr>
        <b/>
        <sz val="12"/>
        <rFont val="Times New Roman"/>
        <family val="1"/>
      </rPr>
      <t xml:space="preserve">                                               </t>
    </r>
  </si>
  <si>
    <t>Approved Plans, CC, Cost Sheet, Payment Schedule</t>
  </si>
  <si>
    <t>Taloja Phase 2</t>
  </si>
  <si>
    <t>PMP/NRV/17028 J.K. 1978/2024</t>
  </si>
  <si>
    <t>Building No.1 = G + 1st to 11th Floor 
Building No. 2 = G + 1st to 14th Floor
Commercial Building = G + 1st Floor
Total BUA = 17694.658 Sq. Mtrs
(Residential Unit = 277, Commercial Units = 4)</t>
  </si>
  <si>
    <t>Aster (Wing A)</t>
  </si>
  <si>
    <t>Bluebell (Wing B)</t>
  </si>
  <si>
    <t>Recommended rate of the Shop Per Sq. Ft. @ Ground Floor</t>
  </si>
  <si>
    <t>Recommended rate of the Shop Per Sq. Ft. @ 1st Floor</t>
  </si>
  <si>
    <t>Society Formation Charges &amp; Conveyance Deed</t>
  </si>
  <si>
    <t>Commercial Building = G + 1st Floor
Building No. 1 = G + 1st to 11th Floor
Building No. 2 (Wing A) = G + 1st to 14th Floor
Building No. 2 (Wing B) = G + 1st to 13th Floor</t>
  </si>
  <si>
    <t>Building No. 2 (Aster- Wing A) = G + 1st to 14th Floor</t>
  </si>
  <si>
    <t>Building No. 2 (Bluebell- Wing B) = G + 1st to 13th Floor</t>
  </si>
  <si>
    <t>Building No. 1 (Lilly) = G + 1st to 11th Floor</t>
  </si>
  <si>
    <t>Building No. 1, 2A &amp; 2B = Construction work is in process at the time of Visit (labour found).
Commercial Building = Work not yet Started.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</si>
</sst>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8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37" xfId="0" applyFill="1" applyBorder="1" applyAlignment="1">
      <alignment vertical="top" wrapText="1"/>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4" fillId="0" borderId="0" xfId="0" applyFont="1" applyAlignment="1">
      <alignment horizontal="center" vertical="center"/>
    </xf>
    <xf numFmtId="1" fontId="6" fillId="0" borderId="1" xfId="1" applyNumberFormat="1" applyFont="1" applyBorder="1" applyAlignment="1">
      <alignment horizontal="center" vertical="center"/>
    </xf>
    <xf numFmtId="0" fontId="14" fillId="0" borderId="0" xfId="1" applyFont="1" applyAlignment="1">
      <alignment horizontal="center" vertical="center"/>
    </xf>
    <xf numFmtId="1" fontId="14" fillId="0" borderId="0" xfId="1" applyNumberFormat="1" applyFont="1" applyAlignment="1">
      <alignment horizontal="center" vertical="center"/>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5" fillId="0" borderId="21"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9" fillId="0" borderId="16" xfId="1" applyFont="1" applyBorder="1" applyAlignment="1" applyProtection="1">
      <alignment horizontal="center" vertical="top"/>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2" fontId="5" fillId="0" borderId="1" xfId="1" applyNumberFormat="1" applyFont="1" applyBorder="1" applyAlignment="1" applyProtection="1">
      <alignment horizontal="left" vertical="top"/>
      <protection locked="0"/>
    </xf>
    <xf numFmtId="168"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6" fillId="0" borderId="0" xfId="1" applyFont="1" applyAlignment="1">
      <alignment horizontal="center" vertical="center"/>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8" fontId="5" fillId="0" borderId="1" xfId="1" applyNumberFormat="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11" fillId="0" borderId="1" xfId="1" applyNumberFormat="1" applyFont="1" applyBorder="1" applyAlignment="1" applyProtection="1">
      <alignment horizontal="center"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742950</xdr:colOff>
      <xdr:row>15</xdr:row>
      <xdr:rowOff>190500</xdr:rowOff>
    </xdr:from>
    <xdr:to>
      <xdr:col>13</xdr:col>
      <xdr:colOff>85258</xdr:colOff>
      <xdr:row>16</xdr:row>
      <xdr:rowOff>66613</xdr:rowOff>
    </xdr:to>
    <xdr:pic>
      <xdr:nvPicPr>
        <xdr:cNvPr id="2" name="Picture 1"/>
        <xdr:cNvPicPr>
          <a:picLocks noChangeAspect="1"/>
        </xdr:cNvPicPr>
      </xdr:nvPicPr>
      <xdr:blipFill>
        <a:blip xmlns:r="http://schemas.openxmlformats.org/officeDocument/2006/relationships" r:embed="rId1"/>
        <a:stretch>
          <a:fillRect/>
        </a:stretch>
      </xdr:blipFill>
      <xdr:spPr>
        <a:xfrm>
          <a:off x="7058025" y="3781425"/>
          <a:ext cx="3733333" cy="495238"/>
        </a:xfrm>
        <a:prstGeom prst="rect">
          <a:avLst/>
        </a:prstGeom>
      </xdr:spPr>
    </xdr:pic>
    <xdr:clientData/>
  </xdr:twoCellAnchor>
  <xdr:twoCellAnchor editAs="oneCell">
    <xdr:from>
      <xdr:col>8</xdr:col>
      <xdr:colOff>314325</xdr:colOff>
      <xdr:row>42</xdr:row>
      <xdr:rowOff>171450</xdr:rowOff>
    </xdr:from>
    <xdr:to>
      <xdr:col>12</xdr:col>
      <xdr:colOff>151970</xdr:colOff>
      <xdr:row>63</xdr:row>
      <xdr:rowOff>47133</xdr:rowOff>
    </xdr:to>
    <xdr:pic>
      <xdr:nvPicPr>
        <xdr:cNvPr id="3" name="Picture 2"/>
        <xdr:cNvPicPr>
          <a:picLocks noChangeAspect="1"/>
        </xdr:cNvPicPr>
      </xdr:nvPicPr>
      <xdr:blipFill>
        <a:blip xmlns:r="http://schemas.openxmlformats.org/officeDocument/2006/relationships" r:embed="rId2"/>
        <a:stretch>
          <a:fillRect/>
        </a:stretch>
      </xdr:blipFill>
      <xdr:spPr>
        <a:xfrm>
          <a:off x="6629400" y="10429875"/>
          <a:ext cx="3438095" cy="3933333"/>
        </a:xfrm>
        <a:prstGeom prst="rect">
          <a:avLst/>
        </a:prstGeom>
      </xdr:spPr>
    </xdr:pic>
    <xdr:clientData/>
  </xdr:twoCellAnchor>
  <xdr:twoCellAnchor editAs="oneCell">
    <xdr:from>
      <xdr:col>8</xdr:col>
      <xdr:colOff>314325</xdr:colOff>
      <xdr:row>42</xdr:row>
      <xdr:rowOff>171450</xdr:rowOff>
    </xdr:from>
    <xdr:to>
      <xdr:col>12</xdr:col>
      <xdr:colOff>532923</xdr:colOff>
      <xdr:row>66</xdr:row>
      <xdr:rowOff>180313</xdr:rowOff>
    </xdr:to>
    <xdr:pic>
      <xdr:nvPicPr>
        <xdr:cNvPr id="4" name="Picture 3"/>
        <xdr:cNvPicPr>
          <a:picLocks noChangeAspect="1"/>
        </xdr:cNvPicPr>
      </xdr:nvPicPr>
      <xdr:blipFill>
        <a:blip xmlns:r="http://schemas.openxmlformats.org/officeDocument/2006/relationships" r:embed="rId3"/>
        <a:stretch>
          <a:fillRect/>
        </a:stretch>
      </xdr:blipFill>
      <xdr:spPr>
        <a:xfrm>
          <a:off x="6629400" y="10429875"/>
          <a:ext cx="3819048" cy="5295238"/>
        </a:xfrm>
        <a:prstGeom prst="rect">
          <a:avLst/>
        </a:prstGeom>
      </xdr:spPr>
    </xdr:pic>
    <xdr:clientData/>
  </xdr:twoCellAnchor>
  <xdr:twoCellAnchor>
    <xdr:from>
      <xdr:col>0</xdr:col>
      <xdr:colOff>95250</xdr:colOff>
      <xdr:row>315</xdr:row>
      <xdr:rowOff>76200</xdr:rowOff>
    </xdr:from>
    <xdr:to>
      <xdr:col>7</xdr:col>
      <xdr:colOff>633600</xdr:colOff>
      <xdr:row>355</xdr:row>
      <xdr:rowOff>119724</xdr:rowOff>
    </xdr:to>
    <xdr:grpSp>
      <xdr:nvGrpSpPr>
        <xdr:cNvPr id="5" name="Group 4"/>
        <xdr:cNvGrpSpPr/>
      </xdr:nvGrpSpPr>
      <xdr:grpSpPr>
        <a:xfrm>
          <a:off x="95250" y="66617850"/>
          <a:ext cx="6120000" cy="8044524"/>
          <a:chOff x="369000" y="190500"/>
          <a:chExt cx="6120000" cy="8044524"/>
        </a:xfrm>
      </xdr:grpSpPr>
      <xdr:grpSp>
        <xdr:nvGrpSpPr>
          <xdr:cNvPr id="6" name="Group 5"/>
          <xdr:cNvGrpSpPr/>
        </xdr:nvGrpSpPr>
        <xdr:grpSpPr>
          <a:xfrm>
            <a:off x="369000" y="190500"/>
            <a:ext cx="6120000" cy="5400000"/>
            <a:chOff x="0" y="0"/>
            <a:chExt cx="6120000" cy="5330776"/>
          </a:xfrm>
        </xdr:grpSpPr>
        <xdr:pic>
          <xdr:nvPicPr>
            <xdr:cNvPr id="8" name="Pictur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6120000" cy="5330776"/>
            </a:xfrm>
            <a:prstGeom prst="rect">
              <a:avLst/>
            </a:prstGeom>
            <a:ln>
              <a:solidFill>
                <a:schemeClr val="tx1"/>
              </a:solidFill>
            </a:ln>
          </xdr:spPr>
        </xdr:pic>
        <xdr:sp macro="" textlink="">
          <xdr:nvSpPr>
            <xdr:cNvPr id="9" name="Rectangle 8"/>
            <xdr:cNvSpPr/>
          </xdr:nvSpPr>
          <xdr:spPr>
            <a:xfrm rot="21296968">
              <a:off x="466687" y="556762"/>
              <a:ext cx="1292897" cy="524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3"/>
            <xdr:cNvSpPr txBox="1"/>
          </xdr:nvSpPr>
          <xdr:spPr>
            <a:xfrm>
              <a:off x="446103" y="1268828"/>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1</a:t>
              </a:r>
              <a:endParaRPr lang="en-IN" b="1"/>
            </a:p>
          </xdr:txBody>
        </xdr:sp>
        <xdr:sp macro="" textlink="">
          <xdr:nvSpPr>
            <xdr:cNvPr id="11" name="Rectangle 10"/>
            <xdr:cNvSpPr/>
          </xdr:nvSpPr>
          <xdr:spPr>
            <a:xfrm>
              <a:off x="2643187" y="454368"/>
              <a:ext cx="1507331" cy="524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xdr:cNvSpPr/>
          </xdr:nvSpPr>
          <xdr:spPr>
            <a:xfrm>
              <a:off x="4188618" y="500870"/>
              <a:ext cx="1507331" cy="524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6"/>
            <xdr:cNvSpPr txBox="1"/>
          </xdr:nvSpPr>
          <xdr:spPr>
            <a:xfrm>
              <a:off x="2522266" y="1345028"/>
              <a:ext cx="152157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a:t>
              </a:r>
            </a:p>
            <a:p>
              <a:r>
                <a:rPr lang="en-US" b="1"/>
                <a:t>(Wing A)</a:t>
              </a:r>
              <a:endParaRPr lang="en-IN" b="1"/>
            </a:p>
          </xdr:txBody>
        </xdr:sp>
        <xdr:sp macro="" textlink="">
          <xdr:nvSpPr>
            <xdr:cNvPr id="14" name="TextBox 7"/>
            <xdr:cNvSpPr txBox="1"/>
          </xdr:nvSpPr>
          <xdr:spPr>
            <a:xfrm>
              <a:off x="4321133" y="1345028"/>
              <a:ext cx="152157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a:t>
              </a:r>
            </a:p>
            <a:p>
              <a:r>
                <a:rPr lang="en-US" b="1"/>
                <a:t>(Wing B)</a:t>
              </a:r>
              <a:endParaRPr lang="en-IN" b="1"/>
            </a:p>
          </xdr:txBody>
        </xdr:sp>
        <xdr:sp macro="" textlink="">
          <xdr:nvSpPr>
            <xdr:cNvPr id="15" name="Rectangle 14"/>
            <xdr:cNvSpPr/>
          </xdr:nvSpPr>
          <xdr:spPr>
            <a:xfrm rot="5400000">
              <a:off x="136187" y="3764749"/>
              <a:ext cx="1292897" cy="4032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9"/>
            <xdr:cNvSpPr txBox="1"/>
          </xdr:nvSpPr>
          <xdr:spPr>
            <a:xfrm>
              <a:off x="1113135" y="3781695"/>
              <a:ext cx="215148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Commercial Building</a:t>
              </a:r>
              <a:endParaRPr lang="en-IN" b="1"/>
            </a:p>
          </xdr:txBody>
        </xdr:sp>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801268">
              <a:off x="3657145" y="2976120"/>
              <a:ext cx="1440000" cy="1440000"/>
            </a:xfrm>
            <a:prstGeom prst="rect">
              <a:avLst/>
            </a:prstGeom>
          </xdr:spPr>
        </xdr:pic>
      </xdr:grpSp>
      <xdr:pic>
        <xdr:nvPicPr>
          <xdr:cNvPr id="7" name="Picture 6"/>
          <xdr:cNvPicPr>
            <a:picLocks noChangeAspect="1"/>
          </xdr:cNvPicPr>
        </xdr:nvPicPr>
        <xdr:blipFill>
          <a:blip xmlns:r="http://schemas.openxmlformats.org/officeDocument/2006/relationships" r:embed="rId6"/>
          <a:stretch>
            <a:fillRect/>
          </a:stretch>
        </xdr:blipFill>
        <xdr:spPr>
          <a:xfrm>
            <a:off x="2184488" y="5715024"/>
            <a:ext cx="2489025" cy="2520000"/>
          </a:xfrm>
          <a:prstGeom prst="rect">
            <a:avLst/>
          </a:prstGeom>
          <a:ln>
            <a:solidFill>
              <a:schemeClr val="tx1"/>
            </a:solidFill>
          </a:ln>
        </xdr:spPr>
      </xdr:pic>
    </xdr:grpSp>
    <xdr:clientData/>
  </xdr:twoCellAnchor>
  <xdr:twoCellAnchor>
    <xdr:from>
      <xdr:col>1</xdr:col>
      <xdr:colOff>180975</xdr:colOff>
      <xdr:row>359</xdr:row>
      <xdr:rowOff>85725</xdr:rowOff>
    </xdr:from>
    <xdr:to>
      <xdr:col>7</xdr:col>
      <xdr:colOff>41325</xdr:colOff>
      <xdr:row>394</xdr:row>
      <xdr:rowOff>82059</xdr:rowOff>
    </xdr:to>
    <xdr:grpSp>
      <xdr:nvGrpSpPr>
        <xdr:cNvPr id="18" name="Group 17"/>
        <xdr:cNvGrpSpPr/>
      </xdr:nvGrpSpPr>
      <xdr:grpSpPr>
        <a:xfrm>
          <a:off x="942975" y="75428475"/>
          <a:ext cx="4680000" cy="6997209"/>
          <a:chOff x="951840" y="256033"/>
          <a:chExt cx="4680000" cy="6997209"/>
        </a:xfrm>
      </xdr:grpSpPr>
      <xdr:pic>
        <xdr:nvPicPr>
          <xdr:cNvPr id="19" name="Picture 18"/>
          <xdr:cNvPicPr>
            <a:picLocks noChangeAspect="1"/>
          </xdr:cNvPicPr>
        </xdr:nvPicPr>
        <xdr:blipFill rotWithShape="1">
          <a:blip xmlns:r="http://schemas.openxmlformats.org/officeDocument/2006/relationships" r:embed="rId7"/>
          <a:srcRect l="24864" t="18917" r="22709" b="14334"/>
          <a:stretch/>
        </xdr:blipFill>
        <xdr:spPr>
          <a:xfrm>
            <a:off x="951840" y="256033"/>
            <a:ext cx="4680000" cy="3350027"/>
          </a:xfrm>
          <a:prstGeom prst="rect">
            <a:avLst/>
          </a:prstGeom>
          <a:ln>
            <a:solidFill>
              <a:schemeClr val="tx1"/>
            </a:solidFill>
          </a:ln>
        </xdr:spPr>
      </xdr:pic>
      <xdr:grpSp>
        <xdr:nvGrpSpPr>
          <xdr:cNvPr id="20" name="Group 19"/>
          <xdr:cNvGrpSpPr/>
        </xdr:nvGrpSpPr>
        <xdr:grpSpPr>
          <a:xfrm>
            <a:off x="951840" y="3840481"/>
            <a:ext cx="4680000" cy="3412761"/>
            <a:chOff x="951840" y="3840481"/>
            <a:chExt cx="4680000" cy="3412761"/>
          </a:xfrm>
        </xdr:grpSpPr>
        <xdr:pic>
          <xdr:nvPicPr>
            <xdr:cNvPr id="21" name="Picture 20"/>
            <xdr:cNvPicPr>
              <a:picLocks noChangeAspect="1"/>
            </xdr:cNvPicPr>
          </xdr:nvPicPr>
          <xdr:blipFill rotWithShape="1">
            <a:blip xmlns:r="http://schemas.openxmlformats.org/officeDocument/2006/relationships" r:embed="rId8"/>
            <a:srcRect l="26036" t="17750" r="21537" b="14250"/>
            <a:stretch/>
          </xdr:blipFill>
          <xdr:spPr>
            <a:xfrm>
              <a:off x="951840" y="3840481"/>
              <a:ext cx="4680000" cy="3412761"/>
            </a:xfrm>
            <a:prstGeom prst="rect">
              <a:avLst/>
            </a:prstGeom>
            <a:ln>
              <a:solidFill>
                <a:schemeClr val="tx1"/>
              </a:solidFill>
            </a:ln>
          </xdr:spPr>
        </xdr:pic>
        <xdr:sp macro="" textlink="">
          <xdr:nvSpPr>
            <xdr:cNvPr id="22" name="Freeform 21"/>
            <xdr:cNvSpPr/>
          </xdr:nvSpPr>
          <xdr:spPr>
            <a:xfrm>
              <a:off x="2660650" y="4349750"/>
              <a:ext cx="1701800" cy="2470150"/>
            </a:xfrm>
            <a:custGeom>
              <a:avLst/>
              <a:gdLst>
                <a:gd name="connsiteX0" fmla="*/ 539750 w 1701800"/>
                <a:gd name="connsiteY0" fmla="*/ 2387600 h 2470150"/>
                <a:gd name="connsiteX1" fmla="*/ 825500 w 1701800"/>
                <a:gd name="connsiteY1" fmla="*/ 2247900 h 2470150"/>
                <a:gd name="connsiteX2" fmla="*/ 228600 w 1701800"/>
                <a:gd name="connsiteY2" fmla="*/ 1022350 h 2470150"/>
                <a:gd name="connsiteX3" fmla="*/ 1701800 w 1701800"/>
                <a:gd name="connsiteY3" fmla="*/ 387350 h 2470150"/>
                <a:gd name="connsiteX4" fmla="*/ 1517650 w 1701800"/>
                <a:gd name="connsiteY4" fmla="*/ 0 h 2470150"/>
                <a:gd name="connsiteX5" fmla="*/ 0 w 1701800"/>
                <a:gd name="connsiteY5" fmla="*/ 768350 h 2470150"/>
                <a:gd name="connsiteX6" fmla="*/ 152400 w 1701800"/>
                <a:gd name="connsiteY6" fmla="*/ 1333500 h 2470150"/>
                <a:gd name="connsiteX7" fmla="*/ 476250 w 1701800"/>
                <a:gd name="connsiteY7" fmla="*/ 2470150 h 2470150"/>
                <a:gd name="connsiteX8" fmla="*/ 539750 w 1701800"/>
                <a:gd name="connsiteY8" fmla="*/ 2387600 h 2470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701800" h="2470150">
                  <a:moveTo>
                    <a:pt x="539750" y="2387600"/>
                  </a:moveTo>
                  <a:lnTo>
                    <a:pt x="825500" y="2247900"/>
                  </a:lnTo>
                  <a:lnTo>
                    <a:pt x="228600" y="1022350"/>
                  </a:lnTo>
                  <a:lnTo>
                    <a:pt x="1701800" y="387350"/>
                  </a:lnTo>
                  <a:lnTo>
                    <a:pt x="1517650" y="0"/>
                  </a:lnTo>
                  <a:lnTo>
                    <a:pt x="0" y="768350"/>
                  </a:lnTo>
                  <a:lnTo>
                    <a:pt x="152400" y="1333500"/>
                  </a:lnTo>
                  <a:lnTo>
                    <a:pt x="476250" y="2470150"/>
                  </a:lnTo>
                  <a:lnTo>
                    <a:pt x="539750" y="23876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3" name="TextBox 5"/>
            <xdr:cNvSpPr txBox="1"/>
          </xdr:nvSpPr>
          <xdr:spPr>
            <a:xfrm>
              <a:off x="1503347" y="5067300"/>
              <a:ext cx="121539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Imperial III</a:t>
              </a:r>
              <a:endParaRPr lang="en-IN" b="1">
                <a:solidFill>
                  <a:srgbClr val="FFFF00"/>
                </a:solidFill>
              </a:endParaRPr>
            </a:p>
          </xdr:txBody>
        </xdr:sp>
      </xdr:grpSp>
    </xdr:grpSp>
    <xdr:clientData/>
  </xdr:twoCellAnchor>
  <xdr:twoCellAnchor>
    <xdr:from>
      <xdr:col>0</xdr:col>
      <xdr:colOff>95250</xdr:colOff>
      <xdr:row>271</xdr:row>
      <xdr:rowOff>104775</xdr:rowOff>
    </xdr:from>
    <xdr:to>
      <xdr:col>7</xdr:col>
      <xdr:colOff>633600</xdr:colOff>
      <xdr:row>312</xdr:row>
      <xdr:rowOff>193275</xdr:rowOff>
    </xdr:to>
    <xdr:grpSp>
      <xdr:nvGrpSpPr>
        <xdr:cNvPr id="37" name="Group 36"/>
        <xdr:cNvGrpSpPr/>
      </xdr:nvGrpSpPr>
      <xdr:grpSpPr>
        <a:xfrm>
          <a:off x="95250" y="57854850"/>
          <a:ext cx="6120000" cy="8280000"/>
          <a:chOff x="298039" y="189966"/>
          <a:chExt cx="6120000" cy="8280000"/>
        </a:xfrm>
      </xdr:grpSpPr>
      <xdr:grpSp>
        <xdr:nvGrpSpPr>
          <xdr:cNvPr id="38" name="Group 37"/>
          <xdr:cNvGrpSpPr/>
        </xdr:nvGrpSpPr>
        <xdr:grpSpPr>
          <a:xfrm>
            <a:off x="1337827" y="6728770"/>
            <a:ext cx="4040424" cy="1741196"/>
            <a:chOff x="0" y="7344000"/>
            <a:chExt cx="3901935" cy="1800000"/>
          </a:xfrm>
        </xdr:grpSpPr>
        <xdr:pic>
          <xdr:nvPicPr>
            <xdr:cNvPr id="54" name="Picture 5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7344000"/>
              <a:ext cx="2397777" cy="180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53342" y="7344000"/>
              <a:ext cx="1348593" cy="1800000"/>
            </a:xfrm>
            <a:prstGeom prst="rect">
              <a:avLst/>
            </a:prstGeom>
            <a:ln>
              <a:solidFill>
                <a:schemeClr val="tx1"/>
              </a:solidFill>
            </a:ln>
          </xdr:spPr>
        </xdr:pic>
      </xdr:grpSp>
      <xdr:grpSp>
        <xdr:nvGrpSpPr>
          <xdr:cNvPr id="39" name="Group 38"/>
          <xdr:cNvGrpSpPr/>
        </xdr:nvGrpSpPr>
        <xdr:grpSpPr>
          <a:xfrm>
            <a:off x="298039" y="189966"/>
            <a:ext cx="6120000" cy="2089435"/>
            <a:chOff x="298039" y="189966"/>
            <a:chExt cx="6120000" cy="2089435"/>
          </a:xfrm>
        </xdr:grpSpPr>
        <xdr:pic>
          <xdr:nvPicPr>
            <xdr:cNvPr id="50" name="Picture 4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98039" y="189966"/>
              <a:ext cx="2979457" cy="2089435"/>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38582" y="189966"/>
              <a:ext cx="2979457" cy="2089435"/>
            </a:xfrm>
            <a:prstGeom prst="rect">
              <a:avLst/>
            </a:prstGeom>
            <a:ln>
              <a:solidFill>
                <a:schemeClr val="tx1"/>
              </a:solidFill>
            </a:ln>
          </xdr:spPr>
        </xdr:pic>
        <xdr:sp macro="" textlink="">
          <xdr:nvSpPr>
            <xdr:cNvPr id="52" name="TextBox 15"/>
            <xdr:cNvSpPr txBox="1"/>
          </xdr:nvSpPr>
          <xdr:spPr>
            <a:xfrm>
              <a:off x="1026982" y="272516"/>
              <a:ext cx="1521570"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1</a:t>
              </a:r>
              <a:endParaRPr lang="en-IN" b="1"/>
            </a:p>
          </xdr:txBody>
        </xdr:sp>
        <xdr:sp macro="" textlink="">
          <xdr:nvSpPr>
            <xdr:cNvPr id="53" name="TextBox 16"/>
            <xdr:cNvSpPr txBox="1"/>
          </xdr:nvSpPr>
          <xdr:spPr>
            <a:xfrm>
              <a:off x="3981794" y="272516"/>
              <a:ext cx="1521570"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1</a:t>
              </a:r>
              <a:endParaRPr lang="en-IN" b="1"/>
            </a:p>
          </xdr:txBody>
        </xdr:sp>
      </xdr:grpSp>
      <xdr:grpSp>
        <xdr:nvGrpSpPr>
          <xdr:cNvPr id="40" name="Group 39"/>
          <xdr:cNvGrpSpPr/>
        </xdr:nvGrpSpPr>
        <xdr:grpSpPr>
          <a:xfrm>
            <a:off x="298039" y="2371888"/>
            <a:ext cx="6119999" cy="2089435"/>
            <a:chOff x="298039" y="2371888"/>
            <a:chExt cx="6119999" cy="2089435"/>
          </a:xfrm>
        </xdr:grpSpPr>
        <xdr:pic>
          <xdr:nvPicPr>
            <xdr:cNvPr id="46" name="Picture 4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98039" y="2371888"/>
              <a:ext cx="2979457" cy="2089435"/>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38581" y="2371888"/>
              <a:ext cx="2979457" cy="2089435"/>
            </a:xfrm>
            <a:prstGeom prst="rect">
              <a:avLst/>
            </a:prstGeom>
            <a:ln>
              <a:solidFill>
                <a:schemeClr val="tx1"/>
              </a:solidFill>
            </a:ln>
          </xdr:spPr>
        </xdr:pic>
        <xdr:sp macro="" textlink="">
          <xdr:nvSpPr>
            <xdr:cNvPr id="48" name="TextBox 17"/>
            <xdr:cNvSpPr txBox="1"/>
          </xdr:nvSpPr>
          <xdr:spPr>
            <a:xfrm>
              <a:off x="4073234" y="2568807"/>
              <a:ext cx="1661032"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2A</a:t>
              </a:r>
              <a:endParaRPr lang="en-IN" b="1"/>
            </a:p>
          </xdr:txBody>
        </xdr:sp>
        <xdr:sp macro="" textlink="">
          <xdr:nvSpPr>
            <xdr:cNvPr id="49" name="TextBox 18"/>
            <xdr:cNvSpPr txBox="1"/>
          </xdr:nvSpPr>
          <xdr:spPr>
            <a:xfrm>
              <a:off x="1026982" y="2629767"/>
              <a:ext cx="1661032"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2A</a:t>
              </a:r>
              <a:endParaRPr lang="en-IN" b="1"/>
            </a:p>
          </xdr:txBody>
        </xdr:sp>
      </xdr:grpSp>
      <xdr:grpSp>
        <xdr:nvGrpSpPr>
          <xdr:cNvPr id="41" name="Group 40"/>
          <xdr:cNvGrpSpPr/>
        </xdr:nvGrpSpPr>
        <xdr:grpSpPr>
          <a:xfrm>
            <a:off x="298040" y="4553872"/>
            <a:ext cx="6119998" cy="2089435"/>
            <a:chOff x="298040" y="4553872"/>
            <a:chExt cx="6119998" cy="2089435"/>
          </a:xfrm>
        </xdr:grpSpPr>
        <xdr:pic>
          <xdr:nvPicPr>
            <xdr:cNvPr id="42" name="Picture 4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8040" y="4553872"/>
              <a:ext cx="2979457" cy="2089435"/>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438581" y="4553872"/>
              <a:ext cx="2979457" cy="2089435"/>
            </a:xfrm>
            <a:prstGeom prst="rect">
              <a:avLst/>
            </a:prstGeom>
            <a:ln>
              <a:solidFill>
                <a:schemeClr val="tx1"/>
              </a:solidFill>
            </a:ln>
          </xdr:spPr>
        </xdr:pic>
        <xdr:sp macro="" textlink="">
          <xdr:nvSpPr>
            <xdr:cNvPr id="44" name="TextBox 19"/>
            <xdr:cNvSpPr txBox="1"/>
          </xdr:nvSpPr>
          <xdr:spPr>
            <a:xfrm>
              <a:off x="1026982" y="4823103"/>
              <a:ext cx="1651414"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2B</a:t>
              </a:r>
              <a:endParaRPr lang="en-IN" b="1"/>
            </a:p>
          </xdr:txBody>
        </xdr:sp>
        <xdr:sp macro="" textlink="">
          <xdr:nvSpPr>
            <xdr:cNvPr id="45" name="TextBox 20"/>
            <xdr:cNvSpPr txBox="1"/>
          </xdr:nvSpPr>
          <xdr:spPr>
            <a:xfrm>
              <a:off x="3981794" y="4856798"/>
              <a:ext cx="1651414"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No. 2B</a:t>
              </a:r>
              <a:endParaRPr lang="en-IN"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129G35VCenaQyC3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9"/>
  <sheetViews>
    <sheetView tabSelected="1" view="pageBreakPreview" topLeftCell="A265" zoomScaleNormal="100" zoomScaleSheetLayoutView="100" zoomScalePageLayoutView="85" workbookViewId="0">
      <selection activeCell="L277" sqref="L277"/>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82" t="s">
        <v>368</v>
      </c>
      <c r="B1" s="182"/>
      <c r="C1" s="182"/>
      <c r="D1" s="182"/>
      <c r="E1" s="182"/>
      <c r="F1" s="182"/>
      <c r="G1" s="182"/>
      <c r="H1" s="182"/>
    </row>
    <row r="2" spans="1:26" ht="16.5" customHeight="1" x14ac:dyDescent="0.25">
      <c r="A2" s="183" t="s">
        <v>0</v>
      </c>
      <c r="B2" s="183"/>
      <c r="C2" s="183"/>
      <c r="D2" s="183"/>
      <c r="E2" s="183"/>
      <c r="F2" s="183"/>
      <c r="G2" s="183"/>
      <c r="H2" s="183"/>
    </row>
    <row r="3" spans="1:26" x14ac:dyDescent="0.25">
      <c r="A3" s="136" t="s">
        <v>1</v>
      </c>
      <c r="B3" s="136"/>
      <c r="C3" s="136"/>
      <c r="D3" s="136"/>
      <c r="E3" s="136" t="str">
        <f ca="1">TEXT(TODAY(),"DD/MM/YYYY")</f>
        <v>22/08/2025</v>
      </c>
      <c r="F3" s="136"/>
      <c r="G3" s="136"/>
      <c r="H3" s="136"/>
      <c r="K3" s="53" t="s">
        <v>226</v>
      </c>
      <c r="L3" s="52" t="s">
        <v>224</v>
      </c>
      <c r="M3" s="52" t="s">
        <v>229</v>
      </c>
      <c r="N3" s="52" t="s">
        <v>227</v>
      </c>
      <c r="O3" s="52" t="s">
        <v>345</v>
      </c>
      <c r="P3" s="52" t="s">
        <v>371</v>
      </c>
    </row>
    <row r="4" spans="1:26" ht="15" customHeight="1" x14ac:dyDescent="0.25">
      <c r="A4" s="136" t="s">
        <v>223</v>
      </c>
      <c r="B4" s="136"/>
      <c r="C4" s="136"/>
      <c r="D4" s="136"/>
      <c r="E4" s="136" t="s">
        <v>224</v>
      </c>
      <c r="F4" s="136"/>
      <c r="G4" s="136"/>
      <c r="H4" s="136"/>
      <c r="K4" s="51" t="s">
        <v>225</v>
      </c>
      <c r="L4" s="52" t="s">
        <v>161</v>
      </c>
      <c r="M4" s="52" t="s">
        <v>234</v>
      </c>
      <c r="N4" s="52" t="s">
        <v>236</v>
      </c>
      <c r="O4" s="52" t="s">
        <v>331</v>
      </c>
      <c r="P4" s="52" t="s">
        <v>372</v>
      </c>
    </row>
    <row r="5" spans="1:26" ht="15" customHeight="1" x14ac:dyDescent="0.25">
      <c r="A5" s="136" t="s">
        <v>2</v>
      </c>
      <c r="B5" s="136"/>
      <c r="C5" s="136"/>
      <c r="D5" s="136"/>
      <c r="E5" s="136" t="s">
        <v>232</v>
      </c>
      <c r="F5" s="136"/>
      <c r="G5" s="136"/>
      <c r="H5" s="136"/>
      <c r="K5" s="51"/>
      <c r="L5" s="52" t="s">
        <v>231</v>
      </c>
      <c r="M5" s="52" t="s">
        <v>235</v>
      </c>
      <c r="N5" s="52" t="s">
        <v>237</v>
      </c>
      <c r="O5" s="52" t="s">
        <v>332</v>
      </c>
      <c r="P5" s="52"/>
    </row>
    <row r="6" spans="1:26" x14ac:dyDescent="0.25">
      <c r="A6" s="136" t="s">
        <v>3</v>
      </c>
      <c r="B6" s="136"/>
      <c r="C6" s="136"/>
      <c r="D6" s="136"/>
      <c r="E6" s="184">
        <v>45890</v>
      </c>
      <c r="F6" s="136"/>
      <c r="G6" s="136"/>
      <c r="H6" s="136"/>
      <c r="K6" s="51"/>
      <c r="L6" s="52" t="s">
        <v>232</v>
      </c>
      <c r="M6" s="52" t="s">
        <v>343</v>
      </c>
      <c r="N6" s="52"/>
      <c r="O6" s="52" t="s">
        <v>333</v>
      </c>
      <c r="P6" s="52"/>
    </row>
    <row r="7" spans="1:26" ht="16.5" customHeight="1" x14ac:dyDescent="0.25">
      <c r="A7" s="136" t="s">
        <v>4</v>
      </c>
      <c r="B7" s="136"/>
      <c r="C7" s="136"/>
      <c r="D7" s="136"/>
      <c r="E7" s="136" t="s">
        <v>377</v>
      </c>
      <c r="F7" s="136"/>
      <c r="G7" s="136"/>
      <c r="H7" s="136"/>
      <c r="K7" s="51"/>
      <c r="L7" s="52" t="s">
        <v>233</v>
      </c>
      <c r="M7" s="52"/>
      <c r="N7" s="52"/>
      <c r="O7" s="52" t="s">
        <v>333</v>
      </c>
      <c r="P7" s="52"/>
    </row>
    <row r="8" spans="1:26" ht="15" customHeight="1" x14ac:dyDescent="0.25">
      <c r="A8" s="136" t="s">
        <v>5</v>
      </c>
      <c r="B8" s="136"/>
      <c r="C8" s="136"/>
      <c r="D8" s="136"/>
      <c r="E8" s="136" t="str">
        <f>E7</f>
        <v>M/s. S M Hitech Developers</v>
      </c>
      <c r="F8" s="136"/>
      <c r="G8" s="136"/>
      <c r="H8" s="136"/>
      <c r="K8" s="51"/>
      <c r="L8" s="52"/>
      <c r="M8" s="52"/>
      <c r="N8" s="52"/>
      <c r="O8" s="52" t="s">
        <v>334</v>
      </c>
      <c r="P8" s="52"/>
    </row>
    <row r="9" spans="1:26" x14ac:dyDescent="0.25">
      <c r="A9" s="136" t="s">
        <v>6</v>
      </c>
      <c r="B9" s="136"/>
      <c r="C9" s="136"/>
      <c r="D9" s="136"/>
      <c r="E9" s="276" t="s">
        <v>378</v>
      </c>
      <c r="F9" s="276"/>
      <c r="G9" s="276"/>
      <c r="H9" s="276"/>
      <c r="K9" s="51"/>
      <c r="L9" s="52"/>
      <c r="M9" s="52"/>
      <c r="N9" s="52"/>
      <c r="O9" s="52" t="s">
        <v>335</v>
      </c>
      <c r="P9" s="52"/>
    </row>
    <row r="10" spans="1:26" x14ac:dyDescent="0.25">
      <c r="A10" s="136" t="s">
        <v>158</v>
      </c>
      <c r="B10" s="136"/>
      <c r="C10" s="136"/>
      <c r="D10" s="136"/>
      <c r="E10" s="136" t="s">
        <v>382</v>
      </c>
      <c r="F10" s="136"/>
      <c r="G10" s="136"/>
      <c r="H10" s="136"/>
      <c r="K10" s="51"/>
      <c r="L10" s="52"/>
      <c r="M10" s="52"/>
      <c r="N10" s="52"/>
      <c r="O10" s="52" t="s">
        <v>336</v>
      </c>
      <c r="P10" s="52"/>
    </row>
    <row r="11" spans="1:26" x14ac:dyDescent="0.25">
      <c r="A11" s="136" t="s">
        <v>159</v>
      </c>
      <c r="B11" s="136"/>
      <c r="C11" s="136"/>
      <c r="D11" s="136"/>
      <c r="E11" s="136" t="s">
        <v>382</v>
      </c>
      <c r="F11" s="136"/>
      <c r="G11" s="136"/>
      <c r="H11" s="136"/>
      <c r="O11" s="52" t="s">
        <v>337</v>
      </c>
    </row>
    <row r="12" spans="1:26" ht="63" customHeight="1" x14ac:dyDescent="0.25">
      <c r="A12" s="136" t="s">
        <v>7</v>
      </c>
      <c r="B12" s="136"/>
      <c r="C12" s="136"/>
      <c r="D12" s="136"/>
      <c r="E12" s="185" t="s">
        <v>381</v>
      </c>
      <c r="F12" s="136"/>
      <c r="G12" s="136"/>
      <c r="H12" s="136"/>
    </row>
    <row r="13" spans="1:26" x14ac:dyDescent="0.25">
      <c r="A13" s="136" t="s">
        <v>162</v>
      </c>
      <c r="B13" s="136"/>
      <c r="C13" s="136"/>
      <c r="D13" s="136"/>
      <c r="E13" s="136" t="s">
        <v>28</v>
      </c>
      <c r="F13" s="136"/>
      <c r="G13" s="136"/>
      <c r="H13" s="136"/>
      <c r="S13" s="52" t="s">
        <v>170</v>
      </c>
      <c r="T13" s="52" t="s">
        <v>179</v>
      </c>
      <c r="U13" s="52" t="s">
        <v>163</v>
      </c>
      <c r="V13" s="52" t="s">
        <v>184</v>
      </c>
      <c r="W13" s="52" t="s">
        <v>202</v>
      </c>
      <c r="X13"/>
      <c r="Y13" t="s">
        <v>184</v>
      </c>
      <c r="Z13" t="e">
        <f ca="1">OFFSET($S$13,1,MATCH($G20,$S$13:$W$13,0)-1,15,1)</f>
        <v>#VALUE!</v>
      </c>
    </row>
    <row r="14" spans="1:26" ht="32.25" customHeight="1" x14ac:dyDescent="0.25">
      <c r="A14" s="113" t="s">
        <v>269</v>
      </c>
      <c r="B14" s="113"/>
      <c r="C14" s="113"/>
      <c r="D14" s="113"/>
      <c r="E14" s="185" t="s">
        <v>437</v>
      </c>
      <c r="F14" s="185"/>
      <c r="G14" s="185"/>
      <c r="H14" s="185"/>
      <c r="S14" s="52" t="s">
        <v>170</v>
      </c>
      <c r="T14" s="52" t="s">
        <v>177</v>
      </c>
      <c r="U14" s="52" t="s">
        <v>199</v>
      </c>
      <c r="V14" s="52" t="s">
        <v>185</v>
      </c>
      <c r="W14" s="52" t="s">
        <v>203</v>
      </c>
      <c r="X14"/>
      <c r="Y14"/>
      <c r="Z14"/>
    </row>
    <row r="15" spans="1:26" x14ac:dyDescent="0.25">
      <c r="A15" s="113" t="s">
        <v>8</v>
      </c>
      <c r="B15" s="113"/>
      <c r="C15" s="113"/>
      <c r="D15" s="113"/>
      <c r="E15" s="185" t="s">
        <v>383</v>
      </c>
      <c r="F15" s="136"/>
      <c r="G15" s="136"/>
      <c r="H15" s="136"/>
      <c r="I15" s="125" t="e">
        <f ca="1">OFFSET($D$5,1,MATCH($J13,$D$5:$H$5,0)-1,15,1)</f>
        <v>#N/A</v>
      </c>
      <c r="J15" s="126"/>
      <c r="K15" s="126"/>
      <c r="L15" s="126"/>
      <c r="M15" s="126"/>
      <c r="N15" s="126"/>
      <c r="O15" s="126"/>
      <c r="P15" s="126"/>
      <c r="S15" s="52" t="s">
        <v>171</v>
      </c>
      <c r="T15" s="52" t="s">
        <v>178</v>
      </c>
      <c r="U15" s="52" t="s">
        <v>200</v>
      </c>
      <c r="V15" s="52" t="s">
        <v>186</v>
      </c>
      <c r="W15" s="52" t="s">
        <v>216</v>
      </c>
      <c r="X15"/>
      <c r="Y15"/>
      <c r="Z15"/>
    </row>
    <row r="16" spans="1:26" ht="48.75" customHeight="1" x14ac:dyDescent="0.25">
      <c r="A16" s="135" t="s">
        <v>9</v>
      </c>
      <c r="B16" s="135"/>
      <c r="C16" s="135" t="str">
        <f>CONCATENATE((IF(OR(E9="",E9="NA"),"",E9)),", ",(IF(OR(A17="",A17="NA"),"",A17)),".",(IF(OR(C17="",C17="NA"),"",C17)),", near ",(IF(OR(C22="",C22="NA"),"",C22)),", ",(IF(OR(C19="",C19="NA"),"",C19)),", ",(IF(OR(C18="",C18="NA"),"",C18)),", ",(IF(OR(G19="",G19="NA"),"",G19)),", ",(IF(OR(C20="",C20="NA"),"",C20)),", ",(IF(OR(C21="",C21="NA"),"",C21)),", ",(IF(OR(G20="",G20="NA"),"",G20))," - ",(IF(OR(G21="",G21="NA"),"",G21)),".")</f>
        <v>Imperial III, Survey No.1/1/4, 1/1/5 &amp; 1/8/A, near SM Hitech Imperial Tower, Ghotcamp Koynavele Road, Ghotkamp Koynavele, Koynavele, Taloja Phase 2, Panvel, Raigad - 410208.</v>
      </c>
      <c r="D16" s="135"/>
      <c r="E16" s="135"/>
      <c r="F16" s="135"/>
      <c r="G16" s="135"/>
      <c r="H16" s="135"/>
      <c r="S16" s="52" t="s">
        <v>172</v>
      </c>
      <c r="T16" s="52" t="s">
        <v>180</v>
      </c>
      <c r="U16" s="52" t="s">
        <v>201</v>
      </c>
      <c r="V16" s="52" t="s">
        <v>187</v>
      </c>
      <c r="W16" s="52" t="s">
        <v>204</v>
      </c>
      <c r="X16"/>
      <c r="Y16"/>
      <c r="Z16"/>
    </row>
    <row r="17" spans="1:26" x14ac:dyDescent="0.25">
      <c r="A17" s="185" t="s">
        <v>384</v>
      </c>
      <c r="B17" s="185"/>
      <c r="C17" s="185" t="s">
        <v>385</v>
      </c>
      <c r="D17" s="185"/>
      <c r="E17" s="185"/>
      <c r="F17" s="185"/>
      <c r="G17" s="185"/>
      <c r="H17" s="185"/>
      <c r="S17" s="52" t="s">
        <v>173</v>
      </c>
      <c r="T17" s="52" t="s">
        <v>181</v>
      </c>
      <c r="U17" s="52" t="s">
        <v>163</v>
      </c>
      <c r="V17" s="52" t="s">
        <v>188</v>
      </c>
      <c r="W17" s="52" t="s">
        <v>205</v>
      </c>
      <c r="X17"/>
      <c r="Y17"/>
      <c r="Z17"/>
    </row>
    <row r="18" spans="1:26" ht="15.75" customHeight="1" x14ac:dyDescent="0.25">
      <c r="A18" s="185" t="s">
        <v>154</v>
      </c>
      <c r="B18" s="185"/>
      <c r="C18" s="185" t="s">
        <v>388</v>
      </c>
      <c r="D18" s="185"/>
      <c r="E18" s="185"/>
      <c r="F18" s="185"/>
      <c r="G18" s="185"/>
      <c r="H18" s="185"/>
      <c r="S18" s="52" t="s">
        <v>174</v>
      </c>
      <c r="T18" s="52" t="s">
        <v>179</v>
      </c>
      <c r="U18" s="52"/>
      <c r="V18" s="52" t="s">
        <v>189</v>
      </c>
      <c r="W18" s="52" t="s">
        <v>206</v>
      </c>
      <c r="X18"/>
      <c r="Y18"/>
      <c r="Z18"/>
    </row>
    <row r="19" spans="1:26" ht="15.75" customHeight="1" x14ac:dyDescent="0.25">
      <c r="A19" s="135" t="s">
        <v>10</v>
      </c>
      <c r="B19" s="135"/>
      <c r="C19" s="136" t="s">
        <v>387</v>
      </c>
      <c r="D19" s="136"/>
      <c r="E19" s="135" t="s">
        <v>69</v>
      </c>
      <c r="F19" s="135"/>
      <c r="G19" s="185" t="s">
        <v>386</v>
      </c>
      <c r="H19" s="185"/>
      <c r="S19" s="52" t="s">
        <v>175</v>
      </c>
      <c r="T19" s="52" t="s">
        <v>182</v>
      </c>
      <c r="U19" s="52"/>
      <c r="V19" s="52" t="s">
        <v>190</v>
      </c>
      <c r="W19" s="52" t="s">
        <v>207</v>
      </c>
      <c r="X19"/>
      <c r="Y19"/>
      <c r="Z19"/>
    </row>
    <row r="20" spans="1:26" x14ac:dyDescent="0.25">
      <c r="A20" s="113" t="s">
        <v>12</v>
      </c>
      <c r="B20" s="113"/>
      <c r="C20" s="185" t="s">
        <v>438</v>
      </c>
      <c r="D20" s="185"/>
      <c r="E20" s="135" t="s">
        <v>11</v>
      </c>
      <c r="F20" s="135"/>
      <c r="G20" s="186" t="s">
        <v>184</v>
      </c>
      <c r="H20" s="186"/>
      <c r="S20" s="52" t="s">
        <v>176</v>
      </c>
      <c r="T20" s="52" t="s">
        <v>183</v>
      </c>
      <c r="U20" s="52"/>
      <c r="V20" s="52" t="s">
        <v>191</v>
      </c>
      <c r="W20" s="52" t="s">
        <v>208</v>
      </c>
      <c r="X20"/>
      <c r="Y20"/>
      <c r="Z20"/>
    </row>
    <row r="21" spans="1:26" x14ac:dyDescent="0.25">
      <c r="A21" s="113" t="s">
        <v>70</v>
      </c>
      <c r="B21" s="113"/>
      <c r="C21" s="185" t="s">
        <v>186</v>
      </c>
      <c r="D21" s="185"/>
      <c r="E21" s="135" t="s">
        <v>13</v>
      </c>
      <c r="F21" s="135"/>
      <c r="G21" s="185">
        <v>410208</v>
      </c>
      <c r="H21" s="185"/>
      <c r="S21" s="52"/>
      <c r="T21" s="52"/>
      <c r="U21" s="52"/>
      <c r="V21" s="52" t="s">
        <v>192</v>
      </c>
      <c r="W21" s="52" t="s">
        <v>209</v>
      </c>
      <c r="X21"/>
      <c r="Y21"/>
      <c r="Z21"/>
    </row>
    <row r="22" spans="1:26" ht="32.25" customHeight="1" x14ac:dyDescent="0.25">
      <c r="A22" s="113" t="s">
        <v>115</v>
      </c>
      <c r="B22" s="113"/>
      <c r="C22" s="185" t="s">
        <v>432</v>
      </c>
      <c r="D22" s="185"/>
      <c r="E22" s="135" t="s">
        <v>14</v>
      </c>
      <c r="F22" s="135"/>
      <c r="G22" s="185" t="s">
        <v>389</v>
      </c>
      <c r="H22" s="185"/>
      <c r="S22" s="52"/>
      <c r="T22" s="52"/>
      <c r="U22" s="52"/>
      <c r="V22" s="52" t="s">
        <v>193</v>
      </c>
      <c r="W22" s="52" t="s">
        <v>210</v>
      </c>
      <c r="X22"/>
      <c r="Y22"/>
      <c r="Z22"/>
    </row>
    <row r="23" spans="1:26" ht="15" customHeight="1" x14ac:dyDescent="0.25">
      <c r="A23" s="135" t="s">
        <v>72</v>
      </c>
      <c r="B23" s="135"/>
      <c r="C23" s="135"/>
      <c r="D23" s="135"/>
      <c r="E23" s="136" t="s">
        <v>15</v>
      </c>
      <c r="F23" s="136"/>
      <c r="G23" s="136"/>
      <c r="H23" s="136"/>
      <c r="S23" s="52"/>
      <c r="T23" s="52"/>
      <c r="U23" s="52"/>
      <c r="V23" s="52" t="s">
        <v>194</v>
      </c>
      <c r="W23" s="52" t="s">
        <v>211</v>
      </c>
      <c r="X23"/>
      <c r="Y23"/>
      <c r="Z23"/>
    </row>
    <row r="24" spans="1:26" ht="18.75" customHeight="1" x14ac:dyDescent="0.25">
      <c r="A24" s="135"/>
      <c r="B24" s="135"/>
      <c r="C24" s="135"/>
      <c r="D24" s="135"/>
      <c r="E24" s="136"/>
      <c r="F24" s="136"/>
      <c r="G24" s="136"/>
      <c r="H24" s="136"/>
      <c r="S24" s="52"/>
      <c r="T24" s="52"/>
      <c r="U24" s="52"/>
      <c r="V24" s="52" t="s">
        <v>195</v>
      </c>
      <c r="W24" s="52" t="s">
        <v>212</v>
      </c>
      <c r="X24"/>
      <c r="Y24"/>
      <c r="Z24"/>
    </row>
    <row r="25" spans="1:26" ht="15" customHeight="1" x14ac:dyDescent="0.25">
      <c r="A25" s="135" t="s">
        <v>16</v>
      </c>
      <c r="B25" s="135"/>
      <c r="C25" s="135"/>
      <c r="D25" s="135"/>
      <c r="E25" s="185" t="s">
        <v>17</v>
      </c>
      <c r="F25" s="185"/>
      <c r="G25" s="185"/>
      <c r="H25" s="185"/>
      <c r="S25" s="52"/>
      <c r="T25" s="52"/>
      <c r="U25" s="52"/>
      <c r="V25" s="52" t="s">
        <v>196</v>
      </c>
      <c r="W25" s="52" t="s">
        <v>213</v>
      </c>
      <c r="X25"/>
      <c r="Y25"/>
      <c r="Z25"/>
    </row>
    <row r="26" spans="1:26" ht="15" customHeight="1" x14ac:dyDescent="0.25">
      <c r="A26" s="113" t="s">
        <v>18</v>
      </c>
      <c r="B26" s="113"/>
      <c r="C26" s="113"/>
      <c r="D26" s="113"/>
      <c r="E26" s="185" t="str">
        <f>IF(AND(G20="Mumbai"),"Upper Class","Middle Class")</f>
        <v>Middle Class</v>
      </c>
      <c r="F26" s="185"/>
      <c r="G26" s="185"/>
      <c r="H26" s="185"/>
      <c r="S26" s="52"/>
      <c r="T26" s="52"/>
      <c r="U26" s="52"/>
      <c r="V26" s="52" t="s">
        <v>197</v>
      </c>
      <c r="W26" s="52" t="s">
        <v>214</v>
      </c>
      <c r="X26"/>
      <c r="Y26"/>
      <c r="Z26"/>
    </row>
    <row r="27" spans="1:26" x14ac:dyDescent="0.25">
      <c r="A27" s="113" t="s">
        <v>19</v>
      </c>
      <c r="B27" s="113"/>
      <c r="C27" s="113"/>
      <c r="D27" s="113"/>
      <c r="E27" s="185" t="s">
        <v>20</v>
      </c>
      <c r="F27" s="185"/>
      <c r="G27" s="185"/>
      <c r="H27" s="185"/>
      <c r="S27" s="52"/>
      <c r="T27" s="52"/>
      <c r="U27" s="52"/>
      <c r="V27" s="52" t="s">
        <v>198</v>
      </c>
      <c r="W27" s="52" t="s">
        <v>215</v>
      </c>
      <c r="X27"/>
      <c r="Y27"/>
      <c r="Z27"/>
    </row>
    <row r="28" spans="1:26" ht="15.75" customHeight="1" x14ac:dyDescent="0.25">
      <c r="A28" s="113" t="s">
        <v>21</v>
      </c>
      <c r="B28" s="113"/>
      <c r="C28" s="113"/>
      <c r="D28" s="113"/>
      <c r="E28" s="185" t="str">
        <f>IF(AND(G20="Mumbai"),"Developed","Developing")</f>
        <v>Developing</v>
      </c>
      <c r="F28" s="185"/>
      <c r="G28" s="185"/>
      <c r="H28" s="185"/>
    </row>
    <row r="29" spans="1:26" x14ac:dyDescent="0.25">
      <c r="A29" s="113" t="s">
        <v>22</v>
      </c>
      <c r="B29" s="113"/>
      <c r="C29" s="113"/>
      <c r="D29" s="113"/>
      <c r="E29" s="185" t="s">
        <v>23</v>
      </c>
      <c r="F29" s="185"/>
      <c r="G29" s="185"/>
      <c r="H29" s="185"/>
    </row>
    <row r="30" spans="1:26" ht="15.75" customHeight="1" x14ac:dyDescent="0.25">
      <c r="A30" s="113" t="s">
        <v>77</v>
      </c>
      <c r="B30" s="113"/>
      <c r="C30" s="113"/>
      <c r="D30" s="113"/>
      <c r="E30" s="185" t="s">
        <v>78</v>
      </c>
      <c r="F30" s="185"/>
      <c r="G30" s="185"/>
      <c r="H30" s="185"/>
    </row>
    <row r="31" spans="1:26" ht="15" customHeight="1" x14ac:dyDescent="0.25">
      <c r="A31" s="113" t="s">
        <v>30</v>
      </c>
      <c r="B31" s="113"/>
      <c r="C31" s="113"/>
      <c r="D31" s="113"/>
      <c r="E31" s="18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85"/>
      <c r="G31" s="185"/>
      <c r="H31" s="185"/>
    </row>
    <row r="32" spans="1:26" ht="15.75" customHeight="1" x14ac:dyDescent="0.25">
      <c r="A32" s="113" t="s">
        <v>89</v>
      </c>
      <c r="B32" s="113"/>
      <c r="C32" s="113"/>
      <c r="D32" s="113"/>
      <c r="E32" s="185" t="s">
        <v>31</v>
      </c>
      <c r="F32" s="185"/>
      <c r="G32" s="185"/>
      <c r="H32" s="185"/>
    </row>
    <row r="33" spans="1:19" s="21" customFormat="1" x14ac:dyDescent="0.25">
      <c r="A33" s="194" t="s">
        <v>90</v>
      </c>
      <c r="B33" s="194"/>
      <c r="C33" s="187" t="s">
        <v>164</v>
      </c>
      <c r="D33" s="188"/>
      <c r="E33" s="189"/>
      <c r="F33" s="187" t="s">
        <v>29</v>
      </c>
      <c r="G33" s="188"/>
      <c r="H33" s="189"/>
      <c r="S33" s="21" t="e">
        <f ca="1">OFFSET($S$13,1,MATCH($G20,$S$13:$W$13,0)-1,15,1)</f>
        <v>#VALUE!</v>
      </c>
    </row>
    <row r="34" spans="1:19" s="21" customFormat="1" x14ac:dyDescent="0.25">
      <c r="A34" s="193" t="s">
        <v>24</v>
      </c>
      <c r="B34" s="193" t="s">
        <v>28</v>
      </c>
      <c r="C34" s="190" t="s">
        <v>393</v>
      </c>
      <c r="D34" s="191"/>
      <c r="E34" s="192"/>
      <c r="F34" s="190" t="s">
        <v>397</v>
      </c>
      <c r="G34" s="191"/>
      <c r="H34" s="192"/>
    </row>
    <row r="35" spans="1:19" x14ac:dyDescent="0.25">
      <c r="A35" s="193" t="s">
        <v>25</v>
      </c>
      <c r="B35" s="193" t="s">
        <v>28</v>
      </c>
      <c r="C35" s="190" t="s">
        <v>392</v>
      </c>
      <c r="D35" s="191"/>
      <c r="E35" s="192"/>
      <c r="F35" s="190" t="s">
        <v>394</v>
      </c>
      <c r="G35" s="191"/>
      <c r="H35" s="192"/>
    </row>
    <row r="36" spans="1:19" s="21" customFormat="1" x14ac:dyDescent="0.25">
      <c r="A36" s="193" t="s">
        <v>27</v>
      </c>
      <c r="B36" s="193" t="s">
        <v>28</v>
      </c>
      <c r="C36" s="190" t="s">
        <v>390</v>
      </c>
      <c r="D36" s="191"/>
      <c r="E36" s="192"/>
      <c r="F36" s="190" t="s">
        <v>395</v>
      </c>
      <c r="G36" s="191"/>
      <c r="H36" s="192"/>
    </row>
    <row r="37" spans="1:19" x14ac:dyDescent="0.25">
      <c r="A37" s="193" t="s">
        <v>26</v>
      </c>
      <c r="B37" s="193" t="s">
        <v>28</v>
      </c>
      <c r="C37" s="190" t="s">
        <v>391</v>
      </c>
      <c r="D37" s="191"/>
      <c r="E37" s="192"/>
      <c r="F37" s="190" t="s">
        <v>396</v>
      </c>
      <c r="G37" s="191"/>
      <c r="H37" s="192"/>
    </row>
    <row r="38" spans="1:19" x14ac:dyDescent="0.25">
      <c r="A38" s="113" t="s">
        <v>270</v>
      </c>
      <c r="B38" s="113"/>
      <c r="C38" s="113"/>
      <c r="D38" s="113"/>
      <c r="E38" s="113"/>
      <c r="F38" s="113"/>
      <c r="G38" s="113"/>
      <c r="H38" s="113"/>
    </row>
    <row r="39" spans="1:19" ht="15.75" customHeight="1" x14ac:dyDescent="0.25">
      <c r="A39" s="113" t="s">
        <v>156</v>
      </c>
      <c r="B39" s="113"/>
      <c r="C39" s="178" t="s">
        <v>380</v>
      </c>
      <c r="D39" s="178"/>
      <c r="E39" s="178"/>
      <c r="F39" s="178"/>
      <c r="G39" s="178"/>
      <c r="H39" s="178"/>
    </row>
    <row r="40" spans="1:19" x14ac:dyDescent="0.25">
      <c r="A40" s="113" t="s">
        <v>153</v>
      </c>
      <c r="B40" s="113"/>
      <c r="C40" s="226" t="s">
        <v>379</v>
      </c>
      <c r="D40" s="185"/>
      <c r="E40" s="185"/>
      <c r="F40" s="185"/>
      <c r="G40" s="185"/>
      <c r="H40" s="185"/>
    </row>
    <row r="41" spans="1:19" x14ac:dyDescent="0.25">
      <c r="A41" s="178" t="s">
        <v>32</v>
      </c>
      <c r="B41" s="178"/>
      <c r="C41" s="178"/>
      <c r="D41" s="178"/>
      <c r="E41" s="178"/>
      <c r="F41" s="178"/>
      <c r="G41" s="178"/>
      <c r="H41" s="178"/>
    </row>
    <row r="42" spans="1:19" x14ac:dyDescent="0.25">
      <c r="A42" s="113" t="s">
        <v>33</v>
      </c>
      <c r="B42" s="113"/>
      <c r="C42" s="113"/>
      <c r="D42" s="113"/>
      <c r="E42" s="224">
        <f>6819.272</f>
        <v>6819.2719999999999</v>
      </c>
      <c r="F42" s="224"/>
      <c r="G42" s="224"/>
      <c r="H42" s="224"/>
    </row>
    <row r="43" spans="1:19" x14ac:dyDescent="0.25">
      <c r="A43" s="113" t="s">
        <v>34</v>
      </c>
      <c r="B43" s="113"/>
      <c r="C43" s="113"/>
      <c r="D43" s="113"/>
      <c r="E43" s="223">
        <f>7501.199/E42</f>
        <v>1.0999999706713561</v>
      </c>
      <c r="F43" s="223"/>
      <c r="G43" s="223"/>
      <c r="H43" s="223"/>
    </row>
    <row r="44" spans="1:19" x14ac:dyDescent="0.25">
      <c r="A44" s="113" t="s">
        <v>35</v>
      </c>
      <c r="B44" s="113"/>
      <c r="C44" s="113"/>
      <c r="D44" s="113"/>
      <c r="E44" s="225">
        <f>E46/E42-E43</f>
        <v>1.4948016445157193</v>
      </c>
      <c r="F44" s="225"/>
      <c r="G44" s="225"/>
      <c r="H44" s="225"/>
    </row>
    <row r="45" spans="1:19" x14ac:dyDescent="0.25">
      <c r="A45" s="113" t="s">
        <v>36</v>
      </c>
      <c r="B45" s="113"/>
      <c r="C45" s="113"/>
      <c r="D45" s="113"/>
      <c r="E45" s="225">
        <f>E43+E44</f>
        <v>2.5948016151870754</v>
      </c>
      <c r="F45" s="225"/>
      <c r="G45" s="225"/>
      <c r="H45" s="225"/>
    </row>
    <row r="46" spans="1:19" x14ac:dyDescent="0.25">
      <c r="A46" s="113" t="s">
        <v>88</v>
      </c>
      <c r="B46" s="113"/>
      <c r="C46" s="113"/>
      <c r="D46" s="113"/>
      <c r="E46" s="251">
        <f>17694.658</f>
        <v>17694.657999999999</v>
      </c>
      <c r="F46" s="251"/>
      <c r="G46" s="251"/>
      <c r="H46" s="251"/>
    </row>
    <row r="47" spans="1:19" x14ac:dyDescent="0.25">
      <c r="A47" s="136" t="s">
        <v>37</v>
      </c>
      <c r="B47" s="136"/>
      <c r="C47" s="136"/>
      <c r="D47" s="136"/>
      <c r="E47" s="136" t="s">
        <v>398</v>
      </c>
      <c r="F47" s="136"/>
      <c r="G47" s="136"/>
      <c r="H47" s="136"/>
    </row>
    <row r="48" spans="1:19" x14ac:dyDescent="0.25">
      <c r="A48" s="178" t="s">
        <v>38</v>
      </c>
      <c r="B48" s="178"/>
      <c r="C48" s="178"/>
      <c r="D48" s="178"/>
      <c r="E48" s="178"/>
      <c r="F48" s="178"/>
      <c r="G48" s="178"/>
      <c r="H48" s="178"/>
    </row>
    <row r="49" spans="1:24" ht="33.75" customHeight="1" x14ac:dyDescent="0.25">
      <c r="A49" s="144" t="s">
        <v>144</v>
      </c>
      <c r="B49" s="145"/>
      <c r="C49" s="200" t="s">
        <v>260</v>
      </c>
      <c r="D49" s="201"/>
      <c r="E49" s="201"/>
      <c r="F49" s="201"/>
      <c r="G49" s="201"/>
      <c r="H49" s="202"/>
      <c r="R49" t="s">
        <v>243</v>
      </c>
      <c r="S49" s="54" t="s">
        <v>163</v>
      </c>
      <c r="T49" s="54" t="s">
        <v>170</v>
      </c>
      <c r="U49" s="54" t="s">
        <v>184</v>
      </c>
      <c r="V49" s="54" t="s">
        <v>179</v>
      </c>
    </row>
    <row r="50" spans="1:24" ht="15.75" customHeight="1" x14ac:dyDescent="0.25">
      <c r="A50" s="144" t="s">
        <v>39</v>
      </c>
      <c r="B50" s="145"/>
      <c r="C50" s="144" t="s">
        <v>439</v>
      </c>
      <c r="D50" s="205"/>
      <c r="E50" s="145"/>
      <c r="F50" s="17" t="s">
        <v>40</v>
      </c>
      <c r="G50" s="203">
        <v>45509</v>
      </c>
      <c r="H50" s="204"/>
      <c r="R50"/>
      <c r="S50" s="54" t="s">
        <v>244</v>
      </c>
      <c r="T50" s="54" t="s">
        <v>249</v>
      </c>
      <c r="U50" s="54" t="s">
        <v>260</v>
      </c>
      <c r="V50" s="54" t="s">
        <v>265</v>
      </c>
    </row>
    <row r="51" spans="1:24" x14ac:dyDescent="0.25">
      <c r="A51" s="144" t="s">
        <v>41</v>
      </c>
      <c r="B51" s="145"/>
      <c r="C51" s="144" t="str">
        <f>C50</f>
        <v>PMP/NRV/17028 J.K. 1978/2024</v>
      </c>
      <c r="D51" s="205"/>
      <c r="E51" s="145"/>
      <c r="F51" s="17" t="s">
        <v>40</v>
      </c>
      <c r="G51" s="203">
        <f>G50</f>
        <v>45509</v>
      </c>
      <c r="H51" s="204"/>
      <c r="R51"/>
      <c r="S51" s="54" t="s">
        <v>245</v>
      </c>
      <c r="T51" s="54" t="s">
        <v>346</v>
      </c>
      <c r="U51" s="54" t="s">
        <v>258</v>
      </c>
      <c r="V51" s="54" t="s">
        <v>266</v>
      </c>
    </row>
    <row r="52" spans="1:24" s="22" customFormat="1" ht="31.5" customHeight="1" x14ac:dyDescent="0.25">
      <c r="A52" s="242" t="s">
        <v>148</v>
      </c>
      <c r="B52" s="243"/>
      <c r="C52" s="242" t="s">
        <v>399</v>
      </c>
      <c r="D52" s="246"/>
      <c r="E52" s="243"/>
      <c r="F52" s="17" t="s">
        <v>40</v>
      </c>
      <c r="G52" s="203">
        <v>45509</v>
      </c>
      <c r="H52" s="204"/>
      <c r="I52" s="21" t="str">
        <f ca="1">IF(G52&gt;EDATE(E3,-48),"NO REMARK","CC REMARK FOR CC")</f>
        <v>NO REMARK</v>
      </c>
      <c r="J52" s="73"/>
      <c r="R52"/>
      <c r="S52" s="54" t="s">
        <v>246</v>
      </c>
      <c r="T52" s="54" t="s">
        <v>251</v>
      </c>
      <c r="U52" s="54" t="s">
        <v>248</v>
      </c>
      <c r="V52" s="54" t="s">
        <v>267</v>
      </c>
    </row>
    <row r="53" spans="1:24" s="22" customFormat="1" ht="81" customHeight="1" x14ac:dyDescent="0.25">
      <c r="A53" s="244"/>
      <c r="B53" s="245"/>
      <c r="C53" s="144" t="s">
        <v>440</v>
      </c>
      <c r="D53" s="205"/>
      <c r="E53" s="205"/>
      <c r="F53" s="205"/>
      <c r="G53" s="205"/>
      <c r="H53" s="145"/>
      <c r="R53"/>
      <c r="S53" s="54"/>
      <c r="T53" s="54"/>
      <c r="U53" s="54"/>
      <c r="V53" s="69"/>
    </row>
    <row r="54" spans="1:24" s="22" customFormat="1" hidden="1" x14ac:dyDescent="0.25">
      <c r="A54" s="139" t="s">
        <v>271</v>
      </c>
      <c r="B54" s="140"/>
      <c r="C54" s="144"/>
      <c r="D54" s="205"/>
      <c r="E54" s="145"/>
      <c r="F54" s="17" t="s">
        <v>40</v>
      </c>
      <c r="G54" s="203"/>
      <c r="H54" s="204"/>
      <c r="K54" s="74">
        <f>EDATE(G52,-48)</f>
        <v>44048</v>
      </c>
      <c r="L54" s="22" t="str">
        <f ca="1">IF(G52&gt;EDATE(E3,-48),"NO REMARK","CC REMARK FOR CC")</f>
        <v>NO REMARK</v>
      </c>
      <c r="R54"/>
      <c r="S54" s="54" t="s">
        <v>246</v>
      </c>
      <c r="T54" s="54" t="s">
        <v>251</v>
      </c>
      <c r="U54" s="54" t="s">
        <v>248</v>
      </c>
      <c r="V54" s="54" t="s">
        <v>267</v>
      </c>
    </row>
    <row r="55" spans="1:24" s="22" customFormat="1" ht="32.25" hidden="1" customHeight="1" x14ac:dyDescent="0.25">
      <c r="A55" s="141"/>
      <c r="B55" s="142"/>
      <c r="C55" s="239"/>
      <c r="D55" s="240"/>
      <c r="E55" s="240"/>
      <c r="F55" s="240"/>
      <c r="G55" s="240"/>
      <c r="H55" s="241"/>
      <c r="R55"/>
      <c r="S55" s="54" t="s">
        <v>248</v>
      </c>
      <c r="T55" s="54" t="s">
        <v>252</v>
      </c>
      <c r="U55" s="54" t="s">
        <v>262</v>
      </c>
      <c r="V55" s="70"/>
      <c r="W55" s="20"/>
      <c r="X55" s="20"/>
    </row>
    <row r="56" spans="1:24" s="22" customFormat="1" ht="34.5" hidden="1" customHeight="1" x14ac:dyDescent="0.25">
      <c r="A56" s="139" t="s">
        <v>272</v>
      </c>
      <c r="B56" s="140"/>
      <c r="C56" s="144"/>
      <c r="D56" s="205"/>
      <c r="E56" s="145"/>
      <c r="F56" s="17" t="s">
        <v>40</v>
      </c>
      <c r="G56" s="203"/>
      <c r="H56" s="204"/>
      <c r="R56"/>
      <c r="S56" s="70"/>
      <c r="T56" s="54" t="s">
        <v>253</v>
      </c>
      <c r="U56" s="54" t="s">
        <v>263</v>
      </c>
      <c r="V56" s="70"/>
      <c r="W56" s="20"/>
      <c r="X56" s="20"/>
    </row>
    <row r="57" spans="1:24" s="22" customFormat="1" ht="41.25" hidden="1" customHeight="1" x14ac:dyDescent="0.25">
      <c r="A57" s="141"/>
      <c r="B57" s="142"/>
      <c r="C57" s="144"/>
      <c r="D57" s="205"/>
      <c r="E57" s="205"/>
      <c r="F57" s="205"/>
      <c r="G57" s="205"/>
      <c r="H57" s="145"/>
      <c r="R57"/>
      <c r="S57" s="70"/>
      <c r="T57" s="54" t="s">
        <v>255</v>
      </c>
      <c r="U57" s="54" t="s">
        <v>264</v>
      </c>
      <c r="V57" s="70"/>
      <c r="W57" s="20"/>
      <c r="X57" s="20"/>
    </row>
    <row r="58" spans="1:24" s="22" customFormat="1" ht="15.75" hidden="1" customHeight="1" x14ac:dyDescent="0.25">
      <c r="A58" s="139" t="s">
        <v>341</v>
      </c>
      <c r="B58" s="140"/>
      <c r="C58" s="217"/>
      <c r="D58" s="218"/>
      <c r="E58" s="219"/>
      <c r="F58" s="17" t="s">
        <v>40</v>
      </c>
      <c r="G58" s="203"/>
      <c r="H58" s="204"/>
      <c r="R58"/>
      <c r="S58" s="70"/>
      <c r="T58" s="54" t="s">
        <v>256</v>
      </c>
      <c r="U58" s="70" t="s">
        <v>286</v>
      </c>
      <c r="V58" s="70"/>
      <c r="W58" s="20"/>
      <c r="X58" s="20"/>
    </row>
    <row r="59" spans="1:24" s="22" customFormat="1" ht="33.75" hidden="1" customHeight="1" x14ac:dyDescent="0.25">
      <c r="A59" s="215"/>
      <c r="B59" s="216"/>
      <c r="C59" s="220"/>
      <c r="D59" s="221"/>
      <c r="E59" s="222"/>
      <c r="F59" s="17" t="s">
        <v>342</v>
      </c>
      <c r="G59" s="203"/>
      <c r="H59" s="204"/>
      <c r="R59"/>
      <c r="S59" s="70"/>
      <c r="T59" s="54" t="s">
        <v>257</v>
      </c>
      <c r="U59" s="70"/>
      <c r="V59" s="70"/>
      <c r="W59" s="20"/>
      <c r="X59" s="20"/>
    </row>
    <row r="60" spans="1:24" s="22" customFormat="1" ht="33.75" hidden="1" customHeight="1" x14ac:dyDescent="0.25">
      <c r="A60" s="141"/>
      <c r="B60" s="142"/>
      <c r="C60" s="144" t="s">
        <v>364</v>
      </c>
      <c r="D60" s="205"/>
      <c r="E60" s="205"/>
      <c r="F60" s="205"/>
      <c r="G60" s="205"/>
      <c r="H60" s="145"/>
      <c r="R60"/>
      <c r="S60" s="70"/>
      <c r="T60" s="54"/>
      <c r="U60" s="70"/>
      <c r="V60" s="70"/>
      <c r="W60" s="20"/>
      <c r="X60" s="20"/>
    </row>
    <row r="61" spans="1:24" x14ac:dyDescent="0.25">
      <c r="A61" s="131" t="s">
        <v>42</v>
      </c>
      <c r="B61" s="132"/>
      <c r="C61" s="131" t="s">
        <v>101</v>
      </c>
      <c r="D61" s="133"/>
      <c r="E61" s="132"/>
      <c r="F61" s="43" t="s">
        <v>40</v>
      </c>
      <c r="G61" s="137" t="s">
        <v>28</v>
      </c>
      <c r="H61" s="138"/>
      <c r="R61"/>
      <c r="S61" s="70"/>
      <c r="T61" s="54" t="s">
        <v>259</v>
      </c>
      <c r="U61" s="70"/>
      <c r="V61" s="70"/>
    </row>
    <row r="62" spans="1:24" x14ac:dyDescent="0.25">
      <c r="A62" s="181" t="s">
        <v>44</v>
      </c>
      <c r="B62" s="181"/>
      <c r="C62" s="181"/>
      <c r="D62" s="181"/>
      <c r="E62" s="181"/>
      <c r="F62" s="181"/>
      <c r="G62" s="181"/>
      <c r="H62" s="181"/>
      <c r="S62" s="70"/>
      <c r="T62" s="54" t="s">
        <v>268</v>
      </c>
      <c r="U62" s="70"/>
      <c r="V62" s="70"/>
    </row>
    <row r="63" spans="1:24" x14ac:dyDescent="0.25">
      <c r="A63" s="135" t="s">
        <v>87</v>
      </c>
      <c r="B63" s="135"/>
      <c r="C63" s="135"/>
      <c r="D63" s="113">
        <f>E46</f>
        <v>17694.657999999999</v>
      </c>
      <c r="E63" s="113"/>
      <c r="F63" s="113"/>
      <c r="G63" s="113"/>
      <c r="H63" s="113"/>
      <c r="R63"/>
    </row>
    <row r="64" spans="1:24" x14ac:dyDescent="0.25">
      <c r="A64" s="185" t="s">
        <v>45</v>
      </c>
      <c r="B64" s="136"/>
      <c r="C64" s="136"/>
      <c r="D64" s="136" t="s">
        <v>433</v>
      </c>
      <c r="E64" s="136"/>
      <c r="F64" s="136"/>
      <c r="G64" s="136"/>
      <c r="H64" s="136"/>
      <c r="I64" s="23"/>
      <c r="R64"/>
    </row>
    <row r="65" spans="1:19" ht="65.25" customHeight="1" x14ac:dyDescent="0.25">
      <c r="A65" s="197" t="s">
        <v>46</v>
      </c>
      <c r="B65" s="198"/>
      <c r="C65" s="199"/>
      <c r="D65" s="195" t="s">
        <v>446</v>
      </c>
      <c r="E65" s="196"/>
      <c r="F65" s="196"/>
      <c r="G65" s="196"/>
      <c r="H65" s="196"/>
      <c r="R65"/>
    </row>
    <row r="66" spans="1:19" ht="15.75" customHeight="1" x14ac:dyDescent="0.25">
      <c r="A66" s="197" t="s">
        <v>85</v>
      </c>
      <c r="B66" s="198"/>
      <c r="C66" s="199"/>
      <c r="D66" s="280" t="s">
        <v>400</v>
      </c>
      <c r="E66" s="281"/>
      <c r="F66" s="281"/>
      <c r="G66" s="281"/>
      <c r="H66" s="282"/>
      <c r="R66"/>
    </row>
    <row r="67" spans="1:19" ht="15.75" customHeight="1" x14ac:dyDescent="0.25">
      <c r="A67" s="209"/>
      <c r="B67" s="210"/>
      <c r="C67" s="211"/>
      <c r="D67" s="146" t="s">
        <v>449</v>
      </c>
      <c r="E67" s="147"/>
      <c r="F67" s="147"/>
      <c r="G67" s="147"/>
      <c r="H67" s="148"/>
      <c r="R67"/>
    </row>
    <row r="68" spans="1:19" ht="15.75" customHeight="1" x14ac:dyDescent="0.25">
      <c r="A68" s="209"/>
      <c r="B68" s="210"/>
      <c r="C68" s="211"/>
      <c r="D68" s="146" t="s">
        <v>447</v>
      </c>
      <c r="E68" s="147"/>
      <c r="F68" s="147"/>
      <c r="G68" s="147"/>
      <c r="H68" s="148"/>
      <c r="S68"/>
    </row>
    <row r="69" spans="1:19" ht="15.75" customHeight="1" x14ac:dyDescent="0.25">
      <c r="A69" s="212"/>
      <c r="B69" s="213"/>
      <c r="C69" s="214"/>
      <c r="D69" s="206" t="s">
        <v>448</v>
      </c>
      <c r="E69" s="207"/>
      <c r="F69" s="207"/>
      <c r="G69" s="207"/>
      <c r="H69" s="208"/>
      <c r="S69"/>
    </row>
    <row r="70" spans="1:19" ht="15.75" customHeight="1" x14ac:dyDescent="0.25">
      <c r="A70" s="113" t="s">
        <v>43</v>
      </c>
      <c r="B70" s="113"/>
      <c r="C70" s="113"/>
      <c r="D70" s="247" t="s">
        <v>434</v>
      </c>
      <c r="E70" s="247"/>
      <c r="F70" s="247"/>
      <c r="G70" s="247"/>
      <c r="H70" s="247"/>
      <c r="J70" s="24"/>
      <c r="K70" s="23"/>
      <c r="N70" s="23"/>
      <c r="S70"/>
    </row>
    <row r="71" spans="1:19" ht="15.75" customHeight="1" x14ac:dyDescent="0.25">
      <c r="A71" s="113" t="s">
        <v>83</v>
      </c>
      <c r="B71" s="113"/>
      <c r="C71" s="113"/>
      <c r="D71" s="248" t="str">
        <f>(IF(G61="NA","60 Years After Completion",IF(G61&lt;&gt;"NA",""&amp;60-ROUNDDOWN((E3-G61)/360,0)&amp;" Years"," ")))</f>
        <v>60 Years After Completion</v>
      </c>
      <c r="E71" s="248"/>
      <c r="F71" s="248"/>
      <c r="G71" s="248"/>
      <c r="H71" s="248"/>
      <c r="N71" s="23"/>
      <c r="S71"/>
    </row>
    <row r="72" spans="1:19" ht="15.75" customHeight="1" x14ac:dyDescent="0.25">
      <c r="A72" s="113" t="s">
        <v>84</v>
      </c>
      <c r="B72" s="113"/>
      <c r="C72" s="113"/>
      <c r="D72" s="135" t="s">
        <v>23</v>
      </c>
      <c r="E72" s="135"/>
      <c r="F72" s="135"/>
      <c r="G72" s="135"/>
      <c r="H72" s="135"/>
      <c r="J72" s="25"/>
      <c r="K72" s="25"/>
      <c r="S72"/>
    </row>
    <row r="73" spans="1:19" ht="31.5" customHeight="1" x14ac:dyDescent="0.25">
      <c r="A73" s="136" t="s">
        <v>436</v>
      </c>
      <c r="B73" s="136"/>
      <c r="C73" s="136"/>
      <c r="D73" s="185" t="s">
        <v>435</v>
      </c>
      <c r="E73" s="135"/>
      <c r="F73" s="135"/>
      <c r="G73" s="135"/>
      <c r="H73" s="135"/>
      <c r="S73"/>
    </row>
    <row r="74" spans="1:19" x14ac:dyDescent="0.25">
      <c r="A74" s="135" t="s">
        <v>141</v>
      </c>
      <c r="B74" s="135"/>
      <c r="C74" s="135"/>
      <c r="D74" s="135" t="s">
        <v>28</v>
      </c>
      <c r="E74" s="135"/>
      <c r="F74" s="135"/>
      <c r="G74" s="135"/>
      <c r="H74" s="135"/>
      <c r="I74" s="26"/>
      <c r="J74" s="26"/>
      <c r="K74" s="26"/>
      <c r="L74" s="26"/>
      <c r="M74" s="26"/>
      <c r="N74" s="26"/>
    </row>
    <row r="75" spans="1:19" ht="15.75" customHeight="1" x14ac:dyDescent="0.25">
      <c r="A75" s="250" t="s">
        <v>82</v>
      </c>
      <c r="B75" s="250"/>
      <c r="C75" s="250"/>
      <c r="D75" s="195" t="str">
        <f ca="1">(IF(G95&gt;95%,"Nothing",IF(G95&gt;0%,"Cement, Aggregate, Steel, etc",IF(G95=0%,"Work not yet Started"))))</f>
        <v>Cement, Aggregate, Steel, etc</v>
      </c>
      <c r="E75" s="195"/>
      <c r="F75" s="195"/>
      <c r="G75" s="195"/>
      <c r="H75" s="195"/>
      <c r="J75" s="25"/>
      <c r="S75"/>
    </row>
    <row r="76" spans="1:19" ht="33.75" customHeight="1" thickBot="1" x14ac:dyDescent="0.3">
      <c r="A76" s="249" t="s">
        <v>114</v>
      </c>
      <c r="B76" s="249"/>
      <c r="C76" s="249"/>
      <c r="D76" s="195" t="str">
        <f ca="1">(IF(D75="Nothing","Yes",IF(D75="Cement, Aggregate, Steel, etc","Under Construction",IF(D75="Work not yet Started","Work not yet Started"))))</f>
        <v>Under Construction</v>
      </c>
      <c r="E76" s="195"/>
      <c r="F76" s="195" t="str">
        <f ca="1">(IF(D75="Nothing","Yes",IF(D75="Cement, Aggregate, Steel, etc","Under Construction",IF(D75="Work not yet Started","Work not yet Started"))))</f>
        <v>Under Construction</v>
      </c>
      <c r="G76" s="195"/>
      <c r="H76" s="195"/>
      <c r="S76"/>
    </row>
    <row r="77" spans="1:19" ht="15.75" customHeight="1" x14ac:dyDescent="0.25">
      <c r="A77" s="228" t="s">
        <v>133</v>
      </c>
      <c r="B77" s="229"/>
      <c r="C77" s="230" t="str">
        <f>D66</f>
        <v>Commercial Building = G + 1st to 2nd Floor</v>
      </c>
      <c r="D77" s="231"/>
      <c r="E77" s="231"/>
      <c r="F77" s="231"/>
      <c r="G77" s="231"/>
      <c r="H77" s="232"/>
      <c r="I77" s="47" t="str">
        <f ca="1">IF(D90=100%,"All work Completed. Possession granted to the Building.",IF(D89=100%,"All work Completed, Waiting for OC",I78&amp;""&amp;I79&amp;""&amp;J78&amp;""&amp;J77&amp;" "&amp;J79))</f>
        <v xml:space="preserve">Work not yet Started. </v>
      </c>
      <c r="J77" s="48"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25">
      <c r="A78" s="15" t="s">
        <v>135</v>
      </c>
      <c r="B78" s="45">
        <f>IF(AND(ISNUMBER(SEARCH("1B",C77))),1,IF(AND(ISNUMBER(SEARCH("2B",C77))),2,IF(AND(ISNUMBER(SEARCH("3B",C77))),3,IF(AND(ISNUMBER(SEARCH("4B",C77))),4,IF(ISNUMBER(SEARCH("5B",C77)),5,0)))))</f>
        <v>0</v>
      </c>
      <c r="C78" s="45" t="s">
        <v>68</v>
      </c>
      <c r="D78" s="45">
        <v>1</v>
      </c>
      <c r="E78" s="45" t="s">
        <v>67</v>
      </c>
      <c r="F78" s="45">
        <v>0</v>
      </c>
      <c r="G78" s="46" t="s">
        <v>76</v>
      </c>
      <c r="H78" s="16">
        <f ca="1">--TRIM(RIGHT(SUBSTITUTE(LEFT(C77,_xlfn.AGGREGATE(16,6,FIND({0,1,2,3,4,5,6,7,8,9},C77,ROW(INDIRECT("1:"&amp;LEN(C77)))),1))," ",REPT(" ",LEN(C77))),LEN(C77)))</f>
        <v>2</v>
      </c>
      <c r="I78" s="49" t="str">
        <f ca="1">IF(D81=100%,"Excavation","")&amp;IF(D82=100%,", Plinth","")&amp;IF(D83=100%,", RCC Slab","")&amp;IF(D84=100%,", Brickwork","")&amp;IF(D85=100%,", Internal Plaster","")&amp;IF(D86=100%,", External Plaster","")&amp;IF(D87=100%,", Flooring","")&amp;IF(D88=100%,", Painting","")&amp;IF(D89=100%,", Building common Amenities","")</f>
        <v/>
      </c>
      <c r="J78" s="50" t="str">
        <f>(IF(C81=0,"Work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Work not yet Started.</v>
      </c>
      <c r="S78"/>
    </row>
    <row r="79" spans="1:19" x14ac:dyDescent="0.25">
      <c r="A79" s="237" t="s">
        <v>86</v>
      </c>
      <c r="B79" s="238"/>
      <c r="C79" s="233" t="str">
        <f ca="1">I77</f>
        <v xml:space="preserve">Work not yet Started. </v>
      </c>
      <c r="D79" s="233"/>
      <c r="E79" s="233"/>
      <c r="F79" s="233"/>
      <c r="G79" s="233"/>
      <c r="H79" s="234"/>
      <c r="I79" s="49" t="str">
        <f ca="1">IF(I78&lt;&gt;""," Completed","")</f>
        <v/>
      </c>
      <c r="J79" s="50" t="str">
        <f ca="1">IF(J77&lt;&gt;"","Completed","")</f>
        <v/>
      </c>
      <c r="S79"/>
    </row>
    <row r="80" spans="1:19" ht="15.75" customHeight="1" x14ac:dyDescent="0.25">
      <c r="A80" s="107" t="s">
        <v>47</v>
      </c>
      <c r="B80" s="108"/>
      <c r="C80" s="103" t="s">
        <v>132</v>
      </c>
      <c r="D80" s="42" t="s">
        <v>79</v>
      </c>
      <c r="E80" s="108" t="s">
        <v>81</v>
      </c>
      <c r="F80" s="108"/>
      <c r="G80" s="108" t="s">
        <v>80</v>
      </c>
      <c r="H80" s="109"/>
      <c r="I80" s="13" t="s">
        <v>134</v>
      </c>
      <c r="J80" s="27">
        <f ca="1">H78*25%</f>
        <v>0.5</v>
      </c>
      <c r="S80"/>
    </row>
    <row r="81" spans="1:19" x14ac:dyDescent="0.25">
      <c r="A81" s="107" t="s">
        <v>121</v>
      </c>
      <c r="B81" s="108"/>
      <c r="C81" s="103">
        <v>0</v>
      </c>
      <c r="D81" s="18">
        <f ca="1">((100/H78)*C81)/100</f>
        <v>0</v>
      </c>
      <c r="E81" s="116">
        <f ca="1">(((C82/H78*10)+(40/(D78+F78+H78)*C83)+(7.5/(H78)*C84)+(7.5/(H78)*C85)+(10/H78*C86)+(10/H78*C87)+(5/H78*C88)+(5/H78*C89)+(5/H78*C90))/100)</f>
        <v>0</v>
      </c>
      <c r="F81" s="117"/>
      <c r="G81" s="116">
        <f ca="1">((((C81/H78)*20)+((C82/H78)*25)+(30/(H78+F78+D78)*C83)+(5/H78*C84)+(5/H78*C85)+(5/H78*C86)+(5/H78*C87)+(0/H78*C88)+(0/H78*C89)+(5/H78*C90))/100)</f>
        <v>0</v>
      </c>
      <c r="H81" s="122"/>
      <c r="I81" s="13" t="s">
        <v>96</v>
      </c>
      <c r="J81" s="28">
        <f ca="1">H78*50%</f>
        <v>1</v>
      </c>
    </row>
    <row r="82" spans="1:19" x14ac:dyDescent="0.25">
      <c r="A82" s="107" t="s">
        <v>48</v>
      </c>
      <c r="B82" s="108"/>
      <c r="C82" s="103">
        <v>0</v>
      </c>
      <c r="D82" s="18">
        <f ca="1">((100/H78)*C82)/100</f>
        <v>0</v>
      </c>
      <c r="E82" s="118"/>
      <c r="F82" s="119"/>
      <c r="G82" s="118"/>
      <c r="H82" s="123"/>
      <c r="I82" s="13" t="s">
        <v>97</v>
      </c>
      <c r="J82" s="28">
        <f ca="1">H78</f>
        <v>2</v>
      </c>
      <c r="L82" s="90"/>
      <c r="S82"/>
    </row>
    <row r="83" spans="1:19" ht="15.75" customHeight="1" x14ac:dyDescent="0.25">
      <c r="A83" s="107" t="s">
        <v>122</v>
      </c>
      <c r="B83" s="108"/>
      <c r="C83" s="103">
        <v>0</v>
      </c>
      <c r="D83" s="18">
        <f ca="1">((100/(D78+F78+H78))*C83)/100</f>
        <v>0</v>
      </c>
      <c r="E83" s="118"/>
      <c r="F83" s="119"/>
      <c r="G83" s="118"/>
      <c r="H83" s="123"/>
      <c r="I83" s="13" t="s">
        <v>98</v>
      </c>
      <c r="J83" s="29">
        <f ca="1">(IF(B78&gt;1,(H78/(B78+2)),H78/4))</f>
        <v>0.5</v>
      </c>
      <c r="S83"/>
    </row>
    <row r="84" spans="1:19" ht="15.75" customHeight="1" x14ac:dyDescent="0.25">
      <c r="A84" s="107" t="s">
        <v>129</v>
      </c>
      <c r="B84" s="108" t="s">
        <v>123</v>
      </c>
      <c r="C84" s="103">
        <v>0</v>
      </c>
      <c r="D84" s="18">
        <f ca="1">((100/H78)*C84)/100</f>
        <v>0</v>
      </c>
      <c r="E84" s="118"/>
      <c r="F84" s="119"/>
      <c r="G84" s="118"/>
      <c r="H84" s="123"/>
      <c r="I84" s="13" t="s">
        <v>99</v>
      </c>
      <c r="J84" s="29">
        <f ca="1">(IF(B78&gt;1,(H78/(B78+2)+J83),H78/4+J83))</f>
        <v>1</v>
      </c>
    </row>
    <row r="85" spans="1:19" ht="15.75" customHeight="1" x14ac:dyDescent="0.25">
      <c r="A85" s="107" t="s">
        <v>130</v>
      </c>
      <c r="B85" s="108" t="s">
        <v>123</v>
      </c>
      <c r="C85" s="103">
        <v>0</v>
      </c>
      <c r="D85" s="18">
        <f ca="1">((100/H78)*C85)/100</f>
        <v>0</v>
      </c>
      <c r="E85" s="118"/>
      <c r="F85" s="119"/>
      <c r="G85" s="118"/>
      <c r="H85" s="123"/>
      <c r="I85" s="13" t="s">
        <v>139</v>
      </c>
      <c r="J85" s="29">
        <f>(IF(B78&gt;1,(H78/(B78+2)+J84),0))</f>
        <v>0</v>
      </c>
    </row>
    <row r="86" spans="1:19" ht="15" customHeight="1" x14ac:dyDescent="0.25">
      <c r="A86" s="107" t="s">
        <v>128</v>
      </c>
      <c r="B86" s="108" t="s">
        <v>125</v>
      </c>
      <c r="C86" s="103">
        <v>0</v>
      </c>
      <c r="D86" s="18">
        <f ca="1">((100/(H78))*C86)/100</f>
        <v>0</v>
      </c>
      <c r="E86" s="118"/>
      <c r="F86" s="119"/>
      <c r="G86" s="118"/>
      <c r="H86" s="123"/>
      <c r="I86" s="13" t="s">
        <v>136</v>
      </c>
      <c r="J86" s="29">
        <f>(IF(B78&gt;2,(H78/(B78+2)+J85),0))</f>
        <v>0</v>
      </c>
    </row>
    <row r="87" spans="1:19" ht="15.75" customHeight="1" x14ac:dyDescent="0.25">
      <c r="A87" s="107" t="s">
        <v>124</v>
      </c>
      <c r="B87" s="108" t="s">
        <v>124</v>
      </c>
      <c r="C87" s="103">
        <v>0</v>
      </c>
      <c r="D87" s="18">
        <f ca="1">((100/H78)*C87)/100</f>
        <v>0</v>
      </c>
      <c r="E87" s="118"/>
      <c r="F87" s="119"/>
      <c r="G87" s="118"/>
      <c r="H87" s="123"/>
      <c r="I87" s="13" t="s">
        <v>137</v>
      </c>
      <c r="J87" s="30">
        <f>(IF(B78&gt;3,(H78/(B78+2)+J86),0))</f>
        <v>0</v>
      </c>
    </row>
    <row r="88" spans="1:19" ht="15.75" customHeight="1" x14ac:dyDescent="0.25">
      <c r="A88" s="107" t="s">
        <v>131</v>
      </c>
      <c r="B88" s="108"/>
      <c r="C88" s="103">
        <v>0</v>
      </c>
      <c r="D88" s="18">
        <f ca="1">((100/H78)*C88)/100</f>
        <v>0</v>
      </c>
      <c r="E88" s="118"/>
      <c r="F88" s="119"/>
      <c r="G88" s="118"/>
      <c r="H88" s="123"/>
      <c r="I88" s="13" t="s">
        <v>138</v>
      </c>
      <c r="J88" s="29">
        <f>(IF(B78&gt;4,(H78/(B78+2)+J87),0))</f>
        <v>0</v>
      </c>
    </row>
    <row r="89" spans="1:19" ht="15.75" customHeight="1" x14ac:dyDescent="0.25">
      <c r="A89" s="107" t="s">
        <v>126</v>
      </c>
      <c r="B89" s="108" t="s">
        <v>126</v>
      </c>
      <c r="C89" s="103">
        <v>0</v>
      </c>
      <c r="D89" s="18">
        <f ca="1">((100/(H78))*C89)/100</f>
        <v>0</v>
      </c>
      <c r="E89" s="118"/>
      <c r="F89" s="119"/>
      <c r="G89" s="118"/>
      <c r="H89" s="123"/>
      <c r="I89" s="13" t="s">
        <v>140</v>
      </c>
      <c r="J89" s="29">
        <f ca="1">(IF(B78=1,(H78/(B78+3)+J84),IF(B78=0,(H78/4+J84),IF(B78&gt;1,0))))</f>
        <v>1.5</v>
      </c>
    </row>
    <row r="90" spans="1:19" ht="16.5" thickBot="1" x14ac:dyDescent="0.3">
      <c r="A90" s="110" t="s">
        <v>127</v>
      </c>
      <c r="B90" s="111"/>
      <c r="C90" s="104">
        <v>0</v>
      </c>
      <c r="D90" s="19">
        <f ca="1">((100/(H78))*C90)/100</f>
        <v>0</v>
      </c>
      <c r="E90" s="120"/>
      <c r="F90" s="121"/>
      <c r="G90" s="120"/>
      <c r="H90" s="124"/>
      <c r="I90" s="14" t="s">
        <v>100</v>
      </c>
      <c r="J90" s="31">
        <f ca="1">(IF(B78&gt;1.5,(H78/(B78+2)+J84+MAX(0,J85-J84)+MAX(0,J86-J85)+MAX(0,J87-J86)+MAX(0,J88-J87)+MAX(0,J89-J88)),IF(B78=1,(H78/(B78+3)+J89),IF(B78=0,H78/4+J89))))</f>
        <v>2</v>
      </c>
    </row>
    <row r="91" spans="1:19" ht="15.75" customHeight="1" x14ac:dyDescent="0.25">
      <c r="A91" s="267" t="s">
        <v>133</v>
      </c>
      <c r="B91" s="268"/>
      <c r="C91" s="269" t="str">
        <f>D67</f>
        <v>Building No. 1 (Lilly) = G + 1st to 11th Floor</v>
      </c>
      <c r="D91" s="270"/>
      <c r="E91" s="270"/>
      <c r="F91" s="270"/>
      <c r="G91" s="270"/>
      <c r="H91" s="271"/>
      <c r="I91" s="47" t="str">
        <f ca="1">IF(D104=100%,"All work Completed. Possession granted to the Building.",IF(D103=100%,"All work Completed, Waiting for OC",I92&amp;""&amp;I93&amp;""&amp;J92&amp;""&amp;J91&amp;" "&amp;J93))</f>
        <v xml:space="preserve">Piling work in process </v>
      </c>
      <c r="J91" s="48"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c>
      <c r="S91"/>
    </row>
    <row r="92" spans="1:19" x14ac:dyDescent="0.25">
      <c r="A92" s="272" t="s">
        <v>135</v>
      </c>
      <c r="B92" s="273">
        <f>IF(AND(ISNUMBER(SEARCH("1B",C91))),1,IF(AND(ISNUMBER(SEARCH("2B",C91))),2,IF(AND(ISNUMBER(SEARCH("3B",C91))),3,IF(AND(ISNUMBER(SEARCH("4B",C91))),4,IF(ISNUMBER(SEARCH("5B",C91)),5,0)))))</f>
        <v>0</v>
      </c>
      <c r="C92" s="273" t="s">
        <v>68</v>
      </c>
      <c r="D92" s="273">
        <v>1</v>
      </c>
      <c r="E92" s="273" t="s">
        <v>67</v>
      </c>
      <c r="F92" s="273">
        <v>0</v>
      </c>
      <c r="G92" s="273" t="s">
        <v>76</v>
      </c>
      <c r="H92" s="274">
        <f ca="1">--TRIM(RIGHT(SUBSTITUTE(LEFT(C91,_xlfn.AGGREGATE(16,6,FIND({0,1,2,3,4,5,6,7,8,9},C91,ROW(INDIRECT("1:"&amp;LEN(C91)))),1))," ",REPT(" ",LEN(C91))),LEN(C91)))</f>
        <v>11</v>
      </c>
      <c r="I92" s="49" t="str">
        <f ca="1">IF(D95=100%,"Excavation","")&amp;IF(D96=100%,", Plinth","")&amp;IF(D97=100%,", RCC Slab","")&amp;IF(D98=100%,", Brickwork","")&amp;IF(D99=100%,", Internal Plaster","")&amp;IF(D100=100%,", External Plaster","")&amp;IF(D101=100%,", Flooring","")&amp;IF(D102=100%,", Painting","")&amp;IF(D103=100%,", Building common Amenities","")</f>
        <v/>
      </c>
      <c r="J92" s="50"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Piling work in process</v>
      </c>
      <c r="S92"/>
    </row>
    <row r="93" spans="1:19" x14ac:dyDescent="0.25">
      <c r="A93" s="275" t="s">
        <v>86</v>
      </c>
      <c r="B93" s="276"/>
      <c r="C93" s="277" t="str">
        <f ca="1">I91</f>
        <v xml:space="preserve">Piling work in process </v>
      </c>
      <c r="D93" s="277"/>
      <c r="E93" s="277"/>
      <c r="F93" s="277"/>
      <c r="G93" s="277"/>
      <c r="H93" s="278"/>
      <c r="I93" s="49" t="str">
        <f ca="1">IF(I92&lt;&gt;""," Completed","")</f>
        <v/>
      </c>
      <c r="J93" s="50" t="str">
        <f ca="1">IF(J91&lt;&gt;"","Completed","")</f>
        <v/>
      </c>
      <c r="S93"/>
    </row>
    <row r="94" spans="1:19" ht="15.75" customHeight="1" x14ac:dyDescent="0.25">
      <c r="A94" s="107" t="s">
        <v>47</v>
      </c>
      <c r="B94" s="108"/>
      <c r="C94" s="103" t="s">
        <v>132</v>
      </c>
      <c r="D94" s="103" t="s">
        <v>79</v>
      </c>
      <c r="E94" s="108" t="s">
        <v>81</v>
      </c>
      <c r="F94" s="108"/>
      <c r="G94" s="108" t="s">
        <v>80</v>
      </c>
      <c r="H94" s="109"/>
      <c r="I94" s="13" t="s">
        <v>134</v>
      </c>
      <c r="J94" s="27">
        <f ca="1">H92*25%</f>
        <v>2.75</v>
      </c>
      <c r="S94"/>
    </row>
    <row r="95" spans="1:19" x14ac:dyDescent="0.25">
      <c r="A95" s="107" t="s">
        <v>121</v>
      </c>
      <c r="B95" s="108"/>
      <c r="C95" s="103">
        <f ca="1">J94</f>
        <v>2.75</v>
      </c>
      <c r="D95" s="18">
        <f ca="1">((100/H92)*C95)/100</f>
        <v>0.25000000000000006</v>
      </c>
      <c r="E95" s="116">
        <f ca="1">(((C96/H92*10)+(40/(D92+F92+H92)*C97)+(7.5/(H92)*C98)+(7.5/(H92)*C99)+(10/H92*C100)+(10/H92*C101)+(5/H92*C102)+(5/H92*C103)+(5/H92*C104))/100)</f>
        <v>0</v>
      </c>
      <c r="F95" s="117"/>
      <c r="G95" s="116">
        <f ca="1">((((C95/H92)*20)+((C96/H92)*25)+(30/(H92+F92+D92)*C97)+(5/H92*C98)+(5/H92*C99)+(5/H92*C100)+(5/H92*C101)+(0/H92*C102)+(0/H92*C103)+(5/H92*C104))/100)</f>
        <v>0.05</v>
      </c>
      <c r="H95" s="122"/>
      <c r="I95" s="13" t="s">
        <v>96</v>
      </c>
      <c r="J95" s="28">
        <f ca="1">H92*50%</f>
        <v>5.5</v>
      </c>
    </row>
    <row r="96" spans="1:19" x14ac:dyDescent="0.25">
      <c r="A96" s="107" t="s">
        <v>48</v>
      </c>
      <c r="B96" s="108"/>
      <c r="C96" s="279">
        <f>J100</f>
        <v>0</v>
      </c>
      <c r="D96" s="18">
        <f ca="1">((100/H92)*C96)/100</f>
        <v>0</v>
      </c>
      <c r="E96" s="118"/>
      <c r="F96" s="119"/>
      <c r="G96" s="118"/>
      <c r="H96" s="123"/>
      <c r="I96" s="13" t="s">
        <v>97</v>
      </c>
      <c r="J96" s="28">
        <f ca="1">H92</f>
        <v>11</v>
      </c>
      <c r="S96"/>
    </row>
    <row r="97" spans="1:19" ht="15.75" customHeight="1" x14ac:dyDescent="0.25">
      <c r="A97" s="107" t="s">
        <v>122</v>
      </c>
      <c r="B97" s="108"/>
      <c r="C97" s="103">
        <v>0</v>
      </c>
      <c r="D97" s="18">
        <f ca="1">((100/(D92+F92+H92))*C97)/100</f>
        <v>0</v>
      </c>
      <c r="E97" s="118"/>
      <c r="F97" s="119"/>
      <c r="G97" s="118"/>
      <c r="H97" s="123"/>
      <c r="I97" s="13" t="s">
        <v>98</v>
      </c>
      <c r="J97" s="29">
        <f ca="1">(IF(B92&gt;1,(H92/(B92+2)),H92/4))</f>
        <v>2.75</v>
      </c>
      <c r="S97"/>
    </row>
    <row r="98" spans="1:19" ht="15.75" customHeight="1" x14ac:dyDescent="0.25">
      <c r="A98" s="107" t="s">
        <v>129</v>
      </c>
      <c r="B98" s="108" t="s">
        <v>123</v>
      </c>
      <c r="C98" s="103">
        <v>0</v>
      </c>
      <c r="D98" s="18">
        <f ca="1">((100/H92)*C98)/100</f>
        <v>0</v>
      </c>
      <c r="E98" s="118"/>
      <c r="F98" s="119"/>
      <c r="G98" s="118"/>
      <c r="H98" s="123"/>
      <c r="I98" s="13" t="s">
        <v>99</v>
      </c>
      <c r="J98" s="29">
        <f ca="1">(IF(B92&gt;1,(H92/(B92+2)+J97),H92/4+J97))</f>
        <v>5.5</v>
      </c>
    </row>
    <row r="99" spans="1:19" ht="15.75" customHeight="1" x14ac:dyDescent="0.25">
      <c r="A99" s="107" t="s">
        <v>130</v>
      </c>
      <c r="B99" s="108" t="s">
        <v>123</v>
      </c>
      <c r="C99" s="103">
        <v>0</v>
      </c>
      <c r="D99" s="18">
        <f ca="1">((100/H92)*C99)/100</f>
        <v>0</v>
      </c>
      <c r="E99" s="118"/>
      <c r="F99" s="119"/>
      <c r="G99" s="118"/>
      <c r="H99" s="123"/>
      <c r="I99" s="13" t="s">
        <v>139</v>
      </c>
      <c r="J99" s="29">
        <f>(IF(B92&gt;1,(H92/(B92+2)+J98),0))</f>
        <v>0</v>
      </c>
    </row>
    <row r="100" spans="1:19" ht="15" customHeight="1" x14ac:dyDescent="0.25">
      <c r="A100" s="107" t="s">
        <v>128</v>
      </c>
      <c r="B100" s="108" t="s">
        <v>125</v>
      </c>
      <c r="C100" s="103">
        <v>0</v>
      </c>
      <c r="D100" s="18">
        <f ca="1">((100/(H92))*C100)/100</f>
        <v>0</v>
      </c>
      <c r="E100" s="118"/>
      <c r="F100" s="119"/>
      <c r="G100" s="118"/>
      <c r="H100" s="123"/>
      <c r="I100" s="13" t="s">
        <v>136</v>
      </c>
      <c r="J100" s="29">
        <f>(IF(B92&gt;2,(H92/(B92+2)+J99),0))</f>
        <v>0</v>
      </c>
    </row>
    <row r="101" spans="1:19" ht="15.75" customHeight="1" x14ac:dyDescent="0.25">
      <c r="A101" s="107" t="s">
        <v>124</v>
      </c>
      <c r="B101" s="108" t="s">
        <v>124</v>
      </c>
      <c r="C101" s="103">
        <v>0</v>
      </c>
      <c r="D101" s="18">
        <f ca="1">((100/H92)*C101)/100</f>
        <v>0</v>
      </c>
      <c r="E101" s="118"/>
      <c r="F101" s="119"/>
      <c r="G101" s="118"/>
      <c r="H101" s="123"/>
      <c r="I101" s="13" t="s">
        <v>137</v>
      </c>
      <c r="J101" s="30">
        <f>(IF(B92&gt;3,(H92/(B92+2)+J100),0))</f>
        <v>0</v>
      </c>
    </row>
    <row r="102" spans="1:19" ht="15.75" customHeight="1" x14ac:dyDescent="0.25">
      <c r="A102" s="107" t="s">
        <v>131</v>
      </c>
      <c r="B102" s="108"/>
      <c r="C102" s="103">
        <v>0</v>
      </c>
      <c r="D102" s="18">
        <f ca="1">((100/H92)*C102)/100</f>
        <v>0</v>
      </c>
      <c r="E102" s="118"/>
      <c r="F102" s="119"/>
      <c r="G102" s="118"/>
      <c r="H102" s="123"/>
      <c r="I102" s="13" t="s">
        <v>138</v>
      </c>
      <c r="J102" s="29">
        <f>(IF(B92&gt;4,(H92/(B92+2)+J101),0))</f>
        <v>0</v>
      </c>
    </row>
    <row r="103" spans="1:19" ht="15.75" customHeight="1" x14ac:dyDescent="0.25">
      <c r="A103" s="107" t="s">
        <v>126</v>
      </c>
      <c r="B103" s="108" t="s">
        <v>126</v>
      </c>
      <c r="C103" s="103">
        <v>0</v>
      </c>
      <c r="D103" s="18">
        <f ca="1">((100/(H92))*C103)/100</f>
        <v>0</v>
      </c>
      <c r="E103" s="118"/>
      <c r="F103" s="119"/>
      <c r="G103" s="118"/>
      <c r="H103" s="123"/>
      <c r="I103" s="13" t="s">
        <v>140</v>
      </c>
      <c r="J103" s="29">
        <f ca="1">(IF(B92=1,(H92/(B92+3)+J98),IF(B92=0,(H92/4+J98),IF(B92&gt;1,0))))</f>
        <v>8.25</v>
      </c>
    </row>
    <row r="104" spans="1:19" ht="16.5" thickBot="1" x14ac:dyDescent="0.3">
      <c r="A104" s="110" t="s">
        <v>127</v>
      </c>
      <c r="B104" s="111"/>
      <c r="C104" s="104">
        <v>0</v>
      </c>
      <c r="D104" s="19">
        <f ca="1">((100/(H92))*C104)/100</f>
        <v>0</v>
      </c>
      <c r="E104" s="120"/>
      <c r="F104" s="121"/>
      <c r="G104" s="120"/>
      <c r="H104" s="124"/>
      <c r="I104" s="14" t="s">
        <v>100</v>
      </c>
      <c r="J104" s="31">
        <f ca="1">(IF(B92&gt;1.5,(H92/(B92+2)+J98+MAX(0,J99-J98)+MAX(0,J100-J99)+MAX(0,J101-J100)+MAX(0,J102-J101)+MAX(0,J103-J102)),IF(B92=1,(H92/(B92+3)+J103),IF(B92=0,H92/4+J103))))</f>
        <v>11</v>
      </c>
    </row>
    <row r="105" spans="1:19" ht="15.75" customHeight="1" x14ac:dyDescent="0.25">
      <c r="A105" s="228" t="s">
        <v>133</v>
      </c>
      <c r="B105" s="229"/>
      <c r="C105" s="230" t="str">
        <f>D68</f>
        <v>Building No. 2 (Aster- Wing A) = G + 1st to 14th Floor</v>
      </c>
      <c r="D105" s="231"/>
      <c r="E105" s="231"/>
      <c r="F105" s="231"/>
      <c r="G105" s="231"/>
      <c r="H105" s="232"/>
      <c r="I105" s="47" t="str">
        <f ca="1">IF(D118=100%,"All work Completed. Possession granted to the Building.",IF(D117=100%,"All work Completed, Waiting for OC",I106&amp;""&amp;I107&amp;""&amp;J106&amp;""&amp;J105&amp;" "&amp;J107))</f>
        <v xml:space="preserve">Excavation Completed, Footing work Completed </v>
      </c>
      <c r="J105" s="48"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c>
      <c r="S105"/>
    </row>
    <row r="106" spans="1:19" x14ac:dyDescent="0.25">
      <c r="A106" s="15" t="s">
        <v>135</v>
      </c>
      <c r="B106" s="45">
        <f>IF(AND(ISNUMBER(SEARCH("1B",C105))),1,IF(AND(ISNUMBER(SEARCH("2B",C105))),2,IF(AND(ISNUMBER(SEARCH("3B",C105))),3,IF(AND(ISNUMBER(SEARCH("4B",C105))),4,IF(ISNUMBER(SEARCH("5B",C105)),5,0)))))</f>
        <v>0</v>
      </c>
      <c r="C106" s="45" t="s">
        <v>68</v>
      </c>
      <c r="D106" s="45">
        <v>1</v>
      </c>
      <c r="E106" s="45" t="s">
        <v>67</v>
      </c>
      <c r="F106" s="45">
        <v>0</v>
      </c>
      <c r="G106" s="46" t="s">
        <v>76</v>
      </c>
      <c r="H106" s="16">
        <f ca="1">--TRIM(RIGHT(SUBSTITUTE(LEFT(C105,_xlfn.AGGREGATE(16,6,FIND({0,1,2,3,4,5,6,7,8,9},C105,ROW(INDIRECT("1:"&amp;LEN(C105)))),1))," ",REPT(" ",LEN(C105))),LEN(C105)))</f>
        <v>14</v>
      </c>
      <c r="I106" s="49" t="str">
        <f ca="1">IF(D109=100%,"Excavation","")&amp;IF(D110=100%,", Plinth","")&amp;IF(D111=100%,", RCC Slab","")&amp;IF(D112=100%,", Brickwork","")&amp;IF(D113=100%,", Internal Plaster","")&amp;IF(D114=100%,", External Plaster","")&amp;IF(D115=100%,", Flooring","")&amp;IF(D116=100%,", Painting","")&amp;IF(D117=100%,", Building common Amenities","")</f>
        <v>Excavation</v>
      </c>
      <c r="J106" s="50"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Footing work Completed</v>
      </c>
      <c r="S106"/>
    </row>
    <row r="107" spans="1:19" x14ac:dyDescent="0.25">
      <c r="A107" s="237" t="s">
        <v>86</v>
      </c>
      <c r="B107" s="238"/>
      <c r="C107" s="233" t="str">
        <f ca="1">I105</f>
        <v xml:space="preserve">Excavation Completed, Footing work Completed </v>
      </c>
      <c r="D107" s="233"/>
      <c r="E107" s="233"/>
      <c r="F107" s="233"/>
      <c r="G107" s="233"/>
      <c r="H107" s="234"/>
      <c r="I107" s="49" t="str">
        <f ca="1">IF(I106&lt;&gt;""," Completed","")</f>
        <v xml:space="preserve"> Completed</v>
      </c>
      <c r="J107" s="50" t="str">
        <f ca="1">IF(J105&lt;&gt;"","Completed","")</f>
        <v/>
      </c>
      <c r="S107"/>
    </row>
    <row r="108" spans="1:19" ht="15.75" customHeight="1" x14ac:dyDescent="0.25">
      <c r="A108" s="107" t="s">
        <v>47</v>
      </c>
      <c r="B108" s="108"/>
      <c r="C108" s="42" t="s">
        <v>132</v>
      </c>
      <c r="D108" s="42" t="s">
        <v>79</v>
      </c>
      <c r="E108" s="108" t="s">
        <v>81</v>
      </c>
      <c r="F108" s="108"/>
      <c r="G108" s="108" t="s">
        <v>80</v>
      </c>
      <c r="H108" s="109"/>
      <c r="I108" s="13" t="s">
        <v>134</v>
      </c>
      <c r="J108" s="27">
        <f ca="1">H106*25%</f>
        <v>3.5</v>
      </c>
      <c r="S108"/>
    </row>
    <row r="109" spans="1:19" x14ac:dyDescent="0.25">
      <c r="A109" s="107" t="s">
        <v>121</v>
      </c>
      <c r="B109" s="108"/>
      <c r="C109" s="105">
        <f ca="1">J110</f>
        <v>14</v>
      </c>
      <c r="D109" s="18">
        <f ca="1">((100/H106)*C109)/100</f>
        <v>1</v>
      </c>
      <c r="E109" s="116">
        <f ca="1">(((C110/H106*10)+(40/(D106+F106+H106)*C111)+(7.5/(H106)*C112)+(7.5/(H106)*C113)+(10/H106*C114)+(10/H106*C115)+(5/H106*C116)+(5/H106*C117)+(5/H106*C118))/100)</f>
        <v>0.05</v>
      </c>
      <c r="F109" s="117"/>
      <c r="G109" s="116">
        <f ca="1">((((C109/H106)*20)+((C110/H106)*25)+(30/(H106+F106+D106)*C111)+(5/H106*C112)+(5/H106*C113)+(5/H106*C114)+(5/H106*C115)+(0/H106*C116)+(0/H106*C117)+(5/H106*C118))/100)</f>
        <v>0.32500000000000001</v>
      </c>
      <c r="H109" s="122"/>
      <c r="I109" s="13" t="s">
        <v>96</v>
      </c>
      <c r="J109" s="28">
        <f ca="1">H106*50%</f>
        <v>7</v>
      </c>
    </row>
    <row r="110" spans="1:19" x14ac:dyDescent="0.25">
      <c r="A110" s="107" t="s">
        <v>48</v>
      </c>
      <c r="B110" s="108"/>
      <c r="C110" s="266">
        <f ca="1">J112</f>
        <v>7</v>
      </c>
      <c r="D110" s="18">
        <f ca="1">((100/H106)*C110)/100</f>
        <v>0.5</v>
      </c>
      <c r="E110" s="118"/>
      <c r="F110" s="119"/>
      <c r="G110" s="118"/>
      <c r="H110" s="123"/>
      <c r="I110" s="13" t="s">
        <v>97</v>
      </c>
      <c r="J110" s="28">
        <f ca="1">H106</f>
        <v>14</v>
      </c>
      <c r="S110"/>
    </row>
    <row r="111" spans="1:19" ht="15.75" customHeight="1" x14ac:dyDescent="0.25">
      <c r="A111" s="107" t="s">
        <v>122</v>
      </c>
      <c r="B111" s="108"/>
      <c r="C111" s="105">
        <v>0</v>
      </c>
      <c r="D111" s="18">
        <f ca="1">((100/(D106+F106+H106))*C111)/100</f>
        <v>0</v>
      </c>
      <c r="E111" s="118"/>
      <c r="F111" s="119"/>
      <c r="G111" s="118"/>
      <c r="H111" s="123"/>
      <c r="I111" s="13" t="s">
        <v>98</v>
      </c>
      <c r="J111" s="29">
        <f ca="1">(IF(B106&gt;1,(H106/(B106+2)),H106/4))</f>
        <v>3.5</v>
      </c>
      <c r="S111"/>
    </row>
    <row r="112" spans="1:19" ht="15.75" customHeight="1" x14ac:dyDescent="0.25">
      <c r="A112" s="107" t="s">
        <v>129</v>
      </c>
      <c r="B112" s="108" t="s">
        <v>123</v>
      </c>
      <c r="C112" s="105">
        <v>0</v>
      </c>
      <c r="D112" s="18">
        <f ca="1">((100/H106)*C112)/100</f>
        <v>0</v>
      </c>
      <c r="E112" s="118"/>
      <c r="F112" s="119"/>
      <c r="G112" s="118"/>
      <c r="H112" s="123"/>
      <c r="I112" s="13" t="s">
        <v>99</v>
      </c>
      <c r="J112" s="29">
        <f ca="1">(IF(B106&gt;1,(H106/(B106+2)+J111),H106/4+J111))</f>
        <v>7</v>
      </c>
    </row>
    <row r="113" spans="1:19" ht="15.75" customHeight="1" x14ac:dyDescent="0.25">
      <c r="A113" s="107" t="s">
        <v>130</v>
      </c>
      <c r="B113" s="108" t="s">
        <v>123</v>
      </c>
      <c r="C113" s="105">
        <v>0</v>
      </c>
      <c r="D113" s="18">
        <f ca="1">((100/H106)*C113)/100</f>
        <v>0</v>
      </c>
      <c r="E113" s="118"/>
      <c r="F113" s="119"/>
      <c r="G113" s="118"/>
      <c r="H113" s="123"/>
      <c r="I113" s="13" t="s">
        <v>139</v>
      </c>
      <c r="J113" s="29">
        <f>(IF(B106&gt;1,(H106/(B106+2)+J112),0))</f>
        <v>0</v>
      </c>
    </row>
    <row r="114" spans="1:19" ht="15" customHeight="1" x14ac:dyDescent="0.25">
      <c r="A114" s="107" t="s">
        <v>128</v>
      </c>
      <c r="B114" s="108" t="s">
        <v>125</v>
      </c>
      <c r="C114" s="105">
        <v>0</v>
      </c>
      <c r="D114" s="18">
        <f ca="1">((100/(H106))*C114)/100</f>
        <v>0</v>
      </c>
      <c r="E114" s="118"/>
      <c r="F114" s="119"/>
      <c r="G114" s="118"/>
      <c r="H114" s="123"/>
      <c r="I114" s="13" t="s">
        <v>136</v>
      </c>
      <c r="J114" s="29">
        <f>(IF(B106&gt;2,(H106/(B106+2)+J113),0))</f>
        <v>0</v>
      </c>
    </row>
    <row r="115" spans="1:19" ht="15.75" customHeight="1" x14ac:dyDescent="0.25">
      <c r="A115" s="107" t="s">
        <v>124</v>
      </c>
      <c r="B115" s="108" t="s">
        <v>124</v>
      </c>
      <c r="C115" s="105">
        <v>0</v>
      </c>
      <c r="D115" s="18">
        <f ca="1">((100/H106)*C115)/100</f>
        <v>0</v>
      </c>
      <c r="E115" s="118"/>
      <c r="F115" s="119"/>
      <c r="G115" s="118"/>
      <c r="H115" s="123"/>
      <c r="I115" s="13" t="s">
        <v>137</v>
      </c>
      <c r="J115" s="30">
        <f>(IF(B106&gt;3,(H106/(B106+2)+J114),0))</f>
        <v>0</v>
      </c>
    </row>
    <row r="116" spans="1:19" ht="15.75" customHeight="1" x14ac:dyDescent="0.25">
      <c r="A116" s="107" t="s">
        <v>131</v>
      </c>
      <c r="B116" s="108"/>
      <c r="C116" s="105">
        <v>0</v>
      </c>
      <c r="D116" s="18">
        <f ca="1">((100/H106)*C116)/100</f>
        <v>0</v>
      </c>
      <c r="E116" s="118"/>
      <c r="F116" s="119"/>
      <c r="G116" s="118"/>
      <c r="H116" s="123"/>
      <c r="I116" s="13" t="s">
        <v>138</v>
      </c>
      <c r="J116" s="29">
        <f>(IF(B106&gt;4,(H106/(B106+2)+J115),0))</f>
        <v>0</v>
      </c>
    </row>
    <row r="117" spans="1:19" ht="15.75" customHeight="1" x14ac:dyDescent="0.25">
      <c r="A117" s="107" t="s">
        <v>126</v>
      </c>
      <c r="B117" s="108" t="s">
        <v>126</v>
      </c>
      <c r="C117" s="105">
        <v>0</v>
      </c>
      <c r="D117" s="18">
        <f ca="1">((100/(H106))*C117)/100</f>
        <v>0</v>
      </c>
      <c r="E117" s="118"/>
      <c r="F117" s="119"/>
      <c r="G117" s="118"/>
      <c r="H117" s="123"/>
      <c r="I117" s="13" t="s">
        <v>140</v>
      </c>
      <c r="J117" s="29">
        <f ca="1">(IF(B106=1,(H106/(B106+3)+J112),IF(B106=0,(H106/4+J112),IF(B106&gt;1,0))))</f>
        <v>10.5</v>
      </c>
    </row>
    <row r="118" spans="1:19" ht="16.5" thickBot="1" x14ac:dyDescent="0.3">
      <c r="A118" s="110" t="s">
        <v>127</v>
      </c>
      <c r="B118" s="111"/>
      <c r="C118" s="106">
        <v>0</v>
      </c>
      <c r="D118" s="19">
        <f ca="1">((100/(H106))*C118)/100</f>
        <v>0</v>
      </c>
      <c r="E118" s="120"/>
      <c r="F118" s="121"/>
      <c r="G118" s="120"/>
      <c r="H118" s="124"/>
      <c r="I118" s="14" t="s">
        <v>100</v>
      </c>
      <c r="J118" s="31">
        <f ca="1">(IF(B106&gt;1.5,(H106/(B106+2)+J112+MAX(0,J113-J112)+MAX(0,J114-J113)+MAX(0,J115-J114)+MAX(0,J116-J115)+MAX(0,J117-J116)),IF(B106=1,(H106/(B106+3)+J117),IF(B106=0,H106/4+J117))))</f>
        <v>14</v>
      </c>
    </row>
    <row r="119" spans="1:19" ht="15.75" customHeight="1" x14ac:dyDescent="0.25">
      <c r="A119" s="228" t="s">
        <v>133</v>
      </c>
      <c r="B119" s="229"/>
      <c r="C119" s="230" t="str">
        <f>D69</f>
        <v>Building No. 2 (Bluebell- Wing B) = G + 1st to 13th Floor</v>
      </c>
      <c r="D119" s="231"/>
      <c r="E119" s="231"/>
      <c r="F119" s="231"/>
      <c r="G119" s="231"/>
      <c r="H119" s="232"/>
      <c r="I119" s="47" t="str">
        <f ca="1">IF(D132=100%,"All work Completed. Possession granted to the Building.",IF(D131=100%,"All work Completed, Waiting for OC",I120&amp;""&amp;I121&amp;""&amp;J120&amp;""&amp;J119&amp;" "&amp;J121))</f>
        <v xml:space="preserve">Excavation, Plinth Completed </v>
      </c>
      <c r="J119" s="48"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c>
      <c r="S119"/>
    </row>
    <row r="120" spans="1:19" x14ac:dyDescent="0.25">
      <c r="A120" s="15" t="s">
        <v>135</v>
      </c>
      <c r="B120" s="45">
        <f>IF(AND(ISNUMBER(SEARCH("1B",C119))),1,IF(AND(ISNUMBER(SEARCH("2B",C119))),2,IF(AND(ISNUMBER(SEARCH("3B",C119))),3,IF(AND(ISNUMBER(SEARCH("4B",C119))),4,IF(ISNUMBER(SEARCH("5B",C119)),5,0)))))</f>
        <v>0</v>
      </c>
      <c r="C120" s="45" t="s">
        <v>68</v>
      </c>
      <c r="D120" s="45">
        <v>1</v>
      </c>
      <c r="E120" s="45" t="s">
        <v>67</v>
      </c>
      <c r="F120" s="45">
        <v>0</v>
      </c>
      <c r="G120" s="46" t="s">
        <v>76</v>
      </c>
      <c r="H120" s="16">
        <f ca="1">--TRIM(RIGHT(SUBSTITUTE(LEFT(C119,_xlfn.AGGREGATE(16,6,FIND({0,1,2,3,4,5,6,7,8,9},C119,ROW(INDIRECT("1:"&amp;LEN(C119)))),1))," ",REPT(" ",LEN(C119))),LEN(C119)))</f>
        <v>13</v>
      </c>
      <c r="I120" s="49" t="str">
        <f ca="1">IF(D123=100%,"Excavation","")&amp;IF(D124=100%,", Plinth","")&amp;IF(D125=100%,", RCC Slab","")&amp;IF(D126=100%,", Brickwork","")&amp;IF(D127=100%,", Internal Plaster","")&amp;IF(D128=100%,", External Plaster","")&amp;IF(D129=100%,", Flooring","")&amp;IF(D130=100%,", Painting","")&amp;IF(D131=100%,", Building common Amenities","")</f>
        <v>Excavation, Plinth</v>
      </c>
      <c r="J120" s="50"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c r="S120"/>
    </row>
    <row r="121" spans="1:19" x14ac:dyDescent="0.25">
      <c r="A121" s="237" t="s">
        <v>86</v>
      </c>
      <c r="B121" s="238"/>
      <c r="C121" s="233" t="str">
        <f ca="1">I119</f>
        <v xml:space="preserve">Excavation, Plinth Completed </v>
      </c>
      <c r="D121" s="233"/>
      <c r="E121" s="233"/>
      <c r="F121" s="233"/>
      <c r="G121" s="233"/>
      <c r="H121" s="234"/>
      <c r="I121" s="49" t="str">
        <f ca="1">IF(I120&lt;&gt;""," Completed","")</f>
        <v xml:space="preserve"> Completed</v>
      </c>
      <c r="J121" s="50" t="str">
        <f ca="1">IF(J119&lt;&gt;"","Completed","")</f>
        <v/>
      </c>
      <c r="S121"/>
    </row>
    <row r="122" spans="1:19" ht="15.75" customHeight="1" x14ac:dyDescent="0.25">
      <c r="A122" s="107" t="s">
        <v>47</v>
      </c>
      <c r="B122" s="108"/>
      <c r="C122" s="91" t="s">
        <v>132</v>
      </c>
      <c r="D122" s="91" t="s">
        <v>79</v>
      </c>
      <c r="E122" s="108" t="s">
        <v>81</v>
      </c>
      <c r="F122" s="108"/>
      <c r="G122" s="108" t="s">
        <v>80</v>
      </c>
      <c r="H122" s="109"/>
      <c r="I122" s="13" t="s">
        <v>134</v>
      </c>
      <c r="J122" s="27">
        <f ca="1">H120*25%</f>
        <v>3.25</v>
      </c>
      <c r="S122"/>
    </row>
    <row r="123" spans="1:19" x14ac:dyDescent="0.25">
      <c r="A123" s="107" t="s">
        <v>121</v>
      </c>
      <c r="B123" s="108"/>
      <c r="C123" s="105">
        <f ca="1">J124</f>
        <v>13</v>
      </c>
      <c r="D123" s="18">
        <f ca="1">((100/H120)*C123)/100</f>
        <v>1</v>
      </c>
      <c r="E123" s="116">
        <f ca="1">(((C124/H120*10)+(40/(D120+F120+H120)*C125)+(7.5/(H120)*C126)+(7.5/(H120)*C127)+(10/H120*C128)+(10/H120*C129)+(5/H120*C130)+(5/H120*C131)+(5/H120*C132))/100)</f>
        <v>0.1</v>
      </c>
      <c r="F123" s="117"/>
      <c r="G123" s="116">
        <f ca="1">((((C123/H120)*20)+((C124/H120)*25)+(30/(H120+F120+D120)*C125)+(5/H120*C126)+(5/H120*C127)+(5/H120*C128)+(5/H120*C129)+(0/H120*C130)+(0/H120*C131)+(5/H120*C132))/100)</f>
        <v>0.45</v>
      </c>
      <c r="H123" s="122"/>
      <c r="I123" s="13" t="s">
        <v>96</v>
      </c>
      <c r="J123" s="28">
        <f ca="1">H120*50%</f>
        <v>6.5</v>
      </c>
    </row>
    <row r="124" spans="1:19" x14ac:dyDescent="0.25">
      <c r="A124" s="107" t="s">
        <v>48</v>
      </c>
      <c r="B124" s="108"/>
      <c r="C124" s="105">
        <f ca="1">J132</f>
        <v>13</v>
      </c>
      <c r="D124" s="18">
        <f ca="1">((100/H120)*C124)/100</f>
        <v>1</v>
      </c>
      <c r="E124" s="118"/>
      <c r="F124" s="119"/>
      <c r="G124" s="118"/>
      <c r="H124" s="123"/>
      <c r="I124" s="13" t="s">
        <v>97</v>
      </c>
      <c r="J124" s="28">
        <f ca="1">H120</f>
        <v>13</v>
      </c>
      <c r="S124"/>
    </row>
    <row r="125" spans="1:19" ht="15.75" customHeight="1" x14ac:dyDescent="0.25">
      <c r="A125" s="107" t="s">
        <v>122</v>
      </c>
      <c r="B125" s="108"/>
      <c r="C125" s="105">
        <v>0</v>
      </c>
      <c r="D125" s="18">
        <f ca="1">((100/(D120+F120+H120))*C125)/100</f>
        <v>0</v>
      </c>
      <c r="E125" s="118"/>
      <c r="F125" s="119"/>
      <c r="G125" s="118"/>
      <c r="H125" s="123"/>
      <c r="I125" s="13" t="s">
        <v>98</v>
      </c>
      <c r="J125" s="29">
        <f ca="1">(IF(B120&gt;1,(H120/(B120+2)),H120/4))</f>
        <v>3.25</v>
      </c>
      <c r="S125"/>
    </row>
    <row r="126" spans="1:19" ht="15.75" customHeight="1" x14ac:dyDescent="0.25">
      <c r="A126" s="107" t="s">
        <v>129</v>
      </c>
      <c r="B126" s="108" t="s">
        <v>123</v>
      </c>
      <c r="C126" s="105">
        <v>0</v>
      </c>
      <c r="D126" s="18">
        <f ca="1">((100/H120)*C126)/100</f>
        <v>0</v>
      </c>
      <c r="E126" s="118"/>
      <c r="F126" s="119"/>
      <c r="G126" s="118"/>
      <c r="H126" s="123"/>
      <c r="I126" s="13" t="s">
        <v>99</v>
      </c>
      <c r="J126" s="29">
        <f ca="1">(IF(B120&gt;1,(H120/(B120+2)+J125),H120/4+J125))</f>
        <v>6.5</v>
      </c>
    </row>
    <row r="127" spans="1:19" ht="15.75" customHeight="1" x14ac:dyDescent="0.25">
      <c r="A127" s="107" t="s">
        <v>130</v>
      </c>
      <c r="B127" s="108" t="s">
        <v>123</v>
      </c>
      <c r="C127" s="105">
        <v>0</v>
      </c>
      <c r="D127" s="18">
        <f ca="1">((100/H120)*C127)/100</f>
        <v>0</v>
      </c>
      <c r="E127" s="118"/>
      <c r="F127" s="119"/>
      <c r="G127" s="118"/>
      <c r="H127" s="123"/>
      <c r="I127" s="13" t="s">
        <v>139</v>
      </c>
      <c r="J127" s="29">
        <f>(IF(B120&gt;1,(H120/(B120+2)+J126),0))</f>
        <v>0</v>
      </c>
    </row>
    <row r="128" spans="1:19" ht="15" customHeight="1" x14ac:dyDescent="0.25">
      <c r="A128" s="107" t="s">
        <v>128</v>
      </c>
      <c r="B128" s="108" t="s">
        <v>125</v>
      </c>
      <c r="C128" s="105">
        <v>0</v>
      </c>
      <c r="D128" s="18">
        <f ca="1">((100/(H120))*C128)/100</f>
        <v>0</v>
      </c>
      <c r="E128" s="118"/>
      <c r="F128" s="119"/>
      <c r="G128" s="118"/>
      <c r="H128" s="123"/>
      <c r="I128" s="13" t="s">
        <v>136</v>
      </c>
      <c r="J128" s="29">
        <f>(IF(B120&gt;2,(H120/(B120+2)+J127),0))</f>
        <v>0</v>
      </c>
    </row>
    <row r="129" spans="1:22" ht="15.75" customHeight="1" x14ac:dyDescent="0.25">
      <c r="A129" s="107" t="s">
        <v>124</v>
      </c>
      <c r="B129" s="108" t="s">
        <v>124</v>
      </c>
      <c r="C129" s="105">
        <v>0</v>
      </c>
      <c r="D129" s="18">
        <f ca="1">((100/H120)*C129)/100</f>
        <v>0</v>
      </c>
      <c r="E129" s="118"/>
      <c r="F129" s="119"/>
      <c r="G129" s="118"/>
      <c r="H129" s="123"/>
      <c r="I129" s="13" t="s">
        <v>137</v>
      </c>
      <c r="J129" s="30">
        <f>(IF(B120&gt;3,(H120/(B120+2)+J128),0))</f>
        <v>0</v>
      </c>
    </row>
    <row r="130" spans="1:22" ht="15.75" customHeight="1" x14ac:dyDescent="0.25">
      <c r="A130" s="107" t="s">
        <v>131</v>
      </c>
      <c r="B130" s="108"/>
      <c r="C130" s="105">
        <v>0</v>
      </c>
      <c r="D130" s="18">
        <f ca="1">((100/H120)*C130)/100</f>
        <v>0</v>
      </c>
      <c r="E130" s="118"/>
      <c r="F130" s="119"/>
      <c r="G130" s="118"/>
      <c r="H130" s="123"/>
      <c r="I130" s="13" t="s">
        <v>138</v>
      </c>
      <c r="J130" s="29">
        <f>(IF(B120&gt;4,(H120/(B120+2)+J129),0))</f>
        <v>0</v>
      </c>
    </row>
    <row r="131" spans="1:22" ht="15.75" customHeight="1" x14ac:dyDescent="0.25">
      <c r="A131" s="107" t="s">
        <v>126</v>
      </c>
      <c r="B131" s="108" t="s">
        <v>126</v>
      </c>
      <c r="C131" s="105">
        <v>0</v>
      </c>
      <c r="D131" s="18">
        <f ca="1">((100/(H120))*C131)/100</f>
        <v>0</v>
      </c>
      <c r="E131" s="118"/>
      <c r="F131" s="119"/>
      <c r="G131" s="118"/>
      <c r="H131" s="123"/>
      <c r="I131" s="13" t="s">
        <v>140</v>
      </c>
      <c r="J131" s="29">
        <f ca="1">(IF(B120=1,(H120/(B120+3)+J126),IF(B120=0,(H120/4+J126),IF(B120&gt;1,0))))</f>
        <v>9.75</v>
      </c>
    </row>
    <row r="132" spans="1:22" ht="16.5" thickBot="1" x14ac:dyDescent="0.3">
      <c r="A132" s="110" t="s">
        <v>127</v>
      </c>
      <c r="B132" s="111"/>
      <c r="C132" s="106">
        <v>0</v>
      </c>
      <c r="D132" s="19">
        <f ca="1">((100/(H120))*C132)/100</f>
        <v>0</v>
      </c>
      <c r="E132" s="120"/>
      <c r="F132" s="121"/>
      <c r="G132" s="120"/>
      <c r="H132" s="124"/>
      <c r="I132" s="14" t="s">
        <v>100</v>
      </c>
      <c r="J132" s="31">
        <f ca="1">(IF(B120&gt;1.5,(H120/(B120+2)+J126+MAX(0,J127-J126)+MAX(0,J128-J127)+MAX(0,J129-J128)+MAX(0,J130-J129)+MAX(0,J131-J130)),IF(B120=1,(H120/(B120+3)+J131),IF(B120=0,H120/4+J131))))</f>
        <v>13</v>
      </c>
    </row>
    <row r="133" spans="1:22" x14ac:dyDescent="0.25">
      <c r="A133" s="114" t="s">
        <v>150</v>
      </c>
      <c r="B133" s="114"/>
      <c r="C133" s="114"/>
      <c r="D133" s="114"/>
      <c r="E133" s="114"/>
      <c r="F133" s="171" t="s">
        <v>152</v>
      </c>
      <c r="G133" s="171"/>
      <c r="H133" s="171"/>
      <c r="R133" t="s">
        <v>243</v>
      </c>
      <c r="S133" t="s">
        <v>163</v>
      </c>
      <c r="T133" t="s">
        <v>170</v>
      </c>
      <c r="U133" t="s">
        <v>184</v>
      </c>
      <c r="V133" t="s">
        <v>179</v>
      </c>
    </row>
    <row r="134" spans="1:22" x14ac:dyDescent="0.25">
      <c r="A134" s="113" t="s">
        <v>151</v>
      </c>
      <c r="B134" s="113"/>
      <c r="C134" s="113"/>
      <c r="D134" s="113"/>
      <c r="E134" s="113"/>
      <c r="F134" s="115">
        <v>5200</v>
      </c>
      <c r="G134" s="115"/>
      <c r="H134" s="115"/>
      <c r="R134"/>
      <c r="S134">
        <v>800000</v>
      </c>
      <c r="T134">
        <v>150000</v>
      </c>
      <c r="U134">
        <v>100000</v>
      </c>
      <c r="V134">
        <v>100000</v>
      </c>
    </row>
    <row r="135" spans="1:22" x14ac:dyDescent="0.25">
      <c r="A135" s="113" t="s">
        <v>443</v>
      </c>
      <c r="B135" s="113"/>
      <c r="C135" s="113"/>
      <c r="D135" s="113"/>
      <c r="E135" s="113"/>
      <c r="F135" s="115">
        <v>11000</v>
      </c>
      <c r="G135" s="115"/>
      <c r="H135" s="115"/>
      <c r="R135"/>
      <c r="S135">
        <v>900000</v>
      </c>
      <c r="T135">
        <v>200000</v>
      </c>
      <c r="U135">
        <v>150000</v>
      </c>
      <c r="V135">
        <v>150000</v>
      </c>
    </row>
    <row r="136" spans="1:22" x14ac:dyDescent="0.25">
      <c r="A136" s="113" t="s">
        <v>444</v>
      </c>
      <c r="B136" s="113"/>
      <c r="C136" s="113"/>
      <c r="D136" s="113"/>
      <c r="E136" s="113"/>
      <c r="F136" s="115">
        <v>10000</v>
      </c>
      <c r="G136" s="115"/>
      <c r="H136" s="115"/>
      <c r="R136"/>
      <c r="S136">
        <v>1000000</v>
      </c>
      <c r="T136">
        <v>250000</v>
      </c>
      <c r="U136">
        <v>200000</v>
      </c>
      <c r="V136">
        <v>200000</v>
      </c>
    </row>
    <row r="137" spans="1:22" s="32" customFormat="1" hidden="1" x14ac:dyDescent="0.25">
      <c r="A137" s="113" t="s">
        <v>166</v>
      </c>
      <c r="B137" s="113"/>
      <c r="C137" s="113"/>
      <c r="D137" s="113"/>
      <c r="E137" s="113"/>
      <c r="F137" s="115"/>
      <c r="G137" s="115"/>
      <c r="H137" s="115"/>
      <c r="J137" s="32">
        <f>250*905</f>
        <v>226250</v>
      </c>
      <c r="R137"/>
      <c r="S137">
        <v>1100000</v>
      </c>
      <c r="T137">
        <v>300000</v>
      </c>
      <c r="U137">
        <v>250000</v>
      </c>
      <c r="V137" s="22">
        <v>250000</v>
      </c>
    </row>
    <row r="138" spans="1:22" s="32" customFormat="1" x14ac:dyDescent="0.25">
      <c r="A138" s="113" t="s">
        <v>91</v>
      </c>
      <c r="B138" s="113"/>
      <c r="C138" s="113"/>
      <c r="D138" s="113"/>
      <c r="E138" s="113"/>
      <c r="F138" s="115">
        <v>100000</v>
      </c>
      <c r="G138" s="115"/>
      <c r="H138" s="115"/>
      <c r="R138"/>
      <c r="S138">
        <v>1200000</v>
      </c>
      <c r="T138">
        <v>350000</v>
      </c>
      <c r="U138">
        <v>300000</v>
      </c>
      <c r="V138">
        <v>300000</v>
      </c>
    </row>
    <row r="139" spans="1:22" s="32" customFormat="1" x14ac:dyDescent="0.25">
      <c r="A139" s="113" t="s">
        <v>92</v>
      </c>
      <c r="B139" s="113"/>
      <c r="C139" s="113"/>
      <c r="D139" s="113"/>
      <c r="E139" s="113"/>
      <c r="F139" s="115">
        <v>100000</v>
      </c>
      <c r="G139" s="115"/>
      <c r="H139" s="115"/>
      <c r="R139"/>
      <c r="S139">
        <v>1300000</v>
      </c>
      <c r="T139">
        <v>400000</v>
      </c>
      <c r="U139">
        <v>350000</v>
      </c>
      <c r="V139" s="22">
        <v>400000</v>
      </c>
    </row>
    <row r="140" spans="1:22" s="32" customFormat="1" x14ac:dyDescent="0.25">
      <c r="A140" s="113" t="s">
        <v>445</v>
      </c>
      <c r="B140" s="113"/>
      <c r="C140" s="113"/>
      <c r="D140" s="113"/>
      <c r="E140" s="113"/>
      <c r="F140" s="115">
        <v>50000</v>
      </c>
      <c r="G140" s="115"/>
      <c r="H140" s="115"/>
      <c r="R140"/>
      <c r="S140">
        <v>1400000</v>
      </c>
      <c r="T140">
        <v>500000</v>
      </c>
      <c r="U140">
        <v>400000</v>
      </c>
      <c r="V140"/>
    </row>
    <row r="141" spans="1:22" s="32" customFormat="1" hidden="1" x14ac:dyDescent="0.25">
      <c r="A141" s="113" t="s">
        <v>93</v>
      </c>
      <c r="B141" s="113"/>
      <c r="C141" s="113"/>
      <c r="D141" s="113"/>
      <c r="E141" s="113"/>
      <c r="F141" s="115"/>
      <c r="G141" s="115"/>
      <c r="H141" s="115"/>
      <c r="R141"/>
      <c r="S141">
        <v>1500000</v>
      </c>
      <c r="T141">
        <v>600000</v>
      </c>
      <c r="U141">
        <v>500000</v>
      </c>
      <c r="V141" s="22"/>
    </row>
    <row r="142" spans="1:22" s="32" customFormat="1" hidden="1" x14ac:dyDescent="0.25">
      <c r="A142" s="113" t="s">
        <v>94</v>
      </c>
      <c r="B142" s="113"/>
      <c r="C142" s="113"/>
      <c r="D142" s="113"/>
      <c r="E142" s="113"/>
      <c r="F142" s="115"/>
      <c r="G142" s="115"/>
      <c r="H142" s="115"/>
      <c r="R142"/>
      <c r="S142">
        <v>1600000</v>
      </c>
      <c r="T142">
        <v>700000</v>
      </c>
      <c r="U142">
        <v>600000</v>
      </c>
      <c r="V142"/>
    </row>
    <row r="143" spans="1:22" s="32" customFormat="1" hidden="1" x14ac:dyDescent="0.25">
      <c r="A143" s="113" t="s">
        <v>95</v>
      </c>
      <c r="B143" s="113"/>
      <c r="C143" s="113"/>
      <c r="D143" s="113"/>
      <c r="E143" s="113"/>
      <c r="F143" s="115"/>
      <c r="G143" s="115"/>
      <c r="H143" s="115"/>
      <c r="R143"/>
      <c r="S143">
        <v>1700000</v>
      </c>
      <c r="T143">
        <v>800000</v>
      </c>
      <c r="U143"/>
      <c r="V143" s="22"/>
    </row>
    <row r="144" spans="1:22" x14ac:dyDescent="0.25">
      <c r="A144" s="113" t="s">
        <v>49</v>
      </c>
      <c r="B144" s="113"/>
      <c r="C144" s="113"/>
      <c r="D144" s="113"/>
      <c r="E144" s="113"/>
      <c r="F144" s="115">
        <v>300000</v>
      </c>
      <c r="G144" s="115"/>
      <c r="H144" s="115"/>
      <c r="R144"/>
      <c r="S144">
        <v>1800000</v>
      </c>
      <c r="T144">
        <v>900000</v>
      </c>
      <c r="U144"/>
    </row>
    <row r="145" spans="1:22" s="33" customFormat="1" x14ac:dyDescent="0.25">
      <c r="A145" s="178" t="s">
        <v>50</v>
      </c>
      <c r="B145" s="178"/>
      <c r="C145" s="178"/>
      <c r="D145" s="178"/>
      <c r="E145" s="178"/>
      <c r="F145" s="115">
        <f>F134*0.8</f>
        <v>4160</v>
      </c>
      <c r="G145" s="115"/>
      <c r="H145" s="115"/>
      <c r="R145" s="20"/>
      <c r="S145" s="20"/>
      <c r="T145">
        <v>1000000</v>
      </c>
      <c r="U145"/>
      <c r="V145" s="20"/>
    </row>
    <row r="146" spans="1:22" s="34" customFormat="1" ht="15.75" customHeight="1" x14ac:dyDescent="0.25">
      <c r="A146" s="177" t="s">
        <v>71</v>
      </c>
      <c r="B146" s="177"/>
      <c r="C146" s="177"/>
      <c r="D146" s="177"/>
      <c r="E146" s="177"/>
      <c r="F146" s="177"/>
      <c r="G146" s="177"/>
      <c r="H146" s="177"/>
      <c r="R146"/>
      <c r="S146" s="20"/>
      <c r="T146"/>
      <c r="U146"/>
      <c r="V146" s="20"/>
    </row>
    <row r="147" spans="1:22" s="34" customFormat="1" ht="15.75" customHeight="1" x14ac:dyDescent="0.25">
      <c r="A147" s="130" t="s">
        <v>51</v>
      </c>
      <c r="B147" s="130"/>
      <c r="C147" s="134" t="s">
        <v>74</v>
      </c>
      <c r="D147" s="134"/>
      <c r="E147" s="112" t="s">
        <v>52</v>
      </c>
      <c r="F147" s="112"/>
      <c r="G147" s="130" t="s">
        <v>53</v>
      </c>
      <c r="H147" s="130"/>
      <c r="R147"/>
      <c r="S147" s="20"/>
      <c r="T147"/>
      <c r="U147" s="20"/>
      <c r="V147" s="20"/>
    </row>
    <row r="148" spans="1:22" s="34" customFormat="1" x14ac:dyDescent="0.25">
      <c r="A148" s="180" t="s">
        <v>401</v>
      </c>
      <c r="B148" s="180"/>
      <c r="C148" s="153">
        <f>COUNT(D163:D164)+COUNT(D166:D167)</f>
        <v>4</v>
      </c>
      <c r="D148" s="153"/>
      <c r="E148" s="153">
        <f t="shared" ref="E148" si="0">SUM(F163:F164)+SUM(F166:F167)</f>
        <v>3743.6546159999998</v>
      </c>
      <c r="F148" s="153"/>
      <c r="G148" s="153">
        <f>SUM(H163:H164)+SUM(H166:H167)</f>
        <v>5802.664654799999</v>
      </c>
      <c r="H148" s="153"/>
      <c r="I148" s="98" t="s">
        <v>410</v>
      </c>
      <c r="R148"/>
      <c r="S148" s="20"/>
      <c r="T148"/>
      <c r="U148" s="20"/>
      <c r="V148" s="20"/>
    </row>
    <row r="149" spans="1:22" s="34" customFormat="1" x14ac:dyDescent="0.25">
      <c r="A149" s="177" t="s">
        <v>143</v>
      </c>
      <c r="B149" s="177"/>
      <c r="C149" s="253">
        <f>SUM(C148)</f>
        <v>4</v>
      </c>
      <c r="D149" s="134"/>
      <c r="E149" s="254">
        <f>SUM(E148)</f>
        <v>3743.6546159999998</v>
      </c>
      <c r="F149" s="112"/>
      <c r="G149" s="130">
        <f>SUM(G148)</f>
        <v>5802.664654799999</v>
      </c>
      <c r="H149" s="130"/>
      <c r="R149"/>
      <c r="S149" s="20"/>
      <c r="T149"/>
      <c r="U149" s="20"/>
      <c r="V149" s="20"/>
    </row>
    <row r="150" spans="1:22" s="34" customFormat="1" x14ac:dyDescent="0.25">
      <c r="A150" s="177" t="s">
        <v>66</v>
      </c>
      <c r="B150" s="177"/>
      <c r="C150" s="177"/>
      <c r="D150" s="177"/>
      <c r="E150" s="177"/>
      <c r="F150" s="177"/>
      <c r="G150" s="177"/>
      <c r="H150" s="177"/>
      <c r="T150"/>
    </row>
    <row r="151" spans="1:22" s="34" customFormat="1" ht="15.75" customHeight="1" x14ac:dyDescent="0.25">
      <c r="A151" s="130" t="s">
        <v>51</v>
      </c>
      <c r="B151" s="130"/>
      <c r="C151" s="134" t="s">
        <v>74</v>
      </c>
      <c r="D151" s="134"/>
      <c r="E151" s="112" t="s">
        <v>52</v>
      </c>
      <c r="F151" s="112"/>
      <c r="G151" s="130" t="s">
        <v>53</v>
      </c>
      <c r="H151" s="130"/>
      <c r="T151"/>
    </row>
    <row r="152" spans="1:22" s="34" customFormat="1" x14ac:dyDescent="0.25">
      <c r="A152" s="180" t="s">
        <v>406</v>
      </c>
      <c r="B152" s="180"/>
      <c r="C152" s="153">
        <f>COUNT(D175:D180)+COUNT(D182:D187)*9+COUNT(D189:D190,D192:D194)</f>
        <v>65</v>
      </c>
      <c r="D152" s="153"/>
      <c r="E152" s="153">
        <f t="shared" ref="E152" si="1">SUM(F175:F180)+SUM(F182:F187)*9+SUM(F189:F190,F192:F194)</f>
        <v>34661.834531999993</v>
      </c>
      <c r="F152" s="153"/>
      <c r="G152" s="153">
        <f>SUM(H175:H180)+SUM(H182:H187)*9+SUM(H189:H190,H192:H194)</f>
        <v>51992.751797999983</v>
      </c>
      <c r="H152" s="153"/>
      <c r="I152" s="98" t="s">
        <v>410</v>
      </c>
      <c r="T152"/>
    </row>
    <row r="153" spans="1:22" s="34" customFormat="1" ht="37.5" customHeight="1" x14ac:dyDescent="0.25">
      <c r="A153" s="255" t="s">
        <v>407</v>
      </c>
      <c r="B153" s="92" t="s">
        <v>409</v>
      </c>
      <c r="C153" s="153">
        <f>COUNT(D199:D206)*11+COUNT(D208:D209,D211:D215)*2+COUNT(D217:D224)</f>
        <v>110</v>
      </c>
      <c r="D153" s="153"/>
      <c r="E153" s="153">
        <f>SUM(F199:F206)*11+SUM(F208:F209,F211:F215)*2+SUM(F217:F224)</f>
        <v>54014.462423999998</v>
      </c>
      <c r="F153" s="153"/>
      <c r="G153" s="153">
        <f>SUM(H199:H206)*11+SUM(H208:H209,H211:H215)*2+SUM(H217:H224)</f>
        <v>81021.693635999982</v>
      </c>
      <c r="H153" s="153"/>
      <c r="I153" s="98" t="s">
        <v>410</v>
      </c>
      <c r="T153"/>
    </row>
    <row r="154" spans="1:22" s="34" customFormat="1" ht="31.5" x14ac:dyDescent="0.25">
      <c r="A154" s="256"/>
      <c r="B154" s="92" t="s">
        <v>408</v>
      </c>
      <c r="C154" s="153">
        <f>COUNT(D228:D235)*11+COUNT(D237:D239,D241:D244)*2</f>
        <v>102</v>
      </c>
      <c r="D154" s="153"/>
      <c r="E154" s="153">
        <f t="shared" ref="E154" si="2">SUM(F228:F235)*11+SUM(F237:F239,F241:F244)*2</f>
        <v>49019.266764</v>
      </c>
      <c r="F154" s="153"/>
      <c r="G154" s="153">
        <f>SUM(H228:H235)*11+SUM(H237:H239,H241:H244)*2</f>
        <v>73528.900146</v>
      </c>
      <c r="H154" s="153"/>
      <c r="I154" s="98" t="s">
        <v>410</v>
      </c>
      <c r="T154"/>
    </row>
    <row r="155" spans="1:22" s="34" customFormat="1" ht="16.5" thickBot="1" x14ac:dyDescent="0.3">
      <c r="A155" s="252" t="s">
        <v>143</v>
      </c>
      <c r="B155" s="252"/>
      <c r="C155" s="154">
        <f>C152+C153+C154</f>
        <v>277</v>
      </c>
      <c r="D155" s="155"/>
      <c r="E155" s="154">
        <f t="shared" ref="E155" si="3">E152+E153+E154</f>
        <v>137695.56371999998</v>
      </c>
      <c r="F155" s="155"/>
      <c r="G155" s="154">
        <f t="shared" ref="G155" si="4">G152+G153+G154</f>
        <v>206543.34557999996</v>
      </c>
      <c r="H155" s="155"/>
      <c r="T155"/>
    </row>
    <row r="156" spans="1:22" s="34" customFormat="1" ht="16.5" thickBot="1" x14ac:dyDescent="0.3">
      <c r="A156" s="257" t="s">
        <v>157</v>
      </c>
      <c r="B156" s="258"/>
      <c r="C156" s="235">
        <f>C149+C155</f>
        <v>281</v>
      </c>
      <c r="D156" s="236"/>
      <c r="E156" s="235">
        <f t="shared" ref="E156" si="5">E149+E155</f>
        <v>141439.21833599999</v>
      </c>
      <c r="F156" s="236"/>
      <c r="G156" s="235">
        <f t="shared" ref="G156" si="6">G149+G155</f>
        <v>212346.01023479996</v>
      </c>
      <c r="H156" s="236"/>
      <c r="T156"/>
    </row>
    <row r="157" spans="1:22" s="33" customFormat="1" x14ac:dyDescent="0.25">
      <c r="A157" s="172" t="s">
        <v>344</v>
      </c>
      <c r="B157" s="172"/>
      <c r="C157" s="172"/>
      <c r="D157" s="172"/>
      <c r="E157" s="172"/>
      <c r="F157" s="172"/>
      <c r="G157" s="172"/>
      <c r="H157" s="172"/>
      <c r="T157" s="34"/>
    </row>
    <row r="158" spans="1:22" x14ac:dyDescent="0.25">
      <c r="A158" s="129" t="s">
        <v>165</v>
      </c>
      <c r="B158" s="129"/>
      <c r="C158" s="129"/>
      <c r="D158" s="129"/>
      <c r="E158" s="129"/>
      <c r="F158" s="129"/>
      <c r="G158" s="129"/>
      <c r="H158" s="129"/>
      <c r="T158" s="34"/>
    </row>
    <row r="159" spans="1:22" ht="47.25" customHeight="1" x14ac:dyDescent="0.25">
      <c r="A159" s="151" t="s">
        <v>405</v>
      </c>
      <c r="B159" s="151" t="s">
        <v>167</v>
      </c>
      <c r="C159" s="151" t="s">
        <v>54</v>
      </c>
      <c r="D159" s="151" t="s">
        <v>222</v>
      </c>
      <c r="E159" s="166" t="s">
        <v>149</v>
      </c>
      <c r="F159" s="151" t="s">
        <v>55</v>
      </c>
      <c r="G159" s="166" t="s">
        <v>56</v>
      </c>
      <c r="H159" s="96" t="s">
        <v>142</v>
      </c>
      <c r="I159" s="20">
        <f>10.764</f>
        <v>10.763999999999999</v>
      </c>
      <c r="T159" s="34"/>
    </row>
    <row r="160" spans="1:22" s="36" customFormat="1" x14ac:dyDescent="0.25">
      <c r="A160" s="152"/>
      <c r="B160" s="152"/>
      <c r="C160" s="152"/>
      <c r="D160" s="152"/>
      <c r="E160" s="167"/>
      <c r="F160" s="152"/>
      <c r="G160" s="167"/>
      <c r="H160" s="97">
        <v>0.55000000000000004</v>
      </c>
      <c r="T160" s="34"/>
    </row>
    <row r="161" spans="1:20" s="93" customFormat="1" x14ac:dyDescent="0.25">
      <c r="A161" s="156" t="s">
        <v>401</v>
      </c>
      <c r="B161" s="157"/>
      <c r="C161" s="157"/>
      <c r="D161" s="157"/>
      <c r="E161" s="157"/>
      <c r="F161" s="157"/>
      <c r="G161" s="157"/>
      <c r="H161" s="158"/>
      <c r="J161" s="35"/>
      <c r="T161" s="34"/>
    </row>
    <row r="162" spans="1:20" s="36" customFormat="1" x14ac:dyDescent="0.25">
      <c r="A162" s="156" t="s">
        <v>402</v>
      </c>
      <c r="B162" s="157"/>
      <c r="C162" s="157"/>
      <c r="D162" s="157"/>
      <c r="E162" s="157"/>
      <c r="F162" s="157"/>
      <c r="G162" s="157"/>
      <c r="H162" s="158"/>
      <c r="J162" s="35"/>
      <c r="T162" s="34"/>
    </row>
    <row r="163" spans="1:20" s="36" customFormat="1" ht="15.75" customHeight="1" x14ac:dyDescent="0.25">
      <c r="A163" s="127">
        <v>1</v>
      </c>
      <c r="B163" s="128"/>
      <c r="C163" s="94" t="s">
        <v>403</v>
      </c>
      <c r="D163" s="94">
        <f>(94.25)*(10.764)</f>
        <v>1014.5069999999999</v>
      </c>
      <c r="E163" s="41">
        <v>0</v>
      </c>
      <c r="F163" s="94">
        <f>D163+(IF(E163&lt;201,E163,IF(E163&lt;301,E163/2,E163/3)))</f>
        <v>1014.5069999999999</v>
      </c>
      <c r="G163" s="94">
        <v>0</v>
      </c>
      <c r="H163" s="94">
        <f>(F163+(IF(G163&lt;101,G163,IF(G163&lt;201,G163/2,IF(G163&lt;=301,G163/3,G163/4)))))*(($H$160)+1)</f>
        <v>1572.48585</v>
      </c>
      <c r="I163" s="94">
        <f>6.5*7.525+5.2*1.7+6.5*5.275+1.2*1.5</f>
        <v>93.839999999999989</v>
      </c>
      <c r="L163" s="227"/>
      <c r="M163" s="227"/>
      <c r="N163" s="35"/>
      <c r="T163" s="34"/>
    </row>
    <row r="164" spans="1:20" s="36" customFormat="1" ht="15.75" customHeight="1" x14ac:dyDescent="0.25">
      <c r="A164" s="127">
        <f>A163+1</f>
        <v>2</v>
      </c>
      <c r="B164" s="128"/>
      <c r="C164" s="94" t="s">
        <v>403</v>
      </c>
      <c r="D164" s="94">
        <f>(70.85)*(10.764)</f>
        <v>762.62939999999992</v>
      </c>
      <c r="E164" s="41">
        <v>0</v>
      </c>
      <c r="F164" s="94">
        <f>D164+(IF(E164&lt;201,E164,IF(E164&lt;301,E164/2,E164/3)))</f>
        <v>762.62939999999992</v>
      </c>
      <c r="G164" s="94">
        <v>0</v>
      </c>
      <c r="H164" s="94">
        <f>(F164+(IF(G164&lt;101,G164,IF(G164&lt;201,G164/2,IF(G164&lt;=301,G164/3,G164/4)))))*(($H$160)+1)</f>
        <v>1182.07557</v>
      </c>
      <c r="I164" s="35"/>
      <c r="L164" s="227"/>
      <c r="M164" s="227"/>
      <c r="N164" s="35"/>
      <c r="T164" s="33"/>
    </row>
    <row r="165" spans="1:20" s="93" customFormat="1" x14ac:dyDescent="0.25">
      <c r="A165" s="156" t="s">
        <v>404</v>
      </c>
      <c r="B165" s="157"/>
      <c r="C165" s="157"/>
      <c r="D165" s="157"/>
      <c r="E165" s="157"/>
      <c r="F165" s="157"/>
      <c r="G165" s="157"/>
      <c r="H165" s="158"/>
      <c r="J165" s="35"/>
      <c r="T165" s="34"/>
    </row>
    <row r="166" spans="1:20" s="36" customFormat="1" ht="15.75" customHeight="1" x14ac:dyDescent="0.25">
      <c r="A166" s="127">
        <f>A164+1</f>
        <v>3</v>
      </c>
      <c r="B166" s="128"/>
      <c r="C166" s="94" t="s">
        <v>403</v>
      </c>
      <c r="D166" s="94">
        <f>(91.347)*(10.764)</f>
        <v>983.25910799999986</v>
      </c>
      <c r="E166" s="94">
        <v>0</v>
      </c>
      <c r="F166" s="94">
        <f>D166+(IF(E166&lt;201,E166,IF(E166&lt;301,E166/2,E166/3)))</f>
        <v>983.25910799999986</v>
      </c>
      <c r="G166" s="94">
        <v>0</v>
      </c>
      <c r="H166" s="94">
        <f>(F166+(IF(G166&lt;101,G166,IF(G166&lt;201,G166/2,IF(G166&lt;=301,G166/3,G166/4)))))*(($H$160)+1)</f>
        <v>1524.0516173999997</v>
      </c>
      <c r="I166" s="35"/>
      <c r="L166" s="227"/>
      <c r="M166" s="227"/>
      <c r="N166" s="35"/>
      <c r="T166" s="20"/>
    </row>
    <row r="167" spans="1:20" s="36" customFormat="1" ht="15.75" customHeight="1" x14ac:dyDescent="0.25">
      <c r="A167" s="127">
        <f>A166+1</f>
        <v>4</v>
      </c>
      <c r="B167" s="128"/>
      <c r="C167" s="94" t="s">
        <v>403</v>
      </c>
      <c r="D167" s="94">
        <f>(91.347)*(10.764)</f>
        <v>983.25910799999986</v>
      </c>
      <c r="E167" s="94">
        <v>0</v>
      </c>
      <c r="F167" s="94">
        <f>D167+(IF(E167&lt;201,E167,IF(E167&lt;301,E167/2,E167/3)))</f>
        <v>983.25910799999986</v>
      </c>
      <c r="G167" s="94">
        <v>0</v>
      </c>
      <c r="H167" s="94">
        <f>(F167+(IF(G167&lt;101,G167,IF(G167&lt;201,G167/2,IF(G167&lt;=301,G167/3,G167/4)))))*(($H$160)+1)</f>
        <v>1524.0516173999997</v>
      </c>
      <c r="I167" s="35"/>
      <c r="L167" s="227"/>
      <c r="M167" s="227"/>
      <c r="N167" s="35"/>
      <c r="T167" s="20"/>
    </row>
    <row r="168" spans="1:20" s="36" customFormat="1" x14ac:dyDescent="0.25">
      <c r="A168" s="127"/>
      <c r="B168" s="143"/>
      <c r="C168" s="143"/>
      <c r="D168" s="143"/>
      <c r="E168" s="143"/>
      <c r="F168" s="143"/>
      <c r="G168" s="143"/>
      <c r="H168" s="128"/>
      <c r="I168" s="35"/>
      <c r="N168" s="35"/>
    </row>
    <row r="169" spans="1:20" ht="47.25" customHeight="1" x14ac:dyDescent="0.25">
      <c r="A169" s="173" t="s">
        <v>422</v>
      </c>
      <c r="B169" s="151" t="s">
        <v>168</v>
      </c>
      <c r="C169" s="151" t="s">
        <v>54</v>
      </c>
      <c r="D169" s="151" t="s">
        <v>365</v>
      </c>
      <c r="E169" s="151" t="s">
        <v>417</v>
      </c>
      <c r="F169" s="151" t="s">
        <v>55</v>
      </c>
      <c r="G169" s="166" t="s">
        <v>56</v>
      </c>
      <c r="H169" s="96" t="s">
        <v>142</v>
      </c>
      <c r="I169" s="99">
        <f>10.764</f>
        <v>10.763999999999999</v>
      </c>
      <c r="T169" s="36"/>
    </row>
    <row r="170" spans="1:20" s="36" customFormat="1" x14ac:dyDescent="0.25">
      <c r="A170" s="174"/>
      <c r="B170" s="152"/>
      <c r="C170" s="152"/>
      <c r="D170" s="152"/>
      <c r="E170" s="152"/>
      <c r="F170" s="152"/>
      <c r="G170" s="167"/>
      <c r="H170" s="97">
        <v>0.5</v>
      </c>
      <c r="I170" s="35"/>
    </row>
    <row r="171" spans="1:20" s="93" customFormat="1" x14ac:dyDescent="0.25">
      <c r="A171" s="156" t="s">
        <v>411</v>
      </c>
      <c r="B171" s="157"/>
      <c r="C171" s="157"/>
      <c r="D171" s="157"/>
      <c r="E171" s="157"/>
      <c r="F171" s="157"/>
      <c r="G171" s="157"/>
      <c r="H171" s="158"/>
      <c r="J171" s="35"/>
    </row>
    <row r="172" spans="1:20" s="93" customFormat="1" x14ac:dyDescent="0.25">
      <c r="A172" s="156" t="s">
        <v>412</v>
      </c>
      <c r="B172" s="157"/>
      <c r="C172" s="157"/>
      <c r="D172" s="157"/>
      <c r="E172" s="157"/>
      <c r="F172" s="157"/>
      <c r="G172" s="157"/>
      <c r="H172" s="158"/>
      <c r="J172" s="35"/>
    </row>
    <row r="173" spans="1:20" s="36" customFormat="1" x14ac:dyDescent="0.25">
      <c r="A173" s="156" t="s">
        <v>413</v>
      </c>
      <c r="B173" s="157"/>
      <c r="C173" s="157"/>
      <c r="D173" s="157"/>
      <c r="E173" s="157"/>
      <c r="F173" s="157"/>
      <c r="G173" s="157"/>
      <c r="H173" s="158"/>
      <c r="J173" s="35"/>
    </row>
    <row r="174" spans="1:20" s="93" customFormat="1" x14ac:dyDescent="0.25">
      <c r="A174" s="156" t="s">
        <v>414</v>
      </c>
      <c r="B174" s="157"/>
      <c r="C174" s="157"/>
      <c r="D174" s="157"/>
      <c r="E174" s="157"/>
      <c r="F174" s="157"/>
      <c r="G174" s="157"/>
      <c r="H174" s="158"/>
      <c r="I174" s="100">
        <f>1</f>
        <v>1</v>
      </c>
    </row>
    <row r="175" spans="1:20" s="36" customFormat="1" ht="15.75" customHeight="1" x14ac:dyDescent="0.25">
      <c r="A175" s="127">
        <v>1</v>
      </c>
      <c r="B175" s="128"/>
      <c r="C175" s="41" t="s">
        <v>415</v>
      </c>
      <c r="D175" s="99">
        <f>(53.166)*(10.764)</f>
        <v>572.27882399999999</v>
      </c>
      <c r="E175" s="99">
        <f>(2.9)*(10.764)</f>
        <v>31.215599999999998</v>
      </c>
      <c r="F175" s="41">
        <f t="shared" ref="F175:F180" si="7">D175+E175</f>
        <v>603.49442399999998</v>
      </c>
      <c r="G175" s="41">
        <v>0</v>
      </c>
      <c r="H175" s="41">
        <f t="shared" ref="H175:H180" si="8">F175*(($H$170)+1)+(IF(G175&lt;101,G175,IF(G175&lt;201,G175/2,IF(G175&lt;=301,G175/3,G175/4))))</f>
        <v>905.24163599999997</v>
      </c>
      <c r="I175" s="94">
        <f>2.9*4.6+1.03*3.1+2.1*3.05+2.75*(3.05+3.5)+1.2*(1.95+2.06)+0.75*1.5+2.8*0.9</f>
        <v>49.407499999999999</v>
      </c>
      <c r="J175" s="35">
        <v>1040</v>
      </c>
      <c r="K175" s="36">
        <f>J175/F175</f>
        <v>1.7232967839318429</v>
      </c>
      <c r="L175" s="227"/>
      <c r="M175" s="227"/>
      <c r="N175" s="35"/>
    </row>
    <row r="176" spans="1:20" s="36" customFormat="1" ht="15.75" customHeight="1" x14ac:dyDescent="0.25">
      <c r="A176" s="127">
        <f>A175+1</f>
        <v>2</v>
      </c>
      <c r="B176" s="128"/>
      <c r="C176" s="94" t="s">
        <v>415</v>
      </c>
      <c r="D176" s="99">
        <f>(53.166)*(10.764)</f>
        <v>572.27882399999999</v>
      </c>
      <c r="E176" s="99">
        <f>(2.9)*(10.764)</f>
        <v>31.215599999999998</v>
      </c>
      <c r="F176" s="41">
        <f t="shared" si="7"/>
        <v>603.49442399999998</v>
      </c>
      <c r="G176" s="41">
        <v>0</v>
      </c>
      <c r="H176" s="41">
        <f t="shared" si="8"/>
        <v>905.24163599999997</v>
      </c>
      <c r="I176" s="35"/>
      <c r="J176" s="36">
        <v>1040</v>
      </c>
      <c r="K176" s="102">
        <f t="shared" ref="K176:K180" si="9">J176/F176</f>
        <v>1.7232967839318429</v>
      </c>
      <c r="L176" s="227"/>
      <c r="M176" s="227"/>
      <c r="N176" s="35"/>
    </row>
    <row r="177" spans="1:20" s="36" customFormat="1" ht="15.75" customHeight="1" x14ac:dyDescent="0.25">
      <c r="A177" s="127">
        <f>A176+1</f>
        <v>3</v>
      </c>
      <c r="B177" s="128"/>
      <c r="C177" s="41" t="s">
        <v>416</v>
      </c>
      <c r="D177" s="99">
        <f>(32.953)*(10.764)</f>
        <v>354.70609200000001</v>
      </c>
      <c r="E177" s="99">
        <f>0*(10.764)</f>
        <v>0</v>
      </c>
      <c r="F177" s="41">
        <f t="shared" si="7"/>
        <v>354.70609200000001</v>
      </c>
      <c r="G177" s="41">
        <v>0</v>
      </c>
      <c r="H177" s="41">
        <f t="shared" si="8"/>
        <v>532.05913800000008</v>
      </c>
      <c r="I177" s="94">
        <f>2.75*2.85+2.62*1.4+2.1*2.85+2.75*3.35+1.45*1+1.2*1.85+2.4*0.9</f>
        <v>32.533000000000001</v>
      </c>
      <c r="J177" s="36">
        <v>635</v>
      </c>
      <c r="K177" s="102">
        <f t="shared" si="9"/>
        <v>1.7902145306261048</v>
      </c>
      <c r="L177" s="227"/>
      <c r="M177" s="227"/>
      <c r="N177" s="35"/>
    </row>
    <row r="178" spans="1:20" s="36" customFormat="1" ht="15.75" customHeight="1" x14ac:dyDescent="0.25">
      <c r="A178" s="127">
        <f>A177+1</f>
        <v>4</v>
      </c>
      <c r="B178" s="128"/>
      <c r="C178" s="94" t="s">
        <v>415</v>
      </c>
      <c r="D178" s="99">
        <f>(53.166)*(10.764)</f>
        <v>572.27882399999999</v>
      </c>
      <c r="E178" s="99">
        <f>(2.9)*(10.764)</f>
        <v>31.215599999999998</v>
      </c>
      <c r="F178" s="41">
        <f t="shared" si="7"/>
        <v>603.49442399999998</v>
      </c>
      <c r="G178" s="41">
        <v>0</v>
      </c>
      <c r="H178" s="41">
        <f t="shared" si="8"/>
        <v>905.24163599999997</v>
      </c>
      <c r="I178" s="35"/>
      <c r="J178" s="36">
        <v>1040</v>
      </c>
      <c r="K178" s="102">
        <f t="shared" si="9"/>
        <v>1.7232967839318429</v>
      </c>
      <c r="L178" s="227"/>
      <c r="M178" s="227"/>
      <c r="N178" s="35"/>
      <c r="T178" s="20"/>
    </row>
    <row r="179" spans="1:20" s="93" customFormat="1" ht="15.75" customHeight="1" x14ac:dyDescent="0.25">
      <c r="A179" s="127">
        <f>A178+1</f>
        <v>5</v>
      </c>
      <c r="B179" s="128"/>
      <c r="C179" s="94" t="s">
        <v>415</v>
      </c>
      <c r="D179" s="99">
        <f>(53.166)*(10.764)</f>
        <v>572.27882399999999</v>
      </c>
      <c r="E179" s="99">
        <f>(2.9)*(10.764)</f>
        <v>31.215599999999998</v>
      </c>
      <c r="F179" s="94">
        <f t="shared" si="7"/>
        <v>603.49442399999998</v>
      </c>
      <c r="G179" s="94">
        <v>0</v>
      </c>
      <c r="H179" s="94">
        <f t="shared" si="8"/>
        <v>905.24163599999997</v>
      </c>
      <c r="I179" s="35"/>
      <c r="J179" s="93">
        <v>1040</v>
      </c>
      <c r="K179" s="102">
        <f t="shared" si="9"/>
        <v>1.7232967839318429</v>
      </c>
      <c r="L179" s="227"/>
      <c r="M179" s="227"/>
      <c r="N179" s="35"/>
    </row>
    <row r="180" spans="1:20" s="93" customFormat="1" ht="15.75" customHeight="1" x14ac:dyDescent="0.25">
      <c r="A180" s="127">
        <f>A179+1</f>
        <v>6</v>
      </c>
      <c r="B180" s="128"/>
      <c r="C180" s="94" t="s">
        <v>416</v>
      </c>
      <c r="D180" s="99">
        <f>(33.483)*(10.764)</f>
        <v>360.41101199999997</v>
      </c>
      <c r="E180" s="99">
        <f>(2.62*1.05)*(10.764)</f>
        <v>29.611764000000001</v>
      </c>
      <c r="F180" s="94">
        <f t="shared" si="7"/>
        <v>390.02277599999996</v>
      </c>
      <c r="G180" s="94">
        <v>0</v>
      </c>
      <c r="H180" s="94">
        <f t="shared" si="8"/>
        <v>585.03416399999992</v>
      </c>
      <c r="I180" s="35"/>
      <c r="J180" s="93">
        <v>670</v>
      </c>
      <c r="K180" s="102">
        <f t="shared" si="9"/>
        <v>1.7178483956024149</v>
      </c>
      <c r="L180" s="227"/>
      <c r="M180" s="227"/>
      <c r="N180" s="35"/>
      <c r="T180" s="20"/>
    </row>
    <row r="181" spans="1:20" s="93" customFormat="1" x14ac:dyDescent="0.25">
      <c r="A181" s="156" t="s">
        <v>418</v>
      </c>
      <c r="B181" s="157"/>
      <c r="C181" s="157"/>
      <c r="D181" s="157"/>
      <c r="E181" s="157"/>
      <c r="F181" s="157"/>
      <c r="G181" s="157"/>
      <c r="H181" s="158"/>
      <c r="I181" s="100">
        <f>5+4</f>
        <v>9</v>
      </c>
      <c r="J181" s="35"/>
    </row>
    <row r="182" spans="1:20" s="93" customFormat="1" ht="15.75" customHeight="1" x14ac:dyDescent="0.25">
      <c r="A182" s="127">
        <v>1</v>
      </c>
      <c r="B182" s="128"/>
      <c r="C182" s="94" t="s">
        <v>415</v>
      </c>
      <c r="D182" s="99">
        <f>(53.166)*(10.764)</f>
        <v>572.27882399999999</v>
      </c>
      <c r="E182" s="99">
        <f>(2.9)*(10.764)</f>
        <v>31.215599999999998</v>
      </c>
      <c r="F182" s="94">
        <f t="shared" ref="F182:F187" si="10">D182+E182</f>
        <v>603.49442399999998</v>
      </c>
      <c r="G182" s="94">
        <v>0</v>
      </c>
      <c r="H182" s="94">
        <f t="shared" ref="H182:H187" si="11">F182*(($H$170)+1)+(IF(G182&lt;101,G182,IF(G182&lt;201,G182/2,IF(G182&lt;=301,G182/3,G182/4))))</f>
        <v>905.24163599999997</v>
      </c>
      <c r="I182" s="94">
        <f>2.9*4.6+1.03*3.1+2.1*3.05+2.75*(3.05+3.5)+1.2*(1.95+2.06)+0.75*1.5+2.8*0.9</f>
        <v>49.407499999999999</v>
      </c>
      <c r="L182" s="227"/>
      <c r="M182" s="227"/>
      <c r="N182" s="35"/>
    </row>
    <row r="183" spans="1:20" s="93" customFormat="1" ht="15.75" customHeight="1" x14ac:dyDescent="0.25">
      <c r="A183" s="127">
        <f>A182+1</f>
        <v>2</v>
      </c>
      <c r="B183" s="128"/>
      <c r="C183" s="94" t="s">
        <v>415</v>
      </c>
      <c r="D183" s="99">
        <f>(53.166)*(10.764)</f>
        <v>572.27882399999999</v>
      </c>
      <c r="E183" s="99">
        <f>(2.9)*(10.764)</f>
        <v>31.215599999999998</v>
      </c>
      <c r="F183" s="94">
        <f t="shared" si="10"/>
        <v>603.49442399999998</v>
      </c>
      <c r="G183" s="94">
        <v>0</v>
      </c>
      <c r="H183" s="94">
        <f t="shared" si="11"/>
        <v>905.24163599999997</v>
      </c>
      <c r="I183" s="35"/>
      <c r="L183" s="227"/>
      <c r="M183" s="227"/>
      <c r="N183" s="35"/>
    </row>
    <row r="184" spans="1:20" s="93" customFormat="1" ht="15.75" customHeight="1" x14ac:dyDescent="0.25">
      <c r="A184" s="127">
        <f>A183+1</f>
        <v>3</v>
      </c>
      <c r="B184" s="128"/>
      <c r="C184" s="94" t="s">
        <v>416</v>
      </c>
      <c r="D184" s="99">
        <f>(33.268)*(10.764)</f>
        <v>358.09675199999998</v>
      </c>
      <c r="E184" s="99">
        <f>(2.48)*(10.764)</f>
        <v>26.694719999999997</v>
      </c>
      <c r="F184" s="94">
        <f t="shared" si="10"/>
        <v>384.791472</v>
      </c>
      <c r="G184" s="94">
        <v>0</v>
      </c>
      <c r="H184" s="94">
        <f t="shared" si="11"/>
        <v>577.18720800000006</v>
      </c>
      <c r="I184" s="94">
        <f>2.75*2.85+2.62*1.4+2.1*2.85+2.75*3.35+1.45*1+1.2*1.85+2.4*0.9</f>
        <v>32.533000000000001</v>
      </c>
      <c r="L184" s="227"/>
      <c r="M184" s="227"/>
      <c r="N184" s="35"/>
    </row>
    <row r="185" spans="1:20" s="93" customFormat="1" ht="15.75" customHeight="1" x14ac:dyDescent="0.25">
      <c r="A185" s="127">
        <f>A184+1</f>
        <v>4</v>
      </c>
      <c r="B185" s="128"/>
      <c r="C185" s="94" t="s">
        <v>415</v>
      </c>
      <c r="D185" s="99">
        <f>(53.166)*(10.764)</f>
        <v>572.27882399999999</v>
      </c>
      <c r="E185" s="99">
        <f>(2.9)*(10.764)</f>
        <v>31.215599999999998</v>
      </c>
      <c r="F185" s="94">
        <f t="shared" si="10"/>
        <v>603.49442399999998</v>
      </c>
      <c r="G185" s="94">
        <v>0</v>
      </c>
      <c r="H185" s="94">
        <f t="shared" si="11"/>
        <v>905.24163599999997</v>
      </c>
      <c r="I185" s="35"/>
      <c r="L185" s="227"/>
      <c r="M185" s="227"/>
      <c r="N185" s="35"/>
      <c r="T185" s="20"/>
    </row>
    <row r="186" spans="1:20" s="93" customFormat="1" ht="15.75" customHeight="1" x14ac:dyDescent="0.25">
      <c r="A186" s="127">
        <f>A185+1</f>
        <v>5</v>
      </c>
      <c r="B186" s="128"/>
      <c r="C186" s="94" t="s">
        <v>415</v>
      </c>
      <c r="D186" s="99">
        <f>(53.166)*(10.764)</f>
        <v>572.27882399999999</v>
      </c>
      <c r="E186" s="99">
        <f>(2.9)*(10.764)</f>
        <v>31.215599999999998</v>
      </c>
      <c r="F186" s="94">
        <f t="shared" si="10"/>
        <v>603.49442399999998</v>
      </c>
      <c r="G186" s="94">
        <v>0</v>
      </c>
      <c r="H186" s="94">
        <f t="shared" si="11"/>
        <v>905.24163599999997</v>
      </c>
      <c r="I186" s="35"/>
      <c r="L186" s="227"/>
      <c r="M186" s="227"/>
      <c r="N186" s="35"/>
    </row>
    <row r="187" spans="1:20" s="93" customFormat="1" ht="15.75" customHeight="1" x14ac:dyDescent="0.25">
      <c r="A187" s="127">
        <f>A186+1</f>
        <v>6</v>
      </c>
      <c r="B187" s="128"/>
      <c r="C187" s="94" t="s">
        <v>416</v>
      </c>
      <c r="D187" s="99">
        <f>(33.483)*(10.764)</f>
        <v>360.41101199999997</v>
      </c>
      <c r="E187" s="99">
        <f>(2.62*1.05)*(10.764)</f>
        <v>29.611764000000001</v>
      </c>
      <c r="F187" s="94">
        <f t="shared" si="10"/>
        <v>390.02277599999996</v>
      </c>
      <c r="G187" s="94">
        <v>0</v>
      </c>
      <c r="H187" s="94">
        <f t="shared" si="11"/>
        <v>585.03416399999992</v>
      </c>
      <c r="I187" s="35"/>
      <c r="L187" s="227"/>
      <c r="M187" s="227"/>
      <c r="N187" s="35"/>
      <c r="T187" s="20"/>
    </row>
    <row r="188" spans="1:20" s="93" customFormat="1" x14ac:dyDescent="0.25">
      <c r="A188" s="156" t="s">
        <v>421</v>
      </c>
      <c r="B188" s="157"/>
      <c r="C188" s="157"/>
      <c r="D188" s="157"/>
      <c r="E188" s="157"/>
      <c r="F188" s="157"/>
      <c r="G188" s="157"/>
      <c r="H188" s="158"/>
      <c r="I188" s="100">
        <f>1</f>
        <v>1</v>
      </c>
      <c r="J188" s="35"/>
    </row>
    <row r="189" spans="1:20" s="93" customFormat="1" ht="15.75" customHeight="1" x14ac:dyDescent="0.25">
      <c r="A189" s="127">
        <v>1</v>
      </c>
      <c r="B189" s="128"/>
      <c r="C189" s="94" t="s">
        <v>415</v>
      </c>
      <c r="D189" s="99">
        <f>(53.166)*(10.764)</f>
        <v>572.27882399999999</v>
      </c>
      <c r="E189" s="99">
        <f>(2.9)*(10.764)</f>
        <v>31.215599999999998</v>
      </c>
      <c r="F189" s="94">
        <f>D189+E189</f>
        <v>603.49442399999998</v>
      </c>
      <c r="G189" s="94">
        <v>0</v>
      </c>
      <c r="H189" s="94">
        <f>F189*(($H$170)+1)+(IF(G189&lt;101,G189,IF(G189&lt;201,G189/2,IF(G189&lt;=301,G189/3,G189/4))))</f>
        <v>905.24163599999997</v>
      </c>
      <c r="I189" s="94">
        <f>2.9*4.6+1.03*3.1+2.1*3.05+2.75*(3.05+3.5)+1.2*(1.95+2.06)+0.75*1.5+2.8*0.9</f>
        <v>49.407499999999999</v>
      </c>
      <c r="L189" s="227"/>
      <c r="M189" s="227"/>
      <c r="N189" s="35"/>
    </row>
    <row r="190" spans="1:20" s="93" customFormat="1" ht="15.75" customHeight="1" x14ac:dyDescent="0.25">
      <c r="A190" s="127">
        <f>A189+1</f>
        <v>2</v>
      </c>
      <c r="B190" s="128"/>
      <c r="C190" s="94" t="s">
        <v>415</v>
      </c>
      <c r="D190" s="99">
        <f>(53.166)*(10.764)</f>
        <v>572.27882399999999</v>
      </c>
      <c r="E190" s="99">
        <f>(2.9)*(10.764)</f>
        <v>31.215599999999998</v>
      </c>
      <c r="F190" s="94">
        <f>D190+E190</f>
        <v>603.49442399999998</v>
      </c>
      <c r="G190" s="94">
        <v>0</v>
      </c>
      <c r="H190" s="94">
        <f>F190*(($H$170)+1)+(IF(G190&lt;101,G190,IF(G190&lt;201,G190/2,IF(G190&lt;=301,G190/3,G190/4))))</f>
        <v>905.24163599999997</v>
      </c>
      <c r="I190" s="35"/>
      <c r="L190" s="227"/>
      <c r="M190" s="227"/>
      <c r="N190" s="35"/>
    </row>
    <row r="191" spans="1:20" s="93" customFormat="1" ht="15.75" customHeight="1" x14ac:dyDescent="0.25">
      <c r="A191" s="127">
        <f>A190+1</f>
        <v>3</v>
      </c>
      <c r="B191" s="128"/>
      <c r="C191" s="94" t="s">
        <v>419</v>
      </c>
      <c r="D191" s="127" t="s">
        <v>420</v>
      </c>
      <c r="E191" s="143"/>
      <c r="F191" s="143"/>
      <c r="G191" s="143"/>
      <c r="H191" s="128"/>
      <c r="I191" s="94">
        <f>2.75*2.85+2.62*1.4+2.1*2.85+2.75*3.35+1.45*1+1.2*1.85+2.4*0.9</f>
        <v>32.533000000000001</v>
      </c>
      <c r="L191" s="227"/>
      <c r="M191" s="227"/>
      <c r="N191" s="35"/>
    </row>
    <row r="192" spans="1:20" s="93" customFormat="1" ht="15.75" customHeight="1" x14ac:dyDescent="0.25">
      <c r="A192" s="127">
        <f>A191+1</f>
        <v>4</v>
      </c>
      <c r="B192" s="128"/>
      <c r="C192" s="94" t="s">
        <v>415</v>
      </c>
      <c r="D192" s="99">
        <f>(53.166)*(10.764)</f>
        <v>572.27882399999999</v>
      </c>
      <c r="E192" s="99">
        <f>(2.9)*(10.764)</f>
        <v>31.215599999999998</v>
      </c>
      <c r="F192" s="94">
        <f>D192+E192</f>
        <v>603.49442399999998</v>
      </c>
      <c r="G192" s="94">
        <v>0</v>
      </c>
      <c r="H192" s="94">
        <f>F192*(($H$170)+1)+(IF(G192&lt;101,G192,IF(G192&lt;201,G192/2,IF(G192&lt;=301,G192/3,G192/4))))</f>
        <v>905.24163599999997</v>
      </c>
      <c r="I192" s="35"/>
      <c r="L192" s="227"/>
      <c r="M192" s="227"/>
      <c r="N192" s="35"/>
      <c r="T192" s="20"/>
    </row>
    <row r="193" spans="1:20" s="93" customFormat="1" ht="15.75" customHeight="1" x14ac:dyDescent="0.25">
      <c r="A193" s="127">
        <f>A192+1</f>
        <v>5</v>
      </c>
      <c r="B193" s="128"/>
      <c r="C193" s="94" t="s">
        <v>415</v>
      </c>
      <c r="D193" s="99">
        <f>(53.166)*(10.764)</f>
        <v>572.27882399999999</v>
      </c>
      <c r="E193" s="99">
        <f>(2.9)*(10.764)</f>
        <v>31.215599999999998</v>
      </c>
      <c r="F193" s="94">
        <f>D193+E193</f>
        <v>603.49442399999998</v>
      </c>
      <c r="G193" s="94">
        <v>0</v>
      </c>
      <c r="H193" s="94">
        <f>F193*(($H$170)+1)+(IF(G193&lt;101,G193,IF(G193&lt;201,G193/2,IF(G193&lt;=301,G193/3,G193/4))))</f>
        <v>905.24163599999997</v>
      </c>
      <c r="I193" s="35"/>
      <c r="L193" s="227"/>
      <c r="M193" s="227"/>
      <c r="N193" s="35"/>
    </row>
    <row r="194" spans="1:20" s="93" customFormat="1" ht="15.75" customHeight="1" x14ac:dyDescent="0.25">
      <c r="A194" s="127">
        <f>A193+1</f>
        <v>6</v>
      </c>
      <c r="B194" s="128"/>
      <c r="C194" s="94" t="s">
        <v>416</v>
      </c>
      <c r="D194" s="99">
        <f>(33.483)*(10.764)</f>
        <v>360.41101199999997</v>
      </c>
      <c r="E194" s="99">
        <f>(2.62*1.05)*(10.764)</f>
        <v>29.611764000000001</v>
      </c>
      <c r="F194" s="94">
        <f>D194+E194</f>
        <v>390.02277599999996</v>
      </c>
      <c r="G194" s="94">
        <v>0</v>
      </c>
      <c r="H194" s="94">
        <f>F194*(($H$170)+1)+(IF(G194&lt;101,G194,IF(G194&lt;201,G194/2,IF(G194&lt;=301,G194/3,G194/4))))</f>
        <v>585.03416399999992</v>
      </c>
      <c r="I194" s="35"/>
      <c r="L194" s="227"/>
      <c r="M194" s="227"/>
      <c r="N194" s="35"/>
      <c r="T194" s="20"/>
    </row>
    <row r="195" spans="1:20" s="93" customFormat="1" x14ac:dyDescent="0.25">
      <c r="A195" s="156" t="s">
        <v>407</v>
      </c>
      <c r="B195" s="157"/>
      <c r="C195" s="157"/>
      <c r="D195" s="157"/>
      <c r="E195" s="157"/>
      <c r="F195" s="157"/>
      <c r="G195" s="157"/>
      <c r="H195" s="158"/>
      <c r="J195" s="35"/>
    </row>
    <row r="196" spans="1:20" s="93" customFormat="1" x14ac:dyDescent="0.25">
      <c r="A196" s="156" t="s">
        <v>441</v>
      </c>
      <c r="B196" s="157"/>
      <c r="C196" s="157"/>
      <c r="D196" s="157"/>
      <c r="E196" s="157"/>
      <c r="F196" s="157"/>
      <c r="G196" s="157"/>
      <c r="H196" s="158"/>
      <c r="J196" s="35"/>
    </row>
    <row r="197" spans="1:20" s="36" customFormat="1" x14ac:dyDescent="0.25">
      <c r="A197" s="179" t="s">
        <v>423</v>
      </c>
      <c r="B197" s="179"/>
      <c r="C197" s="179"/>
      <c r="D197" s="179"/>
      <c r="E197" s="179"/>
      <c r="F197" s="179"/>
      <c r="G197" s="179"/>
      <c r="H197" s="179"/>
      <c r="I197" s="35"/>
      <c r="L197" s="227"/>
      <c r="M197" s="227"/>
    </row>
    <row r="198" spans="1:20" s="93" customFormat="1" x14ac:dyDescent="0.25">
      <c r="A198" s="179" t="s">
        <v>424</v>
      </c>
      <c r="B198" s="179"/>
      <c r="C198" s="179"/>
      <c r="D198" s="179"/>
      <c r="E198" s="179"/>
      <c r="F198" s="179"/>
      <c r="G198" s="179"/>
      <c r="H198" s="179"/>
      <c r="I198" s="101">
        <f>6+4+1</f>
        <v>11</v>
      </c>
      <c r="L198" s="227"/>
      <c r="M198" s="227"/>
    </row>
    <row r="199" spans="1:20" s="36" customFormat="1" x14ac:dyDescent="0.25">
      <c r="A199" s="150">
        <v>1</v>
      </c>
      <c r="B199" s="150"/>
      <c r="C199" s="94" t="s">
        <v>415</v>
      </c>
      <c r="D199" s="99">
        <f>(49.625)*(10.764)</f>
        <v>534.1635</v>
      </c>
      <c r="E199" s="99">
        <f>(2.9)*(10.764)</f>
        <v>31.215599999999998</v>
      </c>
      <c r="F199" s="41">
        <f t="shared" ref="F199:F206" si="12">D199+E199</f>
        <v>565.37909999999999</v>
      </c>
      <c r="G199" s="41">
        <v>0</v>
      </c>
      <c r="H199" s="41">
        <f t="shared" ref="H199:H206" si="13">F199*(($H$170)+1)+(IF(G199&lt;101,G199,IF(G199&lt;201,G199/2,IF(G199&lt;=301,G199/3,G199/4))))</f>
        <v>848.06864999999993</v>
      </c>
      <c r="I199" s="94">
        <f>2.9*4.6+2.1*3.05+2.75*(3.05+3.35)+1.2*(1.8+2.06)+5.6*0.9</f>
        <v>47.016999999999996</v>
      </c>
      <c r="N199" s="35"/>
    </row>
    <row r="200" spans="1:20" s="36" customFormat="1" x14ac:dyDescent="0.25">
      <c r="A200" s="150">
        <f>A199+1</f>
        <v>2</v>
      </c>
      <c r="B200" s="150"/>
      <c r="C200" s="94" t="s">
        <v>415</v>
      </c>
      <c r="D200" s="99">
        <f>(49.625)*(10.764)</f>
        <v>534.1635</v>
      </c>
      <c r="E200" s="99">
        <f>(2.9)*(10.764)</f>
        <v>31.215599999999998</v>
      </c>
      <c r="F200" s="41">
        <f t="shared" si="12"/>
        <v>565.37909999999999</v>
      </c>
      <c r="G200" s="41">
        <v>0</v>
      </c>
      <c r="H200" s="41">
        <f t="shared" si="13"/>
        <v>848.06864999999993</v>
      </c>
      <c r="I200" s="35"/>
      <c r="N200" s="35"/>
    </row>
    <row r="201" spans="1:20" s="36" customFormat="1" x14ac:dyDescent="0.25">
      <c r="A201" s="150">
        <f>A200+1</f>
        <v>3</v>
      </c>
      <c r="B201" s="150"/>
      <c r="C201" s="94" t="s">
        <v>416</v>
      </c>
      <c r="D201" s="99">
        <f>(33.164)*(10.764)</f>
        <v>356.97729599999997</v>
      </c>
      <c r="E201" s="99">
        <f>(2.1)*(10.764)</f>
        <v>22.604399999999998</v>
      </c>
      <c r="F201" s="41">
        <f t="shared" si="12"/>
        <v>379.58169599999997</v>
      </c>
      <c r="G201" s="41">
        <v>0</v>
      </c>
      <c r="H201" s="41">
        <f t="shared" si="13"/>
        <v>569.37254399999995</v>
      </c>
      <c r="I201" s="94">
        <f>2.75*2.85+2.62*1.4+2.1*2.35+2.75*3.35+1.45*1+1.2*1.77+2.5*0.9</f>
        <v>31.476999999999997</v>
      </c>
      <c r="N201" s="35"/>
    </row>
    <row r="202" spans="1:20" s="36" customFormat="1" x14ac:dyDescent="0.25">
      <c r="A202" s="150">
        <f>A201+1</f>
        <v>4</v>
      </c>
      <c r="B202" s="150"/>
      <c r="C202" s="94" t="s">
        <v>415</v>
      </c>
      <c r="D202" s="99">
        <f>(42.651)*(10.764)</f>
        <v>459.09536400000002</v>
      </c>
      <c r="E202" s="99">
        <f>(2.1)*(10.764)</f>
        <v>22.604399999999998</v>
      </c>
      <c r="F202" s="41">
        <f t="shared" si="12"/>
        <v>481.69976400000002</v>
      </c>
      <c r="G202" s="41">
        <v>0</v>
      </c>
      <c r="H202" s="41">
        <f t="shared" si="13"/>
        <v>722.54964600000005</v>
      </c>
      <c r="I202" s="94">
        <f>2.75*2.85+2.62*1.7+2.1*2.35+2.75*(3.05+3.35)+1.45*1+1.2*1.77+2.5*0.9</f>
        <v>40.650500000000008</v>
      </c>
      <c r="N202" s="35"/>
    </row>
    <row r="203" spans="1:20" s="36" customFormat="1" x14ac:dyDescent="0.25">
      <c r="A203" s="150">
        <f>A202+1</f>
        <v>5</v>
      </c>
      <c r="B203" s="150"/>
      <c r="C203" s="94" t="s">
        <v>415</v>
      </c>
      <c r="D203" s="99">
        <f>(53.166)*(10.764)</f>
        <v>572.27882399999999</v>
      </c>
      <c r="E203" s="99">
        <f>(2.9)*(10.764)</f>
        <v>31.215599999999998</v>
      </c>
      <c r="F203" s="41">
        <f t="shared" si="12"/>
        <v>603.49442399999998</v>
      </c>
      <c r="G203" s="41">
        <v>0</v>
      </c>
      <c r="H203" s="41">
        <f t="shared" si="13"/>
        <v>905.24163599999997</v>
      </c>
      <c r="I203" s="94">
        <f>2.9*4.6+1.03*3.1+2.1*3.05+2.75*(3.05+3.5)+1.2*(1.95+2.06)+0.75*1.5+2.8*0.9</f>
        <v>49.407499999999999</v>
      </c>
      <c r="N203" s="35"/>
    </row>
    <row r="204" spans="1:20" s="93" customFormat="1" x14ac:dyDescent="0.25">
      <c r="A204" s="150">
        <f t="shared" ref="A204:A206" si="14">A203+1</f>
        <v>6</v>
      </c>
      <c r="B204" s="150"/>
      <c r="C204" s="94" t="s">
        <v>415</v>
      </c>
      <c r="D204" s="99">
        <f>(48.912)*(10.764)</f>
        <v>526.48876799999994</v>
      </c>
      <c r="E204" s="99">
        <f>(2.9)*(10.764)</f>
        <v>31.215599999999998</v>
      </c>
      <c r="F204" s="94">
        <f t="shared" si="12"/>
        <v>557.70436799999993</v>
      </c>
      <c r="G204" s="94">
        <v>0</v>
      </c>
      <c r="H204" s="94">
        <f t="shared" si="13"/>
        <v>836.5565519999999</v>
      </c>
      <c r="I204" s="35"/>
      <c r="N204" s="35"/>
    </row>
    <row r="205" spans="1:20" s="93" customFormat="1" x14ac:dyDescent="0.25">
      <c r="A205" s="150">
        <f t="shared" si="14"/>
        <v>7</v>
      </c>
      <c r="B205" s="150"/>
      <c r="C205" s="94" t="s">
        <v>416</v>
      </c>
      <c r="D205" s="99">
        <f>(33.164)*(10.764)</f>
        <v>356.97729599999997</v>
      </c>
      <c r="E205" s="99">
        <f t="shared" ref="E205:E206" si="15">(2.1)*(10.764)</f>
        <v>22.604399999999998</v>
      </c>
      <c r="F205" s="94">
        <f t="shared" si="12"/>
        <v>379.58169599999997</v>
      </c>
      <c r="G205" s="94">
        <v>0</v>
      </c>
      <c r="H205" s="94">
        <f t="shared" si="13"/>
        <v>569.37254399999995</v>
      </c>
      <c r="I205" s="35"/>
      <c r="N205" s="35"/>
    </row>
    <row r="206" spans="1:20" s="93" customFormat="1" x14ac:dyDescent="0.25">
      <c r="A206" s="150">
        <f t="shared" si="14"/>
        <v>8</v>
      </c>
      <c r="B206" s="150"/>
      <c r="C206" s="94" t="s">
        <v>416</v>
      </c>
      <c r="D206" s="99">
        <f>(33.164)*(10.764)</f>
        <v>356.97729599999997</v>
      </c>
      <c r="E206" s="99">
        <f t="shared" si="15"/>
        <v>22.604399999999998</v>
      </c>
      <c r="F206" s="94">
        <f t="shared" si="12"/>
        <v>379.58169599999997</v>
      </c>
      <c r="G206" s="94">
        <v>0</v>
      </c>
      <c r="H206" s="94">
        <f t="shared" si="13"/>
        <v>569.37254399999995</v>
      </c>
      <c r="I206" s="35"/>
      <c r="N206" s="35"/>
    </row>
    <row r="207" spans="1:20" s="93" customFormat="1" x14ac:dyDescent="0.25">
      <c r="A207" s="179" t="s">
        <v>425</v>
      </c>
      <c r="B207" s="179"/>
      <c r="C207" s="179"/>
      <c r="D207" s="179"/>
      <c r="E207" s="179"/>
      <c r="F207" s="179"/>
      <c r="G207" s="179"/>
      <c r="H207" s="179"/>
      <c r="I207" s="101">
        <f>2</f>
        <v>2</v>
      </c>
      <c r="L207" s="227"/>
      <c r="M207" s="227"/>
    </row>
    <row r="208" spans="1:20" s="93" customFormat="1" x14ac:dyDescent="0.25">
      <c r="A208" s="150">
        <v>1</v>
      </c>
      <c r="B208" s="150"/>
      <c r="C208" s="94" t="s">
        <v>415</v>
      </c>
      <c r="D208" s="99">
        <f>(49.625)*(10.764)</f>
        <v>534.1635</v>
      </c>
      <c r="E208" s="99">
        <f>(2.9)*(10.764)</f>
        <v>31.215599999999998</v>
      </c>
      <c r="F208" s="94">
        <f>D208+E208</f>
        <v>565.37909999999999</v>
      </c>
      <c r="G208" s="94">
        <v>0</v>
      </c>
      <c r="H208" s="94">
        <f>F208*(($H$170)+1)+(IF(G208&lt;101,G208,IF(G208&lt;201,G208/2,IF(G208&lt;=301,G208/3,G208/4))))</f>
        <v>848.06864999999993</v>
      </c>
      <c r="I208" s="94">
        <f>2.9*4.6+2.1*3.05+2.75*(3.05+3.35)+1.2*(1.8+2.06)+5.6*0.9</f>
        <v>47.016999999999996</v>
      </c>
      <c r="N208" s="35"/>
    </row>
    <row r="209" spans="1:14" s="93" customFormat="1" x14ac:dyDescent="0.25">
      <c r="A209" s="150">
        <f>A208+1</f>
        <v>2</v>
      </c>
      <c r="B209" s="150"/>
      <c r="C209" s="94" t="s">
        <v>415</v>
      </c>
      <c r="D209" s="99">
        <f>(49.625)*(10.764)</f>
        <v>534.1635</v>
      </c>
      <c r="E209" s="99">
        <f>(2.9)*(10.764)</f>
        <v>31.215599999999998</v>
      </c>
      <c r="F209" s="94">
        <f>D209+E209</f>
        <v>565.37909999999999</v>
      </c>
      <c r="G209" s="94">
        <v>0</v>
      </c>
      <c r="H209" s="94">
        <f>F209*(($H$170)+1)+(IF(G209&lt;101,G209,IF(G209&lt;201,G209/2,IF(G209&lt;=301,G209/3,G209/4))))</f>
        <v>848.06864999999993</v>
      </c>
      <c r="I209" s="35"/>
      <c r="N209" s="35"/>
    </row>
    <row r="210" spans="1:14" s="93" customFormat="1" x14ac:dyDescent="0.25">
      <c r="A210" s="150">
        <f>A209+1</f>
        <v>3</v>
      </c>
      <c r="B210" s="150"/>
      <c r="C210" s="94" t="s">
        <v>419</v>
      </c>
      <c r="D210" s="127" t="s">
        <v>420</v>
      </c>
      <c r="E210" s="143"/>
      <c r="F210" s="143"/>
      <c r="G210" s="143"/>
      <c r="H210" s="128"/>
      <c r="I210" s="94">
        <f>2.75*2.85+2.62*1.4+2.1*2.35+2.75*3.35+1.45*1+1.2*1.77+2.5*0.9</f>
        <v>31.476999999999997</v>
      </c>
      <c r="N210" s="35"/>
    </row>
    <row r="211" spans="1:14" s="93" customFormat="1" x14ac:dyDescent="0.25">
      <c r="A211" s="150">
        <f>A210+1</f>
        <v>4</v>
      </c>
      <c r="B211" s="150"/>
      <c r="C211" s="94" t="s">
        <v>415</v>
      </c>
      <c r="D211" s="99">
        <f>(42.651)*(10.764)</f>
        <v>459.09536400000002</v>
      </c>
      <c r="E211" s="99">
        <f>(2.1)*(10.764)</f>
        <v>22.604399999999998</v>
      </c>
      <c r="F211" s="94">
        <f>D211+E211</f>
        <v>481.69976400000002</v>
      </c>
      <c r="G211" s="94">
        <v>0</v>
      </c>
      <c r="H211" s="94">
        <f>F211*(($H$170)+1)+(IF(G211&lt;101,G211,IF(G211&lt;201,G211/2,IF(G211&lt;=301,G211/3,G211/4))))</f>
        <v>722.54964600000005</v>
      </c>
      <c r="I211" s="94">
        <f>2.75*2.85+2.62*1.7+2.1*2.35+2.75*(3.05+3.35)+1.45*1+1.2*1.77+2.5*0.9</f>
        <v>40.650500000000008</v>
      </c>
      <c r="N211" s="35"/>
    </row>
    <row r="212" spans="1:14" s="93" customFormat="1" x14ac:dyDescent="0.25">
      <c r="A212" s="150">
        <f>A211+1</f>
        <v>5</v>
      </c>
      <c r="B212" s="150"/>
      <c r="C212" s="94" t="s">
        <v>415</v>
      </c>
      <c r="D212" s="99">
        <f>(53.166)*(10.764)</f>
        <v>572.27882399999999</v>
      </c>
      <c r="E212" s="99">
        <f>(2.9)*(10.764)</f>
        <v>31.215599999999998</v>
      </c>
      <c r="F212" s="94">
        <f>D212+E212</f>
        <v>603.49442399999998</v>
      </c>
      <c r="G212" s="94">
        <v>0</v>
      </c>
      <c r="H212" s="94">
        <f>F212*(($H$170)+1)+(IF(G212&lt;101,G212,IF(G212&lt;201,G212/2,IF(G212&lt;=301,G212/3,G212/4))))</f>
        <v>905.24163599999997</v>
      </c>
      <c r="I212" s="94">
        <f>2.9*4.6+1.03*3.1+2.1*3.05+2.75*(3.05+3.5)+1.2*(1.95+2.06)+0.75*1.5+2.8*0.9</f>
        <v>49.407499999999999</v>
      </c>
      <c r="N212" s="35"/>
    </row>
    <row r="213" spans="1:14" s="93" customFormat="1" x14ac:dyDescent="0.25">
      <c r="A213" s="150">
        <f t="shared" ref="A213:A215" si="16">A212+1</f>
        <v>6</v>
      </c>
      <c r="B213" s="150"/>
      <c r="C213" s="94" t="s">
        <v>415</v>
      </c>
      <c r="D213" s="99">
        <f>(48.912)*(10.764)</f>
        <v>526.48876799999994</v>
      </c>
      <c r="E213" s="99">
        <f>(2.9)*(10.764)</f>
        <v>31.215599999999998</v>
      </c>
      <c r="F213" s="94">
        <f>D213+E213</f>
        <v>557.70436799999993</v>
      </c>
      <c r="G213" s="94">
        <v>0</v>
      </c>
      <c r="H213" s="94">
        <f>F213*(($H$170)+1)+(IF(G213&lt;101,G213,IF(G213&lt;201,G213/2,IF(G213&lt;=301,G213/3,G213/4))))</f>
        <v>836.5565519999999</v>
      </c>
      <c r="I213" s="35"/>
      <c r="N213" s="35"/>
    </row>
    <row r="214" spans="1:14" s="93" customFormat="1" x14ac:dyDescent="0.25">
      <c r="A214" s="150">
        <f t="shared" si="16"/>
        <v>7</v>
      </c>
      <c r="B214" s="150"/>
      <c r="C214" s="94" t="s">
        <v>416</v>
      </c>
      <c r="D214" s="99">
        <f>(33.164)*(10.764)</f>
        <v>356.97729599999997</v>
      </c>
      <c r="E214" s="99">
        <f>(2.1)*(10.764)</f>
        <v>22.604399999999998</v>
      </c>
      <c r="F214" s="94">
        <f>D214+E214</f>
        <v>379.58169599999997</v>
      </c>
      <c r="G214" s="94">
        <v>0</v>
      </c>
      <c r="H214" s="94">
        <f>F214*(($H$170)+1)+(IF(G214&lt;101,G214,IF(G214&lt;201,G214/2,IF(G214&lt;=301,G214/3,G214/4))))</f>
        <v>569.37254399999995</v>
      </c>
      <c r="I214" s="35"/>
      <c r="N214" s="35"/>
    </row>
    <row r="215" spans="1:14" s="93" customFormat="1" x14ac:dyDescent="0.25">
      <c r="A215" s="150">
        <f t="shared" si="16"/>
        <v>8</v>
      </c>
      <c r="B215" s="150"/>
      <c r="C215" s="94" t="s">
        <v>416</v>
      </c>
      <c r="D215" s="99">
        <f>(33.164)*(10.764)</f>
        <v>356.97729599999997</v>
      </c>
      <c r="E215" s="99">
        <f>(2.1)*(10.764)</f>
        <v>22.604399999999998</v>
      </c>
      <c r="F215" s="94">
        <f>D215+E215</f>
        <v>379.58169599999997</v>
      </c>
      <c r="G215" s="94">
        <v>0</v>
      </c>
      <c r="H215" s="94">
        <f>F215*(($H$170)+1)+(IF(G215&lt;101,G215,IF(G215&lt;201,G215/2,IF(G215&lt;=301,G215/3,G215/4))))</f>
        <v>569.37254399999995</v>
      </c>
      <c r="I215" s="35"/>
      <c r="N215" s="35"/>
    </row>
    <row r="216" spans="1:14" s="93" customFormat="1" x14ac:dyDescent="0.25">
      <c r="A216" s="179" t="s">
        <v>426</v>
      </c>
      <c r="B216" s="179"/>
      <c r="C216" s="179"/>
      <c r="D216" s="179"/>
      <c r="E216" s="179"/>
      <c r="F216" s="179"/>
      <c r="G216" s="179"/>
      <c r="H216" s="179"/>
      <c r="I216" s="101">
        <f>1</f>
        <v>1</v>
      </c>
      <c r="L216" s="227"/>
      <c r="M216" s="227"/>
    </row>
    <row r="217" spans="1:14" s="93" customFormat="1" x14ac:dyDescent="0.25">
      <c r="A217" s="150">
        <v>1</v>
      </c>
      <c r="B217" s="150"/>
      <c r="C217" s="94" t="s">
        <v>415</v>
      </c>
      <c r="D217" s="99">
        <f>(49.625)*(10.764)</f>
        <v>534.1635</v>
      </c>
      <c r="E217" s="99">
        <f>(2.9)*(10.764)</f>
        <v>31.215599999999998</v>
      </c>
      <c r="F217" s="94">
        <f t="shared" ref="F217:F224" si="17">D217+E217</f>
        <v>565.37909999999999</v>
      </c>
      <c r="G217" s="94">
        <v>0</v>
      </c>
      <c r="H217" s="94">
        <f t="shared" ref="H217:H224" si="18">F217*(($H$170)+1)+(IF(G217&lt;101,G217,IF(G217&lt;201,G217/2,IF(G217&lt;=301,G217/3,G217/4))))</f>
        <v>848.06864999999993</v>
      </c>
      <c r="I217" s="94">
        <f>2.9*4.6+2.1*3.05+2.75*(3.05+3.35)+1.2*(1.8+2.06)+5.6*0.9</f>
        <v>47.016999999999996</v>
      </c>
      <c r="N217" s="35"/>
    </row>
    <row r="218" spans="1:14" s="93" customFormat="1" x14ac:dyDescent="0.25">
      <c r="A218" s="150">
        <f>A217+1</f>
        <v>2</v>
      </c>
      <c r="B218" s="150"/>
      <c r="C218" s="94" t="s">
        <v>415</v>
      </c>
      <c r="D218" s="99">
        <f>(49.625)*(10.764)</f>
        <v>534.1635</v>
      </c>
      <c r="E218" s="99">
        <f>(2.9)*(10.764)</f>
        <v>31.215599999999998</v>
      </c>
      <c r="F218" s="94">
        <f t="shared" si="17"/>
        <v>565.37909999999999</v>
      </c>
      <c r="G218" s="94">
        <v>0</v>
      </c>
      <c r="H218" s="94">
        <f t="shared" si="18"/>
        <v>848.06864999999993</v>
      </c>
      <c r="I218" s="35"/>
      <c r="N218" s="35"/>
    </row>
    <row r="219" spans="1:14" s="93" customFormat="1" x14ac:dyDescent="0.25">
      <c r="A219" s="150">
        <f>A218+1</f>
        <v>3</v>
      </c>
      <c r="B219" s="150"/>
      <c r="C219" s="94" t="s">
        <v>416</v>
      </c>
      <c r="D219" s="99">
        <f>(33.164)*(10.764)</f>
        <v>356.97729599999997</v>
      </c>
      <c r="E219" s="99">
        <f>(2.1)*(10.764)</f>
        <v>22.604399999999998</v>
      </c>
      <c r="F219" s="94">
        <f t="shared" si="17"/>
        <v>379.58169599999997</v>
      </c>
      <c r="G219" s="94">
        <v>0</v>
      </c>
      <c r="H219" s="94">
        <f t="shared" si="18"/>
        <v>569.37254399999995</v>
      </c>
      <c r="I219" s="94">
        <f>2.75*2.85+2.62*1.4+2.1*2.35+2.75*3.35+1.45*1+1.2*1.77+2.5*0.9</f>
        <v>31.476999999999997</v>
      </c>
      <c r="N219" s="35"/>
    </row>
    <row r="220" spans="1:14" s="93" customFormat="1" x14ac:dyDescent="0.25">
      <c r="A220" s="150">
        <f>A219+1</f>
        <v>4</v>
      </c>
      <c r="B220" s="150"/>
      <c r="C220" s="94" t="s">
        <v>415</v>
      </c>
      <c r="D220" s="99">
        <f>(42.651)*(10.764)</f>
        <v>459.09536400000002</v>
      </c>
      <c r="E220" s="99">
        <f>(2.1)*(10.764)</f>
        <v>22.604399999999998</v>
      </c>
      <c r="F220" s="94">
        <f t="shared" si="17"/>
        <v>481.69976400000002</v>
      </c>
      <c r="G220" s="94">
        <v>0</v>
      </c>
      <c r="H220" s="94">
        <f t="shared" si="18"/>
        <v>722.54964600000005</v>
      </c>
      <c r="I220" s="94">
        <f>2.75*2.85+2.62*1.7+2.1*2.35+2.75*(3.05+3.35)+1.45*1+1.2*1.77+2.5*0.9</f>
        <v>40.650500000000008</v>
      </c>
      <c r="N220" s="35"/>
    </row>
    <row r="221" spans="1:14" s="93" customFormat="1" x14ac:dyDescent="0.25">
      <c r="A221" s="150">
        <f>A220+1</f>
        <v>5</v>
      </c>
      <c r="B221" s="150"/>
      <c r="C221" s="94" t="s">
        <v>415</v>
      </c>
      <c r="D221" s="99">
        <f>(53.166)*(10.764)</f>
        <v>572.27882399999999</v>
      </c>
      <c r="E221" s="99">
        <f>(2.9)*(10.764)</f>
        <v>31.215599999999998</v>
      </c>
      <c r="F221" s="94">
        <f t="shared" si="17"/>
        <v>603.49442399999998</v>
      </c>
      <c r="G221" s="94">
        <v>0</v>
      </c>
      <c r="H221" s="94">
        <f t="shared" si="18"/>
        <v>905.24163599999997</v>
      </c>
      <c r="I221" s="94">
        <f>2.9*4.6+1.03*3.1+2.1*3.05+2.75*(3.05+3.5)+1.2*(1.95+2.06)+0.75*1.5+2.8*0.9</f>
        <v>49.407499999999999</v>
      </c>
      <c r="N221" s="35"/>
    </row>
    <row r="222" spans="1:14" s="93" customFormat="1" x14ac:dyDescent="0.25">
      <c r="A222" s="150">
        <f t="shared" ref="A222:A224" si="19">A221+1</f>
        <v>6</v>
      </c>
      <c r="B222" s="150"/>
      <c r="C222" s="94" t="s">
        <v>415</v>
      </c>
      <c r="D222" s="99">
        <f>(48.912)*(10.764)</f>
        <v>526.48876799999994</v>
      </c>
      <c r="E222" s="99">
        <f>(2.9)*(10.764)</f>
        <v>31.215599999999998</v>
      </c>
      <c r="F222" s="94">
        <f t="shared" si="17"/>
        <v>557.70436799999993</v>
      </c>
      <c r="G222" s="94">
        <v>0</v>
      </c>
      <c r="H222" s="94">
        <f t="shared" si="18"/>
        <v>836.5565519999999</v>
      </c>
      <c r="I222" s="35"/>
      <c r="N222" s="35"/>
    </row>
    <row r="223" spans="1:14" s="93" customFormat="1" x14ac:dyDescent="0.25">
      <c r="A223" s="150">
        <f t="shared" si="19"/>
        <v>7</v>
      </c>
      <c r="B223" s="150"/>
      <c r="C223" s="94" t="s">
        <v>416</v>
      </c>
      <c r="D223" s="99">
        <f>(33.164)*(10.764)</f>
        <v>356.97729599999997</v>
      </c>
      <c r="E223" s="99">
        <f t="shared" ref="E223:E224" si="20">(2.1)*(10.764)</f>
        <v>22.604399999999998</v>
      </c>
      <c r="F223" s="94">
        <f t="shared" si="17"/>
        <v>379.58169599999997</v>
      </c>
      <c r="G223" s="94">
        <v>0</v>
      </c>
      <c r="H223" s="94">
        <f t="shared" si="18"/>
        <v>569.37254399999995</v>
      </c>
      <c r="I223" s="35"/>
      <c r="N223" s="35"/>
    </row>
    <row r="224" spans="1:14" s="93" customFormat="1" x14ac:dyDescent="0.25">
      <c r="A224" s="150">
        <f t="shared" si="19"/>
        <v>8</v>
      </c>
      <c r="B224" s="150"/>
      <c r="C224" s="94" t="s">
        <v>416</v>
      </c>
      <c r="D224" s="99">
        <f>(33.164)*(10.764)</f>
        <v>356.97729599999997</v>
      </c>
      <c r="E224" s="99">
        <f t="shared" si="20"/>
        <v>22.604399999999998</v>
      </c>
      <c r="F224" s="94">
        <f t="shared" si="17"/>
        <v>379.58169599999997</v>
      </c>
      <c r="G224" s="94">
        <v>0</v>
      </c>
      <c r="H224" s="94">
        <f t="shared" si="18"/>
        <v>569.37254399999995</v>
      </c>
      <c r="I224" s="35"/>
      <c r="N224" s="35"/>
    </row>
    <row r="225" spans="1:10" s="93" customFormat="1" x14ac:dyDescent="0.25">
      <c r="A225" s="156" t="s">
        <v>442</v>
      </c>
      <c r="B225" s="157"/>
      <c r="C225" s="157"/>
      <c r="D225" s="157"/>
      <c r="E225" s="157"/>
      <c r="F225" s="157"/>
      <c r="G225" s="157"/>
      <c r="H225" s="158"/>
      <c r="J225" s="35"/>
    </row>
    <row r="226" spans="1:10" s="36" customFormat="1" ht="15.75" customHeight="1" x14ac:dyDescent="0.25">
      <c r="A226" s="156" t="s">
        <v>427</v>
      </c>
      <c r="B226" s="157"/>
      <c r="C226" s="157"/>
      <c r="D226" s="157"/>
      <c r="E226" s="157"/>
      <c r="F226" s="157"/>
      <c r="G226" s="157"/>
      <c r="H226" s="158"/>
      <c r="I226" s="35"/>
    </row>
    <row r="227" spans="1:10" s="93" customFormat="1" ht="15.75" customHeight="1" x14ac:dyDescent="0.25">
      <c r="A227" s="179" t="s">
        <v>424</v>
      </c>
      <c r="B227" s="179"/>
      <c r="C227" s="179"/>
      <c r="D227" s="179"/>
      <c r="E227" s="179"/>
      <c r="F227" s="179"/>
      <c r="G227" s="179"/>
      <c r="H227" s="179"/>
      <c r="I227" s="101">
        <f>6+4+1</f>
        <v>11</v>
      </c>
    </row>
    <row r="228" spans="1:10" s="36" customFormat="1" ht="15.75" customHeight="1" x14ac:dyDescent="0.25">
      <c r="A228" s="127">
        <v>1</v>
      </c>
      <c r="B228" s="128"/>
      <c r="C228" s="94" t="s">
        <v>415</v>
      </c>
      <c r="D228" s="99">
        <f>(48.67)*(10.764)</f>
        <v>523.88387999999998</v>
      </c>
      <c r="E228" s="99">
        <f>(1.4)*(10.764)</f>
        <v>15.069599999999998</v>
      </c>
      <c r="F228" s="41">
        <f t="shared" ref="F228:F235" si="21">D228+E228</f>
        <v>538.95348000000001</v>
      </c>
      <c r="G228" s="41">
        <v>0</v>
      </c>
      <c r="H228" s="41">
        <f t="shared" ref="H228:H235" si="22">F228*(($H$170)+1)+(IF(G228&lt;101,G228,IF(G228&lt;201,G228/2,IF(G228&lt;=301,G228/3,G228/4))))</f>
        <v>808.43021999999996</v>
      </c>
      <c r="I228" s="94">
        <f>2.9*4.6+2.05*3.05+3.05*(2.75+3.35)+1.25*2+1.95*1.2+4.4*0.9</f>
        <v>46.997499999999995</v>
      </c>
    </row>
    <row r="229" spans="1:10" s="36" customFormat="1" ht="15.75" customHeight="1" x14ac:dyDescent="0.25">
      <c r="A229" s="127">
        <v>2</v>
      </c>
      <c r="B229" s="128"/>
      <c r="C229" s="94" t="s">
        <v>415</v>
      </c>
      <c r="D229" s="99">
        <f>(48.67)*(10.764)</f>
        <v>523.88387999999998</v>
      </c>
      <c r="E229" s="99">
        <f>(1.4)*(10.764)</f>
        <v>15.069599999999998</v>
      </c>
      <c r="F229" s="41">
        <f t="shared" si="21"/>
        <v>538.95348000000001</v>
      </c>
      <c r="G229" s="41">
        <v>0</v>
      </c>
      <c r="H229" s="41">
        <f t="shared" si="22"/>
        <v>808.43021999999996</v>
      </c>
      <c r="I229" s="35"/>
    </row>
    <row r="230" spans="1:10" s="36" customFormat="1" ht="15.75" customHeight="1" x14ac:dyDescent="0.25">
      <c r="A230" s="127">
        <v>3</v>
      </c>
      <c r="B230" s="128"/>
      <c r="C230" s="94" t="s">
        <v>415</v>
      </c>
      <c r="D230" s="99">
        <f>(42.651)*(10.764)</f>
        <v>459.09536400000002</v>
      </c>
      <c r="E230" s="99">
        <f>(2.1)*(10.764)</f>
        <v>22.604399999999998</v>
      </c>
      <c r="F230" s="41">
        <f t="shared" si="21"/>
        <v>481.69976400000002</v>
      </c>
      <c r="G230" s="41">
        <v>0</v>
      </c>
      <c r="H230" s="41">
        <f t="shared" si="22"/>
        <v>722.54964600000005</v>
      </c>
      <c r="I230" s="94">
        <f>2.75*2.85+2.62*1.7+2.1*2.35+2.75*(3.05+3.35)+1.45*1+1.2*1.77+2.5*0.9</f>
        <v>40.650500000000008</v>
      </c>
    </row>
    <row r="231" spans="1:10" s="36" customFormat="1" ht="15.75" customHeight="1" x14ac:dyDescent="0.25">
      <c r="A231" s="127">
        <v>4</v>
      </c>
      <c r="B231" s="128"/>
      <c r="C231" s="94" t="s">
        <v>416</v>
      </c>
      <c r="D231" s="99">
        <f>(33.164)*(10.764)</f>
        <v>356.97729599999997</v>
      </c>
      <c r="E231" s="99">
        <f>(2.1)*(10.764)</f>
        <v>22.604399999999998</v>
      </c>
      <c r="F231" s="41">
        <f t="shared" si="21"/>
        <v>379.58169599999997</v>
      </c>
      <c r="G231" s="41">
        <v>0</v>
      </c>
      <c r="H231" s="41">
        <f t="shared" si="22"/>
        <v>569.37254399999995</v>
      </c>
      <c r="I231" s="94">
        <f>2.75*2.85+2.62*1.4+2.1*2.35+2.75*3.35+1.45*1+1.2*1.77+2.5*0.9</f>
        <v>31.476999999999997</v>
      </c>
    </row>
    <row r="232" spans="1:10" s="36" customFormat="1" ht="15.75" customHeight="1" x14ac:dyDescent="0.25">
      <c r="A232" s="127">
        <v>5</v>
      </c>
      <c r="B232" s="128"/>
      <c r="C232" s="94" t="s">
        <v>415</v>
      </c>
      <c r="D232" s="99">
        <f>(49.625)*(10.764)</f>
        <v>534.1635</v>
      </c>
      <c r="E232" s="99">
        <f>(2.9)*(10.764)</f>
        <v>31.215599999999998</v>
      </c>
      <c r="F232" s="41">
        <f t="shared" si="21"/>
        <v>565.37909999999999</v>
      </c>
      <c r="G232" s="41">
        <v>0</v>
      </c>
      <c r="H232" s="41">
        <f t="shared" si="22"/>
        <v>848.06864999999993</v>
      </c>
      <c r="I232" s="35"/>
    </row>
    <row r="233" spans="1:10" s="93" customFormat="1" ht="15.75" customHeight="1" x14ac:dyDescent="0.25">
      <c r="A233" s="127">
        <v>6</v>
      </c>
      <c r="B233" s="128"/>
      <c r="C233" s="94" t="s">
        <v>415</v>
      </c>
      <c r="D233" s="99">
        <f>(49.625)*(10.764)</f>
        <v>534.1635</v>
      </c>
      <c r="E233" s="99">
        <f>(2.9)*(10.764)</f>
        <v>31.215599999999998</v>
      </c>
      <c r="F233" s="94">
        <f t="shared" si="21"/>
        <v>565.37909999999999</v>
      </c>
      <c r="G233" s="94">
        <v>0</v>
      </c>
      <c r="H233" s="94">
        <f t="shared" si="22"/>
        <v>848.06864999999993</v>
      </c>
      <c r="I233" s="35"/>
    </row>
    <row r="234" spans="1:10" s="93" customFormat="1" ht="15.75" customHeight="1" x14ac:dyDescent="0.25">
      <c r="A234" s="127">
        <v>7</v>
      </c>
      <c r="B234" s="128"/>
      <c r="C234" s="94" t="s">
        <v>416</v>
      </c>
      <c r="D234" s="99">
        <f>(33.164)*(10.764)</f>
        <v>356.97729599999997</v>
      </c>
      <c r="E234" s="99">
        <f t="shared" ref="E234:E235" si="23">(2.1)*(10.764)</f>
        <v>22.604399999999998</v>
      </c>
      <c r="F234" s="94">
        <f t="shared" si="21"/>
        <v>379.58169599999997</v>
      </c>
      <c r="G234" s="94">
        <v>0</v>
      </c>
      <c r="H234" s="94">
        <f t="shared" si="22"/>
        <v>569.37254399999995</v>
      </c>
      <c r="I234" s="35"/>
    </row>
    <row r="235" spans="1:10" s="93" customFormat="1" ht="15.75" customHeight="1" x14ac:dyDescent="0.25">
      <c r="A235" s="127">
        <v>8</v>
      </c>
      <c r="B235" s="128"/>
      <c r="C235" s="94" t="s">
        <v>416</v>
      </c>
      <c r="D235" s="99">
        <f>(33.164)*(10.764)</f>
        <v>356.97729599999997</v>
      </c>
      <c r="E235" s="99">
        <f t="shared" si="23"/>
        <v>22.604399999999998</v>
      </c>
      <c r="F235" s="94">
        <f t="shared" si="21"/>
        <v>379.58169599999997</v>
      </c>
      <c r="G235" s="94">
        <v>0</v>
      </c>
      <c r="H235" s="94">
        <f t="shared" si="22"/>
        <v>569.37254399999995</v>
      </c>
      <c r="I235" s="35"/>
    </row>
    <row r="236" spans="1:10" s="93" customFormat="1" ht="15.75" customHeight="1" x14ac:dyDescent="0.25">
      <c r="A236" s="179" t="s">
        <v>425</v>
      </c>
      <c r="B236" s="179"/>
      <c r="C236" s="179"/>
      <c r="D236" s="179"/>
      <c r="E236" s="179"/>
      <c r="F236" s="179"/>
      <c r="G236" s="179"/>
      <c r="H236" s="179"/>
      <c r="I236" s="101">
        <f>2</f>
        <v>2</v>
      </c>
    </row>
    <row r="237" spans="1:10" s="93" customFormat="1" ht="15.75" customHeight="1" x14ac:dyDescent="0.25">
      <c r="A237" s="127">
        <v>1</v>
      </c>
      <c r="B237" s="128"/>
      <c r="C237" s="94" t="s">
        <v>415</v>
      </c>
      <c r="D237" s="99">
        <f>(48.67)*(10.764)</f>
        <v>523.88387999999998</v>
      </c>
      <c r="E237" s="99">
        <f>(1.4)*(10.764)</f>
        <v>15.069599999999998</v>
      </c>
      <c r="F237" s="94">
        <f>D237+E237</f>
        <v>538.95348000000001</v>
      </c>
      <c r="G237" s="94">
        <v>0</v>
      </c>
      <c r="H237" s="94">
        <f>F237*(($H$170)+1)+(IF(G237&lt;101,G237,IF(G237&lt;201,G237/2,IF(G237&lt;=301,G237/3,G237/4))))</f>
        <v>808.43021999999996</v>
      </c>
      <c r="I237" s="94">
        <f>2.9*4.6+2.05*3.05+3.05*(2.75+3.35)+1.25*2+1.95*1.2+4.4*0.9</f>
        <v>46.997499999999995</v>
      </c>
    </row>
    <row r="238" spans="1:10" s="93" customFormat="1" ht="15.75" customHeight="1" x14ac:dyDescent="0.25">
      <c r="A238" s="127">
        <v>2</v>
      </c>
      <c r="B238" s="128"/>
      <c r="C238" s="94" t="s">
        <v>415</v>
      </c>
      <c r="D238" s="99">
        <f>(48.67)*(10.764)</f>
        <v>523.88387999999998</v>
      </c>
      <c r="E238" s="99">
        <f>(1.4)*(10.764)</f>
        <v>15.069599999999998</v>
      </c>
      <c r="F238" s="94">
        <f>D238+E238</f>
        <v>538.95348000000001</v>
      </c>
      <c r="G238" s="94">
        <v>0</v>
      </c>
      <c r="H238" s="94">
        <f>F238*(($H$170)+1)+(IF(G238&lt;101,G238,IF(G238&lt;201,G238/2,IF(G238&lt;=301,G238/3,G238/4))))</f>
        <v>808.43021999999996</v>
      </c>
      <c r="I238" s="35"/>
    </row>
    <row r="239" spans="1:10" s="93" customFormat="1" ht="15.75" customHeight="1" x14ac:dyDescent="0.25">
      <c r="A239" s="127">
        <v>3</v>
      </c>
      <c r="B239" s="128"/>
      <c r="C239" s="94" t="s">
        <v>415</v>
      </c>
      <c r="D239" s="99">
        <f>(42.651)*(10.764)</f>
        <v>459.09536400000002</v>
      </c>
      <c r="E239" s="99">
        <f>(2.1)*(10.764)</f>
        <v>22.604399999999998</v>
      </c>
      <c r="F239" s="94">
        <f>D239+E239</f>
        <v>481.69976400000002</v>
      </c>
      <c r="G239" s="94">
        <v>0</v>
      </c>
      <c r="H239" s="94">
        <f>F239*(($H$170)+1)+(IF(G239&lt;101,G239,IF(G239&lt;201,G239/2,IF(G239&lt;=301,G239/3,G239/4))))</f>
        <v>722.54964600000005</v>
      </c>
      <c r="I239" s="94">
        <f>2.75*2.85+2.62*1.7+2.1*2.35+2.75*(3.05+3.35)+1.45*1+1.2*1.77+2.5*0.9</f>
        <v>40.650500000000008</v>
      </c>
    </row>
    <row r="240" spans="1:10" s="93" customFormat="1" ht="15.75" customHeight="1" x14ac:dyDescent="0.25">
      <c r="A240" s="127">
        <v>4</v>
      </c>
      <c r="B240" s="128"/>
      <c r="C240" s="94" t="s">
        <v>419</v>
      </c>
      <c r="D240" s="127" t="s">
        <v>420</v>
      </c>
      <c r="E240" s="143"/>
      <c r="F240" s="143"/>
      <c r="G240" s="143"/>
      <c r="H240" s="128"/>
      <c r="I240" s="94">
        <f>2.75*2.85+2.62*1.4+2.1*2.35+2.75*3.35+1.45*1+1.2*1.77+2.5*0.9</f>
        <v>31.476999999999997</v>
      </c>
    </row>
    <row r="241" spans="1:20" s="93" customFormat="1" ht="15.75" customHeight="1" x14ac:dyDescent="0.25">
      <c r="A241" s="127">
        <v>5</v>
      </c>
      <c r="B241" s="128"/>
      <c r="C241" s="94" t="s">
        <v>415</v>
      </c>
      <c r="D241" s="99">
        <f>(49.625)*(10.764)</f>
        <v>534.1635</v>
      </c>
      <c r="E241" s="99">
        <f>(2.9)*(10.764)</f>
        <v>31.215599999999998</v>
      </c>
      <c r="F241" s="94">
        <f>D241+E241</f>
        <v>565.37909999999999</v>
      </c>
      <c r="G241" s="94">
        <v>0</v>
      </c>
      <c r="H241" s="94">
        <f>F241*(($H$170)+1)+(IF(G241&lt;101,G241,IF(G241&lt;201,G241/2,IF(G241&lt;=301,G241/3,G241/4))))</f>
        <v>848.06864999999993</v>
      </c>
      <c r="I241" s="35"/>
    </row>
    <row r="242" spans="1:20" s="93" customFormat="1" ht="15.75" customHeight="1" x14ac:dyDescent="0.25">
      <c r="A242" s="127">
        <v>6</v>
      </c>
      <c r="B242" s="128"/>
      <c r="C242" s="94" t="s">
        <v>415</v>
      </c>
      <c r="D242" s="99">
        <f>(49.625)*(10.764)</f>
        <v>534.1635</v>
      </c>
      <c r="E242" s="99">
        <f>(2.9)*(10.764)</f>
        <v>31.215599999999998</v>
      </c>
      <c r="F242" s="94">
        <f>D242+E242</f>
        <v>565.37909999999999</v>
      </c>
      <c r="G242" s="94">
        <v>0</v>
      </c>
      <c r="H242" s="94">
        <f>F242*(($H$170)+1)+(IF(G242&lt;101,G242,IF(G242&lt;201,G242/2,IF(G242&lt;=301,G242/3,G242/4))))</f>
        <v>848.06864999999993</v>
      </c>
      <c r="I242" s="35"/>
    </row>
    <row r="243" spans="1:20" s="93" customFormat="1" ht="15.75" customHeight="1" x14ac:dyDescent="0.25">
      <c r="A243" s="127">
        <v>7</v>
      </c>
      <c r="B243" s="128"/>
      <c r="C243" s="94" t="s">
        <v>416</v>
      </c>
      <c r="D243" s="99">
        <f>(33.164)*(10.764)</f>
        <v>356.97729599999997</v>
      </c>
      <c r="E243" s="99">
        <f t="shared" ref="E243:E244" si="24">(2.1)*(10.764)</f>
        <v>22.604399999999998</v>
      </c>
      <c r="F243" s="94">
        <f>D243+E243</f>
        <v>379.58169599999997</v>
      </c>
      <c r="G243" s="94">
        <v>0</v>
      </c>
      <c r="H243" s="94">
        <f>F243*(($H$170)+1)+(IF(G243&lt;101,G243,IF(G243&lt;201,G243/2,IF(G243&lt;=301,G243/3,G243/4))))</f>
        <v>569.37254399999995</v>
      </c>
      <c r="I243" s="35"/>
    </row>
    <row r="244" spans="1:20" s="93" customFormat="1" ht="15.75" customHeight="1" x14ac:dyDescent="0.25">
      <c r="A244" s="127">
        <v>8</v>
      </c>
      <c r="B244" s="128"/>
      <c r="C244" s="94" t="s">
        <v>416</v>
      </c>
      <c r="D244" s="99">
        <f>(33.164)*(10.764)</f>
        <v>356.97729599999997</v>
      </c>
      <c r="E244" s="99">
        <f t="shared" si="24"/>
        <v>22.604399999999998</v>
      </c>
      <c r="F244" s="94">
        <f>D244+E244</f>
        <v>379.58169599999997</v>
      </c>
      <c r="G244" s="94">
        <v>0</v>
      </c>
      <c r="H244" s="94">
        <f>F244*(($H$170)+1)+(IF(G244&lt;101,G244,IF(G244&lt;201,G244/2,IF(G244&lt;=301,G244/3,G244/4))))</f>
        <v>569.37254399999995</v>
      </c>
      <c r="I244" s="35"/>
    </row>
    <row r="245" spans="1:20" s="34" customFormat="1" x14ac:dyDescent="0.25">
      <c r="A245" s="165" t="s">
        <v>64</v>
      </c>
      <c r="B245" s="165"/>
      <c r="C245" s="165"/>
      <c r="D245" s="165"/>
      <c r="E245" s="165"/>
      <c r="F245" s="165"/>
      <c r="G245" s="165"/>
      <c r="H245" s="165"/>
      <c r="T245" s="36"/>
    </row>
    <row r="246" spans="1:20" s="34" customFormat="1" ht="51" customHeight="1" x14ac:dyDescent="0.25">
      <c r="A246" s="44" t="s">
        <v>146</v>
      </c>
      <c r="B246" s="283" t="s">
        <v>450</v>
      </c>
      <c r="C246" s="284"/>
      <c r="D246" s="284"/>
      <c r="E246" s="284"/>
      <c r="F246" s="284"/>
      <c r="G246" s="284"/>
      <c r="H246" s="285"/>
      <c r="T246" s="36"/>
    </row>
    <row r="247" spans="1:20" s="34" customFormat="1" x14ac:dyDescent="0.25">
      <c r="A247" s="44" t="s">
        <v>146</v>
      </c>
      <c r="B247" s="159" t="str">
        <f>(IF(H169="Saleable area Loading :","We have considered Saleable area of Flats as per our Calculation.","We considered Saleable area of Flat as per Builder area Sheet."))</f>
        <v>We have considered Saleable area of Flats as per our Calculation.</v>
      </c>
      <c r="C247" s="160"/>
      <c r="D247" s="160"/>
      <c r="E247" s="160"/>
      <c r="F247" s="160"/>
      <c r="G247" s="160"/>
      <c r="H247" s="161"/>
      <c r="T247" s="36"/>
    </row>
    <row r="248" spans="1:20" s="34" customFormat="1" x14ac:dyDescent="0.25">
      <c r="A248" s="44" t="s">
        <v>146</v>
      </c>
      <c r="B248" s="159" t="str">
        <f>(IF(H159="Saleable area Loading :","We have considered Saleable area of Commercial as per our Calculation.","We considered Saleable area of Commercial as per Builder area Sheet."))</f>
        <v>We have considered Saleable area of Commercial as per our Calculation.</v>
      </c>
      <c r="C248" s="160"/>
      <c r="D248" s="160"/>
      <c r="E248" s="160"/>
      <c r="F248" s="160"/>
      <c r="G248" s="160"/>
      <c r="H248" s="161"/>
      <c r="T248" s="36"/>
    </row>
    <row r="249" spans="1:20" s="34" customFormat="1" x14ac:dyDescent="0.25">
      <c r="A249" s="44" t="s">
        <v>146</v>
      </c>
      <c r="B249" s="168" t="s">
        <v>116</v>
      </c>
      <c r="C249" s="169"/>
      <c r="D249" s="169"/>
      <c r="E249" s="169"/>
      <c r="F249" s="169"/>
      <c r="G249" s="169"/>
      <c r="H249" s="170"/>
      <c r="T249" s="36"/>
    </row>
    <row r="250" spans="1:20" s="34" customFormat="1" x14ac:dyDescent="0.25">
      <c r="A250" s="44" t="s">
        <v>146</v>
      </c>
      <c r="B250" s="159" t="s">
        <v>428</v>
      </c>
      <c r="C250" s="160"/>
      <c r="D250" s="160"/>
      <c r="E250" s="160"/>
      <c r="F250" s="160"/>
      <c r="G250" s="160"/>
      <c r="H250" s="161"/>
      <c r="T250" s="36"/>
    </row>
    <row r="251" spans="1:20" s="34" customFormat="1" x14ac:dyDescent="0.25">
      <c r="A251" s="44" t="s">
        <v>146</v>
      </c>
      <c r="B251" s="168" t="s">
        <v>145</v>
      </c>
      <c r="C251" s="169"/>
      <c r="D251" s="169"/>
      <c r="E251" s="169"/>
      <c r="F251" s="169"/>
      <c r="G251" s="169"/>
      <c r="H251" s="170"/>
    </row>
    <row r="252" spans="1:20" s="34" customFormat="1" x14ac:dyDescent="0.25">
      <c r="A252" s="44" t="s">
        <v>146</v>
      </c>
      <c r="B252" s="168" t="s">
        <v>117</v>
      </c>
      <c r="C252" s="169"/>
      <c r="D252" s="169"/>
      <c r="E252" s="169"/>
      <c r="F252" s="169"/>
      <c r="G252" s="169"/>
      <c r="H252" s="170"/>
    </row>
    <row r="253" spans="1:20" s="34" customFormat="1" ht="34.5" customHeight="1" x14ac:dyDescent="0.25">
      <c r="A253" s="44" t="s">
        <v>146</v>
      </c>
      <c r="B253" s="159" t="s">
        <v>147</v>
      </c>
      <c r="C253" s="160"/>
      <c r="D253" s="160"/>
      <c r="E253" s="160"/>
      <c r="F253" s="160"/>
      <c r="G253" s="160"/>
      <c r="H253" s="161"/>
    </row>
    <row r="254" spans="1:20" s="34" customFormat="1" x14ac:dyDescent="0.25">
      <c r="A254" s="44" t="s">
        <v>146</v>
      </c>
      <c r="B254" s="168" t="s">
        <v>118</v>
      </c>
      <c r="C254" s="169"/>
      <c r="D254" s="169"/>
      <c r="E254" s="169"/>
      <c r="F254" s="169"/>
      <c r="G254" s="169"/>
      <c r="H254" s="170"/>
    </row>
    <row r="255" spans="1:20" s="34" customFormat="1" x14ac:dyDescent="0.25">
      <c r="A255" s="44" t="s">
        <v>146</v>
      </c>
      <c r="B255" s="159" t="s">
        <v>429</v>
      </c>
      <c r="C255" s="160"/>
      <c r="D255" s="160"/>
      <c r="E255" s="160"/>
      <c r="F255" s="160"/>
      <c r="G255" s="160"/>
      <c r="H255" s="161"/>
    </row>
    <row r="256" spans="1:20" s="34" customFormat="1" hidden="1" x14ac:dyDescent="0.25">
      <c r="A256" s="44" t="s">
        <v>146</v>
      </c>
      <c r="B256" s="162" t="s">
        <v>339</v>
      </c>
      <c r="C256" s="163"/>
      <c r="D256" s="163"/>
      <c r="E256" s="163"/>
      <c r="F256" s="163"/>
      <c r="G256" s="163"/>
      <c r="H256" s="164"/>
    </row>
    <row r="257" spans="1:20" s="34" customFormat="1" hidden="1" x14ac:dyDescent="0.25">
      <c r="A257" s="44" t="s">
        <v>146</v>
      </c>
      <c r="B257" s="162" t="str">
        <f ca="1">IF(G52&gt;EDATE(E3,-48),"NO REMARK FOR CC","REMARK FOR CC")</f>
        <v>NO REMARK FOR CC</v>
      </c>
      <c r="C257" s="163"/>
      <c r="D257" s="163"/>
      <c r="E257" s="163"/>
      <c r="F257" s="163"/>
      <c r="G257" s="163"/>
      <c r="H257" s="164"/>
    </row>
    <row r="258" spans="1:20" s="34" customFormat="1" ht="81.75" hidden="1" customHeight="1" x14ac:dyDescent="0.25">
      <c r="A258" s="44" t="s">
        <v>146</v>
      </c>
      <c r="B258" s="162" t="s">
        <v>340</v>
      </c>
      <c r="C258" s="163"/>
      <c r="D258" s="163"/>
      <c r="E258" s="163"/>
      <c r="F258" s="163"/>
      <c r="G258" s="163"/>
      <c r="H258" s="164"/>
    </row>
    <row r="259" spans="1:20" x14ac:dyDescent="0.25">
      <c r="A259" s="181" t="s">
        <v>57</v>
      </c>
      <c r="B259" s="181"/>
      <c r="C259" s="181"/>
      <c r="D259" s="181"/>
      <c r="E259" s="181"/>
      <c r="F259" s="181"/>
      <c r="G259" s="181"/>
      <c r="H259" s="181"/>
      <c r="T259" s="34"/>
    </row>
    <row r="260" spans="1:20" x14ac:dyDescent="0.25">
      <c r="A260" s="113" t="s">
        <v>58</v>
      </c>
      <c r="B260" s="113"/>
      <c r="C260" s="113"/>
      <c r="D260" s="113"/>
      <c r="E260" s="113"/>
      <c r="F260" s="113"/>
      <c r="G260" s="113"/>
      <c r="H260" s="113"/>
      <c r="T260" s="34"/>
    </row>
    <row r="261" spans="1:20" ht="15.75" customHeight="1" x14ac:dyDescent="0.25">
      <c r="A261" s="149" t="s">
        <v>59</v>
      </c>
      <c r="B261" s="149"/>
      <c r="C261" s="149"/>
      <c r="D261" s="149"/>
      <c r="E261" s="149"/>
      <c r="F261" s="149"/>
      <c r="G261" s="149"/>
      <c r="H261" s="149"/>
      <c r="T261" s="34"/>
    </row>
    <row r="262" spans="1:20" x14ac:dyDescent="0.25">
      <c r="A262" s="113" t="s">
        <v>60</v>
      </c>
      <c r="B262" s="113"/>
      <c r="C262" s="113"/>
      <c r="D262" s="113"/>
      <c r="E262" s="113"/>
      <c r="F262" s="113"/>
      <c r="G262" s="113"/>
      <c r="H262" s="113"/>
      <c r="T262" s="34"/>
    </row>
    <row r="263" spans="1:20" x14ac:dyDescent="0.25">
      <c r="A263" s="113" t="s">
        <v>61</v>
      </c>
      <c r="B263" s="113"/>
      <c r="C263" s="113"/>
      <c r="D263" s="113"/>
      <c r="E263" s="113"/>
      <c r="F263" s="113"/>
      <c r="G263" s="113"/>
      <c r="H263" s="113"/>
      <c r="T263" s="34"/>
    </row>
    <row r="264" spans="1:20" x14ac:dyDescent="0.25">
      <c r="A264" s="113" t="s">
        <v>119</v>
      </c>
      <c r="B264" s="113"/>
      <c r="C264" s="113"/>
      <c r="D264" s="113"/>
      <c r="E264" s="113"/>
      <c r="F264" s="113"/>
      <c r="G264" s="113"/>
      <c r="H264" s="113"/>
      <c r="T264" s="34"/>
    </row>
    <row r="265" spans="1:20" ht="33.950000000000003" customHeight="1" x14ac:dyDescent="0.25">
      <c r="A265" s="135" t="s">
        <v>120</v>
      </c>
      <c r="B265" s="135"/>
      <c r="C265" s="135"/>
      <c r="D265" s="135"/>
      <c r="E265" s="135"/>
      <c r="F265" s="135"/>
      <c r="G265" s="135"/>
      <c r="H265" s="135"/>
    </row>
    <row r="266" spans="1:20" x14ac:dyDescent="0.25">
      <c r="A266" s="176" t="s">
        <v>73</v>
      </c>
      <c r="B266" s="176"/>
      <c r="C266" s="176" t="s">
        <v>431</v>
      </c>
      <c r="D266" s="176"/>
      <c r="E266" s="176" t="s">
        <v>102</v>
      </c>
      <c r="F266" s="176"/>
      <c r="G266" s="176" t="s">
        <v>430</v>
      </c>
      <c r="H266" s="176"/>
    </row>
    <row r="267" spans="1:20" x14ac:dyDescent="0.25">
      <c r="A267" s="175" t="s">
        <v>75</v>
      </c>
      <c r="B267" s="175"/>
      <c r="C267" s="175"/>
      <c r="D267" s="175"/>
      <c r="E267" s="175"/>
      <c r="F267" s="175"/>
      <c r="G267" s="175"/>
      <c r="H267" s="175"/>
    </row>
    <row r="268" spans="1:20" x14ac:dyDescent="0.25">
      <c r="A268" s="175"/>
      <c r="B268" s="175"/>
      <c r="C268" s="175"/>
      <c r="D268" s="175"/>
      <c r="E268" s="175"/>
      <c r="F268" s="175"/>
      <c r="G268" s="175"/>
      <c r="H268" s="175"/>
    </row>
    <row r="269" spans="1:20" x14ac:dyDescent="0.25">
      <c r="A269" s="175"/>
      <c r="B269" s="175"/>
      <c r="C269" s="175"/>
      <c r="D269" s="175"/>
      <c r="E269" s="175"/>
      <c r="F269" s="175"/>
      <c r="G269" s="175"/>
      <c r="H269" s="175"/>
    </row>
    <row r="270" spans="1:20" x14ac:dyDescent="0.25">
      <c r="A270" s="175"/>
      <c r="B270" s="175"/>
      <c r="C270" s="175"/>
      <c r="D270" s="175"/>
      <c r="E270" s="175"/>
      <c r="F270" s="175"/>
      <c r="G270" s="175"/>
      <c r="H270" s="175"/>
    </row>
    <row r="271" spans="1:20" x14ac:dyDescent="0.25">
      <c r="A271" s="37" t="s">
        <v>62</v>
      </c>
      <c r="B271" s="38"/>
      <c r="C271" s="38"/>
      <c r="D271" s="37" t="str">
        <f>E9</f>
        <v>Imperial III</v>
      </c>
      <c r="F271" s="38"/>
      <c r="G271" s="38"/>
      <c r="H271" s="38"/>
    </row>
    <row r="272" spans="1:20" x14ac:dyDescent="0.25">
      <c r="A272" s="38"/>
      <c r="B272" s="38"/>
      <c r="C272" s="38"/>
      <c r="D272" s="38"/>
      <c r="E272" s="38"/>
      <c r="F272" s="38"/>
      <c r="G272" s="38"/>
      <c r="H272" s="38"/>
    </row>
    <row r="273" spans="1:8" x14ac:dyDescent="0.25">
      <c r="A273" s="38"/>
      <c r="B273" s="38"/>
      <c r="C273" s="38"/>
      <c r="D273" s="38"/>
      <c r="E273" s="38"/>
      <c r="F273" s="38"/>
      <c r="G273" s="38"/>
      <c r="H273" s="38"/>
    </row>
    <row r="274" spans="1:8" ht="15" customHeight="1" x14ac:dyDescent="0.25"/>
    <row r="315" spans="1:1" x14ac:dyDescent="0.25">
      <c r="A315" s="40" t="s">
        <v>155</v>
      </c>
    </row>
    <row r="359" spans="1:1" x14ac:dyDescent="0.25">
      <c r="A359" s="40" t="s">
        <v>63</v>
      </c>
    </row>
  </sheetData>
  <mergeCells count="449">
    <mergeCell ref="A243:B243"/>
    <mergeCell ref="A244:B244"/>
    <mergeCell ref="D240:H240"/>
    <mergeCell ref="A234:B234"/>
    <mergeCell ref="A235:B235"/>
    <mergeCell ref="A236:H236"/>
    <mergeCell ref="A237:B237"/>
    <mergeCell ref="A238:B238"/>
    <mergeCell ref="A239:B239"/>
    <mergeCell ref="A240:B240"/>
    <mergeCell ref="A241:B241"/>
    <mergeCell ref="A242:B242"/>
    <mergeCell ref="A219:B219"/>
    <mergeCell ref="A220:B220"/>
    <mergeCell ref="A221:B221"/>
    <mergeCell ref="A222:B222"/>
    <mergeCell ref="A223:B223"/>
    <mergeCell ref="A224:B224"/>
    <mergeCell ref="A225:H225"/>
    <mergeCell ref="A227:H227"/>
    <mergeCell ref="A233:B233"/>
    <mergeCell ref="A232:B232"/>
    <mergeCell ref="A212:B212"/>
    <mergeCell ref="A213:B213"/>
    <mergeCell ref="A214:B214"/>
    <mergeCell ref="A215:B215"/>
    <mergeCell ref="D210:H210"/>
    <mergeCell ref="A216:H216"/>
    <mergeCell ref="L216:M216"/>
    <mergeCell ref="A217:B217"/>
    <mergeCell ref="A218:B218"/>
    <mergeCell ref="A206:B206"/>
    <mergeCell ref="A198:H198"/>
    <mergeCell ref="L198:M198"/>
    <mergeCell ref="A207:H207"/>
    <mergeCell ref="L207:M207"/>
    <mergeCell ref="A208:B208"/>
    <mergeCell ref="A209:B209"/>
    <mergeCell ref="A210:B210"/>
    <mergeCell ref="A211:B211"/>
    <mergeCell ref="A193:B193"/>
    <mergeCell ref="L193:M193"/>
    <mergeCell ref="A194:B194"/>
    <mergeCell ref="L194:M194"/>
    <mergeCell ref="D191:H191"/>
    <mergeCell ref="A195:H195"/>
    <mergeCell ref="A196:H196"/>
    <mergeCell ref="A204:B204"/>
    <mergeCell ref="A205:B205"/>
    <mergeCell ref="L197:M197"/>
    <mergeCell ref="A202:B202"/>
    <mergeCell ref="A200:B200"/>
    <mergeCell ref="A201:B201"/>
    <mergeCell ref="A188:H188"/>
    <mergeCell ref="A189:B189"/>
    <mergeCell ref="L189:M189"/>
    <mergeCell ref="A190:B190"/>
    <mergeCell ref="L190:M190"/>
    <mergeCell ref="A191:B191"/>
    <mergeCell ref="L191:M191"/>
    <mergeCell ref="A192:B192"/>
    <mergeCell ref="L192:M192"/>
    <mergeCell ref="A183:B183"/>
    <mergeCell ref="L183:M183"/>
    <mergeCell ref="A184:B184"/>
    <mergeCell ref="L184:M184"/>
    <mergeCell ref="A185:B185"/>
    <mergeCell ref="L185:M185"/>
    <mergeCell ref="A186:B186"/>
    <mergeCell ref="L186:M186"/>
    <mergeCell ref="A187:B187"/>
    <mergeCell ref="L187:M187"/>
    <mergeCell ref="A174:H174"/>
    <mergeCell ref="A179:B179"/>
    <mergeCell ref="L179:M179"/>
    <mergeCell ref="A180:B180"/>
    <mergeCell ref="L180:M180"/>
    <mergeCell ref="A181:H181"/>
    <mergeCell ref="A182:B182"/>
    <mergeCell ref="L182:M182"/>
    <mergeCell ref="L178:M178"/>
    <mergeCell ref="L175:M175"/>
    <mergeCell ref="L176:M176"/>
    <mergeCell ref="A177:B177"/>
    <mergeCell ref="L177:M177"/>
    <mergeCell ref="A176:B176"/>
    <mergeCell ref="A178:B178"/>
    <mergeCell ref="C152:D152"/>
    <mergeCell ref="E152:F152"/>
    <mergeCell ref="G152:H152"/>
    <mergeCell ref="A153:A154"/>
    <mergeCell ref="C156:D156"/>
    <mergeCell ref="D159:D160"/>
    <mergeCell ref="A156:B156"/>
    <mergeCell ref="A172:H172"/>
    <mergeCell ref="A171:H171"/>
    <mergeCell ref="B258:H258"/>
    <mergeCell ref="A118:B118"/>
    <mergeCell ref="C159:C160"/>
    <mergeCell ref="B169:B170"/>
    <mergeCell ref="B248:H248"/>
    <mergeCell ref="E95:F104"/>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G169:G170"/>
    <mergeCell ref="G156:H156"/>
    <mergeCell ref="A113:B113"/>
    <mergeCell ref="A161:H161"/>
    <mergeCell ref="A165:H165"/>
    <mergeCell ref="A115:B115"/>
    <mergeCell ref="A117:B117"/>
    <mergeCell ref="A83:B83"/>
    <mergeCell ref="E81:F90"/>
    <mergeCell ref="G81:H90"/>
    <mergeCell ref="B255:H255"/>
    <mergeCell ref="A138:E138"/>
    <mergeCell ref="A155:B155"/>
    <mergeCell ref="E155:F155"/>
    <mergeCell ref="A143:E143"/>
    <mergeCell ref="G155:H155"/>
    <mergeCell ref="A149:B149"/>
    <mergeCell ref="C149:D149"/>
    <mergeCell ref="E149:F149"/>
    <mergeCell ref="G149:H149"/>
    <mergeCell ref="A100:B100"/>
    <mergeCell ref="G94:H94"/>
    <mergeCell ref="B254:H254"/>
    <mergeCell ref="B252:H252"/>
    <mergeCell ref="A163:B163"/>
    <mergeCell ref="A203:B203"/>
    <mergeCell ref="A102:B102"/>
    <mergeCell ref="A228:B228"/>
    <mergeCell ref="C153:D153"/>
    <mergeCell ref="A116:B116"/>
    <mergeCell ref="C53:H53"/>
    <mergeCell ref="A63:C63"/>
    <mergeCell ref="A70:C70"/>
    <mergeCell ref="A71:C71"/>
    <mergeCell ref="D70:H70"/>
    <mergeCell ref="A64:C64"/>
    <mergeCell ref="G59:H59"/>
    <mergeCell ref="A80:B80"/>
    <mergeCell ref="D71:H71"/>
    <mergeCell ref="A94:B94"/>
    <mergeCell ref="E94:F94"/>
    <mergeCell ref="A114:B114"/>
    <mergeCell ref="A79:B79"/>
    <mergeCell ref="A77:B77"/>
    <mergeCell ref="C77:H77"/>
    <mergeCell ref="A72:C72"/>
    <mergeCell ref="D72:H72"/>
    <mergeCell ref="C79:H79"/>
    <mergeCell ref="A73:C73"/>
    <mergeCell ref="D73:H73"/>
    <mergeCell ref="A76:C76"/>
    <mergeCell ref="D76:H76"/>
    <mergeCell ref="A75:C75"/>
    <mergeCell ref="A119:B119"/>
    <mergeCell ref="C119:H119"/>
    <mergeCell ref="A121:B121"/>
    <mergeCell ref="C121:H121"/>
    <mergeCell ref="A122:B122"/>
    <mergeCell ref="E122:F122"/>
    <mergeCell ref="G122:H122"/>
    <mergeCell ref="A123:B123"/>
    <mergeCell ref="A38:H38"/>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L167:M167"/>
    <mergeCell ref="L166:M166"/>
    <mergeCell ref="L164:M164"/>
    <mergeCell ref="L163:M163"/>
    <mergeCell ref="A88:B88"/>
    <mergeCell ref="C154:D154"/>
    <mergeCell ref="E154:F154"/>
    <mergeCell ref="G154:H154"/>
    <mergeCell ref="A134:E134"/>
    <mergeCell ref="A91:B91"/>
    <mergeCell ref="C91:H91"/>
    <mergeCell ref="A162:H162"/>
    <mergeCell ref="E159:E160"/>
    <mergeCell ref="A95:B95"/>
    <mergeCell ref="C93:H93"/>
    <mergeCell ref="A96:B96"/>
    <mergeCell ref="A97:B97"/>
    <mergeCell ref="G95:H104"/>
    <mergeCell ref="A98:B98"/>
    <mergeCell ref="F135:H135"/>
    <mergeCell ref="A135:E135"/>
    <mergeCell ref="E156:F156"/>
    <mergeCell ref="A93:B93"/>
    <mergeCell ref="A137:E137"/>
    <mergeCell ref="A74:C74"/>
    <mergeCell ref="D75:H75"/>
    <mergeCell ref="D69:H69"/>
    <mergeCell ref="A66:C69"/>
    <mergeCell ref="A58:B60"/>
    <mergeCell ref="C60:H60"/>
    <mergeCell ref="C58:E59"/>
    <mergeCell ref="E43:H43"/>
    <mergeCell ref="A43:D43"/>
    <mergeCell ref="D66:H66"/>
    <mergeCell ref="D67:H67"/>
    <mergeCell ref="A46:D46"/>
    <mergeCell ref="A47:D47"/>
    <mergeCell ref="A44:D44"/>
    <mergeCell ref="E44:H44"/>
    <mergeCell ref="E45:H45"/>
    <mergeCell ref="E46:H46"/>
    <mergeCell ref="E47:H47"/>
    <mergeCell ref="C57:H57"/>
    <mergeCell ref="A37:B37"/>
    <mergeCell ref="C37:E37"/>
    <mergeCell ref="A42:D42"/>
    <mergeCell ref="A48:H48"/>
    <mergeCell ref="D65:H65"/>
    <mergeCell ref="A65:C65"/>
    <mergeCell ref="A45:D45"/>
    <mergeCell ref="A49:B49"/>
    <mergeCell ref="C49:H49"/>
    <mergeCell ref="G52:H52"/>
    <mergeCell ref="A62:H62"/>
    <mergeCell ref="F37:H37"/>
    <mergeCell ref="C51:E51"/>
    <mergeCell ref="E42:H42"/>
    <mergeCell ref="A41:H41"/>
    <mergeCell ref="A40:B40"/>
    <mergeCell ref="C40:H40"/>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6:B36"/>
    <mergeCell ref="C36:E3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41:E141"/>
    <mergeCell ref="A267:H270"/>
    <mergeCell ref="A266:B266"/>
    <mergeCell ref="E266:F266"/>
    <mergeCell ref="C266:D266"/>
    <mergeCell ref="G266:H266"/>
    <mergeCell ref="A146:H146"/>
    <mergeCell ref="A144:E144"/>
    <mergeCell ref="F144:H144"/>
    <mergeCell ref="A145:E145"/>
    <mergeCell ref="F145:H145"/>
    <mergeCell ref="A197:H197"/>
    <mergeCell ref="A230:B230"/>
    <mergeCell ref="A148:B148"/>
    <mergeCell ref="A262:H262"/>
    <mergeCell ref="A150:H150"/>
    <mergeCell ref="A265:H265"/>
    <mergeCell ref="A263:H263"/>
    <mergeCell ref="A259:H259"/>
    <mergeCell ref="G151:H151"/>
    <mergeCell ref="B251:H251"/>
    <mergeCell ref="B253:H253"/>
    <mergeCell ref="G159:G160"/>
    <mergeCell ref="B246:H246"/>
    <mergeCell ref="B247:H247"/>
    <mergeCell ref="B249:H249"/>
    <mergeCell ref="F133:H133"/>
    <mergeCell ref="F138:H138"/>
    <mergeCell ref="A175:B175"/>
    <mergeCell ref="A167:B167"/>
    <mergeCell ref="A166:B166"/>
    <mergeCell ref="F139:H139"/>
    <mergeCell ref="A226:H226"/>
    <mergeCell ref="A157:H157"/>
    <mergeCell ref="A169:A170"/>
    <mergeCell ref="F169:F170"/>
    <mergeCell ref="F159:F160"/>
    <mergeCell ref="C148:D148"/>
    <mergeCell ref="E148:F148"/>
    <mergeCell ref="B159:B160"/>
    <mergeCell ref="A159:A160"/>
    <mergeCell ref="C169:C170"/>
    <mergeCell ref="E153:F153"/>
    <mergeCell ref="G153:H153"/>
    <mergeCell ref="A152:B152"/>
    <mergeCell ref="A264:H264"/>
    <mergeCell ref="A261:H261"/>
    <mergeCell ref="A199:B199"/>
    <mergeCell ref="A151:B151"/>
    <mergeCell ref="D169:D170"/>
    <mergeCell ref="E169:E170"/>
    <mergeCell ref="A99:B99"/>
    <mergeCell ref="A101:B101"/>
    <mergeCell ref="F134:H134"/>
    <mergeCell ref="G148:H148"/>
    <mergeCell ref="A104:B104"/>
    <mergeCell ref="F140:H140"/>
    <mergeCell ref="C147:D147"/>
    <mergeCell ref="C155:D155"/>
    <mergeCell ref="A173:H173"/>
    <mergeCell ref="A231:B231"/>
    <mergeCell ref="B250:H250"/>
    <mergeCell ref="B257:H257"/>
    <mergeCell ref="B256:H256"/>
    <mergeCell ref="F136:H136"/>
    <mergeCell ref="A140:E140"/>
    <mergeCell ref="A260:H260"/>
    <mergeCell ref="A139:E139"/>
    <mergeCell ref="A245:H245"/>
    <mergeCell ref="I15:P15"/>
    <mergeCell ref="F143:H143"/>
    <mergeCell ref="F141:H141"/>
    <mergeCell ref="A229:B229"/>
    <mergeCell ref="A158:H158"/>
    <mergeCell ref="G147:H147"/>
    <mergeCell ref="A142:E142"/>
    <mergeCell ref="A164:B164"/>
    <mergeCell ref="A61:B61"/>
    <mergeCell ref="C61:E61"/>
    <mergeCell ref="D63:H63"/>
    <mergeCell ref="F142:H142"/>
    <mergeCell ref="E147:F147"/>
    <mergeCell ref="A147:B147"/>
    <mergeCell ref="C151:D151"/>
    <mergeCell ref="D74:H74"/>
    <mergeCell ref="D64:H64"/>
    <mergeCell ref="G61:H61"/>
    <mergeCell ref="A54:B55"/>
    <mergeCell ref="A168:H168"/>
    <mergeCell ref="A86:B86"/>
    <mergeCell ref="A50:B50"/>
    <mergeCell ref="D68:H68"/>
    <mergeCell ref="A103:B103"/>
    <mergeCell ref="A81:B81"/>
    <mergeCell ref="G80:H80"/>
    <mergeCell ref="A89:B89"/>
    <mergeCell ref="A90:B90"/>
    <mergeCell ref="A85:B85"/>
    <mergeCell ref="A84:B84"/>
    <mergeCell ref="E80:F80"/>
    <mergeCell ref="A82:B82"/>
    <mergeCell ref="E151:F151"/>
    <mergeCell ref="A87:B87"/>
    <mergeCell ref="A136:E136"/>
    <mergeCell ref="A133:E133"/>
    <mergeCell ref="F137:H137"/>
    <mergeCell ref="E123:F132"/>
    <mergeCell ref="G123:H132"/>
    <mergeCell ref="A124:B124"/>
    <mergeCell ref="A125:B125"/>
    <mergeCell ref="A126:B126"/>
    <mergeCell ref="A127:B127"/>
    <mergeCell ref="A128:B128"/>
    <mergeCell ref="A129:B129"/>
    <mergeCell ref="A130:B130"/>
    <mergeCell ref="A131:B131"/>
    <mergeCell ref="A132:B13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9:E160">
      <formula1>"Attached Loft area,Attached Otla area,Attached Mezzanine area"</formula1>
    </dataValidation>
    <dataValidation type="list" allowBlank="1" showInputMessage="1" showErrorMessage="1" sqref="G266:H266">
      <formula1>"Kunal Kadam,Pranita Mhatre,Shruti Fule,Pooja Kawale,Gaurav Panchal,Shruti Tathare, Dipti Gothawade,Saurav Panse,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F144:H144">
      <formula1>OFFSET($S$133,1,MATCH($G20,$S$133:$W$133,0)-1,15,1)</formula1>
    </dataValidation>
    <dataValidation type="list" allowBlank="1" showInputMessage="1" showErrorMessage="1" sqref="B159:B160">
      <formula1>"Shop No. (Sale Plan),Sale / Rehab,Sale / Mhada"</formula1>
    </dataValidation>
    <dataValidation type="list" allowBlank="1" showInputMessage="1" showErrorMessage="1" sqref="B169:B17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9:E170">
      <formula1>"Fungible area,Balcony Area,Chajja Area,Cornice Area,AP Area,WS Area"</formula1>
    </dataValidation>
    <dataValidation type="list" allowBlank="1" showInputMessage="1" showErrorMessage="1" sqref="H160 H17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59 H169">
      <formula1>"Saleable area Loading :,Builder Saleable Area"</formula1>
    </dataValidation>
    <dataValidation type="list" allowBlank="1" showInputMessage="1" showErrorMessage="1" sqref="D159:D160">
      <formula1>"Carpet area,RERA Carpet area"</formula1>
    </dataValidation>
    <dataValidation type="list" allowBlank="1" showInputMessage="1" showErrorMessage="1" sqref="D169:D170">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56" max="7" man="1"/>
    <brk id="270" max="16383" man="1"/>
    <brk id="314" max="16383" man="1"/>
    <brk id="35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9" t="s">
        <v>103</v>
      </c>
      <c r="C3" s="259"/>
      <c r="D3" s="259"/>
      <c r="E3" s="259"/>
      <c r="F3" s="259"/>
      <c r="G3" s="259"/>
      <c r="H3" s="259"/>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169</v>
      </c>
      <c r="E4" s="52" t="s">
        <v>179</v>
      </c>
      <c r="F4" s="52" t="s">
        <v>163</v>
      </c>
      <c r="G4" s="52" t="s">
        <v>184</v>
      </c>
      <c r="H4" s="52" t="s">
        <v>202</v>
      </c>
      <c r="J4" t="s">
        <v>184</v>
      </c>
      <c r="K4" t="s">
        <v>200</v>
      </c>
    </row>
    <row r="5" spans="2:11" x14ac:dyDescent="0.25">
      <c r="B5" s="51"/>
      <c r="C5" s="51"/>
      <c r="D5" s="52" t="s">
        <v>170</v>
      </c>
      <c r="E5" s="52" t="s">
        <v>177</v>
      </c>
      <c r="F5" s="52" t="s">
        <v>199</v>
      </c>
      <c r="G5" s="52" t="s">
        <v>185</v>
      </c>
      <c r="H5" s="52" t="s">
        <v>203</v>
      </c>
    </row>
    <row r="6" spans="2:11" x14ac:dyDescent="0.25">
      <c r="B6" s="51"/>
      <c r="C6" s="51"/>
      <c r="D6" s="52" t="s">
        <v>171</v>
      </c>
      <c r="E6" s="52" t="s">
        <v>178</v>
      </c>
      <c r="F6" s="52" t="s">
        <v>200</v>
      </c>
      <c r="G6" s="52" t="s">
        <v>186</v>
      </c>
      <c r="H6" s="52" t="s">
        <v>216</v>
      </c>
    </row>
    <row r="7" spans="2:11" x14ac:dyDescent="0.25">
      <c r="B7" s="51"/>
      <c r="C7" s="51"/>
      <c r="D7" s="52" t="s">
        <v>172</v>
      </c>
      <c r="E7" s="52" t="s">
        <v>180</v>
      </c>
      <c r="F7" s="52" t="s">
        <v>201</v>
      </c>
      <c r="G7" s="52" t="s">
        <v>187</v>
      </c>
      <c r="H7" s="52" t="s">
        <v>204</v>
      </c>
    </row>
    <row r="8" spans="2:11" x14ac:dyDescent="0.25">
      <c r="B8" s="51"/>
      <c r="C8" s="51"/>
      <c r="D8" s="52" t="s">
        <v>173</v>
      </c>
      <c r="E8" s="52" t="s">
        <v>181</v>
      </c>
      <c r="F8" s="52"/>
      <c r="G8" s="52" t="s">
        <v>188</v>
      </c>
      <c r="H8" s="52" t="s">
        <v>205</v>
      </c>
    </row>
    <row r="9" spans="2:11" x14ac:dyDescent="0.25">
      <c r="B9" s="51"/>
      <c r="C9" s="51"/>
      <c r="D9" s="52" t="s">
        <v>174</v>
      </c>
      <c r="E9" s="52" t="s">
        <v>179</v>
      </c>
      <c r="F9" s="52"/>
      <c r="G9" s="52" t="s">
        <v>189</v>
      </c>
      <c r="H9" s="52" t="s">
        <v>206</v>
      </c>
    </row>
    <row r="10" spans="2:11" x14ac:dyDescent="0.25">
      <c r="B10" s="51"/>
      <c r="C10" s="51"/>
      <c r="D10" s="52" t="s">
        <v>175</v>
      </c>
      <c r="E10" s="52" t="s">
        <v>182</v>
      </c>
      <c r="F10" s="52"/>
      <c r="G10" s="52" t="s">
        <v>190</v>
      </c>
      <c r="H10" s="52" t="s">
        <v>207</v>
      </c>
    </row>
    <row r="11" spans="2:11" x14ac:dyDescent="0.25">
      <c r="B11" s="51"/>
      <c r="C11" s="51"/>
      <c r="D11" s="52" t="s">
        <v>176</v>
      </c>
      <c r="E11" s="52" t="s">
        <v>183</v>
      </c>
      <c r="F11" s="52"/>
      <c r="G11" s="52" t="s">
        <v>191</v>
      </c>
      <c r="H11" s="52" t="s">
        <v>208</v>
      </c>
    </row>
    <row r="12" spans="2:11" x14ac:dyDescent="0.25">
      <c r="B12" s="51"/>
      <c r="C12" s="51"/>
      <c r="D12" s="52"/>
      <c r="E12" s="52"/>
      <c r="F12" s="52"/>
      <c r="G12" s="52" t="s">
        <v>192</v>
      </c>
      <c r="H12" s="52" t="s">
        <v>209</v>
      </c>
    </row>
    <row r="13" spans="2:11" x14ac:dyDescent="0.25">
      <c r="B13" s="51"/>
      <c r="C13" s="51"/>
      <c r="D13" s="52"/>
      <c r="E13" s="52"/>
      <c r="F13" s="52"/>
      <c r="G13" s="52" t="s">
        <v>193</v>
      </c>
      <c r="H13" s="52" t="s">
        <v>210</v>
      </c>
    </row>
    <row r="14" spans="2:11" x14ac:dyDescent="0.25">
      <c r="B14" s="51"/>
      <c r="C14" s="51"/>
      <c r="D14" s="52"/>
      <c r="E14" s="52"/>
      <c r="F14" s="52"/>
      <c r="G14" s="52" t="s">
        <v>194</v>
      </c>
      <c r="H14" s="52" t="s">
        <v>211</v>
      </c>
    </row>
    <row r="15" spans="2:11" x14ac:dyDescent="0.25">
      <c r="B15" s="51"/>
      <c r="C15" s="51"/>
      <c r="D15" s="52"/>
      <c r="E15" s="52"/>
      <c r="F15" s="52"/>
      <c r="G15" s="52" t="s">
        <v>195</v>
      </c>
      <c r="H15" s="52" t="s">
        <v>212</v>
      </c>
    </row>
    <row r="16" spans="2:11" x14ac:dyDescent="0.25">
      <c r="B16" s="51"/>
      <c r="C16" s="51"/>
      <c r="D16" s="52"/>
      <c r="E16" s="52"/>
      <c r="F16" s="52"/>
      <c r="G16" s="52" t="s">
        <v>196</v>
      </c>
      <c r="H16" s="52" t="s">
        <v>213</v>
      </c>
    </row>
    <row r="17" spans="2:8" x14ac:dyDescent="0.25">
      <c r="B17" s="51"/>
      <c r="C17" s="51"/>
      <c r="D17" s="52"/>
      <c r="E17" s="52"/>
      <c r="F17" s="52"/>
      <c r="G17" s="52" t="s">
        <v>197</v>
      </c>
      <c r="H17" s="52" t="s">
        <v>214</v>
      </c>
    </row>
    <row r="18" spans="2:8" x14ac:dyDescent="0.25">
      <c r="B18" s="51"/>
      <c r="C18" s="51"/>
      <c r="D18" s="52"/>
      <c r="E18" s="52"/>
      <c r="F18" s="52"/>
      <c r="G18" s="52" t="s">
        <v>198</v>
      </c>
      <c r="H18" s="52" t="s">
        <v>215</v>
      </c>
    </row>
    <row r="24" spans="2:8" x14ac:dyDescent="0.25">
      <c r="C24" t="s">
        <v>160</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160</v>
      </c>
    </row>
    <row r="33" spans="3:11" x14ac:dyDescent="0.25">
      <c r="J33">
        <v>1</v>
      </c>
      <c r="K33">
        <v>2</v>
      </c>
    </row>
    <row r="34" spans="3:11" x14ac:dyDescent="0.25">
      <c r="C34" s="53" t="s">
        <v>226</v>
      </c>
      <c r="D34" s="52" t="s">
        <v>224</v>
      </c>
      <c r="E34" s="52" t="s">
        <v>229</v>
      </c>
      <c r="F34" s="52" t="s">
        <v>227</v>
      </c>
      <c r="G34" s="52" t="s">
        <v>228</v>
      </c>
      <c r="H34" s="52" t="s">
        <v>230</v>
      </c>
      <c r="J34" t="s">
        <v>184</v>
      </c>
      <c r="K34" t="s">
        <v>200</v>
      </c>
    </row>
    <row r="35" spans="3:11" x14ac:dyDescent="0.25">
      <c r="C35" s="51" t="s">
        <v>225</v>
      </c>
      <c r="D35" s="52" t="s">
        <v>161</v>
      </c>
      <c r="E35" s="52" t="s">
        <v>234</v>
      </c>
      <c r="F35" s="52" t="s">
        <v>236</v>
      </c>
      <c r="G35" s="52" t="s">
        <v>238</v>
      </c>
      <c r="H35" s="52"/>
    </row>
    <row r="36" spans="3:11" x14ac:dyDescent="0.25">
      <c r="C36" s="51"/>
      <c r="D36" s="52" t="s">
        <v>231</v>
      </c>
      <c r="E36" s="52" t="s">
        <v>235</v>
      </c>
      <c r="F36" s="52" t="s">
        <v>237</v>
      </c>
      <c r="G36" s="52" t="s">
        <v>239</v>
      </c>
      <c r="H36" s="52"/>
    </row>
    <row r="37" spans="3:11" x14ac:dyDescent="0.25">
      <c r="C37" s="51"/>
      <c r="D37" s="52" t="s">
        <v>232</v>
      </c>
      <c r="E37" s="52"/>
      <c r="F37" s="52"/>
      <c r="G37" s="52" t="s">
        <v>240</v>
      </c>
      <c r="H37" s="52"/>
    </row>
    <row r="38" spans="3:11" x14ac:dyDescent="0.25">
      <c r="C38" s="51"/>
      <c r="D38" s="52" t="s">
        <v>233</v>
      </c>
      <c r="E38" s="52"/>
      <c r="F38" s="52"/>
      <c r="G38" s="52" t="s">
        <v>240</v>
      </c>
      <c r="H38" s="52"/>
    </row>
    <row r="39" spans="3:11" x14ac:dyDescent="0.25">
      <c r="C39" s="51"/>
      <c r="D39" s="52"/>
      <c r="E39" s="52"/>
      <c r="F39" s="52"/>
      <c r="G39" s="52" t="s">
        <v>241</v>
      </c>
      <c r="H39" s="52"/>
    </row>
    <row r="40" spans="3:11" x14ac:dyDescent="0.25">
      <c r="C40" s="51"/>
      <c r="D40" s="52"/>
      <c r="E40" s="52"/>
      <c r="F40" s="52"/>
      <c r="G40" s="52" t="s">
        <v>242</v>
      </c>
      <c r="H40" s="52"/>
    </row>
    <row r="41" spans="3:11" x14ac:dyDescent="0.25">
      <c r="C41" s="51"/>
      <c r="D41" s="52"/>
      <c r="E41" s="52"/>
      <c r="F41" s="52"/>
      <c r="G41" s="52"/>
      <c r="H41" s="52"/>
    </row>
    <row r="43" spans="3:11" x14ac:dyDescent="0.25">
      <c r="C43" t="s">
        <v>243</v>
      </c>
    </row>
    <row r="44" spans="3:11" x14ac:dyDescent="0.25">
      <c r="C44" t="s">
        <v>163</v>
      </c>
      <c r="D44" t="s">
        <v>244</v>
      </c>
    </row>
    <row r="45" spans="3:11" x14ac:dyDescent="0.25">
      <c r="D45" t="s">
        <v>245</v>
      </c>
    </row>
    <row r="46" spans="3:11" x14ac:dyDescent="0.25">
      <c r="D46" t="s">
        <v>246</v>
      </c>
    </row>
    <row r="47" spans="3:11" x14ac:dyDescent="0.25">
      <c r="D47" t="s">
        <v>247</v>
      </c>
    </row>
    <row r="48" spans="3:11" x14ac:dyDescent="0.25">
      <c r="D48" t="s">
        <v>248</v>
      </c>
    </row>
    <row r="49" spans="3:4" x14ac:dyDescent="0.25">
      <c r="C49" t="s">
        <v>169</v>
      </c>
      <c r="D49" t="s">
        <v>249</v>
      </c>
    </row>
    <row r="50" spans="3:4" x14ac:dyDescent="0.25">
      <c r="D50" t="s">
        <v>250</v>
      </c>
    </row>
    <row r="51" spans="3:4" x14ac:dyDescent="0.25">
      <c r="D51" t="s">
        <v>251</v>
      </c>
    </row>
    <row r="52" spans="3:4" x14ac:dyDescent="0.25">
      <c r="D52" t="s">
        <v>254</v>
      </c>
    </row>
    <row r="53" spans="3:4" x14ac:dyDescent="0.25">
      <c r="D53" t="s">
        <v>252</v>
      </c>
    </row>
    <row r="54" spans="3:4" x14ac:dyDescent="0.25">
      <c r="D54" t="s">
        <v>253</v>
      </c>
    </row>
    <row r="55" spans="3:4" x14ac:dyDescent="0.25">
      <c r="D55" t="s">
        <v>255</v>
      </c>
    </row>
    <row r="56" spans="3:4" x14ac:dyDescent="0.25">
      <c r="D56" t="s">
        <v>256</v>
      </c>
    </row>
    <row r="57" spans="3:4" x14ac:dyDescent="0.25">
      <c r="D57" t="s">
        <v>257</v>
      </c>
    </row>
    <row r="58" spans="3:4" x14ac:dyDescent="0.25">
      <c r="D58" t="s">
        <v>259</v>
      </c>
    </row>
    <row r="59" spans="3:4" x14ac:dyDescent="0.25">
      <c r="D59" t="s">
        <v>268</v>
      </c>
    </row>
    <row r="60" spans="3:4" x14ac:dyDescent="0.25">
      <c r="C60" t="s">
        <v>184</v>
      </c>
      <c r="D60" t="s">
        <v>260</v>
      </c>
    </row>
    <row r="61" spans="3:4" x14ac:dyDescent="0.25">
      <c r="D61" t="s">
        <v>258</v>
      </c>
    </row>
    <row r="62" spans="3:4" x14ac:dyDescent="0.25">
      <c r="D62" t="s">
        <v>248</v>
      </c>
    </row>
    <row r="63" spans="3:4" x14ac:dyDescent="0.25">
      <c r="D63" t="s">
        <v>261</v>
      </c>
    </row>
    <row r="64" spans="3:4" x14ac:dyDescent="0.25">
      <c r="D64" t="s">
        <v>262</v>
      </c>
    </row>
    <row r="65" spans="3:4" x14ac:dyDescent="0.25">
      <c r="D65" t="s">
        <v>263</v>
      </c>
    </row>
    <row r="66" spans="3:4" x14ac:dyDescent="0.25">
      <c r="D66" t="s">
        <v>264</v>
      </c>
    </row>
    <row r="67" spans="3:4" x14ac:dyDescent="0.25">
      <c r="C67" t="s">
        <v>179</v>
      </c>
      <c r="D67" t="s">
        <v>265</v>
      </c>
    </row>
    <row r="68" spans="3:4" x14ac:dyDescent="0.25">
      <c r="D68" t="s">
        <v>266</v>
      </c>
    </row>
    <row r="69" spans="3:4" x14ac:dyDescent="0.2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43" zoomScaleNormal="100"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4">
        <v>1</v>
      </c>
      <c r="C2" s="56" t="s">
        <v>273</v>
      </c>
    </row>
    <row r="3" spans="2:3" x14ac:dyDescent="0.25">
      <c r="B3" s="54">
        <v>2</v>
      </c>
      <c r="C3" s="55" t="s">
        <v>274</v>
      </c>
    </row>
    <row r="4" spans="2:3" x14ac:dyDescent="0.25">
      <c r="B4" s="54">
        <v>3</v>
      </c>
      <c r="C4" s="54" t="s">
        <v>275</v>
      </c>
    </row>
    <row r="5" spans="2:3" x14ac:dyDescent="0.25">
      <c r="B5" s="54">
        <v>4</v>
      </c>
      <c r="C5" s="55" t="s">
        <v>276</v>
      </c>
    </row>
    <row r="6" spans="2:3" x14ac:dyDescent="0.25">
      <c r="B6" s="54">
        <v>5</v>
      </c>
      <c r="C6" s="54" t="s">
        <v>277</v>
      </c>
    </row>
    <row r="7" spans="2:3" ht="30" x14ac:dyDescent="0.25">
      <c r="B7" s="54">
        <v>6</v>
      </c>
      <c r="C7" s="55" t="s">
        <v>278</v>
      </c>
    </row>
    <row r="8" spans="2:3" ht="75" x14ac:dyDescent="0.25">
      <c r="B8" s="54">
        <v>7</v>
      </c>
      <c r="C8" s="55" t="s">
        <v>279</v>
      </c>
    </row>
    <row r="9" spans="2:3" x14ac:dyDescent="0.25">
      <c r="B9" s="54">
        <v>8</v>
      </c>
      <c r="C9" s="54" t="s">
        <v>280</v>
      </c>
    </row>
    <row r="10" spans="2:3" x14ac:dyDescent="0.25">
      <c r="B10" s="54">
        <v>9</v>
      </c>
      <c r="C10" s="54" t="s">
        <v>281</v>
      </c>
    </row>
    <row r="11" spans="2:3" x14ac:dyDescent="0.25">
      <c r="B11" s="54">
        <v>10</v>
      </c>
      <c r="C11" s="54" t="s">
        <v>282</v>
      </c>
    </row>
    <row r="12" spans="2:3" x14ac:dyDescent="0.25">
      <c r="B12" s="54">
        <v>11</v>
      </c>
      <c r="C12" s="54" t="s">
        <v>283</v>
      </c>
    </row>
    <row r="13" spans="2:3" x14ac:dyDescent="0.25">
      <c r="B13" s="54">
        <v>12</v>
      </c>
      <c r="C13" s="54" t="s">
        <v>284</v>
      </c>
    </row>
    <row r="14" spans="2:3" x14ac:dyDescent="0.25">
      <c r="B14" s="54">
        <v>13</v>
      </c>
      <c r="C14" s="54" t="s">
        <v>285</v>
      </c>
    </row>
    <row r="15" spans="2:3" x14ac:dyDescent="0.25">
      <c r="B15" s="54">
        <v>14</v>
      </c>
      <c r="C15" s="54" t="s">
        <v>275</v>
      </c>
    </row>
    <row r="16" spans="2:3" x14ac:dyDescent="0.25">
      <c r="B16" s="54">
        <v>15</v>
      </c>
      <c r="C16" s="54" t="s">
        <v>287</v>
      </c>
    </row>
    <row r="17" spans="2:3" x14ac:dyDescent="0.25">
      <c r="B17" s="72">
        <v>16</v>
      </c>
      <c r="C17" s="59" t="s">
        <v>288</v>
      </c>
    </row>
    <row r="18" spans="2:3" x14ac:dyDescent="0.25">
      <c r="B18" s="58">
        <v>17</v>
      </c>
      <c r="C18" s="59" t="s">
        <v>289</v>
      </c>
    </row>
    <row r="19" spans="2:3" x14ac:dyDescent="0.25">
      <c r="B19" s="57">
        <v>18</v>
      </c>
      <c r="C19" s="54" t="s">
        <v>290</v>
      </c>
    </row>
    <row r="20" spans="2:3" x14ac:dyDescent="0.25">
      <c r="B20" s="58">
        <v>19</v>
      </c>
      <c r="C20" s="54" t="s">
        <v>326</v>
      </c>
    </row>
    <row r="21" spans="2:3" x14ac:dyDescent="0.25">
      <c r="B21" s="54">
        <v>20</v>
      </c>
      <c r="C21" s="54" t="s">
        <v>291</v>
      </c>
    </row>
    <row r="22" spans="2:3" x14ac:dyDescent="0.25">
      <c r="B22" s="58">
        <v>21</v>
      </c>
      <c r="C22" s="54" t="s">
        <v>290</v>
      </c>
    </row>
    <row r="23" spans="2:3" s="67" customFormat="1" ht="29.25" customHeight="1" x14ac:dyDescent="0.25">
      <c r="B23" s="66">
        <v>22</v>
      </c>
      <c r="C23" s="56" t="s">
        <v>318</v>
      </c>
    </row>
    <row r="24" spans="2:3" s="67" customFormat="1" ht="30.75" customHeight="1" x14ac:dyDescent="0.25">
      <c r="B24" s="68">
        <v>23</v>
      </c>
      <c r="C24" s="56" t="s">
        <v>319</v>
      </c>
    </row>
    <row r="25" spans="2:3" x14ac:dyDescent="0.25">
      <c r="B25" s="54">
        <v>24</v>
      </c>
      <c r="C25" s="54" t="s">
        <v>322</v>
      </c>
    </row>
    <row r="26" spans="2:3" x14ac:dyDescent="0.25">
      <c r="B26" s="58">
        <v>25</v>
      </c>
      <c r="C26" s="54" t="s">
        <v>320</v>
      </c>
    </row>
    <row r="27" spans="2:3" x14ac:dyDescent="0.25">
      <c r="B27" s="68">
        <v>26</v>
      </c>
      <c r="C27" s="54" t="s">
        <v>321</v>
      </c>
    </row>
    <row r="28" spans="2:3" x14ac:dyDescent="0.25">
      <c r="B28" s="58">
        <v>27</v>
      </c>
      <c r="C28" s="54" t="s">
        <v>323</v>
      </c>
    </row>
    <row r="29" spans="2:3" ht="60" x14ac:dyDescent="0.25">
      <c r="B29" s="71">
        <v>28</v>
      </c>
      <c r="C29" s="55" t="s">
        <v>324</v>
      </c>
    </row>
    <row r="30" spans="2:3" x14ac:dyDescent="0.25">
      <c r="B30" s="68">
        <v>29</v>
      </c>
      <c r="C30" s="54" t="s">
        <v>325</v>
      </c>
    </row>
    <row r="31" spans="2:3" ht="30" x14ac:dyDescent="0.25">
      <c r="B31" s="68">
        <v>30</v>
      </c>
      <c r="C31" s="55" t="s">
        <v>327</v>
      </c>
    </row>
    <row r="32" spans="2:3" x14ac:dyDescent="0.25">
      <c r="B32" s="68">
        <v>31</v>
      </c>
      <c r="C32" s="54" t="s">
        <v>328</v>
      </c>
    </row>
    <row r="33" spans="2:4" x14ac:dyDescent="0.25">
      <c r="B33" s="68">
        <v>32</v>
      </c>
      <c r="C33" s="54" t="s">
        <v>329</v>
      </c>
    </row>
    <row r="34" spans="2:4" ht="36.75" customHeight="1" x14ac:dyDescent="0.25">
      <c r="B34" s="68">
        <v>33</v>
      </c>
      <c r="C34" s="59" t="s">
        <v>330</v>
      </c>
    </row>
    <row r="35" spans="2:4" x14ac:dyDescent="0.25">
      <c r="B35" s="66">
        <v>34</v>
      </c>
      <c r="C35" s="54" t="s">
        <v>338</v>
      </c>
    </row>
    <row r="36" spans="2:4" ht="60" x14ac:dyDescent="0.25">
      <c r="B36" s="66">
        <v>35</v>
      </c>
      <c r="C36" s="55" t="s">
        <v>340</v>
      </c>
    </row>
    <row r="37" spans="2:4" x14ac:dyDescent="0.25">
      <c r="B37" s="54">
        <v>36</v>
      </c>
      <c r="C37" s="55" t="s">
        <v>351</v>
      </c>
    </row>
    <row r="38" spans="2:4" x14ac:dyDescent="0.25">
      <c r="B38" s="54">
        <f t="shared" ref="B38:B44" si="0">B37+1</f>
        <v>37</v>
      </c>
      <c r="C38" s="54" t="s">
        <v>347</v>
      </c>
    </row>
    <row r="39" spans="2:4" x14ac:dyDescent="0.25">
      <c r="B39" s="54">
        <f t="shared" si="0"/>
        <v>38</v>
      </c>
      <c r="C39" s="54" t="s">
        <v>348</v>
      </c>
    </row>
    <row r="40" spans="2:4" x14ac:dyDescent="0.25">
      <c r="B40" s="54">
        <f t="shared" si="0"/>
        <v>39</v>
      </c>
      <c r="C40" s="54" t="s">
        <v>349</v>
      </c>
    </row>
    <row r="41" spans="2:4" x14ac:dyDescent="0.25">
      <c r="B41" s="54">
        <f t="shared" si="0"/>
        <v>40</v>
      </c>
      <c r="C41" s="54" t="s">
        <v>350</v>
      </c>
    </row>
    <row r="42" spans="2:4" ht="30.75" thickBot="1" x14ac:dyDescent="0.3">
      <c r="B42" s="75">
        <f t="shared" si="0"/>
        <v>41</v>
      </c>
      <c r="C42" s="76" t="s">
        <v>352</v>
      </c>
    </row>
    <row r="43" spans="2:4" ht="30" x14ac:dyDescent="0.25">
      <c r="B43" s="79">
        <f t="shared" si="0"/>
        <v>42</v>
      </c>
      <c r="C43" s="84" t="s">
        <v>357</v>
      </c>
      <c r="D43" t="s">
        <v>358</v>
      </c>
    </row>
    <row r="44" spans="2:4" ht="15.75" thickBot="1" x14ac:dyDescent="0.3">
      <c r="B44" s="81">
        <f t="shared" si="0"/>
        <v>43</v>
      </c>
      <c r="C44" s="83" t="s">
        <v>353</v>
      </c>
    </row>
    <row r="45" spans="2:4" ht="15.75" thickBot="1" x14ac:dyDescent="0.3">
      <c r="B45" s="77">
        <f t="shared" ref="B45:B54" si="1">B44+1</f>
        <v>44</v>
      </c>
      <c r="C45" s="78" t="s">
        <v>354</v>
      </c>
    </row>
    <row r="46" spans="2:4" ht="30" x14ac:dyDescent="0.25">
      <c r="B46" s="79">
        <f t="shared" si="1"/>
        <v>45</v>
      </c>
      <c r="C46" s="80" t="s">
        <v>355</v>
      </c>
    </row>
    <row r="47" spans="2:4" ht="15.75" thickBot="1" x14ac:dyDescent="0.3">
      <c r="B47" s="81">
        <f t="shared" si="1"/>
        <v>46</v>
      </c>
      <c r="C47" s="82" t="s">
        <v>356</v>
      </c>
    </row>
    <row r="48" spans="2:4" x14ac:dyDescent="0.25">
      <c r="B48" s="85">
        <f t="shared" si="1"/>
        <v>47</v>
      </c>
      <c r="C48" s="86" t="s">
        <v>359</v>
      </c>
    </row>
    <row r="49" spans="2:6" x14ac:dyDescent="0.25">
      <c r="B49" s="85">
        <f t="shared" si="1"/>
        <v>48</v>
      </c>
      <c r="C49" s="86" t="s">
        <v>360</v>
      </c>
    </row>
    <row r="50" spans="2:6" x14ac:dyDescent="0.25">
      <c r="B50" s="85">
        <f t="shared" si="1"/>
        <v>49</v>
      </c>
      <c r="C50" s="86" t="s">
        <v>362</v>
      </c>
      <c r="D50" t="s">
        <v>361</v>
      </c>
    </row>
    <row r="51" spans="2:6" ht="30" x14ac:dyDescent="0.25">
      <c r="B51" s="87">
        <f t="shared" si="1"/>
        <v>50</v>
      </c>
      <c r="C51" s="88" t="s">
        <v>363</v>
      </c>
    </row>
    <row r="52" spans="2:6" x14ac:dyDescent="0.25">
      <c r="B52" s="87">
        <f t="shared" si="1"/>
        <v>51</v>
      </c>
      <c r="C52" s="89" t="s">
        <v>366</v>
      </c>
      <c r="D52" t="s">
        <v>367</v>
      </c>
    </row>
    <row r="53" spans="2:6" x14ac:dyDescent="0.25">
      <c r="B53" s="87">
        <f t="shared" si="1"/>
        <v>52</v>
      </c>
      <c r="C53" s="89" t="s">
        <v>369</v>
      </c>
      <c r="D53" t="s">
        <v>370</v>
      </c>
    </row>
    <row r="54" spans="2:6" ht="45" x14ac:dyDescent="0.25">
      <c r="B54" s="87">
        <f t="shared" si="1"/>
        <v>53</v>
      </c>
      <c r="C54" s="59" t="s">
        <v>374</v>
      </c>
      <c r="D54" t="s">
        <v>373</v>
      </c>
    </row>
    <row r="55" spans="2:6" ht="30" x14ac:dyDescent="0.25">
      <c r="B55">
        <v>54</v>
      </c>
      <c r="C55" s="95" t="s">
        <v>375</v>
      </c>
      <c r="D55" s="260" t="s">
        <v>376</v>
      </c>
      <c r="E55" s="261"/>
      <c r="F55" s="261"/>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0" t="s">
        <v>292</v>
      </c>
      <c r="C2" s="262"/>
      <c r="D2" s="262"/>
    </row>
    <row r="3" spans="1:12" x14ac:dyDescent="0.25">
      <c r="D3" s="61"/>
      <c r="E3" s="61"/>
      <c r="F3" s="61"/>
      <c r="G3" s="61"/>
      <c r="H3" s="61"/>
      <c r="I3" s="61"/>
    </row>
    <row r="4" spans="1:12" x14ac:dyDescent="0.25">
      <c r="A4" s="60" t="s">
        <v>65</v>
      </c>
      <c r="B4" s="62" t="s">
        <v>293</v>
      </c>
      <c r="C4" s="263" t="s">
        <v>294</v>
      </c>
      <c r="D4" s="263"/>
      <c r="E4" s="263"/>
      <c r="F4" s="62"/>
      <c r="G4" s="264" t="s">
        <v>295</v>
      </c>
      <c r="H4" s="264"/>
      <c r="I4" s="264"/>
      <c r="J4" s="265" t="s">
        <v>296</v>
      </c>
      <c r="K4" s="265"/>
      <c r="L4" s="265"/>
    </row>
    <row r="5" spans="1:12" x14ac:dyDescent="0.25">
      <c r="A5" s="60"/>
      <c r="B5" s="62"/>
      <c r="C5" s="62" t="s">
        <v>297</v>
      </c>
      <c r="D5" s="62" t="s">
        <v>298</v>
      </c>
      <c r="E5" s="62" t="s">
        <v>299</v>
      </c>
      <c r="F5" s="62"/>
      <c r="G5" s="62" t="s">
        <v>297</v>
      </c>
      <c r="H5" s="62" t="s">
        <v>298</v>
      </c>
      <c r="I5" s="62" t="s">
        <v>299</v>
      </c>
      <c r="J5" s="62" t="s">
        <v>297</v>
      </c>
      <c r="K5" s="62" t="s">
        <v>298</v>
      </c>
      <c r="L5" s="62" t="s">
        <v>299</v>
      </c>
    </row>
    <row r="6" spans="1:12" x14ac:dyDescent="0.25">
      <c r="B6" s="52" t="s">
        <v>300</v>
      </c>
      <c r="C6" s="52"/>
      <c r="D6" s="52"/>
      <c r="E6" s="52">
        <f>C6*D6</f>
        <v>0</v>
      </c>
      <c r="F6" s="52" t="s">
        <v>317</v>
      </c>
      <c r="G6" s="52"/>
      <c r="H6" s="52"/>
      <c r="I6" s="52">
        <f>G6*H6</f>
        <v>0</v>
      </c>
      <c r="J6" s="52"/>
      <c r="K6" s="52"/>
      <c r="L6" s="52">
        <f>J6*K6</f>
        <v>0</v>
      </c>
    </row>
    <row r="7" spans="1:12" x14ac:dyDescent="0.25">
      <c r="B7" s="52"/>
      <c r="C7" s="52"/>
      <c r="D7" s="52"/>
      <c r="E7" s="52">
        <f t="shared" ref="E7:E41" si="0">C7*D7</f>
        <v>0</v>
      </c>
      <c r="F7" s="52" t="s">
        <v>317</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301</v>
      </c>
      <c r="G9" s="52"/>
      <c r="H9" s="52"/>
      <c r="I9" s="52">
        <f t="shared" si="1"/>
        <v>0</v>
      </c>
      <c r="J9" s="52"/>
      <c r="K9" s="52"/>
      <c r="L9" s="52">
        <f t="shared" si="2"/>
        <v>0</v>
      </c>
    </row>
    <row r="10" spans="1:12" x14ac:dyDescent="0.25">
      <c r="B10" s="52" t="s">
        <v>302</v>
      </c>
      <c r="C10" s="52"/>
      <c r="D10" s="52"/>
      <c r="E10" s="52">
        <f t="shared" si="0"/>
        <v>0</v>
      </c>
      <c r="F10" s="52" t="s">
        <v>301</v>
      </c>
      <c r="G10" s="52"/>
      <c r="H10" s="52"/>
      <c r="I10" s="52">
        <f t="shared" si="1"/>
        <v>0</v>
      </c>
      <c r="J10" s="52"/>
      <c r="K10" s="52"/>
      <c r="L10" s="52">
        <f t="shared" si="2"/>
        <v>0</v>
      </c>
    </row>
    <row r="11" spans="1:12" x14ac:dyDescent="0.25">
      <c r="B11" s="52"/>
      <c r="C11" s="52"/>
      <c r="D11" s="52"/>
      <c r="E11" s="52">
        <f t="shared" si="0"/>
        <v>0</v>
      </c>
      <c r="F11" s="52" t="s">
        <v>303</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304</v>
      </c>
      <c r="C14" s="52"/>
      <c r="D14" s="52"/>
      <c r="E14" s="52">
        <f t="shared" si="0"/>
        <v>0</v>
      </c>
      <c r="F14" s="52" t="s">
        <v>301</v>
      </c>
      <c r="G14" s="52"/>
      <c r="H14" s="52"/>
      <c r="I14" s="52">
        <f t="shared" si="1"/>
        <v>0</v>
      </c>
      <c r="J14" s="52"/>
      <c r="K14" s="52"/>
      <c r="L14" s="52">
        <f t="shared" si="2"/>
        <v>0</v>
      </c>
    </row>
    <row r="15" spans="1:12" x14ac:dyDescent="0.25">
      <c r="B15" s="52"/>
      <c r="C15" s="52"/>
      <c r="D15" s="52"/>
      <c r="E15" s="52">
        <f t="shared" si="0"/>
        <v>0</v>
      </c>
      <c r="F15" s="52" t="s">
        <v>303</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305</v>
      </c>
      <c r="C18" s="52"/>
      <c r="D18" s="52"/>
      <c r="E18" s="52">
        <f t="shared" si="0"/>
        <v>0</v>
      </c>
      <c r="F18" s="52" t="s">
        <v>301</v>
      </c>
      <c r="G18" s="52"/>
      <c r="H18" s="52"/>
      <c r="I18" s="52">
        <f t="shared" si="1"/>
        <v>0</v>
      </c>
      <c r="J18" s="52"/>
      <c r="K18" s="52"/>
      <c r="L18" s="52">
        <f t="shared" si="2"/>
        <v>0</v>
      </c>
    </row>
    <row r="19" spans="2:12" x14ac:dyDescent="0.25">
      <c r="B19" s="52"/>
      <c r="C19" s="52"/>
      <c r="D19" s="52"/>
      <c r="E19" s="52">
        <f t="shared" si="0"/>
        <v>0</v>
      </c>
      <c r="F19" s="52" t="s">
        <v>303</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306</v>
      </c>
      <c r="C21" s="52"/>
      <c r="D21" s="52"/>
      <c r="E21" s="52">
        <f t="shared" si="0"/>
        <v>0</v>
      </c>
      <c r="F21" s="52" t="s">
        <v>301</v>
      </c>
      <c r="G21" s="52"/>
      <c r="H21" s="52"/>
      <c r="I21" s="52">
        <f t="shared" si="1"/>
        <v>0</v>
      </c>
      <c r="J21" s="52"/>
      <c r="K21" s="52"/>
      <c r="L21" s="52">
        <f t="shared" si="2"/>
        <v>0</v>
      </c>
    </row>
    <row r="22" spans="2:12" x14ac:dyDescent="0.25">
      <c r="B22" s="52"/>
      <c r="C22" s="52"/>
      <c r="D22" s="52"/>
      <c r="E22" s="52">
        <f t="shared" si="0"/>
        <v>0</v>
      </c>
      <c r="F22" s="52" t="s">
        <v>303</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307</v>
      </c>
      <c r="C24" s="52"/>
      <c r="D24" s="52"/>
      <c r="E24" s="52">
        <f t="shared" si="0"/>
        <v>0</v>
      </c>
      <c r="F24" s="52" t="s">
        <v>308</v>
      </c>
      <c r="G24" s="52"/>
      <c r="H24" s="52"/>
      <c r="I24" s="52">
        <f t="shared" si="1"/>
        <v>0</v>
      </c>
      <c r="J24" s="52"/>
      <c r="K24" s="52"/>
      <c r="L24" s="52">
        <f t="shared" si="2"/>
        <v>0</v>
      </c>
    </row>
    <row r="25" spans="2:12" x14ac:dyDescent="0.25">
      <c r="B25" s="52"/>
      <c r="C25" s="52"/>
      <c r="D25" s="52"/>
      <c r="E25" s="52">
        <f>C25*D25</f>
        <v>0</v>
      </c>
      <c r="F25" s="52" t="s">
        <v>308</v>
      </c>
      <c r="G25" s="52"/>
      <c r="H25" s="52"/>
      <c r="I25" s="52">
        <f>G25*H25</f>
        <v>0</v>
      </c>
      <c r="J25" s="52"/>
      <c r="K25" s="52"/>
      <c r="L25" s="52">
        <f>J25*K25</f>
        <v>0</v>
      </c>
    </row>
    <row r="26" spans="2:12" x14ac:dyDescent="0.25">
      <c r="B26" s="52"/>
      <c r="C26" s="52"/>
      <c r="D26" s="52"/>
      <c r="E26" s="52">
        <f>C26*D26</f>
        <v>0</v>
      </c>
      <c r="F26" s="52" t="s">
        <v>308</v>
      </c>
      <c r="G26" s="52"/>
      <c r="H26" s="52"/>
      <c r="I26" s="52">
        <f>G26*H26</f>
        <v>0</v>
      </c>
      <c r="J26" s="52"/>
      <c r="K26" s="52"/>
      <c r="L26" s="52">
        <f>J26*K26</f>
        <v>0</v>
      </c>
    </row>
    <row r="27" spans="2:12" x14ac:dyDescent="0.25">
      <c r="B27" s="52"/>
      <c r="C27" s="52"/>
      <c r="D27" s="52"/>
      <c r="E27" s="52">
        <f>C27*D27</f>
        <v>0</v>
      </c>
      <c r="F27" s="52" t="s">
        <v>308</v>
      </c>
      <c r="G27" s="52"/>
      <c r="H27" s="52"/>
      <c r="I27" s="52">
        <f>G27*H27</f>
        <v>0</v>
      </c>
      <c r="J27" s="52"/>
      <c r="K27" s="52"/>
      <c r="L27" s="52">
        <f>J27*K27</f>
        <v>0</v>
      </c>
    </row>
    <row r="28" spans="2:12" x14ac:dyDescent="0.25">
      <c r="B28" s="52" t="s">
        <v>309</v>
      </c>
      <c r="C28" s="52"/>
      <c r="D28" s="52"/>
      <c r="E28" s="52">
        <f t="shared" si="0"/>
        <v>0</v>
      </c>
      <c r="F28" s="52" t="s">
        <v>308</v>
      </c>
      <c r="G28" s="52"/>
      <c r="H28" s="52"/>
      <c r="I28" s="52">
        <f t="shared" si="1"/>
        <v>0</v>
      </c>
      <c r="J28" s="52"/>
      <c r="K28" s="52"/>
      <c r="L28" s="52">
        <f t="shared" si="2"/>
        <v>0</v>
      </c>
    </row>
    <row r="29" spans="2:12" x14ac:dyDescent="0.25">
      <c r="B29" s="52" t="s">
        <v>310</v>
      </c>
      <c r="C29" s="52"/>
      <c r="D29" s="52"/>
      <c r="E29" s="52">
        <f t="shared" si="0"/>
        <v>0</v>
      </c>
      <c r="F29" s="52" t="s">
        <v>308</v>
      </c>
      <c r="G29" s="52"/>
      <c r="H29" s="52"/>
      <c r="I29" s="52">
        <f t="shared" si="1"/>
        <v>0</v>
      </c>
      <c r="J29" s="52"/>
      <c r="K29" s="52"/>
      <c r="L29" s="52">
        <f t="shared" si="2"/>
        <v>0</v>
      </c>
    </row>
    <row r="30" spans="2:12" x14ac:dyDescent="0.25">
      <c r="B30" s="52" t="s">
        <v>314</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311</v>
      </c>
      <c r="C33" s="52"/>
      <c r="D33" s="52"/>
      <c r="E33" s="52">
        <f t="shared" si="0"/>
        <v>0</v>
      </c>
      <c r="F33" s="52"/>
      <c r="G33" s="52"/>
      <c r="H33" s="52"/>
      <c r="I33" s="52">
        <f t="shared" si="1"/>
        <v>0</v>
      </c>
      <c r="J33" s="52"/>
      <c r="K33" s="52"/>
      <c r="L33" s="52">
        <f t="shared" si="2"/>
        <v>0</v>
      </c>
    </row>
    <row r="34" spans="2:12" x14ac:dyDescent="0.25">
      <c r="B34" s="52" t="s">
        <v>315</v>
      </c>
      <c r="C34" s="52"/>
      <c r="D34" s="52"/>
      <c r="E34" s="52">
        <f t="shared" si="0"/>
        <v>0</v>
      </c>
      <c r="F34" s="52"/>
      <c r="G34" s="52"/>
      <c r="H34" s="52"/>
      <c r="I34" s="52">
        <f t="shared" si="1"/>
        <v>0</v>
      </c>
      <c r="J34" s="52"/>
      <c r="K34" s="52"/>
      <c r="L34" s="52">
        <f t="shared" si="2"/>
        <v>0</v>
      </c>
    </row>
    <row r="35" spans="2:12" x14ac:dyDescent="0.25">
      <c r="B35" s="52" t="s">
        <v>312</v>
      </c>
      <c r="C35" s="52"/>
      <c r="D35" s="52"/>
      <c r="E35" s="52">
        <f t="shared" si="0"/>
        <v>0</v>
      </c>
      <c r="F35" s="52"/>
      <c r="G35" s="52"/>
      <c r="H35" s="52"/>
      <c r="I35" s="52">
        <f t="shared" si="1"/>
        <v>0</v>
      </c>
      <c r="J35" s="52"/>
      <c r="K35" s="52"/>
      <c r="L35" s="52">
        <f t="shared" si="2"/>
        <v>0</v>
      </c>
    </row>
    <row r="36" spans="2:12" x14ac:dyDescent="0.25">
      <c r="B36" s="52" t="s">
        <v>313</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316</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143</v>
      </c>
      <c r="C42" s="52"/>
      <c r="D42" s="52">
        <f>E42*10.764</f>
        <v>0</v>
      </c>
      <c r="E42" s="65">
        <f>SUM(E6:E41)</f>
        <v>0</v>
      </c>
      <c r="F42" s="52"/>
      <c r="G42" s="52"/>
      <c r="H42" s="52">
        <f>I42*10.764</f>
        <v>0</v>
      </c>
      <c r="I42" s="64">
        <f>SUM(I6:I41)</f>
        <v>0</v>
      </c>
      <c r="J42" s="52"/>
      <c r="K42" s="52">
        <f>L42*10.764</f>
        <v>0</v>
      </c>
      <c r="L42" s="63">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2025-08-22T11:31:50Z</cp:lastPrinted>
  <dcterms:created xsi:type="dcterms:W3CDTF">2019-07-16T09:29:46Z</dcterms:created>
  <dcterms:modified xsi:type="dcterms:W3CDTF">2025-08-22T11:32:37Z</dcterms:modified>
</cp:coreProperties>
</file>