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18135 - Prestige Ocean Towers North\"/>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Tower 1 Area Calculation" sheetId="8" r:id="rId5"/>
    <sheet name="Tower 2 Area Calculation" sheetId="7" r:id="rId6"/>
  </sheets>
  <definedNames>
    <definedName name="_xlnm.Print_Area" localSheetId="0">Report!$A$1:$H$444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4" i="1" l="1"/>
  <c r="J156" i="1"/>
  <c r="J243" i="1" l="1"/>
  <c r="I138" i="1" l="1"/>
  <c r="I142" i="1" l="1"/>
  <c r="J207" i="1"/>
  <c r="I242" i="1"/>
  <c r="I202" i="1"/>
  <c r="E254" i="1"/>
  <c r="E255" i="1"/>
  <c r="X106" i="7"/>
  <c r="X85" i="7"/>
  <c r="V64" i="7"/>
  <c r="X128" i="7"/>
  <c r="X127" i="7"/>
  <c r="X126" i="7"/>
  <c r="X125" i="7"/>
  <c r="X124" i="7"/>
  <c r="X123" i="7"/>
  <c r="X122" i="7"/>
  <c r="X121" i="7"/>
  <c r="X120" i="7"/>
  <c r="X119" i="7"/>
  <c r="X118" i="7"/>
  <c r="X117" i="7"/>
  <c r="X116" i="7"/>
  <c r="X115" i="7"/>
  <c r="X114" i="7"/>
  <c r="X113" i="7"/>
  <c r="X112" i="7"/>
  <c r="X111" i="7"/>
  <c r="X110" i="7"/>
  <c r="X109" i="7"/>
  <c r="X108" i="7"/>
  <c r="X107" i="7"/>
  <c r="X105" i="7"/>
  <c r="X104" i="7"/>
  <c r="X103" i="7"/>
  <c r="X102" i="7"/>
  <c r="X101" i="7"/>
  <c r="X100" i="7"/>
  <c r="X99" i="7"/>
  <c r="X98" i="7"/>
  <c r="X96" i="7"/>
  <c r="X94" i="7"/>
  <c r="X93" i="7"/>
  <c r="X92" i="7"/>
  <c r="X91" i="7"/>
  <c r="X90" i="7"/>
  <c r="X89" i="7"/>
  <c r="X88" i="7"/>
  <c r="X87" i="7"/>
  <c r="X86" i="7"/>
  <c r="X84" i="7"/>
  <c r="X83" i="7"/>
  <c r="X82" i="7"/>
  <c r="X81" i="7"/>
  <c r="X80" i="7"/>
  <c r="X79" i="7"/>
  <c r="X78" i="7"/>
  <c r="X77" i="7"/>
  <c r="X76" i="7"/>
  <c r="X75" i="7"/>
  <c r="X74" i="7"/>
  <c r="X73" i="7"/>
  <c r="X72" i="7"/>
  <c r="X71" i="7"/>
  <c r="X70" i="7"/>
  <c r="X69" i="7"/>
  <c r="X68" i="7"/>
  <c r="E257" i="1"/>
  <c r="D214" i="1"/>
  <c r="D213" i="1"/>
  <c r="D212" i="1"/>
  <c r="D211" i="1"/>
  <c r="D210" i="1"/>
  <c r="D209" i="1"/>
  <c r="D208" i="1"/>
  <c r="D207" i="1"/>
  <c r="D206" i="1"/>
  <c r="D205" i="1"/>
  <c r="D204" i="1"/>
  <c r="D203" i="1"/>
  <c r="R97" i="7"/>
  <c r="P64" i="7"/>
  <c r="R123" i="7"/>
  <c r="R122" i="7"/>
  <c r="R121" i="7"/>
  <c r="R120" i="7"/>
  <c r="R119" i="7"/>
  <c r="R118" i="7"/>
  <c r="R117" i="7"/>
  <c r="R116" i="7"/>
  <c r="R115" i="7"/>
  <c r="R114" i="7"/>
  <c r="R113" i="7"/>
  <c r="R112" i="7"/>
  <c r="R111" i="7"/>
  <c r="R110" i="7"/>
  <c r="R109" i="7"/>
  <c r="R108" i="7"/>
  <c r="R107" i="7"/>
  <c r="R105" i="7"/>
  <c r="R104" i="7"/>
  <c r="R103" i="7"/>
  <c r="R102" i="7"/>
  <c r="R101" i="7"/>
  <c r="R100" i="7"/>
  <c r="R99" i="7"/>
  <c r="R98" i="7"/>
  <c r="R96" i="7"/>
  <c r="R95" i="7"/>
  <c r="R94" i="7"/>
  <c r="R93" i="7"/>
  <c r="R92" i="7"/>
  <c r="R91" i="7"/>
  <c r="R90" i="7"/>
  <c r="R89" i="7"/>
  <c r="R88" i="7"/>
  <c r="R87" i="7"/>
  <c r="R86" i="7"/>
  <c r="R84" i="7"/>
  <c r="R83" i="7"/>
  <c r="R82" i="7"/>
  <c r="R81" i="7"/>
  <c r="R80" i="7"/>
  <c r="R79" i="7"/>
  <c r="R78" i="7"/>
  <c r="R77" i="7"/>
  <c r="R76" i="7"/>
  <c r="R75" i="7"/>
  <c r="R74" i="7"/>
  <c r="R73" i="7"/>
  <c r="R72" i="7"/>
  <c r="R71" i="7"/>
  <c r="R70" i="7"/>
  <c r="R69" i="7"/>
  <c r="R68" i="7"/>
  <c r="E105" i="7"/>
  <c r="E104" i="7"/>
  <c r="E103" i="7"/>
  <c r="E102" i="7"/>
  <c r="E101" i="7"/>
  <c r="C64" i="7"/>
  <c r="E128" i="7"/>
  <c r="E127" i="7"/>
  <c r="E126" i="7"/>
  <c r="E125" i="7"/>
  <c r="E124" i="7"/>
  <c r="E123" i="7"/>
  <c r="E122" i="7"/>
  <c r="E121" i="7"/>
  <c r="E120" i="7"/>
  <c r="E119" i="7"/>
  <c r="E118" i="7"/>
  <c r="E117" i="7"/>
  <c r="E116" i="7"/>
  <c r="E115" i="7"/>
  <c r="E114" i="7"/>
  <c r="E113" i="7"/>
  <c r="E112" i="7"/>
  <c r="E111" i="7"/>
  <c r="E110" i="7"/>
  <c r="E109" i="7"/>
  <c r="E108" i="7"/>
  <c r="E107" i="7"/>
  <c r="E100" i="7"/>
  <c r="E99" i="7"/>
  <c r="E98" i="7"/>
  <c r="E96" i="7"/>
  <c r="E94" i="7"/>
  <c r="E93" i="7"/>
  <c r="E92" i="7"/>
  <c r="E91" i="7"/>
  <c r="E90" i="7"/>
  <c r="E89" i="7"/>
  <c r="E88" i="7"/>
  <c r="E87" i="7"/>
  <c r="E86" i="7"/>
  <c r="E84" i="7"/>
  <c r="E83" i="7"/>
  <c r="E82" i="7"/>
  <c r="E81" i="7"/>
  <c r="E80" i="7"/>
  <c r="E79" i="7"/>
  <c r="E78" i="7"/>
  <c r="E77" i="7"/>
  <c r="E76" i="7"/>
  <c r="E75" i="7"/>
  <c r="E74" i="7"/>
  <c r="E73" i="7"/>
  <c r="E72" i="7"/>
  <c r="E71" i="7"/>
  <c r="E70" i="7"/>
  <c r="E69" i="7"/>
  <c r="E68" i="7"/>
  <c r="AA32" i="7"/>
  <c r="AA58" i="7"/>
  <c r="AA57" i="7"/>
  <c r="AA56" i="7"/>
  <c r="AA55" i="7"/>
  <c r="AA54" i="7"/>
  <c r="AA53" i="7"/>
  <c r="AA52" i="7"/>
  <c r="AA51" i="7"/>
  <c r="AA50" i="7"/>
  <c r="AA49" i="7"/>
  <c r="AA48" i="7"/>
  <c r="AA47" i="7"/>
  <c r="AA46" i="7"/>
  <c r="AA45" i="7"/>
  <c r="AA44" i="7"/>
  <c r="AA43" i="7"/>
  <c r="AA42" i="7"/>
  <c r="AA41" i="7"/>
  <c r="AA40" i="7"/>
  <c r="AA39" i="7"/>
  <c r="AA38" i="7"/>
  <c r="AA37" i="7"/>
  <c r="AA36" i="7"/>
  <c r="AA35" i="7"/>
  <c r="AA34" i="7"/>
  <c r="AA33" i="7"/>
  <c r="AA31" i="7"/>
  <c r="AA30" i="7"/>
  <c r="AA29" i="7"/>
  <c r="AA28" i="7"/>
  <c r="AA27" i="7"/>
  <c r="AA26" i="7"/>
  <c r="AA25" i="7"/>
  <c r="AA24" i="7"/>
  <c r="AA23" i="7"/>
  <c r="AA22" i="7"/>
  <c r="AA21" i="7"/>
  <c r="AA20" i="7"/>
  <c r="AA19" i="7"/>
  <c r="AA18" i="7"/>
  <c r="AA17" i="7"/>
  <c r="AA16" i="7"/>
  <c r="AA15" i="7"/>
  <c r="AA14" i="7"/>
  <c r="AA13" i="7"/>
  <c r="AA12" i="7"/>
  <c r="AA11" i="7"/>
  <c r="AA10" i="7"/>
  <c r="AA9" i="7"/>
  <c r="AA8" i="7"/>
  <c r="AA7" i="7"/>
  <c r="AA6" i="7"/>
  <c r="Y2" i="7"/>
  <c r="C2" i="7"/>
  <c r="A255" i="1"/>
  <c r="A252" i="1"/>
  <c r="Q127" i="7" l="1"/>
  <c r="P127" i="7" s="1"/>
  <c r="D257" i="1" s="1"/>
  <c r="F257" i="1" s="1"/>
  <c r="H257" i="1" s="1"/>
  <c r="X129" i="7"/>
  <c r="X131" i="7" s="1"/>
  <c r="R124" i="7"/>
  <c r="Q124" i="7" s="1"/>
  <c r="E129" i="7"/>
  <c r="E131" i="7" s="1"/>
  <c r="AA59" i="7"/>
  <c r="Z59" i="7" s="1"/>
  <c r="D248" i="1" s="1"/>
  <c r="F248" i="1" s="1"/>
  <c r="H248" i="1" s="1"/>
  <c r="D240" i="1"/>
  <c r="F240" i="1" s="1"/>
  <c r="H240" i="1" s="1"/>
  <c r="D239" i="1"/>
  <c r="F239" i="1" s="1"/>
  <c r="H239" i="1" s="1"/>
  <c r="D238" i="1"/>
  <c r="F238" i="1" s="1"/>
  <c r="H238" i="1" s="1"/>
  <c r="D237" i="1"/>
  <c r="F237" i="1" s="1"/>
  <c r="D236" i="1"/>
  <c r="F236" i="1" s="1"/>
  <c r="H236" i="1" s="1"/>
  <c r="D235" i="1"/>
  <c r="F235" i="1" s="1"/>
  <c r="H235" i="1" s="1"/>
  <c r="D234" i="1"/>
  <c r="F234" i="1" s="1"/>
  <c r="H234" i="1" s="1"/>
  <c r="D233" i="1"/>
  <c r="F233" i="1" s="1"/>
  <c r="H233" i="1" s="1"/>
  <c r="E232" i="1"/>
  <c r="D232" i="1"/>
  <c r="E231" i="1"/>
  <c r="D231" i="1"/>
  <c r="D230" i="1"/>
  <c r="F230" i="1" s="1"/>
  <c r="H230" i="1" s="1"/>
  <c r="D229" i="1"/>
  <c r="F229" i="1" s="1"/>
  <c r="H229" i="1" s="1"/>
  <c r="E219" i="1"/>
  <c r="E218" i="1"/>
  <c r="D224" i="1"/>
  <c r="F224" i="1" s="1"/>
  <c r="H224" i="1" s="1"/>
  <c r="D223" i="1"/>
  <c r="F223" i="1" s="1"/>
  <c r="H223" i="1" s="1"/>
  <c r="D222" i="1"/>
  <c r="F222" i="1" s="1"/>
  <c r="H222" i="1" s="1"/>
  <c r="D221" i="1"/>
  <c r="F221" i="1" s="1"/>
  <c r="H221" i="1" s="1"/>
  <c r="D220" i="1"/>
  <c r="F220" i="1" s="1"/>
  <c r="H220" i="1" s="1"/>
  <c r="D219" i="1"/>
  <c r="D218" i="1"/>
  <c r="D217" i="1"/>
  <c r="F217" i="1" s="1"/>
  <c r="H217" i="1" s="1"/>
  <c r="F212" i="1"/>
  <c r="H212" i="1" s="1"/>
  <c r="F211" i="1"/>
  <c r="H211" i="1" s="1"/>
  <c r="F210" i="1"/>
  <c r="H210" i="1" s="1"/>
  <c r="F209" i="1"/>
  <c r="H209" i="1" s="1"/>
  <c r="F208" i="1"/>
  <c r="H208" i="1" s="1"/>
  <c r="F204" i="1"/>
  <c r="H204" i="1" s="1"/>
  <c r="F203" i="1"/>
  <c r="E206" i="1"/>
  <c r="E205" i="1"/>
  <c r="E191" i="1"/>
  <c r="E189" i="1"/>
  <c r="E188" i="1"/>
  <c r="E178" i="1"/>
  <c r="E177" i="1"/>
  <c r="E180" i="1"/>
  <c r="E169" i="1"/>
  <c r="E167" i="1"/>
  <c r="E166" i="1"/>
  <c r="E244" i="1"/>
  <c r="E243" i="1"/>
  <c r="E246" i="1"/>
  <c r="Q58" i="7"/>
  <c r="Q57" i="7"/>
  <c r="Q56" i="7"/>
  <c r="Q55" i="7"/>
  <c r="Q54" i="7"/>
  <c r="Q53" i="7"/>
  <c r="Q52" i="7"/>
  <c r="Q51" i="7"/>
  <c r="Q50" i="7"/>
  <c r="Q49" i="7"/>
  <c r="Q48" i="7"/>
  <c r="Q47" i="7"/>
  <c r="Q46" i="7"/>
  <c r="Q45" i="7"/>
  <c r="Q44" i="7"/>
  <c r="Q43" i="7"/>
  <c r="Q42" i="7"/>
  <c r="Q41" i="7"/>
  <c r="Q40" i="7"/>
  <c r="Q39" i="7"/>
  <c r="Q38" i="7"/>
  <c r="Q37" i="7"/>
  <c r="Q36" i="7"/>
  <c r="Q35" i="7"/>
  <c r="Q34" i="7"/>
  <c r="Q33" i="7"/>
  <c r="Q31" i="7"/>
  <c r="Q30" i="7"/>
  <c r="Q29" i="7"/>
  <c r="Q28" i="7"/>
  <c r="Q27" i="7"/>
  <c r="Q26" i="7"/>
  <c r="Q25" i="7"/>
  <c r="Q24" i="7"/>
  <c r="Q23" i="7"/>
  <c r="Q22" i="7"/>
  <c r="Q21" i="7"/>
  <c r="Q20" i="7"/>
  <c r="Q19" i="7"/>
  <c r="Q18" i="7"/>
  <c r="Q17" i="7"/>
  <c r="Q16" i="7"/>
  <c r="Q15" i="7"/>
  <c r="Q14" i="7"/>
  <c r="Q13" i="7"/>
  <c r="Q12" i="7"/>
  <c r="Q11" i="7"/>
  <c r="Q10" i="7"/>
  <c r="Q9" i="7"/>
  <c r="Q8" i="7"/>
  <c r="Q7" i="7"/>
  <c r="Q6" i="7"/>
  <c r="E54" i="8"/>
  <c r="V54" i="8"/>
  <c r="L54" i="8"/>
  <c r="I54" i="8"/>
  <c r="A244" i="1"/>
  <c r="A217" i="1"/>
  <c r="A218" i="1" s="1"/>
  <c r="A219" i="1" s="1"/>
  <c r="A220" i="1" s="1"/>
  <c r="A221" i="1" s="1"/>
  <c r="A222" i="1" s="1"/>
  <c r="A223" i="1" s="1"/>
  <c r="A224" i="1" s="1"/>
  <c r="A225" i="1" s="1"/>
  <c r="A226" i="1" s="1"/>
  <c r="A227" i="1" s="1"/>
  <c r="A230" i="1"/>
  <c r="A231" i="1" s="1"/>
  <c r="A232" i="1" s="1"/>
  <c r="A233" i="1" s="1"/>
  <c r="A234" i="1" s="1"/>
  <c r="A235" i="1" s="1"/>
  <c r="A236" i="1" s="1"/>
  <c r="A237" i="1" s="1"/>
  <c r="A238" i="1" s="1"/>
  <c r="A239" i="1" s="1"/>
  <c r="A240" i="1" s="1"/>
  <c r="F214" i="1"/>
  <c r="H214" i="1" s="1"/>
  <c r="F213" i="1"/>
  <c r="H213" i="1" s="1"/>
  <c r="F207" i="1"/>
  <c r="H207" i="1" s="1"/>
  <c r="A204" i="1"/>
  <c r="A205" i="1" s="1"/>
  <c r="A206" i="1" s="1"/>
  <c r="A207" i="1" s="1"/>
  <c r="A208" i="1" s="1"/>
  <c r="A209" i="1" s="1"/>
  <c r="A210" i="1" s="1"/>
  <c r="A211" i="1" s="1"/>
  <c r="A212" i="1" s="1"/>
  <c r="A213" i="1" s="1"/>
  <c r="A214" i="1" s="1"/>
  <c r="E238" i="8"/>
  <c r="E237" i="8"/>
  <c r="E236"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V178" i="8"/>
  <c r="Q178" i="8"/>
  <c r="E178" i="8"/>
  <c r="V177" i="8"/>
  <c r="Q177" i="8"/>
  <c r="E177" i="8"/>
  <c r="V176" i="8"/>
  <c r="Q176" i="8"/>
  <c r="E176" i="8"/>
  <c r="Q175" i="8"/>
  <c r="E175" i="8"/>
  <c r="V174" i="8"/>
  <c r="Q174" i="8"/>
  <c r="E174" i="8"/>
  <c r="V173" i="8"/>
  <c r="Q173" i="8"/>
  <c r="E173" i="8"/>
  <c r="V172" i="8"/>
  <c r="Q172" i="8"/>
  <c r="E172" i="8"/>
  <c r="V171" i="8"/>
  <c r="Q171" i="8"/>
  <c r="E171" i="8"/>
  <c r="V170" i="8"/>
  <c r="Q170" i="8"/>
  <c r="E170" i="8"/>
  <c r="V169" i="8"/>
  <c r="Q169" i="8"/>
  <c r="E169" i="8"/>
  <c r="V168" i="8"/>
  <c r="Q168" i="8"/>
  <c r="E168" i="8"/>
  <c r="V167" i="8"/>
  <c r="Q167" i="8"/>
  <c r="E167" i="8"/>
  <c r="V166" i="8"/>
  <c r="Q166" i="8"/>
  <c r="E166" i="8"/>
  <c r="V165" i="8"/>
  <c r="Q165" i="8"/>
  <c r="E165" i="8"/>
  <c r="V164" i="8"/>
  <c r="Q164" i="8"/>
  <c r="E164" i="8"/>
  <c r="V163" i="8"/>
  <c r="Q163" i="8"/>
  <c r="E163" i="8"/>
  <c r="V162" i="8"/>
  <c r="Q162" i="8"/>
  <c r="E162" i="8"/>
  <c r="V161" i="8"/>
  <c r="Q161" i="8"/>
  <c r="E161" i="8"/>
  <c r="V160" i="8"/>
  <c r="Q160" i="8"/>
  <c r="E160" i="8"/>
  <c r="V159" i="8"/>
  <c r="Q159" i="8"/>
  <c r="E159" i="8"/>
  <c r="V158" i="8"/>
  <c r="Q158" i="8"/>
  <c r="E158" i="8"/>
  <c r="V157" i="8"/>
  <c r="Q157" i="8"/>
  <c r="E157" i="8"/>
  <c r="V156" i="8"/>
  <c r="Q156" i="8"/>
  <c r="E156" i="8"/>
  <c r="V155" i="8"/>
  <c r="Q155" i="8"/>
  <c r="E155" i="8"/>
  <c r="V154" i="8"/>
  <c r="Q154" i="8"/>
  <c r="E154" i="8"/>
  <c r="V153" i="8"/>
  <c r="Q153" i="8"/>
  <c r="E153" i="8"/>
  <c r="V152" i="8"/>
  <c r="Q152" i="8"/>
  <c r="E152" i="8"/>
  <c r="V151" i="8"/>
  <c r="Q151" i="8"/>
  <c r="E151" i="8"/>
  <c r="V150" i="8"/>
  <c r="Q150" i="8"/>
  <c r="E150" i="8"/>
  <c r="V149" i="8"/>
  <c r="Q149" i="8"/>
  <c r="E149" i="8"/>
  <c r="V148" i="8"/>
  <c r="Q148" i="8"/>
  <c r="E148" i="8"/>
  <c r="V147" i="8"/>
  <c r="Q147" i="8"/>
  <c r="E147" i="8"/>
  <c r="V146" i="8"/>
  <c r="Q146" i="8"/>
  <c r="E146" i="8"/>
  <c r="V145" i="8"/>
  <c r="Q145" i="8"/>
  <c r="E145" i="8"/>
  <c r="V144" i="8"/>
  <c r="Q144" i="8"/>
  <c r="E144" i="8"/>
  <c r="V143" i="8"/>
  <c r="Q143" i="8"/>
  <c r="E143" i="8"/>
  <c r="V142" i="8"/>
  <c r="Q142" i="8"/>
  <c r="E142" i="8"/>
  <c r="V141" i="8"/>
  <c r="Q141" i="8"/>
  <c r="E141" i="8"/>
  <c r="V140" i="8"/>
  <c r="Q140" i="8"/>
  <c r="E140" i="8"/>
  <c r="V139" i="8"/>
  <c r="Q139" i="8"/>
  <c r="E139" i="8"/>
  <c r="V138" i="8"/>
  <c r="Q138" i="8"/>
  <c r="E138" i="8"/>
  <c r="V137" i="8"/>
  <c r="Q137" i="8"/>
  <c r="E137" i="8"/>
  <c r="V136" i="8"/>
  <c r="Q136" i="8"/>
  <c r="E136" i="8"/>
  <c r="V135" i="8"/>
  <c r="Q135" i="8"/>
  <c r="E135" i="8"/>
  <c r="V134" i="8"/>
  <c r="Q134" i="8"/>
  <c r="E134" i="8"/>
  <c r="V133" i="8"/>
  <c r="Q133" i="8"/>
  <c r="E133" i="8"/>
  <c r="V132" i="8"/>
  <c r="Q132" i="8"/>
  <c r="E132" i="8"/>
  <c r="V131" i="8"/>
  <c r="Q131" i="8"/>
  <c r="E131" i="8"/>
  <c r="V130" i="8"/>
  <c r="Q130" i="8"/>
  <c r="E130" i="8"/>
  <c r="V129" i="8"/>
  <c r="Q129" i="8"/>
  <c r="E129" i="8"/>
  <c r="V128" i="8"/>
  <c r="Q128" i="8"/>
  <c r="E128" i="8"/>
  <c r="V127" i="8"/>
  <c r="Q127" i="8"/>
  <c r="E127" i="8"/>
  <c r="V118" i="8"/>
  <c r="Q118" i="8"/>
  <c r="E118" i="8"/>
  <c r="V117" i="8"/>
  <c r="Q117" i="8"/>
  <c r="E117" i="8"/>
  <c r="V116" i="8"/>
  <c r="Q116" i="8"/>
  <c r="E116" i="8"/>
  <c r="V115" i="8"/>
  <c r="Q115" i="8"/>
  <c r="E115" i="8"/>
  <c r="V114" i="8"/>
  <c r="Q114" i="8"/>
  <c r="E114" i="8"/>
  <c r="V113" i="8"/>
  <c r="Q113" i="8"/>
  <c r="E113" i="8"/>
  <c r="V112" i="8"/>
  <c r="Q112" i="8"/>
  <c r="E112" i="8"/>
  <c r="V111" i="8"/>
  <c r="Q111" i="8"/>
  <c r="E111" i="8"/>
  <c r="V110" i="8"/>
  <c r="Q110" i="8"/>
  <c r="E110" i="8"/>
  <c r="V109" i="8"/>
  <c r="Q109" i="8"/>
  <c r="E109" i="8"/>
  <c r="V108" i="8"/>
  <c r="Q108" i="8"/>
  <c r="E108" i="8"/>
  <c r="V107" i="8"/>
  <c r="Q107" i="8"/>
  <c r="E107" i="8"/>
  <c r="V106" i="8"/>
  <c r="Q106" i="8"/>
  <c r="E106" i="8"/>
  <c r="V105" i="8"/>
  <c r="Q105" i="8"/>
  <c r="E105" i="8"/>
  <c r="V104" i="8"/>
  <c r="Q104" i="8"/>
  <c r="E104" i="8"/>
  <c r="V103" i="8"/>
  <c r="Q103" i="8"/>
  <c r="E103" i="8"/>
  <c r="V102" i="8"/>
  <c r="Q102" i="8"/>
  <c r="E102" i="8"/>
  <c r="V101" i="8"/>
  <c r="Q101" i="8"/>
  <c r="E101" i="8"/>
  <c r="V100" i="8"/>
  <c r="Q100" i="8"/>
  <c r="E100" i="8"/>
  <c r="V99" i="8"/>
  <c r="Q99" i="8"/>
  <c r="E99" i="8"/>
  <c r="V98" i="8"/>
  <c r="Q98" i="8"/>
  <c r="E98" i="8"/>
  <c r="V97" i="8"/>
  <c r="Q97" i="8"/>
  <c r="E97" i="8"/>
  <c r="V96" i="8"/>
  <c r="Q96" i="8"/>
  <c r="E96" i="8"/>
  <c r="V95" i="8"/>
  <c r="Q95" i="8"/>
  <c r="E95" i="8"/>
  <c r="V94" i="8"/>
  <c r="Q94" i="8"/>
  <c r="E94" i="8"/>
  <c r="V93" i="8"/>
  <c r="Q93" i="8"/>
  <c r="E93" i="8"/>
  <c r="V92" i="8"/>
  <c r="Q92" i="8"/>
  <c r="E92" i="8"/>
  <c r="V91" i="8"/>
  <c r="Q91" i="8"/>
  <c r="E91" i="8"/>
  <c r="V90" i="8"/>
  <c r="Q90" i="8"/>
  <c r="E90" i="8"/>
  <c r="V89" i="8"/>
  <c r="Q89" i="8"/>
  <c r="E89" i="8"/>
  <c r="V88" i="8"/>
  <c r="Q88" i="8"/>
  <c r="E88" i="8"/>
  <c r="V87" i="8"/>
  <c r="Q87" i="8"/>
  <c r="E87" i="8"/>
  <c r="V86" i="8"/>
  <c r="Q86" i="8"/>
  <c r="E86" i="8"/>
  <c r="V85" i="8"/>
  <c r="Q85" i="8"/>
  <c r="E85" i="8"/>
  <c r="V84" i="8"/>
  <c r="Q84" i="8"/>
  <c r="E84" i="8"/>
  <c r="V83" i="8"/>
  <c r="Q83" i="8"/>
  <c r="E83" i="8"/>
  <c r="V82" i="8"/>
  <c r="Q82" i="8"/>
  <c r="E82" i="8"/>
  <c r="V81" i="8"/>
  <c r="Q81" i="8"/>
  <c r="E81" i="8"/>
  <c r="V80" i="8"/>
  <c r="Q80" i="8"/>
  <c r="E80" i="8"/>
  <c r="V79" i="8"/>
  <c r="Q79" i="8"/>
  <c r="E79" i="8"/>
  <c r="V78" i="8"/>
  <c r="Q78" i="8"/>
  <c r="E78" i="8"/>
  <c r="V77" i="8"/>
  <c r="Q77" i="8"/>
  <c r="E77" i="8"/>
  <c r="V76" i="8"/>
  <c r="Q76" i="8"/>
  <c r="E76" i="8"/>
  <c r="V75" i="8"/>
  <c r="Q75" i="8"/>
  <c r="E75" i="8"/>
  <c r="V74" i="8"/>
  <c r="Q74" i="8"/>
  <c r="E74" i="8"/>
  <c r="V73" i="8"/>
  <c r="Q73" i="8"/>
  <c r="E73" i="8"/>
  <c r="V72" i="8"/>
  <c r="Q72" i="8"/>
  <c r="E72" i="8"/>
  <c r="V71" i="8"/>
  <c r="Q71" i="8"/>
  <c r="E71" i="8"/>
  <c r="V70" i="8"/>
  <c r="Q70" i="8"/>
  <c r="E70" i="8"/>
  <c r="V69" i="8"/>
  <c r="Q69" i="8"/>
  <c r="E69" i="8"/>
  <c r="V68" i="8"/>
  <c r="Q68" i="8"/>
  <c r="E68" i="8"/>
  <c r="V67" i="8"/>
  <c r="Q67" i="8"/>
  <c r="E67" i="8"/>
  <c r="V58" i="8"/>
  <c r="Q58" i="8"/>
  <c r="L58" i="8"/>
  <c r="I58" i="8"/>
  <c r="E58" i="8"/>
  <c r="V57" i="8"/>
  <c r="Q57" i="8"/>
  <c r="L57" i="8"/>
  <c r="I57" i="8"/>
  <c r="E57" i="8"/>
  <c r="V56" i="8"/>
  <c r="L56" i="8"/>
  <c r="I56" i="8"/>
  <c r="V55" i="8"/>
  <c r="L55" i="8"/>
  <c r="I55" i="8"/>
  <c r="V53" i="8"/>
  <c r="Q53" i="8"/>
  <c r="L53" i="8"/>
  <c r="I53" i="8"/>
  <c r="E53" i="8"/>
  <c r="V52" i="8"/>
  <c r="Q52" i="8"/>
  <c r="L52" i="8"/>
  <c r="I52" i="8"/>
  <c r="E52" i="8"/>
  <c r="V51" i="8"/>
  <c r="Q51" i="8"/>
  <c r="L51" i="8"/>
  <c r="I51" i="8"/>
  <c r="E51" i="8"/>
  <c r="V50" i="8"/>
  <c r="Q50" i="8"/>
  <c r="L50" i="8"/>
  <c r="I50" i="8"/>
  <c r="E50" i="8"/>
  <c r="V49" i="8"/>
  <c r="Q49" i="8"/>
  <c r="L49" i="8"/>
  <c r="I49" i="8"/>
  <c r="E49" i="8"/>
  <c r="V48" i="8"/>
  <c r="Q48" i="8"/>
  <c r="L48" i="8"/>
  <c r="I48" i="8"/>
  <c r="E48" i="8"/>
  <c r="V47" i="8"/>
  <c r="Q47" i="8"/>
  <c r="L47" i="8"/>
  <c r="I47" i="8"/>
  <c r="E47" i="8"/>
  <c r="V46" i="8"/>
  <c r="Q46" i="8"/>
  <c r="L46" i="8"/>
  <c r="I46" i="8"/>
  <c r="E46" i="8"/>
  <c r="V45" i="8"/>
  <c r="Q45" i="8"/>
  <c r="L45" i="8"/>
  <c r="I45" i="8"/>
  <c r="E45" i="8"/>
  <c r="V44" i="8"/>
  <c r="Q44" i="8"/>
  <c r="L44" i="8"/>
  <c r="I44" i="8"/>
  <c r="E44" i="8"/>
  <c r="V43" i="8"/>
  <c r="Q43" i="8"/>
  <c r="L43" i="8"/>
  <c r="I43" i="8"/>
  <c r="E43" i="8"/>
  <c r="V42" i="8"/>
  <c r="Q42" i="8"/>
  <c r="L42" i="8"/>
  <c r="I42" i="8"/>
  <c r="E42" i="8"/>
  <c r="V41" i="8"/>
  <c r="Q41" i="8"/>
  <c r="L41" i="8"/>
  <c r="I41" i="8"/>
  <c r="E41" i="8"/>
  <c r="V40" i="8"/>
  <c r="Q40" i="8"/>
  <c r="L40" i="8"/>
  <c r="I40" i="8"/>
  <c r="E40" i="8"/>
  <c r="V39" i="8"/>
  <c r="Q39" i="8"/>
  <c r="L39" i="8"/>
  <c r="I39" i="8"/>
  <c r="E39" i="8"/>
  <c r="V38" i="8"/>
  <c r="Q38" i="8"/>
  <c r="L38" i="8"/>
  <c r="I38" i="8"/>
  <c r="E38" i="8"/>
  <c r="V37" i="8"/>
  <c r="Q37" i="8"/>
  <c r="L37" i="8"/>
  <c r="I37" i="8"/>
  <c r="E37" i="8"/>
  <c r="V36" i="8"/>
  <c r="Q36" i="8"/>
  <c r="L36" i="8"/>
  <c r="I36" i="8"/>
  <c r="E36" i="8"/>
  <c r="V35" i="8"/>
  <c r="Q35" i="8"/>
  <c r="L35" i="8"/>
  <c r="I35" i="8"/>
  <c r="E35" i="8"/>
  <c r="V34" i="8"/>
  <c r="Q34" i="8"/>
  <c r="L34" i="8"/>
  <c r="I34" i="8"/>
  <c r="E34" i="8"/>
  <c r="V33" i="8"/>
  <c r="Q33" i="8"/>
  <c r="L33" i="8"/>
  <c r="I33" i="8"/>
  <c r="E33" i="8"/>
  <c r="V32" i="8"/>
  <c r="Q32" i="8"/>
  <c r="L32" i="8"/>
  <c r="I32" i="8"/>
  <c r="E32" i="8"/>
  <c r="V31" i="8"/>
  <c r="Q31" i="8"/>
  <c r="L31" i="8"/>
  <c r="I31" i="8"/>
  <c r="E31" i="8"/>
  <c r="V30" i="8"/>
  <c r="Q30" i="8"/>
  <c r="L30" i="8"/>
  <c r="I30" i="8"/>
  <c r="E30" i="8"/>
  <c r="V29" i="8"/>
  <c r="Q29" i="8"/>
  <c r="L29" i="8"/>
  <c r="I29" i="8"/>
  <c r="E29" i="8"/>
  <c r="V28" i="8"/>
  <c r="Q28" i="8"/>
  <c r="L28" i="8"/>
  <c r="I28" i="8"/>
  <c r="E28" i="8"/>
  <c r="V27" i="8"/>
  <c r="Q27" i="8"/>
  <c r="L27" i="8"/>
  <c r="I27" i="8"/>
  <c r="E27" i="8"/>
  <c r="V26" i="8"/>
  <c r="Q26" i="8"/>
  <c r="L26" i="8"/>
  <c r="I26" i="8"/>
  <c r="E26" i="8"/>
  <c r="V25" i="8"/>
  <c r="Q25" i="8"/>
  <c r="L25" i="8"/>
  <c r="I25" i="8"/>
  <c r="E25" i="8"/>
  <c r="V24" i="8"/>
  <c r="Q24" i="8"/>
  <c r="L24" i="8"/>
  <c r="I24" i="8"/>
  <c r="E24" i="8"/>
  <c r="V23" i="8"/>
  <c r="Q23" i="8"/>
  <c r="L23" i="8"/>
  <c r="I23" i="8"/>
  <c r="E23" i="8"/>
  <c r="V22" i="8"/>
  <c r="Q22" i="8"/>
  <c r="L22" i="8"/>
  <c r="I22" i="8"/>
  <c r="E22" i="8"/>
  <c r="V21" i="8"/>
  <c r="Q21" i="8"/>
  <c r="L21" i="8"/>
  <c r="I21" i="8"/>
  <c r="E21" i="8"/>
  <c r="V20" i="8"/>
  <c r="Q20" i="8"/>
  <c r="L20" i="8"/>
  <c r="I20" i="8"/>
  <c r="E20" i="8"/>
  <c r="V19" i="8"/>
  <c r="Q19" i="8"/>
  <c r="L19" i="8"/>
  <c r="I19" i="8"/>
  <c r="E19" i="8"/>
  <c r="V18" i="8"/>
  <c r="Q18" i="8"/>
  <c r="L18" i="8"/>
  <c r="I18" i="8"/>
  <c r="E18" i="8"/>
  <c r="V17" i="8"/>
  <c r="Q17" i="8"/>
  <c r="L17" i="8"/>
  <c r="I17" i="8"/>
  <c r="E17" i="8"/>
  <c r="V16" i="8"/>
  <c r="Q16" i="8"/>
  <c r="L16" i="8"/>
  <c r="I16" i="8"/>
  <c r="E16" i="8"/>
  <c r="V15" i="8"/>
  <c r="Q15" i="8"/>
  <c r="L15" i="8"/>
  <c r="I15" i="8"/>
  <c r="E15" i="8"/>
  <c r="V14" i="8"/>
  <c r="Q14" i="8"/>
  <c r="L14" i="8"/>
  <c r="I14" i="8"/>
  <c r="E14" i="8"/>
  <c r="V13" i="8"/>
  <c r="Q13" i="8"/>
  <c r="L13" i="8"/>
  <c r="I13" i="8"/>
  <c r="E13" i="8"/>
  <c r="V12" i="8"/>
  <c r="Q12" i="8"/>
  <c r="L12" i="8"/>
  <c r="I12" i="8"/>
  <c r="E12" i="8"/>
  <c r="V11" i="8"/>
  <c r="Q11" i="8"/>
  <c r="L11" i="8"/>
  <c r="I11" i="8"/>
  <c r="E11" i="8"/>
  <c r="V10" i="8"/>
  <c r="Q10" i="8"/>
  <c r="L10" i="8"/>
  <c r="I10" i="8"/>
  <c r="E10" i="8"/>
  <c r="V9" i="8"/>
  <c r="Q9" i="8"/>
  <c r="L9" i="8"/>
  <c r="I9" i="8"/>
  <c r="E9" i="8"/>
  <c r="V8" i="8"/>
  <c r="Q8" i="8"/>
  <c r="L8" i="8"/>
  <c r="I8" i="8"/>
  <c r="E8" i="8"/>
  <c r="V7" i="8"/>
  <c r="Q7" i="8"/>
  <c r="L7" i="8"/>
  <c r="I7" i="8"/>
  <c r="E7" i="8"/>
  <c r="V6" i="8"/>
  <c r="Q6" i="8"/>
  <c r="L6" i="8"/>
  <c r="I6" i="8"/>
  <c r="E6" i="8"/>
  <c r="A189" i="1"/>
  <c r="A186" i="1"/>
  <c r="A178" i="1"/>
  <c r="A175" i="1"/>
  <c r="V58" i="7"/>
  <c r="V57" i="7"/>
  <c r="V56" i="7"/>
  <c r="V55" i="7"/>
  <c r="V54" i="7"/>
  <c r="V53" i="7"/>
  <c r="V52" i="7"/>
  <c r="V51" i="7"/>
  <c r="V50" i="7"/>
  <c r="V49" i="7"/>
  <c r="V48" i="7"/>
  <c r="V47" i="7"/>
  <c r="V46" i="7"/>
  <c r="V45" i="7"/>
  <c r="V44" i="7"/>
  <c r="V43" i="7"/>
  <c r="V42" i="7"/>
  <c r="V41" i="7"/>
  <c r="V40" i="7"/>
  <c r="V39" i="7"/>
  <c r="V38" i="7"/>
  <c r="V37" i="7"/>
  <c r="V36" i="7"/>
  <c r="V35" i="7"/>
  <c r="V34" i="7"/>
  <c r="V33" i="7"/>
  <c r="V31" i="7"/>
  <c r="V30" i="7"/>
  <c r="V29" i="7"/>
  <c r="V28" i="7"/>
  <c r="V27" i="7"/>
  <c r="V26" i="7"/>
  <c r="V25" i="7"/>
  <c r="V24" i="7"/>
  <c r="V23" i="7"/>
  <c r="V22" i="7"/>
  <c r="V21" i="7"/>
  <c r="V20" i="7"/>
  <c r="V19" i="7"/>
  <c r="V18" i="7"/>
  <c r="V17" i="7"/>
  <c r="V16" i="7"/>
  <c r="V15" i="7"/>
  <c r="V14" i="7"/>
  <c r="V13" i="7"/>
  <c r="V12" i="7"/>
  <c r="V11" i="7"/>
  <c r="V10" i="7"/>
  <c r="V9" i="7"/>
  <c r="V8" i="7"/>
  <c r="V7" i="7"/>
  <c r="V6" i="7"/>
  <c r="L48" i="7"/>
  <c r="I48" i="7"/>
  <c r="E48" i="7"/>
  <c r="L47" i="7"/>
  <c r="I47" i="7"/>
  <c r="E47" i="7"/>
  <c r="L46" i="7"/>
  <c r="I46" i="7"/>
  <c r="E46" i="7"/>
  <c r="L28" i="7"/>
  <c r="I28" i="7"/>
  <c r="E28" i="7"/>
  <c r="E29" i="7"/>
  <c r="E30" i="7"/>
  <c r="E31" i="7"/>
  <c r="E33" i="7"/>
  <c r="L33" i="7"/>
  <c r="I33" i="7"/>
  <c r="L31" i="7"/>
  <c r="I31" i="7"/>
  <c r="L30" i="7"/>
  <c r="I30" i="7"/>
  <c r="L29" i="7"/>
  <c r="I29" i="7"/>
  <c r="L44" i="7"/>
  <c r="I44" i="7"/>
  <c r="E44" i="7"/>
  <c r="L43" i="7"/>
  <c r="I43" i="7"/>
  <c r="E43" i="7"/>
  <c r="L42" i="7"/>
  <c r="I42" i="7"/>
  <c r="E42" i="7"/>
  <c r="L45" i="7"/>
  <c r="I45" i="7"/>
  <c r="E45" i="7"/>
  <c r="L35" i="7"/>
  <c r="I35" i="7"/>
  <c r="E35" i="7"/>
  <c r="L40" i="7"/>
  <c r="I40" i="7"/>
  <c r="E40" i="7"/>
  <c r="L39" i="7"/>
  <c r="I39" i="7"/>
  <c r="E39" i="7"/>
  <c r="L41" i="7"/>
  <c r="I41" i="7"/>
  <c r="E41" i="7"/>
  <c r="C138" i="1" l="1"/>
  <c r="H203" i="1"/>
  <c r="W129" i="7"/>
  <c r="W131" i="7" s="1"/>
  <c r="D129" i="7"/>
  <c r="E59" i="8"/>
  <c r="F205" i="1"/>
  <c r="H205" i="1" s="1"/>
  <c r="H237" i="1"/>
  <c r="G138" i="1" s="1"/>
  <c r="E138" i="1"/>
  <c r="F231" i="1"/>
  <c r="H231" i="1" s="1"/>
  <c r="F218" i="1"/>
  <c r="H218" i="1" s="1"/>
  <c r="Q59" i="7"/>
  <c r="F219" i="1"/>
  <c r="H219" i="1" s="1"/>
  <c r="F232" i="1"/>
  <c r="H232" i="1" s="1"/>
  <c r="Q119" i="8"/>
  <c r="P119" i="8" s="1"/>
  <c r="P121" i="8" s="1"/>
  <c r="E179" i="8"/>
  <c r="D179" i="8" s="1"/>
  <c r="D181" i="8" s="1"/>
  <c r="E239" i="8"/>
  <c r="D239" i="8" s="1"/>
  <c r="Q179" i="8"/>
  <c r="P179" i="8" s="1"/>
  <c r="P181" i="8" s="1"/>
  <c r="V179" i="8"/>
  <c r="V181" i="8" s="1"/>
  <c r="V119" i="8"/>
  <c r="V121" i="8" s="1"/>
  <c r="E119" i="8"/>
  <c r="E121" i="8" s="1"/>
  <c r="F206" i="1"/>
  <c r="H206" i="1" s="1"/>
  <c r="V59" i="7"/>
  <c r="V61" i="7" s="1"/>
  <c r="A167" i="1"/>
  <c r="C137" i="1" l="1"/>
  <c r="D255" i="1"/>
  <c r="F255" i="1" s="1"/>
  <c r="H255" i="1" s="1"/>
  <c r="D254" i="1"/>
  <c r="F254" i="1" s="1"/>
  <c r="H254" i="1" s="1"/>
  <c r="D131" i="7"/>
  <c r="D251" i="1"/>
  <c r="F251" i="1" s="1"/>
  <c r="H251" i="1" s="1"/>
  <c r="D252" i="1"/>
  <c r="F252" i="1" s="1"/>
  <c r="H252" i="1" s="1"/>
  <c r="G137" i="1"/>
  <c r="E137" i="1"/>
  <c r="P59" i="7"/>
  <c r="D241" i="8"/>
  <c r="D191" i="1"/>
  <c r="F191" i="1" s="1"/>
  <c r="H191" i="1" s="1"/>
  <c r="E241" i="8"/>
  <c r="E181" i="8"/>
  <c r="D119" i="8"/>
  <c r="D121" i="8" s="1"/>
  <c r="U179" i="8"/>
  <c r="Q181" i="8" s="1"/>
  <c r="U119" i="8"/>
  <c r="U121" i="8" s="1"/>
  <c r="U59" i="7"/>
  <c r="Q61" i="7" s="1"/>
  <c r="C102" i="1"/>
  <c r="C88" i="1"/>
  <c r="P61" i="7" l="1"/>
  <c r="D246" i="1"/>
  <c r="F246" i="1" s="1"/>
  <c r="H246" i="1" s="1"/>
  <c r="U181" i="8"/>
  <c r="Q121" i="8"/>
  <c r="U61" i="7"/>
  <c r="F149" i="1"/>
  <c r="H149" i="1" s="1"/>
  <c r="E31" i="1" l="1"/>
  <c r="E26" i="1"/>
  <c r="F259" i="1" l="1"/>
  <c r="H259" i="1" s="1"/>
  <c r="L55" i="7" l="1"/>
  <c r="I55" i="7"/>
  <c r="E55" i="7"/>
  <c r="L54" i="7"/>
  <c r="I54" i="7"/>
  <c r="E54" i="7"/>
  <c r="L49" i="7"/>
  <c r="I49" i="7"/>
  <c r="E49" i="7"/>
  <c r="L38" i="7"/>
  <c r="I38" i="7"/>
  <c r="E38" i="7"/>
  <c r="L27" i="7"/>
  <c r="I27" i="7"/>
  <c r="E27" i="7"/>
  <c r="L26" i="7"/>
  <c r="I26" i="7"/>
  <c r="E26" i="7"/>
  <c r="L25" i="7"/>
  <c r="I25" i="7"/>
  <c r="E25" i="7"/>
  <c r="L58" i="7"/>
  <c r="I58" i="7"/>
  <c r="E58" i="7"/>
  <c r="L57" i="7"/>
  <c r="I57" i="7"/>
  <c r="E57" i="7"/>
  <c r="L56" i="7"/>
  <c r="I56" i="7"/>
  <c r="E56" i="7"/>
  <c r="L53" i="7"/>
  <c r="I53" i="7"/>
  <c r="E53" i="7"/>
  <c r="L52" i="7"/>
  <c r="I52" i="7"/>
  <c r="E52" i="7"/>
  <c r="L51" i="7"/>
  <c r="I51" i="7"/>
  <c r="E51" i="7"/>
  <c r="L50" i="7"/>
  <c r="I50" i="7"/>
  <c r="E50" i="7"/>
  <c r="L37" i="7"/>
  <c r="I37" i="7"/>
  <c r="E37" i="7"/>
  <c r="L36" i="7"/>
  <c r="I36" i="7"/>
  <c r="E36" i="7"/>
  <c r="L34" i="7"/>
  <c r="I34" i="7"/>
  <c r="E34"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59" i="7" l="1"/>
  <c r="D59" i="7" s="1"/>
  <c r="I59" i="7"/>
  <c r="H59" i="7" s="1"/>
  <c r="L59" i="7"/>
  <c r="K59" i="7" s="1"/>
  <c r="D61" i="7" l="1"/>
  <c r="E61" i="7"/>
  <c r="B289" i="1"/>
  <c r="F150" i="1" l="1"/>
  <c r="H150" i="1" s="1"/>
  <c r="F151" i="1"/>
  <c r="H151" i="1" s="1"/>
  <c r="F152" i="1"/>
  <c r="H152" i="1" s="1"/>
  <c r="S33" i="1" l="1"/>
  <c r="F11" i="5" l="1"/>
  <c r="G11" i="5" s="1"/>
  <c r="F10" i="5"/>
  <c r="G10" i="5" s="1"/>
  <c r="F9" i="5"/>
  <c r="G9" i="5" s="1"/>
  <c r="F8" i="5"/>
  <c r="G8" i="5" s="1"/>
  <c r="F7" i="5"/>
  <c r="G7" i="5" s="1"/>
  <c r="F6" i="5"/>
  <c r="G6" i="5" s="1"/>
  <c r="F5" i="5"/>
  <c r="G5" i="5" s="1"/>
  <c r="G12" i="5" s="1"/>
  <c r="D317" i="1"/>
  <c r="B290" i="1"/>
  <c r="F286" i="1"/>
  <c r="H286" i="1" s="1"/>
  <c r="F285" i="1"/>
  <c r="H285" i="1" s="1"/>
  <c r="F284" i="1"/>
  <c r="H284" i="1" s="1"/>
  <c r="F283" i="1"/>
  <c r="H283" i="1" s="1"/>
  <c r="F282" i="1"/>
  <c r="H282" i="1" s="1"/>
  <c r="F280" i="1"/>
  <c r="H280" i="1" s="1"/>
  <c r="F279" i="1"/>
  <c r="H279" i="1" s="1"/>
  <c r="F278" i="1"/>
  <c r="H278" i="1" s="1"/>
  <c r="F277" i="1"/>
  <c r="H277" i="1" s="1"/>
  <c r="F276" i="1"/>
  <c r="H276" i="1" s="1"/>
  <c r="F274" i="1"/>
  <c r="H274" i="1" s="1"/>
  <c r="F273" i="1"/>
  <c r="H273" i="1" s="1"/>
  <c r="F272" i="1"/>
  <c r="H272" i="1" s="1"/>
  <c r="F271" i="1"/>
  <c r="H271" i="1" s="1"/>
  <c r="F270" i="1"/>
  <c r="H270" i="1" s="1"/>
  <c r="F268" i="1"/>
  <c r="H268" i="1" s="1"/>
  <c r="F267" i="1"/>
  <c r="H267" i="1" s="1"/>
  <c r="F266" i="1"/>
  <c r="H266" i="1" s="1"/>
  <c r="F265" i="1"/>
  <c r="H265" i="1" s="1"/>
  <c r="F264" i="1"/>
  <c r="H264" i="1" s="1"/>
  <c r="A264" i="1"/>
  <c r="A265" i="1" s="1"/>
  <c r="A266" i="1" s="1"/>
  <c r="A267" i="1" s="1"/>
  <c r="A268" i="1" s="1"/>
  <c r="F262" i="1"/>
  <c r="H262" i="1" s="1"/>
  <c r="F261" i="1"/>
  <c r="H261" i="1" s="1"/>
  <c r="F260" i="1"/>
  <c r="H260" i="1" s="1"/>
  <c r="A260" i="1"/>
  <c r="A261" i="1" s="1"/>
  <c r="A262" i="1" s="1"/>
  <c r="A150" i="1"/>
  <c r="A151" i="1" s="1"/>
  <c r="A152" i="1" s="1"/>
  <c r="F128" i="1"/>
  <c r="C74" i="1"/>
  <c r="B75" i="1" s="1"/>
  <c r="G51" i="1"/>
  <c r="C51" i="1"/>
  <c r="E44" i="1"/>
  <c r="E45" i="1" s="1"/>
  <c r="E28" i="1"/>
  <c r="C16" i="1"/>
  <c r="I15" i="1"/>
  <c r="Z13" i="1"/>
  <c r="E8" i="1"/>
  <c r="E3" i="1"/>
  <c r="D68" i="1" s="1"/>
  <c r="A276" i="1"/>
  <c r="A282" i="1"/>
  <c r="A270" i="1"/>
  <c r="J84" i="1" l="1"/>
  <c r="J83" i="1"/>
  <c r="J85" i="1"/>
  <c r="A277" i="1"/>
  <c r="A283" i="1"/>
  <c r="A271" i="1"/>
  <c r="H75" i="1"/>
  <c r="J74" i="1" l="1"/>
  <c r="J76" i="1" s="1"/>
  <c r="D81" i="1"/>
  <c r="J77" i="1"/>
  <c r="D86" i="1"/>
  <c r="D87" i="1"/>
  <c r="J78" i="1"/>
  <c r="C78" i="1" s="1"/>
  <c r="D78" i="1" s="1"/>
  <c r="D80" i="1"/>
  <c r="J79" i="1"/>
  <c r="D85" i="1"/>
  <c r="D83" i="1"/>
  <c r="D82" i="1"/>
  <c r="J80" i="1"/>
  <c r="J81" i="1" s="1"/>
  <c r="J86" i="1" s="1"/>
  <c r="D84" i="1"/>
  <c r="B89" i="1"/>
  <c r="A284" i="1"/>
  <c r="A272" i="1"/>
  <c r="H89" i="1"/>
  <c r="A278" i="1"/>
  <c r="J82" i="1" l="1"/>
  <c r="J87" i="1" s="1"/>
  <c r="E78" i="1" s="1"/>
  <c r="G78" i="1"/>
  <c r="D72" i="1" s="1"/>
  <c r="D73" i="1" s="1"/>
  <c r="J75" i="1"/>
  <c r="D79" i="1"/>
  <c r="I75" i="1" s="1"/>
  <c r="I76" i="1" s="1"/>
  <c r="J91" i="1"/>
  <c r="D101" i="1"/>
  <c r="D95" i="1"/>
  <c r="J93" i="1"/>
  <c r="D99" i="1"/>
  <c r="J88" i="1"/>
  <c r="J90" i="1" s="1"/>
  <c r="D96" i="1"/>
  <c r="D100" i="1"/>
  <c r="D94" i="1"/>
  <c r="D98" i="1"/>
  <c r="J92" i="1"/>
  <c r="C92" i="1" s="1"/>
  <c r="D97" i="1"/>
  <c r="J94" i="1"/>
  <c r="J95" i="1" s="1"/>
  <c r="J100" i="1" s="1"/>
  <c r="J99" i="1"/>
  <c r="J98" i="1"/>
  <c r="J97" i="1"/>
  <c r="A273" i="1"/>
  <c r="A279" i="1"/>
  <c r="A285" i="1"/>
  <c r="J96" i="1" l="1"/>
  <c r="J101" i="1" s="1"/>
  <c r="E92" i="1" s="1"/>
  <c r="I74" i="1"/>
  <c r="C76" i="1" s="1"/>
  <c r="F73" i="1"/>
  <c r="B103" i="1"/>
  <c r="D92" i="1"/>
  <c r="A274" i="1"/>
  <c r="A280" i="1"/>
  <c r="H103" i="1"/>
  <c r="A286" i="1"/>
  <c r="D93" i="1" l="1"/>
  <c r="I89" i="1" s="1"/>
  <c r="I90" i="1" s="1"/>
  <c r="G92" i="1"/>
  <c r="J105" i="1"/>
  <c r="D114" i="1"/>
  <c r="J107" i="1"/>
  <c r="C106" i="1" s="1"/>
  <c r="D106" i="1" s="1"/>
  <c r="D113" i="1"/>
  <c r="D112" i="1"/>
  <c r="J106" i="1"/>
  <c r="J102" i="1"/>
  <c r="J104" i="1" s="1"/>
  <c r="D110" i="1"/>
  <c r="D115" i="1"/>
  <c r="D109" i="1"/>
  <c r="D108" i="1"/>
  <c r="D111" i="1"/>
  <c r="J112" i="1"/>
  <c r="J110" i="1"/>
  <c r="J108" i="1"/>
  <c r="J109" i="1" s="1"/>
  <c r="J114" i="1" s="1"/>
  <c r="J115" i="1" s="1"/>
  <c r="C107" i="1" s="1"/>
  <c r="J113" i="1"/>
  <c r="J111" i="1"/>
  <c r="J89" i="1"/>
  <c r="I88" i="1" l="1"/>
  <c r="C90" i="1" s="1"/>
  <c r="E106" i="1"/>
  <c r="D107" i="1"/>
  <c r="I103" i="1" s="1"/>
  <c r="I104" i="1" s="1"/>
  <c r="J103" i="1"/>
  <c r="G106" i="1"/>
  <c r="I102" i="1" l="1"/>
  <c r="C104" i="1" s="1"/>
  <c r="I59" i="8" l="1"/>
  <c r="E61" i="8" s="1"/>
  <c r="Q59" i="8"/>
  <c r="P59" i="8" s="1"/>
  <c r="L59" i="8"/>
  <c r="K59" i="8" s="1"/>
  <c r="V59" i="8"/>
  <c r="U59" i="8" s="1"/>
  <c r="D171" i="1" s="1"/>
  <c r="F171" i="1" s="1"/>
  <c r="H171" i="1" s="1"/>
  <c r="P61" i="8" l="1"/>
  <c r="D169" i="1"/>
  <c r="H59" i="8"/>
  <c r="U61" i="8"/>
  <c r="Q61" i="8"/>
  <c r="V61" i="8"/>
  <c r="D59" i="8"/>
  <c r="D180" i="1" l="1"/>
  <c r="F169" i="1"/>
  <c r="H169" i="1" s="1"/>
  <c r="D61" i="8"/>
  <c r="D166" i="1"/>
  <c r="D167" i="1"/>
  <c r="F167" i="1" l="1"/>
  <c r="H167" i="1" s="1"/>
  <c r="D175" i="1"/>
  <c r="F166" i="1"/>
  <c r="D174" i="1"/>
  <c r="D182" i="1"/>
  <c r="F182" i="1" s="1"/>
  <c r="H182" i="1" s="1"/>
  <c r="J182" i="1" s="1"/>
  <c r="F180" i="1"/>
  <c r="H180" i="1" s="1"/>
  <c r="H166" i="1"/>
  <c r="D177" i="1" l="1"/>
  <c r="F174" i="1"/>
  <c r="D178" i="1"/>
  <c r="F175" i="1"/>
  <c r="H175" i="1" s="1"/>
  <c r="J166" i="1"/>
  <c r="H174" i="1" l="1"/>
  <c r="D186" i="1"/>
  <c r="F178" i="1"/>
  <c r="H178" i="1" s="1"/>
  <c r="D185" i="1"/>
  <c r="F177" i="1"/>
  <c r="H177" i="1" l="1"/>
  <c r="D188" i="1"/>
  <c r="F185" i="1"/>
  <c r="H185" i="1" s="1"/>
  <c r="D189" i="1"/>
  <c r="F186" i="1"/>
  <c r="H186" i="1" s="1"/>
  <c r="D244" i="1" l="1"/>
  <c r="F189" i="1"/>
  <c r="H189" i="1" s="1"/>
  <c r="D243" i="1"/>
  <c r="F188" i="1"/>
  <c r="C136" i="1" s="1"/>
  <c r="C139" i="1" l="1"/>
  <c r="E136" i="1"/>
  <c r="F243" i="1"/>
  <c r="H243" i="1" s="1"/>
  <c r="H188" i="1"/>
  <c r="G136" i="1" s="1"/>
  <c r="C140" i="1"/>
  <c r="F244" i="1"/>
  <c r="H244" i="1" s="1"/>
  <c r="J244" i="1" s="1"/>
  <c r="I244" i="1" l="1"/>
  <c r="K244" i="1" s="1"/>
  <c r="G139" i="1"/>
  <c r="G140" i="1" s="1"/>
  <c r="G141" i="1" s="1"/>
  <c r="E139" i="1"/>
  <c r="E140" i="1" s="1"/>
  <c r="E141" i="1" s="1"/>
  <c r="C141" i="1"/>
  <c r="J136"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<sst xmlns="http://schemas.openxmlformats.org/spreadsheetml/2006/main" count="1253" uniqueCount="472">
  <si>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</si>
  <si>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</si>
  <si>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</si>
  <si>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</si>
  <si>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</si>
  <si>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</si>
  <si>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</si>
  <si>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</si>
  <si>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</si>
  <si>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</si>
  <si>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</si>
  <si>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</si>
  <si>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</si>
  <si>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</si>
  <si>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</si>
  <si>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</si>
  <si>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</si>
  <si>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</si>
  <si>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</si>
  <si>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</si>
  <si>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</si>
  <si>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</si>
  <si>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</si>
  <si>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</si>
  <si>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</si>
  <si>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</si>
  <si>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</si>
  <si>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</si>
  <si>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</si>
  <si>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</si>
  <si>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</si>
  <si>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</si>
  <si>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</si>
  <si>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</si>
  <si>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</si>
  <si>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</si>
  <si>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</si>
  <si>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</si>
  <si>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</si>
  <si>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</si>
  <si>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</si>
  <si>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</si>
  <si>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</si>
  <si>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</si>
  <si>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</si>
  <si>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</si>
  <si>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</si>
  <si>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</si>
  <si>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</si>
  <si>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</si>
  <si>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</si>
  <si>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</si>
  <si>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</si>
  <si>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</si>
  <si>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</si>
  <si>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</si>
  <si>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</si>
  <si>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</si>
  <si>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</si>
  <si>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</si>
  <si>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</si>
  <si>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</si>
  <si>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</si>
  <si>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</si>
  <si>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</si>
  <si>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</si>
  <si>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</si>
  <si>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</si>
  <si>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</si>
  <si>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</si>
  <si>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</si>
  <si>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</si>
  <si>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</si>
  <si>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</si>
  <si>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</si>
  <si>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</si>
  <si>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</si>
  <si>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</si>
  <si>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</si>
  <si>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</si>
  <si>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</si>
  <si>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</si>
  <si>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</si>
  <si>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</si>
  <si>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</si>
  <si>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</si>
  <si>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</si>
  <si>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</si>
  <si>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</si>
  <si>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</si>
  <si>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</si>
  <si>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</si>
  <si>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</si>
  <si>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</si>
  <si>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</si>
  <si>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</si>
  <si>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</si>
  <si>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</si>
  <si>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</si>
  <si>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</si>
  <si>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</si>
  <si>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</si>
  <si>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</si>
  <si>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</si>
  <si>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</si>
  <si>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</si>
  <si>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</si>
  <si>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</si>
  <si>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</si>
  <si>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</si>
  <si>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</si>
  <si>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</si>
  <si>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</si>
  <si>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</si>
  <si>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</si>
  <si>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</si>
  <si>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</si>
  <si>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</si>
  <si>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</si>
  <si>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</si>
  <si>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</si>
  <si>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</si>
  <si>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</si>
  <si>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</si>
  <si>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</si>
  <si>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</si>
  <si>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</si>
  <si>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</si>
  <si>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</si>
  <si>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</si>
  <si>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</si>
  <si>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</si>
  <si>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</si>
  <si>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</si>
  <si>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</si>
  <si>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</si>
  <si>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</si>
  <si>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</si>
  <si>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</si>
  <si>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</si>
  <si>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</si>
  <si>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</si>
  <si>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</si>
  <si>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</si>
  <si>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</si>
  <si>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</si>
  <si>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</si>
  <si>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</si>
  <si>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</si>
  <si>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</si>
  <si>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</si>
  <si>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</si>
  <si>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</si>
  <si>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</si>
  <si>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</si>
  <si>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</si>
  <si>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</si>
  <si>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</si>
  <si>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</si>
  <si>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</si>
  <si>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</si>
  <si>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</si>
  <si>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</si>
  <si>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</si>
  <si>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</si>
  <si>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</si>
  <si>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</si>
  <si>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</si>
  <si>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</si>
  <si>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</si>
  <si>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</si>
  <si>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</si>
  <si>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</si>
  <si>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</si>
  <si>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</si>
  <si>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</si>
  <si>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</si>
  <si>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</si>
  <si>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</si>
  <si>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</si>
  <si>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</si>
  <si>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</si>
  <si>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</si>
  <si>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</si>
  <si>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</si>
  <si>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</si>
  <si>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</si>
  <si>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</si>
  <si>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</si>
  <si>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</si>
  <si>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</si>
  <si>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</si>
  <si>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</si>
  <si>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</si>
  <si>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</si>
  <si>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</si>
  <si>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</si>
  <si>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</si>
  <si>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</si>
  <si>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</si>
  <si>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</si>
  <si>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</si>
  <si>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</si>
  <si>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</si>
  <si>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</si>
  <si>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</si>
  <si>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</si>
  <si>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</si>
  <si>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</si>
  <si>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</si>
  <si>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</si>
  <si>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</si>
  <si>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</si>
  <si>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</si>
  <si>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</si>
  <si>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</si>
  <si>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</si>
  <si>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</si>
  <si>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</si>
  <si>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</si>
  <si>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</si>
  <si>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</si>
  <si>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</si>
  <si>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</si>
  <si>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</si>
  <si>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</si>
  <si>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</si>
  <si>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</si>
  <si>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</si>
  <si>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</si>
  <si>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</si>
  <si>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</si>
  <si>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</si>
  <si>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</si>
  <si>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</si>
  <si>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</si>
  <si>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</si>
  <si>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</si>
  <si>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</si>
  <si>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</si>
  <si>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</si>
  <si>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</si>
  <si>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</si>
  <si>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</si>
  <si>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</si>
  <si>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</si>
  <si>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</si>
  <si>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</si>
  <si>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</si>
  <si>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</si>
  <si>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</si>
  <si>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</si>
  <si>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</si>
  <si>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</si>
  <si>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</si>
  <si>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</si>
  <si>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</si>
  <si>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</si>
  <si>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</si>
  <si>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</si>
  <si>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</si>
  <si>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</si>
  <si>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</si>
  <si>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</si>
  <si>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</si>
  <si>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</si>
  <si>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</si>
  <si>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</si>
  <si>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</si>
  <si>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</si>
  <si>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</si>
  <si>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</si>
  <si>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</si>
  <si>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</si>
  <si>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</si>
  <si>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</si>
  <si>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</si>
  <si>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</si>
  <si>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</si>
  <si>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</si>
  <si>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</si>
  <si>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</si>
  <si>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</si>
  <si>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</si>
  <si>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</si>
  <si>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</si>
  <si>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</si>
  <si>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</si>
  <si>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</si>
  <si>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</si>
  <si>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</si>
  <si>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</si>
  <si>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</si>
  <si>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</si>
  <si>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</si>
  <si>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</si>
  <si>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</si>
  <si>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</si>
  <si>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</si>
  <si>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</si>
  <si>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</si>
  <si>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</si>
  <si>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</si>
  <si>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</si>
  <si>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</si>
  <si>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</si>
  <si>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</si>
  <si>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</si>
  <si>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</si>
  <si>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</si>
  <si>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</si>
  <si>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</si>
  <si>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</si>
  <si>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</si>
  <si>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</si>
  <si>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</si>
  <si>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</si>
  <si>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</si>
  <si>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</si>
  <si>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</si>
  <si>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</si>
  <si>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</si>
  <si>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</si>
  <si>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</si>
  <si>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</si>
  <si>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</si>
  <si>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</si>
  <si>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</si>
  <si>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</si>
  <si>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</si>
  <si>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</si>
  <si>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</si>
  <si>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</si>
  <si>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</si>
  <si>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</si>
  <si>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</si>
  <si>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</si>
  <si>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</si>
  <si>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Prestige Projects Private Limited</t>
  </si>
  <si>
    <t>2193 (Pt)</t>
  </si>
  <si>
    <t>https://maps.app.goo.gl/VDqWpHFyMroYq5E86</t>
  </si>
  <si>
    <t>18.9504333,72.8212283</t>
  </si>
  <si>
    <t>Hemraj Wadi</t>
  </si>
  <si>
    <t>Maharshi Karve Road</t>
  </si>
  <si>
    <t>Charni Road</t>
  </si>
  <si>
    <t>Charni Road Masjid</t>
  </si>
  <si>
    <t>0.5 KM from Charni Road Railway Station</t>
  </si>
  <si>
    <t>Slum</t>
  </si>
  <si>
    <t>Masjid</t>
  </si>
  <si>
    <t>Bhai Jivanji Ln</t>
  </si>
  <si>
    <t>Other Plot</t>
  </si>
  <si>
    <t>27.44 M.W. Maharshi Karve Road</t>
  </si>
  <si>
    <t>18.30 M.W. Dr.Babasaheb Jaykar Marg</t>
  </si>
  <si>
    <t>12.20 M.W. S.K.Patil</t>
  </si>
  <si>
    <t>EB/1525/C/A/FCC/1/New</t>
  </si>
  <si>
    <t>This C.C. is endorsed up to plinth i.e. up to the top slab of 3rd Podium Floor as per approved plan dated 12.9.2023.</t>
  </si>
  <si>
    <t>EB/1525/C/A/337/8/AMEND</t>
  </si>
  <si>
    <t>SNCR/WEST/B/102122/713099</t>
  </si>
  <si>
    <t>As per RERA - 30/06/2030 &amp; 31/12/2030</t>
  </si>
  <si>
    <t>2nd &amp; 1st Basement Floor for Parking</t>
  </si>
  <si>
    <t>Ground Floor for Entrance Looby &amp; Control Room</t>
  </si>
  <si>
    <t>Wing 2 - Tower 2</t>
  </si>
  <si>
    <t>Ground Floor for Entrance lobby &amp; Commercial</t>
  </si>
  <si>
    <t>1st Podium Floor for Parking</t>
  </si>
  <si>
    <t>1st Podium Floor for Meter Room, Panel Room &amp; Parking</t>
  </si>
  <si>
    <t>2nd &amp; 3rd Podium Floor for Society Office &amp; Parking</t>
  </si>
  <si>
    <t>2nd &amp; 3rd Podium Floor for Parking</t>
  </si>
  <si>
    <t>4th Podium Floor for Badminton, Sqaush &amp; Basket Ball Court &amp; Parking</t>
  </si>
  <si>
    <t>4th &amp; 5th Podium Floor for Parking</t>
  </si>
  <si>
    <t>5th Podium Floor for Parking</t>
  </si>
  <si>
    <t>6th Podium Floor for Amenities (Part Refuge Area)</t>
  </si>
  <si>
    <t>7th Floor for Fitness Center</t>
  </si>
  <si>
    <t>8th Service Floor</t>
  </si>
  <si>
    <t>9th to 13th &amp; 15th to 20th &amp; 24th Floor for Residential</t>
  </si>
  <si>
    <t>4BHK</t>
  </si>
  <si>
    <t>Deck Area</t>
  </si>
  <si>
    <t>1 &amp; 2</t>
  </si>
  <si>
    <t>14th Floor (Part Refuge Area)</t>
  </si>
  <si>
    <t>5BHK</t>
  </si>
  <si>
    <t>toilet</t>
  </si>
  <si>
    <t>Bed5</t>
  </si>
  <si>
    <t>21st Floor (Part Refuge Area)</t>
  </si>
  <si>
    <t>Store</t>
  </si>
  <si>
    <t>23rd Floor</t>
  </si>
  <si>
    <t>25th to 28th, 30th to 35th, 37th to 42nd, 46th &amp; 47th Floor</t>
  </si>
  <si>
    <t>29th Floor (Part Refuge Area)</t>
  </si>
  <si>
    <t>29th &amp; 36th Floor</t>
  </si>
  <si>
    <t>29th &amp; 36th Floor (Part Refuge Area)</t>
  </si>
  <si>
    <t>store</t>
  </si>
  <si>
    <t>M.Bed</t>
  </si>
  <si>
    <t>22nd Service Floor</t>
  </si>
  <si>
    <t>43rd Floor (Part Refuge Area)</t>
  </si>
  <si>
    <t>45th Floor</t>
  </si>
  <si>
    <t>48th, 49th &amp; 50th Floor</t>
  </si>
  <si>
    <t>51st Floor (Part Terrace Area)</t>
  </si>
  <si>
    <t>44th Service Floor</t>
  </si>
  <si>
    <t>9th to 13th &amp; 15th to 20th &amp; 22nd Floor for Residential</t>
  </si>
  <si>
    <t>MP Room</t>
  </si>
  <si>
    <t>14th &amp; 21st Floor (Part Refuge Area)</t>
  </si>
  <si>
    <t>Refuge Area</t>
  </si>
  <si>
    <t>Sale</t>
  </si>
  <si>
    <t>AH/RR</t>
  </si>
  <si>
    <t>24th Service Floor</t>
  </si>
  <si>
    <t>35th Floor (Part Terrace Area)</t>
  </si>
  <si>
    <r>
      <t xml:space="preserve">Shop No.
</t>
    </r>
    <r>
      <rPr>
        <b/>
        <sz val="11"/>
        <rFont val="Times New Roman"/>
        <family val="1"/>
      </rPr>
      <t>(Approved Plan)</t>
    </r>
  </si>
  <si>
    <r>
      <t xml:space="preserve">Flat No.
</t>
    </r>
    <r>
      <rPr>
        <b/>
        <sz val="11"/>
        <rFont val="Times New Roman"/>
        <family val="1"/>
      </rPr>
      <t>(Approved Plan)</t>
    </r>
  </si>
  <si>
    <t>AH/RR MP Room</t>
  </si>
  <si>
    <t>Sale MP Room</t>
  </si>
  <si>
    <t>Kids Play Area, Multipurpose court, Amphitheater, Club House, Indoor Games, Landscape Garden, Senior Citizen Area, Banquet Hall, Gym, Swimming Pool</t>
  </si>
  <si>
    <r>
      <t xml:space="preserve">Proposed Amenities :                                                                                                                                                                                                                         </t>
    </r>
    <r>
      <rPr>
        <b/>
        <sz val="12"/>
        <rFont val="Times New Roman"/>
        <family val="1"/>
      </rPr>
      <t xml:space="preserve">                                               </t>
    </r>
  </si>
  <si>
    <t>Karan Misal</t>
  </si>
  <si>
    <t>Online</t>
  </si>
  <si>
    <t>In latest layout &amp; approved floor plan, layout &amp; approved floor plan no. is not given. So we consider it from IOD approved letter.</t>
  </si>
  <si>
    <t>Mrs. Reshma Deep (CRM) - 8867832933</t>
  </si>
  <si>
    <t>S.K. Patil Garden</t>
  </si>
  <si>
    <t xml:space="preserve">Airport Noc No
Site Elevation
Valid Up to: </t>
  </si>
  <si>
    <t>4.65M
275.37 M (Restricted) (AMSL)</t>
  </si>
  <si>
    <t>SEIAA-EC-0000002180</t>
  </si>
  <si>
    <t>Total Plot Area = 9309.94 sq.m</t>
  </si>
  <si>
    <t>Wing 2 (Tower 2) = 2B + Gr/Stilt + P1 to P6 + 7th Floor + 8th to 55th Floor</t>
  </si>
  <si>
    <t>Tower 1</t>
  </si>
  <si>
    <t>Tower 2</t>
  </si>
  <si>
    <t>Wing 1 / Tower 1 (North Tower)</t>
  </si>
  <si>
    <t>Deck area</t>
  </si>
  <si>
    <t>Sale Flats</t>
  </si>
  <si>
    <t>EB/1525/C/A/337/9/Amend</t>
  </si>
  <si>
    <t>Expired CC</t>
  </si>
  <si>
    <t>Wing 1 (Tower 1) = 2B + Gr/Stilt + P1 to P6 + 7th Floor + 8th to 51st Floor (Height = 205.90M)
Wing 2 (Tower 2) = 2B + Gr/Stilt + P1 to P6 + 7th Floor + 8th to 55th Floor
(Height = 221.50M)</t>
  </si>
  <si>
    <t>Wing 1 (Tower 1) = 2B + Gr/Stilt + P1 to P6 + 7th to 51st Floor
Wing 2 (Tower 2) = 2B + Gr/Stilt + P1 to P6 + 7th to 52nd Floor</t>
  </si>
  <si>
    <t>Wing 1 (Tower 1) = 2B + Gr/Stilt + P1 to P6 + 7th Floor + 8th to 55th Floor</t>
  </si>
  <si>
    <t>https://prestige-oceantower.com/</t>
  </si>
  <si>
    <t xml:space="preserve">44th Service Floor </t>
  </si>
  <si>
    <t>48th, 49th, 50th &amp; 52nd Floor</t>
  </si>
  <si>
    <t>51st Floor (Part Refuge Area)</t>
  </si>
  <si>
    <t>P toilet</t>
  </si>
  <si>
    <t>toilet5</t>
  </si>
  <si>
    <t>toilet6</t>
  </si>
  <si>
    <t xml:space="preserve">Dinning </t>
  </si>
  <si>
    <t xml:space="preserve">P toilet </t>
  </si>
  <si>
    <t>toilet2(kit)</t>
  </si>
  <si>
    <t>Toilet 4</t>
  </si>
  <si>
    <t>dinning</t>
  </si>
  <si>
    <t>Bath</t>
  </si>
  <si>
    <t>toilet 5</t>
  </si>
  <si>
    <t>Deck</t>
  </si>
  <si>
    <t>Carpet (No deck)</t>
  </si>
  <si>
    <t>p toilet</t>
  </si>
  <si>
    <t>toilet 4</t>
  </si>
  <si>
    <t>toilet 6</t>
  </si>
  <si>
    <t>In latest layout &amp; approved floor plan, layout &amp; approved floor plan no. is not given. So we consider it from Amended Plan approved letter.</t>
  </si>
  <si>
    <t>CHE/CFO/115757/23</t>
  </si>
  <si>
    <t>EB/1525/C/A-CFO</t>
  </si>
  <si>
    <t>Bhuleshwar Division' C '</t>
  </si>
  <si>
    <t>We have updated approved plans for Tower 1 &amp; 2 (on 28/01/2025).</t>
  </si>
  <si>
    <t>51st Floor (Part Terrace Area Treated As Refuge)</t>
  </si>
  <si>
    <t>We considered Gross carpet area = Net carpet + Deck Area.</t>
  </si>
  <si>
    <t>Wing 2 (Tower 2) ground floor shop numbering is not mentioned in the approved floor plan. So we are unable to draft the commercial area for Wing 2 (Tower 2).</t>
  </si>
  <si>
    <t>Floor Rise Rate from  11th Floor</t>
  </si>
  <si>
    <t>Rate 54K to 65000 FR 200 AKASH Nilesh index2 Case No. South Tower 3202 on 28/02/2025</t>
  </si>
  <si>
    <t>82150 Rate Required</t>
  </si>
  <si>
    <t xml:space="preserve">North Tower (Tower 1) </t>
  </si>
  <si>
    <t>Prestige Ocean Towers - North</t>
  </si>
  <si>
    <t>P51900053993</t>
  </si>
  <si>
    <t>01 Building</t>
  </si>
  <si>
    <t>Shruti Fule</t>
  </si>
  <si>
    <t>Validity of CC is expired on 16/02/2024. Please provide Revised Approved CC.</t>
  </si>
  <si>
    <t>Approved area of building (Sq.Mt)
Wing 1(Tower 1)</t>
  </si>
  <si>
    <t>Sale Flats - 73</t>
  </si>
  <si>
    <t>Jio Fianance</t>
  </si>
  <si>
    <t xml:space="preserve">JFL Kopar Khairane	</t>
  </si>
  <si>
    <t>Construction work is in process at the time of visit (Labour Found).</t>
  </si>
  <si>
    <t>We have referred approved plan and CC from the MCGM site on 20/08/2025.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</si>
</sst>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
      <sz val="8"/>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31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3" fillId="0" borderId="1" xfId="1" applyFont="1" applyBorder="1" applyAlignment="1" applyProtection="1">
      <alignment horizontal="center" vertical="top"/>
      <protection locked="0"/>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3"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0"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Border="1" applyAlignment="1">
      <alignment horizontal="center" vertical="top"/>
    </xf>
    <xf numFmtId="0" fontId="10" fillId="0" borderId="1" xfId="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2" fontId="0" fillId="0" borderId="0" xfId="0" applyNumberFormat="1" applyAlignment="1">
      <alignment horizontal="center" vertical="center"/>
    </xf>
    <xf numFmtId="2" fontId="0" fillId="0" borderId="2" xfId="0" applyNumberFormat="1" applyBorder="1" applyAlignment="1">
      <alignment horizontal="center" vertical="center"/>
    </xf>
    <xf numFmtId="2" fontId="8"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0" fillId="4" borderId="1" xfId="0" applyNumberFormat="1" applyFill="1" applyBorder="1" applyAlignment="1">
      <alignment horizontal="center" vertical="center"/>
    </xf>
    <xf numFmtId="0" fontId="0" fillId="0" borderId="0" xfId="0" applyAlignment="1">
      <alignment vertical="center"/>
    </xf>
    <xf numFmtId="1" fontId="6" fillId="0" borderId="1" xfId="1" applyNumberFormat="1" applyFont="1" applyBorder="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6" fillId="0" borderId="0" xfId="0" applyNumberFormat="1" applyFont="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0" fontId="13" fillId="0" borderId="0" xfId="1" applyFont="1" applyAlignment="1">
      <alignment horizontal="center" vertical="center"/>
    </xf>
    <xf numFmtId="0" fontId="27" fillId="0" borderId="0" xfId="1" applyFont="1" applyAlignment="1">
      <alignment horizontal="center" vertical="center"/>
    </xf>
    <xf numFmtId="0" fontId="13" fillId="0" borderId="0" xfId="2" applyFont="1" applyAlignment="1">
      <alignment horizontal="center" vertical="center"/>
    </xf>
    <xf numFmtId="0" fontId="15" fillId="0" borderId="0" xfId="1" applyFont="1"/>
    <xf numFmtId="0" fontId="0" fillId="2" borderId="8" xfId="0" applyFill="1" applyBorder="1" applyAlignment="1">
      <alignment horizontal="center" vertical="center"/>
    </xf>
    <xf numFmtId="1" fontId="0" fillId="0" borderId="1" xfId="0" applyNumberFormat="1" applyBorder="1" applyAlignment="1">
      <alignment horizontal="center" vertical="center"/>
    </xf>
    <xf numFmtId="1" fontId="0" fillId="4" borderId="1" xfId="0" applyNumberFormat="1" applyFill="1" applyBorder="1" applyAlignment="1">
      <alignment horizontal="center" vertical="center"/>
    </xf>
    <xf numFmtId="0" fontId="28" fillId="0" borderId="1" xfId="0" applyFont="1" applyBorder="1" applyAlignment="1">
      <alignment horizontal="center" vertical="center"/>
    </xf>
    <xf numFmtId="0" fontId="0" fillId="4" borderId="0" xfId="0" applyFill="1" applyAlignment="1">
      <alignment vertical="center"/>
    </xf>
    <xf numFmtId="0" fontId="0" fillId="2" borderId="1" xfId="0" applyFill="1" applyBorder="1" applyAlignment="1">
      <alignment vertical="center"/>
    </xf>
    <xf numFmtId="1" fontId="0" fillId="2" borderId="1" xfId="0" applyNumberFormat="1" applyFill="1" applyBorder="1" applyAlignment="1">
      <alignment vertical="center"/>
    </xf>
    <xf numFmtId="0" fontId="0" fillId="0" borderId="1" xfId="0" applyBorder="1" applyAlignment="1">
      <alignment vertical="center"/>
    </xf>
    <xf numFmtId="0" fontId="0" fillId="4" borderId="1" xfId="0" applyFill="1" applyBorder="1" applyAlignment="1">
      <alignment vertical="center"/>
    </xf>
    <xf numFmtId="2" fontId="0" fillId="0" borderId="0" xfId="0" applyNumberFormat="1" applyAlignment="1">
      <alignment vertical="center"/>
    </xf>
    <xf numFmtId="0" fontId="0" fillId="4" borderId="0" xfId="0" applyFill="1" applyAlignment="1">
      <alignment horizontal="center" vertical="center"/>
    </xf>
    <xf numFmtId="0" fontId="24" fillId="0" borderId="0" xfId="10"/>
    <xf numFmtId="0" fontId="6" fillId="0" borderId="1" xfId="1" applyFont="1" applyBorder="1" applyAlignment="1" applyProtection="1">
      <alignment vertical="top" wrapText="1"/>
      <protection locked="0"/>
    </xf>
    <xf numFmtId="0" fontId="5" fillId="0" borderId="0" xfId="1" applyFont="1" applyAlignment="1" applyProtection="1">
      <alignment vertical="top"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1" fontId="7" fillId="0" borderId="1"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10" fillId="0" borderId="3"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5"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25"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0" fontId="7" fillId="0" borderId="16" xfId="1" applyFont="1" applyBorder="1" applyAlignment="1" applyProtection="1">
      <alignment horizontal="center" vertical="top"/>
      <protection locked="0"/>
    </xf>
    <xf numFmtId="1" fontId="10" fillId="0" borderId="21" xfId="1" applyNumberFormat="1" applyFont="1" applyBorder="1" applyAlignment="1" applyProtection="1">
      <alignment horizontal="center" vertical="center"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center" wrapText="1"/>
      <protection locked="0"/>
    </xf>
    <xf numFmtId="1" fontId="7" fillId="0" borderId="34" xfId="0" applyNumberFormat="1" applyFont="1" applyBorder="1" applyAlignment="1" applyProtection="1">
      <alignment horizontal="center" vertical="center" wrapText="1"/>
      <protection locked="0"/>
    </xf>
    <xf numFmtId="0" fontId="9" fillId="0" borderId="34" xfId="0" applyFont="1" applyBorder="1" applyAlignment="1" applyProtection="1">
      <alignment horizontal="center" vertical="center"/>
      <protection locked="0"/>
    </xf>
    <xf numFmtId="0" fontId="9" fillId="0" borderId="34" xfId="0"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11"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29"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10" fillId="0" borderId="1" xfId="1" applyFont="1" applyBorder="1" applyAlignment="1" applyProtection="1">
      <alignment horizontal="left"/>
      <protection locked="0"/>
    </xf>
    <xf numFmtId="164" fontId="10"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0" fontId="10" fillId="0" borderId="1" xfId="1" applyFont="1" applyBorder="1" applyAlignment="1" applyProtection="1">
      <alignment horizontal="center"/>
      <protection locked="0"/>
    </xf>
    <xf numFmtId="0" fontId="11" fillId="0" borderId="1" xfId="1" applyFont="1" applyBorder="1" applyAlignment="1" applyProtection="1">
      <alignment horizontal="center"/>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25"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10" fillId="0" borderId="21" xfId="1" applyFont="1" applyBorder="1" applyAlignment="1" applyProtection="1">
      <alignment horizontal="left" vertical="top" wrapText="1"/>
      <protection locked="0"/>
    </xf>
    <xf numFmtId="0" fontId="10" fillId="0" borderId="9"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0" fillId="0" borderId="18"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0" fillId="0" borderId="19"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4" fontId="10" fillId="0" borderId="8" xfId="1" applyNumberFormat="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24"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 fontId="5" fillId="0" borderId="3" xfId="0" applyNumberFormat="1" applyFont="1" applyBorder="1" applyAlignment="1" applyProtection="1">
      <alignment horizontal="center" vertical="center" wrapText="1"/>
      <protection locked="0"/>
    </xf>
    <xf numFmtId="1" fontId="5" fillId="0" borderId="32"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7" fillId="5" borderId="8" xfId="1" applyNumberFormat="1" applyFont="1" applyFill="1" applyBorder="1" applyAlignment="1" applyProtection="1">
      <alignment horizontal="center" vertical="center" wrapText="1"/>
      <protection locked="0"/>
    </xf>
    <xf numFmtId="1" fontId="7" fillId="5" borderId="21" xfId="1" applyNumberFormat="1" applyFont="1" applyFill="1" applyBorder="1" applyAlignment="1" applyProtection="1">
      <alignment horizontal="center" vertical="center" wrapText="1"/>
      <protection locked="0"/>
    </xf>
    <xf numFmtId="1" fontId="7" fillId="5" borderId="9" xfId="1" applyNumberFormat="1"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7" fillId="0" borderId="34" xfId="0" applyNumberFormat="1" applyFont="1" applyBorder="1" applyAlignment="1" applyProtection="1">
      <alignment horizontal="center" vertical="top" wrapText="1"/>
      <protection locked="0"/>
    </xf>
    <xf numFmtId="1" fontId="7" fillId="0" borderId="35"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11" fillId="5" borderId="8" xfId="1" applyNumberFormat="1" applyFont="1" applyFill="1" applyBorder="1" applyAlignment="1" applyProtection="1">
      <alignment horizontal="center" vertical="center" wrapText="1"/>
      <protection locked="0"/>
    </xf>
    <xf numFmtId="1" fontId="11" fillId="5" borderId="21" xfId="1" applyNumberFormat="1" applyFont="1" applyFill="1" applyBorder="1" applyAlignment="1" applyProtection="1">
      <alignment horizontal="center" vertical="center" wrapText="1"/>
      <protection locked="0"/>
    </xf>
    <xf numFmtId="1" fontId="11" fillId="5" borderId="9" xfId="1" applyNumberFormat="1"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0" fillId="0" borderId="0" xfId="0" applyAlignment="1">
      <alignment horizontal="center" vertical="center"/>
    </xf>
    <xf numFmtId="1" fontId="0" fillId="2" borderId="1" xfId="0" applyNumberFormat="1" applyFill="1" applyBorder="1" applyAlignment="1">
      <alignment horizontal="center" vertical="center" wrapText="1"/>
    </xf>
    <xf numFmtId="0" fontId="0" fillId="2" borderId="9" xfId="0" applyFill="1" applyBorder="1" applyAlignment="1">
      <alignment horizontal="center" vertical="center" wrapText="1"/>
    </xf>
    <xf numFmtId="0" fontId="0" fillId="4" borderId="1" xfId="0" applyFill="1" applyBorder="1" applyAlignment="1">
      <alignment horizontal="center" vertical="center"/>
    </xf>
    <xf numFmtId="1" fontId="0" fillId="2" borderId="25" xfId="0" applyNumberFormat="1" applyFill="1" applyBorder="1" applyAlignment="1">
      <alignment horizontal="center" vertical="center" wrapText="1"/>
    </xf>
    <xf numFmtId="1" fontId="0" fillId="2" borderId="0" xfId="0" applyNumberFormat="1" applyFill="1" applyAlignment="1">
      <alignment horizontal="center" vertical="center" wrapText="1"/>
    </xf>
    <xf numFmtId="14" fontId="6" fillId="0" borderId="1" xfId="1" applyNumberFormat="1" applyFont="1" applyBorder="1" applyAlignment="1" applyProtection="1">
      <alignment horizontal="left" vertical="top"/>
      <protection locked="0"/>
    </xf>
    <xf numFmtId="167" fontId="6" fillId="0" borderId="1" xfId="9" applyNumberFormat="1" applyFont="1" applyFill="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8</xdr:col>
      <xdr:colOff>241300</xdr:colOff>
      <xdr:row>15</xdr:row>
      <xdr:rowOff>393700</xdr:rowOff>
    </xdr:from>
    <xdr:to>
      <xdr:col>11</xdr:col>
      <xdr:colOff>834575</xdr:colOff>
      <xdr:row>18</xdr:row>
      <xdr:rowOff>42637</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864350" y="4362450"/>
          <a:ext cx="3600000" cy="671287"/>
        </a:xfrm>
        <a:prstGeom prst="rect">
          <a:avLst/>
        </a:prstGeom>
        <a:ln>
          <a:solidFill>
            <a:schemeClr val="tx1"/>
          </a:solidFill>
        </a:ln>
      </xdr:spPr>
    </xdr:pic>
    <xdr:clientData/>
  </xdr:twoCellAnchor>
  <xdr:twoCellAnchor editAs="oneCell">
    <xdr:from>
      <xdr:col>0</xdr:col>
      <xdr:colOff>605218</xdr:colOff>
      <xdr:row>403</xdr:row>
      <xdr:rowOff>103731</xdr:rowOff>
    </xdr:from>
    <xdr:to>
      <xdr:col>7</xdr:col>
      <xdr:colOff>150518</xdr:colOff>
      <xdr:row>421</xdr:row>
      <xdr:rowOff>34925</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05218" y="72903306"/>
          <a:ext cx="5126950" cy="3531644"/>
        </a:xfrm>
        <a:prstGeom prst="rect">
          <a:avLst/>
        </a:prstGeom>
        <a:ln>
          <a:solidFill>
            <a:schemeClr val="tx1"/>
          </a:solidFill>
        </a:ln>
      </xdr:spPr>
    </xdr:pic>
    <xdr:clientData/>
  </xdr:twoCellAnchor>
  <xdr:twoCellAnchor>
    <xdr:from>
      <xdr:col>0</xdr:col>
      <xdr:colOff>287020</xdr:colOff>
      <xdr:row>421</xdr:row>
      <xdr:rowOff>127000</xdr:rowOff>
    </xdr:from>
    <xdr:to>
      <xdr:col>7</xdr:col>
      <xdr:colOff>369657</xdr:colOff>
      <xdr:row>443</xdr:row>
      <xdr:rowOff>68580</xdr:rowOff>
    </xdr:to>
    <xdr:grpSp>
      <xdr:nvGrpSpPr>
        <xdr:cNvPr id="3" name="Group 2">
          <a:extLst>
            <a:ext uri="{FF2B5EF4-FFF2-40B4-BE49-F238E27FC236}">
              <a16:creationId xmlns:a16="http://schemas.microsoft.com/office/drawing/2014/main" xmlns="" id="{3392897F-C6C3-428C-8663-A24120D663E0}"/>
            </a:ext>
          </a:extLst>
        </xdr:cNvPr>
        <xdr:cNvGrpSpPr/>
      </xdr:nvGrpSpPr>
      <xdr:grpSpPr>
        <a:xfrm>
          <a:off x="287020" y="56724550"/>
          <a:ext cx="5673812" cy="4342130"/>
          <a:chOff x="565150" y="72898000"/>
          <a:chExt cx="5664287" cy="4594921"/>
        </a:xfrm>
      </xdr:grpSpPr>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565150" y="72898000"/>
            <a:ext cx="5664287" cy="4594921"/>
          </a:xfrm>
          <a:prstGeom prst="rect">
            <a:avLst/>
          </a:prstGeom>
          <a:ln>
            <a:solidFill>
              <a:schemeClr val="tx1"/>
            </a:solidFill>
          </a:ln>
        </xdr:spPr>
      </xdr:pic>
      <xdr:sp macro="" textlink="">
        <xdr:nvSpPr>
          <xdr:cNvPr id="7" name="Rectangle 6">
            <a:extLst>
              <a:ext uri="{FF2B5EF4-FFF2-40B4-BE49-F238E27FC236}">
                <a16:creationId xmlns:a16="http://schemas.microsoft.com/office/drawing/2014/main" xmlns="" id="{00000000-0008-0000-0000-000007000000}"/>
              </a:ext>
            </a:extLst>
          </xdr:cNvPr>
          <xdr:cNvSpPr/>
        </xdr:nvSpPr>
        <xdr:spPr>
          <a:xfrm rot="20258903">
            <a:off x="2544590" y="74454822"/>
            <a:ext cx="1412513" cy="150355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clientData/>
  </xdr:twoCellAnchor>
  <xdr:twoCellAnchor editAs="oneCell">
    <xdr:from>
      <xdr:col>10</xdr:col>
      <xdr:colOff>694251</xdr:colOff>
      <xdr:row>332</xdr:row>
      <xdr:rowOff>40056</xdr:rowOff>
    </xdr:from>
    <xdr:to>
      <xdr:col>15</xdr:col>
      <xdr:colOff>85695</xdr:colOff>
      <xdr:row>346</xdr:row>
      <xdr:rowOff>167331</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933376" y="58637856"/>
          <a:ext cx="3668169" cy="2927625"/>
        </a:xfrm>
        <a:prstGeom prst="rect">
          <a:avLst/>
        </a:prstGeom>
        <a:ln>
          <a:solidFill>
            <a:schemeClr val="tx1"/>
          </a:solidFill>
        </a:ln>
      </xdr:spPr>
    </xdr:pic>
    <xdr:clientData/>
  </xdr:twoCellAnchor>
  <xdr:twoCellAnchor editAs="oneCell">
    <xdr:from>
      <xdr:col>12</xdr:col>
      <xdr:colOff>687019</xdr:colOff>
      <xdr:row>317</xdr:row>
      <xdr:rowOff>3175</xdr:rowOff>
    </xdr:from>
    <xdr:to>
      <xdr:col>15</xdr:col>
      <xdr:colOff>295245</xdr:colOff>
      <xdr:row>331</xdr:row>
      <xdr:rowOff>136800</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554919" y="55610125"/>
          <a:ext cx="2046626" cy="2924450"/>
        </a:xfrm>
        <a:prstGeom prst="rect">
          <a:avLst/>
        </a:prstGeom>
        <a:ln>
          <a:solidFill>
            <a:schemeClr val="tx1"/>
          </a:solidFill>
        </a:ln>
      </xdr:spPr>
    </xdr:pic>
    <xdr:clientData/>
  </xdr:twoCellAnchor>
  <xdr:twoCellAnchor editAs="oneCell">
    <xdr:from>
      <xdr:col>8</xdr:col>
      <xdr:colOff>412750</xdr:colOff>
      <xdr:row>332</xdr:row>
      <xdr:rowOff>40056</xdr:rowOff>
    </xdr:from>
    <xdr:to>
      <xdr:col>10</xdr:col>
      <xdr:colOff>570251</xdr:colOff>
      <xdr:row>346</xdr:row>
      <xdr:rowOff>167331</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727825" y="58637856"/>
          <a:ext cx="2081551" cy="2927625"/>
        </a:xfrm>
        <a:prstGeom prst="rect">
          <a:avLst/>
        </a:prstGeom>
        <a:ln>
          <a:solidFill>
            <a:schemeClr val="tx1"/>
          </a:solidFill>
        </a:ln>
      </xdr:spPr>
    </xdr:pic>
    <xdr:clientData/>
  </xdr:twoCellAnchor>
  <xdr:twoCellAnchor editAs="oneCell">
    <xdr:from>
      <xdr:col>8</xdr:col>
      <xdr:colOff>412750</xdr:colOff>
      <xdr:row>317</xdr:row>
      <xdr:rowOff>3175</xdr:rowOff>
    </xdr:from>
    <xdr:to>
      <xdr:col>12</xdr:col>
      <xdr:colOff>324894</xdr:colOff>
      <xdr:row>331</xdr:row>
      <xdr:rowOff>136800</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727825" y="55610125"/>
          <a:ext cx="3674519" cy="2924450"/>
        </a:xfrm>
        <a:prstGeom prst="rect">
          <a:avLst/>
        </a:prstGeom>
        <a:ln>
          <a:solidFill>
            <a:schemeClr val="tx1"/>
          </a:solidFill>
        </a:ln>
      </xdr:spPr>
    </xdr:pic>
    <xdr:clientData/>
  </xdr:twoCellAnchor>
  <xdr:twoCellAnchor editAs="oneCell">
    <xdr:from>
      <xdr:col>8</xdr:col>
      <xdr:colOff>1034415</xdr:colOff>
      <xdr:row>52</xdr:row>
      <xdr:rowOff>255270</xdr:rowOff>
    </xdr:from>
    <xdr:to>
      <xdr:col>14</xdr:col>
      <xdr:colOff>108975</xdr:colOff>
      <xdr:row>64</xdr:row>
      <xdr:rowOff>141402</xdr:rowOff>
    </xdr:to>
    <xdr:pic>
      <xdr:nvPicPr>
        <xdr:cNvPr id="12" name="Picture 11">
          <a:extLst>
            <a:ext uri="{FF2B5EF4-FFF2-40B4-BE49-F238E27FC236}">
              <a16:creationId xmlns:a16="http://schemas.microsoft.com/office/drawing/2014/main" xmlns="" id="{FE5CDF00-2472-1C52-DA38-4710EC20F84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7549515" y="11807190"/>
          <a:ext cx="4614300" cy="3337992"/>
        </a:xfrm>
        <a:prstGeom prst="rect">
          <a:avLst/>
        </a:prstGeom>
        <a:ln>
          <a:solidFill>
            <a:schemeClr val="tx1"/>
          </a:solidFill>
        </a:ln>
      </xdr:spPr>
    </xdr:pic>
    <xdr:clientData/>
  </xdr:twoCellAnchor>
  <xdr:twoCellAnchor editAs="oneCell">
    <xdr:from>
      <xdr:col>2</xdr:col>
      <xdr:colOff>452437</xdr:colOff>
      <xdr:row>387</xdr:row>
      <xdr:rowOff>17145</xdr:rowOff>
    </xdr:from>
    <xdr:to>
      <xdr:col>5</xdr:col>
      <xdr:colOff>289262</xdr:colOff>
      <xdr:row>401</xdr:row>
      <xdr:rowOff>94890</xdr:rowOff>
    </xdr:to>
    <xdr:pic>
      <xdr:nvPicPr>
        <xdr:cNvPr id="13" name="Picture 12">
          <a:extLst>
            <a:ext uri="{FF2B5EF4-FFF2-40B4-BE49-F238E27FC236}">
              <a16:creationId xmlns:a16="http://schemas.microsoft.com/office/drawing/2014/main" xmlns="" id="{FD3B529F-2C6D-5C81-9411-366C1A3602C3}"/>
            </a:ext>
          </a:extLst>
        </xdr:cNvPr>
        <xdr:cNvPicPr>
          <a:picLocks noChangeAspect="1"/>
        </xdr:cNvPicPr>
      </xdr:nvPicPr>
      <xdr:blipFill>
        <a:blip xmlns:r="http://schemas.openxmlformats.org/officeDocument/2006/relationships" r:embed="rId9"/>
        <a:stretch>
          <a:fillRect/>
        </a:stretch>
      </xdr:blipFill>
      <xdr:spPr>
        <a:xfrm>
          <a:off x="2060257" y="48259365"/>
          <a:ext cx="2465725" cy="2851425"/>
        </a:xfrm>
        <a:prstGeom prst="rect">
          <a:avLst/>
        </a:prstGeom>
        <a:ln>
          <a:solidFill>
            <a:schemeClr val="tx1"/>
          </a:solidFill>
        </a:ln>
      </xdr:spPr>
    </xdr:pic>
    <xdr:clientData/>
  </xdr:twoCellAnchor>
  <xdr:twoCellAnchor>
    <xdr:from>
      <xdr:col>0</xdr:col>
      <xdr:colOff>733425</xdr:colOff>
      <xdr:row>361</xdr:row>
      <xdr:rowOff>57150</xdr:rowOff>
    </xdr:from>
    <xdr:to>
      <xdr:col>6</xdr:col>
      <xdr:colOff>666750</xdr:colOff>
      <xdr:row>386</xdr:row>
      <xdr:rowOff>114300</xdr:rowOff>
    </xdr:to>
    <xdr:grpSp>
      <xdr:nvGrpSpPr>
        <xdr:cNvPr id="14" name="Group 13">
          <a:extLst>
            <a:ext uri="{FF2B5EF4-FFF2-40B4-BE49-F238E27FC236}">
              <a16:creationId xmlns:a16="http://schemas.microsoft.com/office/drawing/2014/main" xmlns="" id="{CDC5C70A-3792-048A-21C2-A1499F453A92}"/>
            </a:ext>
          </a:extLst>
        </xdr:cNvPr>
        <xdr:cNvGrpSpPr/>
      </xdr:nvGrpSpPr>
      <xdr:grpSpPr>
        <a:xfrm>
          <a:off x="733425" y="44653200"/>
          <a:ext cx="4791075" cy="5057775"/>
          <a:chOff x="2108994" y="1381125"/>
          <a:chExt cx="4781550" cy="5057775"/>
        </a:xfrm>
      </xdr:grpSpPr>
      <xdr:pic>
        <xdr:nvPicPr>
          <xdr:cNvPr id="15" name="Picture 14">
            <a:extLst>
              <a:ext uri="{FF2B5EF4-FFF2-40B4-BE49-F238E27FC236}">
                <a16:creationId xmlns:a16="http://schemas.microsoft.com/office/drawing/2014/main" xmlns="" id="{57F9A513-1E6E-7FA3-5ED5-E24B6573324A}"/>
              </a:ext>
            </a:extLst>
          </xdr:cNvPr>
          <xdr:cNvPicPr>
            <a:picLocks noChangeAspect="1"/>
          </xdr:cNvPicPr>
        </xdr:nvPicPr>
        <xdr:blipFill>
          <a:blip xmlns:r="http://schemas.openxmlformats.org/officeDocument/2006/relationships" r:embed="rId10"/>
          <a:stretch>
            <a:fillRect/>
          </a:stretch>
        </xdr:blipFill>
        <xdr:spPr>
          <a:xfrm>
            <a:off x="2108994" y="1381125"/>
            <a:ext cx="4781550" cy="5057775"/>
          </a:xfrm>
          <a:prstGeom prst="rect">
            <a:avLst/>
          </a:prstGeom>
          <a:ln>
            <a:solidFill>
              <a:schemeClr val="tx1"/>
            </a:solidFill>
          </a:ln>
        </xdr:spPr>
      </xdr:pic>
      <xdr:sp macro="" textlink="">
        <xdr:nvSpPr>
          <xdr:cNvPr id="16" name="Freeform: Shape 15">
            <a:extLst>
              <a:ext uri="{FF2B5EF4-FFF2-40B4-BE49-F238E27FC236}">
                <a16:creationId xmlns:a16="http://schemas.microsoft.com/office/drawing/2014/main" xmlns="" id="{0E457403-830C-9FEC-114D-1875586163A9}"/>
              </a:ext>
            </a:extLst>
          </xdr:cNvPr>
          <xdr:cNvSpPr/>
        </xdr:nvSpPr>
        <xdr:spPr>
          <a:xfrm>
            <a:off x="4095750" y="4391025"/>
            <a:ext cx="1114425" cy="1466850"/>
          </a:xfrm>
          <a:custGeom>
            <a:avLst/>
            <a:gdLst>
              <a:gd name="connsiteX0" fmla="*/ 0 w 1114425"/>
              <a:gd name="connsiteY0" fmla="*/ 28575 h 1466850"/>
              <a:gd name="connsiteX1" fmla="*/ 19050 w 1114425"/>
              <a:gd name="connsiteY1" fmla="*/ 1457325 h 1466850"/>
              <a:gd name="connsiteX2" fmla="*/ 561975 w 1114425"/>
              <a:gd name="connsiteY2" fmla="*/ 1466850 h 1466850"/>
              <a:gd name="connsiteX3" fmla="*/ 533400 w 1114425"/>
              <a:gd name="connsiteY3" fmla="*/ 1057275 h 1466850"/>
              <a:gd name="connsiteX4" fmla="*/ 1114425 w 1114425"/>
              <a:gd name="connsiteY4" fmla="*/ 1028700 h 1466850"/>
              <a:gd name="connsiteX5" fmla="*/ 1104900 w 1114425"/>
              <a:gd name="connsiteY5" fmla="*/ 409575 h 1466850"/>
              <a:gd name="connsiteX6" fmla="*/ 476250 w 1114425"/>
              <a:gd name="connsiteY6" fmla="*/ 390525 h 1466850"/>
              <a:gd name="connsiteX7" fmla="*/ 476250 w 1114425"/>
              <a:gd name="connsiteY7" fmla="*/ 0 h 1466850"/>
              <a:gd name="connsiteX8" fmla="*/ 0 w 1114425"/>
              <a:gd name="connsiteY8" fmla="*/ 28575 h 1466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14425" h="1466850">
                <a:moveTo>
                  <a:pt x="0" y="28575"/>
                </a:moveTo>
                <a:lnTo>
                  <a:pt x="19050" y="1457325"/>
                </a:lnTo>
                <a:lnTo>
                  <a:pt x="561975" y="1466850"/>
                </a:lnTo>
                <a:lnTo>
                  <a:pt x="533400" y="1057275"/>
                </a:lnTo>
                <a:lnTo>
                  <a:pt x="1114425" y="1028700"/>
                </a:lnTo>
                <a:lnTo>
                  <a:pt x="1104900" y="409575"/>
                </a:lnTo>
                <a:lnTo>
                  <a:pt x="476250" y="390525"/>
                </a:lnTo>
                <a:lnTo>
                  <a:pt x="476250" y="0"/>
                </a:lnTo>
                <a:lnTo>
                  <a:pt x="0" y="28575"/>
                </a:lnTo>
                <a:close/>
              </a:path>
            </a:pathLst>
          </a:cu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Freeform: Shape 16">
            <a:extLst>
              <a:ext uri="{FF2B5EF4-FFF2-40B4-BE49-F238E27FC236}">
                <a16:creationId xmlns:a16="http://schemas.microsoft.com/office/drawing/2014/main" xmlns="" id="{3C5886D1-A771-33D5-06D8-6FD9DCC04AEF}"/>
              </a:ext>
            </a:extLst>
          </xdr:cNvPr>
          <xdr:cNvSpPr/>
        </xdr:nvSpPr>
        <xdr:spPr>
          <a:xfrm>
            <a:off x="4295775" y="3000375"/>
            <a:ext cx="1504950" cy="1552575"/>
          </a:xfrm>
          <a:custGeom>
            <a:avLst/>
            <a:gdLst>
              <a:gd name="connsiteX0" fmla="*/ 0 w 1504950"/>
              <a:gd name="connsiteY0" fmla="*/ 981075 h 1552575"/>
              <a:gd name="connsiteX1" fmla="*/ 1000125 w 1504950"/>
              <a:gd name="connsiteY1" fmla="*/ 0 h 1552575"/>
              <a:gd name="connsiteX2" fmla="*/ 1400175 w 1504950"/>
              <a:gd name="connsiteY2" fmla="*/ 371475 h 1552575"/>
              <a:gd name="connsiteX3" fmla="*/ 1143000 w 1504950"/>
              <a:gd name="connsiteY3" fmla="*/ 628650 h 1552575"/>
              <a:gd name="connsiteX4" fmla="*/ 1504950 w 1504950"/>
              <a:gd name="connsiteY4" fmla="*/ 1057275 h 1552575"/>
              <a:gd name="connsiteX5" fmla="*/ 981075 w 1504950"/>
              <a:gd name="connsiteY5" fmla="*/ 1552575 h 1552575"/>
              <a:gd name="connsiteX6" fmla="*/ 542925 w 1504950"/>
              <a:gd name="connsiteY6" fmla="*/ 1133475 h 1552575"/>
              <a:gd name="connsiteX7" fmla="*/ 323850 w 1504950"/>
              <a:gd name="connsiteY7" fmla="*/ 1371600 h 1552575"/>
              <a:gd name="connsiteX8" fmla="*/ 0 w 1504950"/>
              <a:gd name="connsiteY8" fmla="*/ 981075 h 1552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04950" h="1552575">
                <a:moveTo>
                  <a:pt x="0" y="981075"/>
                </a:moveTo>
                <a:lnTo>
                  <a:pt x="1000125" y="0"/>
                </a:lnTo>
                <a:lnTo>
                  <a:pt x="1400175" y="371475"/>
                </a:lnTo>
                <a:lnTo>
                  <a:pt x="1143000" y="628650"/>
                </a:lnTo>
                <a:lnTo>
                  <a:pt x="1504950" y="1057275"/>
                </a:lnTo>
                <a:lnTo>
                  <a:pt x="981075" y="1552575"/>
                </a:lnTo>
                <a:lnTo>
                  <a:pt x="542925" y="1133475"/>
                </a:lnTo>
                <a:lnTo>
                  <a:pt x="323850" y="1371600"/>
                </a:lnTo>
                <a:lnTo>
                  <a:pt x="0" y="981075"/>
                </a:lnTo>
                <a:close/>
              </a:path>
            </a:pathLst>
          </a:cu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TextBox 10">
            <a:extLst>
              <a:ext uri="{FF2B5EF4-FFF2-40B4-BE49-F238E27FC236}">
                <a16:creationId xmlns:a16="http://schemas.microsoft.com/office/drawing/2014/main" xmlns="" id="{962D77D7-7864-6830-335B-B4D9603A951B}"/>
              </a:ext>
            </a:extLst>
          </xdr:cNvPr>
          <xdr:cNvSpPr txBox="1"/>
        </xdr:nvSpPr>
        <xdr:spPr>
          <a:xfrm>
            <a:off x="3286125" y="4755118"/>
            <a:ext cx="885179"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b="1">
                <a:solidFill>
                  <a:srgbClr val="FF0000"/>
                </a:solidFill>
              </a:rPr>
              <a:t>Wing 2</a:t>
            </a:r>
            <a:endParaRPr lang="en-IN" b="1">
              <a:solidFill>
                <a:srgbClr val="FF0000"/>
              </a:solidFill>
            </a:endParaRPr>
          </a:p>
        </xdr:txBody>
      </xdr:sp>
      <xdr:sp macro="" textlink="">
        <xdr:nvSpPr>
          <xdr:cNvPr id="19" name="TextBox 11">
            <a:extLst>
              <a:ext uri="{FF2B5EF4-FFF2-40B4-BE49-F238E27FC236}">
                <a16:creationId xmlns:a16="http://schemas.microsoft.com/office/drawing/2014/main" xmlns="" id="{AE6D5708-02E5-9C8A-5BEC-748D7D689AA2}"/>
              </a:ext>
            </a:extLst>
          </xdr:cNvPr>
          <xdr:cNvSpPr txBox="1"/>
        </xdr:nvSpPr>
        <xdr:spPr>
          <a:xfrm>
            <a:off x="3853185" y="3326368"/>
            <a:ext cx="885179"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b="1">
                <a:solidFill>
                  <a:srgbClr val="FF0000"/>
                </a:solidFill>
              </a:rPr>
              <a:t>Wing 1</a:t>
            </a:r>
            <a:endParaRPr lang="en-IN" b="1">
              <a:solidFill>
                <a:srgbClr val="FF0000"/>
              </a:solidFill>
            </a:endParaRPr>
          </a:p>
        </xdr:txBody>
      </xdr:sp>
    </xdr:grpSp>
    <xdr:clientData/>
  </xdr:twoCellAnchor>
  <xdr:twoCellAnchor editAs="oneCell">
    <xdr:from>
      <xdr:col>8</xdr:col>
      <xdr:colOff>1007745</xdr:colOff>
      <xdr:row>48</xdr:row>
      <xdr:rowOff>272415</xdr:rowOff>
    </xdr:from>
    <xdr:to>
      <xdr:col>11</xdr:col>
      <xdr:colOff>557863</xdr:colOff>
      <xdr:row>55</xdr:row>
      <xdr:rowOff>3561</xdr:rowOff>
    </xdr:to>
    <xdr:pic>
      <xdr:nvPicPr>
        <xdr:cNvPr id="24" name="Picture 23">
          <a:extLst>
            <a:ext uri="{FF2B5EF4-FFF2-40B4-BE49-F238E27FC236}">
              <a16:creationId xmlns:a16="http://schemas.microsoft.com/office/drawing/2014/main" xmlns="" id="{99C1C126-876E-588F-AE6F-1F338B31A556}"/>
            </a:ext>
          </a:extLst>
        </xdr:cNvPr>
        <xdr:cNvPicPr>
          <a:picLocks noChangeAspect="1"/>
        </xdr:cNvPicPr>
      </xdr:nvPicPr>
      <xdr:blipFill>
        <a:blip xmlns:r="http://schemas.openxmlformats.org/officeDocument/2006/relationships" r:embed="rId11"/>
        <a:stretch>
          <a:fillRect/>
        </a:stretch>
      </xdr:blipFill>
      <xdr:spPr>
        <a:xfrm>
          <a:off x="7522845" y="10803255"/>
          <a:ext cx="2476198" cy="1979046"/>
        </a:xfrm>
        <a:prstGeom prst="rect">
          <a:avLst/>
        </a:prstGeom>
        <a:ln>
          <a:solidFill>
            <a:schemeClr val="tx1"/>
          </a:solidFill>
        </a:ln>
      </xdr:spPr>
    </xdr:pic>
    <xdr:clientData/>
  </xdr:twoCellAnchor>
  <xdr:twoCellAnchor editAs="oneCell">
    <xdr:from>
      <xdr:col>8</xdr:col>
      <xdr:colOff>632460</xdr:colOff>
      <xdr:row>45</xdr:row>
      <xdr:rowOff>142875</xdr:rowOff>
    </xdr:from>
    <xdr:to>
      <xdr:col>12</xdr:col>
      <xdr:colOff>462464</xdr:colOff>
      <xdr:row>48</xdr:row>
      <xdr:rowOff>380895</xdr:rowOff>
    </xdr:to>
    <xdr:pic>
      <xdr:nvPicPr>
        <xdr:cNvPr id="25" name="Picture 24">
          <a:extLst>
            <a:ext uri="{FF2B5EF4-FFF2-40B4-BE49-F238E27FC236}">
              <a16:creationId xmlns:a16="http://schemas.microsoft.com/office/drawing/2014/main" xmlns="" id="{F97F798D-2576-6FA8-B521-2B58675D0D86}"/>
            </a:ext>
          </a:extLst>
        </xdr:cNvPr>
        <xdr:cNvPicPr>
          <a:picLocks noChangeAspect="1"/>
        </xdr:cNvPicPr>
      </xdr:nvPicPr>
      <xdr:blipFill>
        <a:blip xmlns:r="http://schemas.openxmlformats.org/officeDocument/2006/relationships" r:embed="rId12"/>
        <a:stretch>
          <a:fillRect/>
        </a:stretch>
      </xdr:blipFill>
      <xdr:spPr>
        <a:xfrm>
          <a:off x="7147560" y="10079355"/>
          <a:ext cx="3700964" cy="832380"/>
        </a:xfrm>
        <a:prstGeom prst="rect">
          <a:avLst/>
        </a:prstGeom>
        <a:ln>
          <a:solidFill>
            <a:schemeClr val="tx1"/>
          </a:solidFill>
        </a:ln>
      </xdr:spPr>
    </xdr:pic>
    <xdr:clientData/>
  </xdr:twoCellAnchor>
  <xdr:twoCellAnchor editAs="oneCell">
    <xdr:from>
      <xdr:col>10</xdr:col>
      <xdr:colOff>537210</xdr:colOff>
      <xdr:row>44</xdr:row>
      <xdr:rowOff>161926</xdr:rowOff>
    </xdr:from>
    <xdr:to>
      <xdr:col>14</xdr:col>
      <xdr:colOff>670110</xdr:colOff>
      <xdr:row>52</xdr:row>
      <xdr:rowOff>138173</xdr:rowOff>
    </xdr:to>
    <xdr:pic>
      <xdr:nvPicPr>
        <xdr:cNvPr id="26" name="Picture 25">
          <a:extLst>
            <a:ext uri="{FF2B5EF4-FFF2-40B4-BE49-F238E27FC236}">
              <a16:creationId xmlns:a16="http://schemas.microsoft.com/office/drawing/2014/main" xmlns="" id="{AE081FAF-65AA-AAFB-1E99-BB3987163534}"/>
            </a:ext>
          </a:extLst>
        </xdr:cNvPr>
        <xdr:cNvPicPr>
          <a:picLocks noChangeAspect="1"/>
        </xdr:cNvPicPr>
      </xdr:nvPicPr>
      <xdr:blipFill>
        <a:blip xmlns:r="http://schemas.openxmlformats.org/officeDocument/2006/relationships" r:embed="rId13"/>
        <a:stretch>
          <a:fillRect/>
        </a:stretch>
      </xdr:blipFill>
      <xdr:spPr>
        <a:xfrm>
          <a:off x="9033510" y="9900286"/>
          <a:ext cx="3691440" cy="1789807"/>
        </a:xfrm>
        <a:prstGeom prst="rect">
          <a:avLst/>
        </a:prstGeom>
        <a:ln>
          <a:solidFill>
            <a:schemeClr val="tx1"/>
          </a:solidFill>
        </a:ln>
      </xdr:spPr>
    </xdr:pic>
    <xdr:clientData/>
  </xdr:twoCellAnchor>
  <xdr:twoCellAnchor editAs="oneCell">
    <xdr:from>
      <xdr:col>10</xdr:col>
      <xdr:colOff>666750</xdr:colOff>
      <xdr:row>136</xdr:row>
      <xdr:rowOff>228600</xdr:rowOff>
    </xdr:from>
    <xdr:to>
      <xdr:col>13</xdr:col>
      <xdr:colOff>286064</xdr:colOff>
      <xdr:row>160</xdr:row>
      <xdr:rowOff>173686</xdr:rowOff>
    </xdr:to>
    <xdr:pic>
      <xdr:nvPicPr>
        <xdr:cNvPr id="4" name="Picture 3">
          <a:extLst>
            <a:ext uri="{FF2B5EF4-FFF2-40B4-BE49-F238E27FC236}">
              <a16:creationId xmlns:a16="http://schemas.microsoft.com/office/drawing/2014/main" xmlns="" id="{B482D47A-31E4-403D-87F4-61A37B3E34EA}"/>
            </a:ext>
          </a:extLst>
        </xdr:cNvPr>
        <xdr:cNvPicPr>
          <a:picLocks noChangeAspect="1"/>
        </xdr:cNvPicPr>
      </xdr:nvPicPr>
      <xdr:blipFill>
        <a:blip xmlns:r="http://schemas.openxmlformats.org/officeDocument/2006/relationships" r:embed="rId14"/>
        <a:stretch>
          <a:fillRect/>
        </a:stretch>
      </xdr:blipFill>
      <xdr:spPr>
        <a:xfrm>
          <a:off x="8905875" y="26393775"/>
          <a:ext cx="2248214" cy="2372056"/>
        </a:xfrm>
        <a:prstGeom prst="rect">
          <a:avLst/>
        </a:prstGeom>
        <a:ln>
          <a:solidFill>
            <a:schemeClr val="tx1"/>
          </a:solidFill>
        </a:ln>
      </xdr:spPr>
    </xdr:pic>
    <xdr:clientData/>
  </xdr:twoCellAnchor>
  <xdr:twoCellAnchor editAs="oneCell">
    <xdr:from>
      <xdr:col>10</xdr:col>
      <xdr:colOff>619125</xdr:colOff>
      <xdr:row>127</xdr:row>
      <xdr:rowOff>104775</xdr:rowOff>
    </xdr:from>
    <xdr:to>
      <xdr:col>14</xdr:col>
      <xdr:colOff>392025</xdr:colOff>
      <xdr:row>153</xdr:row>
      <xdr:rowOff>58495</xdr:rowOff>
    </xdr:to>
    <xdr:pic>
      <xdr:nvPicPr>
        <xdr:cNvPr id="20" name="Picture 19">
          <a:extLst>
            <a:ext uri="{FF2B5EF4-FFF2-40B4-BE49-F238E27FC236}">
              <a16:creationId xmlns:a16="http://schemas.microsoft.com/office/drawing/2014/main" xmlns="" id="{8845DD09-E032-4816-B32C-92CC052FFD84}"/>
            </a:ext>
          </a:extLst>
        </xdr:cNvPr>
        <xdr:cNvPicPr>
          <a:picLocks noChangeAspect="1"/>
        </xdr:cNvPicPr>
      </xdr:nvPicPr>
      <xdr:blipFill>
        <a:blip xmlns:r="http://schemas.openxmlformats.org/officeDocument/2006/relationships" r:embed="rId15"/>
        <a:stretch>
          <a:fillRect/>
        </a:stretch>
      </xdr:blipFill>
      <xdr:spPr>
        <a:xfrm>
          <a:off x="8858250" y="25469850"/>
          <a:ext cx="3240000" cy="1148155"/>
        </a:xfrm>
        <a:prstGeom prst="rect">
          <a:avLst/>
        </a:prstGeom>
        <a:ln>
          <a:solidFill>
            <a:schemeClr val="tx1"/>
          </a:solidFill>
        </a:ln>
      </xdr:spPr>
    </xdr:pic>
    <xdr:clientData/>
  </xdr:twoCellAnchor>
  <xdr:twoCellAnchor editAs="oneCell">
    <xdr:from>
      <xdr:col>9</xdr:col>
      <xdr:colOff>476250</xdr:colOff>
      <xdr:row>157</xdr:row>
      <xdr:rowOff>19050</xdr:rowOff>
    </xdr:from>
    <xdr:to>
      <xdr:col>12</xdr:col>
      <xdr:colOff>755925</xdr:colOff>
      <xdr:row>162</xdr:row>
      <xdr:rowOff>36239</xdr:rowOff>
    </xdr:to>
    <xdr:pic>
      <xdr:nvPicPr>
        <xdr:cNvPr id="21" name="Picture 20">
          <a:extLst>
            <a:ext uri="{FF2B5EF4-FFF2-40B4-BE49-F238E27FC236}">
              <a16:creationId xmlns:a16="http://schemas.microsoft.com/office/drawing/2014/main" xmlns="" id="{2DF5E2DA-19A5-4343-AB09-C79F3FE55F09}"/>
            </a:ext>
          </a:extLst>
        </xdr:cNvPr>
        <xdr:cNvPicPr>
          <a:picLocks noChangeAspect="1"/>
        </xdr:cNvPicPr>
      </xdr:nvPicPr>
      <xdr:blipFill>
        <a:blip xmlns:r="http://schemas.openxmlformats.org/officeDocument/2006/relationships" r:embed="rId16"/>
        <a:stretch>
          <a:fillRect/>
        </a:stretch>
      </xdr:blipFill>
      <xdr:spPr>
        <a:xfrm>
          <a:off x="7953375" y="29222700"/>
          <a:ext cx="2880000" cy="1017314"/>
        </a:xfrm>
        <a:prstGeom prst="rect">
          <a:avLst/>
        </a:prstGeom>
        <a:ln>
          <a:solidFill>
            <a:schemeClr val="tx1"/>
          </a:solidFill>
        </a:ln>
      </xdr:spPr>
    </xdr:pic>
    <xdr:clientData/>
  </xdr:twoCellAnchor>
  <xdr:twoCellAnchor>
    <xdr:from>
      <xdr:col>8</xdr:col>
      <xdr:colOff>689610</xdr:colOff>
      <xdr:row>314</xdr:row>
      <xdr:rowOff>182880</xdr:rowOff>
    </xdr:from>
    <xdr:to>
      <xdr:col>15</xdr:col>
      <xdr:colOff>278894</xdr:colOff>
      <xdr:row>356</xdr:row>
      <xdr:rowOff>97806</xdr:rowOff>
    </xdr:to>
    <xdr:grpSp>
      <xdr:nvGrpSpPr>
        <xdr:cNvPr id="22" name="Group 21">
          <a:extLst>
            <a:ext uri="{FF2B5EF4-FFF2-40B4-BE49-F238E27FC236}">
              <a16:creationId xmlns:a16="http://schemas.microsoft.com/office/drawing/2014/main" xmlns="" id="{00000000-0008-0000-0000-000016000000}"/>
            </a:ext>
          </a:extLst>
        </xdr:cNvPr>
        <xdr:cNvGrpSpPr/>
      </xdr:nvGrpSpPr>
      <xdr:grpSpPr>
        <a:xfrm>
          <a:off x="7014210" y="35387280"/>
          <a:ext cx="5780534" cy="8306451"/>
          <a:chOff x="247650" y="54775100"/>
          <a:chExt cx="6061204" cy="6602746"/>
        </a:xfrm>
      </xdr:grpSpPr>
      <xdr:pic>
        <xdr:nvPicPr>
          <xdr:cNvPr id="31" name="Picture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326020" y="58857846"/>
            <a:ext cx="1888032" cy="2520000"/>
          </a:xfrm>
          <a:prstGeom prst="rect">
            <a:avLst/>
          </a:prstGeom>
          <a:ln>
            <a:solidFill>
              <a:schemeClr val="tx1"/>
            </a:solidFill>
          </a:ln>
        </xdr:spPr>
      </xdr:pic>
      <xdr:pic>
        <xdr:nvPicPr>
          <xdr:cNvPr id="32" name="Picture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341947" y="54775100"/>
            <a:ext cx="2966907" cy="3960000"/>
          </a:xfrm>
          <a:prstGeom prst="rect">
            <a:avLst/>
          </a:prstGeom>
          <a:ln>
            <a:solidFill>
              <a:schemeClr val="tx1"/>
            </a:solidFill>
          </a:ln>
        </xdr:spPr>
      </xdr:pic>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85228" y="58857846"/>
            <a:ext cx="1888032" cy="2520000"/>
          </a:xfrm>
          <a:prstGeom prst="rect">
            <a:avLst/>
          </a:prstGeom>
          <a:ln>
            <a:solidFill>
              <a:schemeClr val="tx1"/>
            </a:solidFill>
          </a:ln>
        </xdr:spPr>
      </xdr:pic>
      <xdr:pic>
        <xdr:nvPicPr>
          <xdr:cNvPr id="34" name="Picture 33">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47650" y="54775100"/>
            <a:ext cx="2966907" cy="3960000"/>
          </a:xfrm>
          <a:prstGeom prst="rect">
            <a:avLst/>
          </a:prstGeom>
          <a:ln>
            <a:solidFill>
              <a:schemeClr val="tx1"/>
            </a:solidFill>
          </a:ln>
        </xdr:spPr>
      </xdr:pic>
      <xdr:pic>
        <xdr:nvPicPr>
          <xdr:cNvPr id="35" name="Picture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305624" y="58857846"/>
            <a:ext cx="1888032" cy="2520000"/>
          </a:xfrm>
          <a:prstGeom prst="rect">
            <a:avLst/>
          </a:prstGeom>
          <a:ln>
            <a:solidFill>
              <a:schemeClr val="tx1"/>
            </a:solidFill>
          </a:ln>
        </xdr:spPr>
      </xdr:pic>
    </xdr:grpSp>
    <xdr:clientData/>
  </xdr:twoCellAnchor>
  <xdr:twoCellAnchor>
    <xdr:from>
      <xdr:col>0</xdr:col>
      <xdr:colOff>228600</xdr:colOff>
      <xdr:row>317</xdr:row>
      <xdr:rowOff>9525</xdr:rowOff>
    </xdr:from>
    <xdr:to>
      <xdr:col>7</xdr:col>
      <xdr:colOff>537332</xdr:colOff>
      <xdr:row>359</xdr:row>
      <xdr:rowOff>167508</xdr:rowOff>
    </xdr:to>
    <xdr:grpSp>
      <xdr:nvGrpSpPr>
        <xdr:cNvPr id="23" name="Group 22"/>
        <xdr:cNvGrpSpPr/>
      </xdr:nvGrpSpPr>
      <xdr:grpSpPr>
        <a:xfrm>
          <a:off x="228600" y="35814000"/>
          <a:ext cx="5899907" cy="8549508"/>
          <a:chOff x="228600" y="36004500"/>
          <a:chExt cx="5899907" cy="8549508"/>
        </a:xfrm>
      </xdr:grpSpPr>
      <xdr:pic>
        <xdr:nvPicPr>
          <xdr:cNvPr id="50" name="Picture 49" descr="insp-244470-1525.jpg (959×1280)"/>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3178283" y="42394008"/>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insp-244470-843.jpg (959×1280)"/>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426019" y="36004500"/>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insp-244470-845.jpg (959×1280)"/>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4240476" y="39739254"/>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insp-244470-849.jpg (959×1280)"/>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2234538" y="39739254"/>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insp-244470-851.jpg (959×1280)"/>
          <xdr:cNvPicPr>
            <a:picLocks noChangeAspect="1" noChangeArrowheads="1"/>
          </xdr:cNvPicPr>
        </xdr:nvPicPr>
        <xdr:blipFill>
          <a:blip xmlns:r="http://schemas.openxmlformats.org/officeDocument/2006/relationships" r:embed="rId26" cstate="screen">
            <a:extLst>
              <a:ext uri="{28A0092B-C50C-407E-A947-70E740481C1C}">
                <a14:useLocalDpi xmlns:a14="http://schemas.microsoft.com/office/drawing/2010/main"/>
              </a:ext>
            </a:extLst>
          </a:blip>
          <a:srcRect/>
          <a:stretch>
            <a:fillRect/>
          </a:stretch>
        </xdr:blipFill>
        <xdr:spPr bwMode="auto">
          <a:xfrm>
            <a:off x="3178554" y="36004500"/>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insp-244470-1022.jpg (959×1280)"/>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228600" y="39739254"/>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insp-244470-1512.jpg (959×1280)"/>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1504894" y="42394008"/>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5</xdr:col>
      <xdr:colOff>390059</xdr:colOff>
      <xdr:row>28</xdr:row>
      <xdr:rowOff>126576</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612588" y="2696882"/>
          <a:ext cx="6120000" cy="2756223"/>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prestige-oceantower.com/" TargetMode="External"/><Relationship Id="rId1" Type="http://schemas.openxmlformats.org/officeDocument/2006/relationships/hyperlink" Target="https://maps.app.goo.gl/VDqWpHFyMroYq5E8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03"/>
  <sheetViews>
    <sheetView tabSelected="1" view="pageBreakPreview" topLeftCell="A287" zoomScaleNormal="100" zoomScaleSheetLayoutView="100" zoomScalePageLayoutView="85" workbookViewId="0">
      <selection activeCell="I294" sqref="I294"/>
    </sheetView>
  </sheetViews>
  <sheetFormatPr defaultColWidth="9.28515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28515625" style="40" customWidth="1"/>
    <col min="7" max="8" width="11" style="40" customWidth="1"/>
    <col min="9" max="9" width="17.42578125" style="21" customWidth="1"/>
    <col min="10" max="10" width="11.42578125" style="21" customWidth="1"/>
    <col min="11" max="12" width="13.7109375" style="21" bestFit="1" customWidth="1"/>
    <col min="13" max="13" width="11.7109375" style="21" customWidth="1"/>
    <col min="14" max="14" width="12.5703125" style="21" customWidth="1"/>
    <col min="15" max="15" width="12.28515625" style="21" customWidth="1"/>
    <col min="16" max="16" width="11.7109375" style="21" customWidth="1"/>
    <col min="17" max="18" width="9.28515625" style="21"/>
    <col min="19" max="19" width="10.7109375" style="21" bestFit="1" customWidth="1"/>
    <col min="20" max="20" width="10.7109375" style="21" customWidth="1"/>
    <col min="21" max="247" width="9.28515625" style="21"/>
    <col min="248" max="248" width="8.7109375" style="21" customWidth="1"/>
    <col min="249" max="249" width="9.7109375" style="21" customWidth="1"/>
    <col min="250" max="250" width="14.42578125" style="21" customWidth="1"/>
    <col min="251" max="251" width="7.28515625" style="21" customWidth="1"/>
    <col min="252" max="252" width="5.5703125" style="21" customWidth="1"/>
    <col min="253" max="253" width="9" style="21" customWidth="1"/>
    <col min="254" max="255" width="9.7109375" style="21" customWidth="1"/>
    <col min="256" max="256" width="11.28515625" style="21" customWidth="1"/>
    <col min="257" max="257" width="2.7109375" style="21" customWidth="1"/>
    <col min="258" max="258" width="3.5703125" style="21" customWidth="1"/>
    <col min="259" max="503" width="9.28515625" style="21"/>
    <col min="504" max="504" width="8.7109375" style="21" customWidth="1"/>
    <col min="505" max="505" width="9.7109375" style="21" customWidth="1"/>
    <col min="506" max="506" width="14.42578125" style="21" customWidth="1"/>
    <col min="507" max="507" width="7.28515625" style="21" customWidth="1"/>
    <col min="508" max="508" width="5.5703125" style="21" customWidth="1"/>
    <col min="509" max="509" width="9" style="21" customWidth="1"/>
    <col min="510" max="511" width="9.7109375" style="21" customWidth="1"/>
    <col min="512" max="512" width="11.28515625" style="21" customWidth="1"/>
    <col min="513" max="513" width="2.7109375" style="21" customWidth="1"/>
    <col min="514" max="514" width="3.5703125" style="21" customWidth="1"/>
    <col min="515" max="759" width="9.28515625" style="21"/>
    <col min="760" max="760" width="8.7109375" style="21" customWidth="1"/>
    <col min="761" max="761" width="9.7109375" style="21" customWidth="1"/>
    <col min="762" max="762" width="14.42578125" style="21" customWidth="1"/>
    <col min="763" max="763" width="7.28515625" style="21" customWidth="1"/>
    <col min="764" max="764" width="5.5703125" style="21" customWidth="1"/>
    <col min="765" max="765" width="9" style="21" customWidth="1"/>
    <col min="766" max="767" width="9.7109375" style="21" customWidth="1"/>
    <col min="768" max="768" width="11.28515625" style="21" customWidth="1"/>
    <col min="769" max="769" width="2.7109375" style="21" customWidth="1"/>
    <col min="770" max="770" width="3.5703125" style="21" customWidth="1"/>
    <col min="771" max="1015" width="9.28515625" style="21"/>
    <col min="1016" max="1016" width="8.7109375" style="21" customWidth="1"/>
    <col min="1017" max="1017" width="9.7109375" style="21" customWidth="1"/>
    <col min="1018" max="1018" width="14.42578125" style="21" customWidth="1"/>
    <col min="1019" max="1019" width="7.28515625" style="21" customWidth="1"/>
    <col min="1020" max="1020" width="5.5703125" style="21" customWidth="1"/>
    <col min="1021" max="1021" width="9" style="21" customWidth="1"/>
    <col min="1022" max="1023" width="9.7109375" style="21" customWidth="1"/>
    <col min="1024" max="1024" width="11.28515625" style="21" customWidth="1"/>
    <col min="1025" max="1025" width="2.7109375" style="21" customWidth="1"/>
    <col min="1026" max="1026" width="3.5703125" style="21" customWidth="1"/>
    <col min="1027" max="1271" width="9.28515625" style="21"/>
    <col min="1272" max="1272" width="8.7109375" style="21" customWidth="1"/>
    <col min="1273" max="1273" width="9.7109375" style="21" customWidth="1"/>
    <col min="1274" max="1274" width="14.42578125" style="21" customWidth="1"/>
    <col min="1275" max="1275" width="7.28515625" style="21" customWidth="1"/>
    <col min="1276" max="1276" width="5.5703125" style="21" customWidth="1"/>
    <col min="1277" max="1277" width="9" style="21" customWidth="1"/>
    <col min="1278" max="1279" width="9.7109375" style="21" customWidth="1"/>
    <col min="1280" max="1280" width="11.28515625" style="21" customWidth="1"/>
    <col min="1281" max="1281" width="2.7109375" style="21" customWidth="1"/>
    <col min="1282" max="1282" width="3.5703125" style="21" customWidth="1"/>
    <col min="1283" max="1527" width="9.28515625" style="21"/>
    <col min="1528" max="1528" width="8.7109375" style="21" customWidth="1"/>
    <col min="1529" max="1529" width="9.7109375" style="21" customWidth="1"/>
    <col min="1530" max="1530" width="14.42578125" style="21" customWidth="1"/>
    <col min="1531" max="1531" width="7.28515625" style="21" customWidth="1"/>
    <col min="1532" max="1532" width="5.5703125" style="21" customWidth="1"/>
    <col min="1533" max="1533" width="9" style="21" customWidth="1"/>
    <col min="1534" max="1535" width="9.7109375" style="21" customWidth="1"/>
    <col min="1536" max="1536" width="11.28515625" style="21" customWidth="1"/>
    <col min="1537" max="1537" width="2.7109375" style="21" customWidth="1"/>
    <col min="1538" max="1538" width="3.5703125" style="21" customWidth="1"/>
    <col min="1539" max="1783" width="9.28515625" style="21"/>
    <col min="1784" max="1784" width="8.7109375" style="21" customWidth="1"/>
    <col min="1785" max="1785" width="9.7109375" style="21" customWidth="1"/>
    <col min="1786" max="1786" width="14.42578125" style="21" customWidth="1"/>
    <col min="1787" max="1787" width="7.28515625" style="21" customWidth="1"/>
    <col min="1788" max="1788" width="5.5703125" style="21" customWidth="1"/>
    <col min="1789" max="1789" width="9" style="21" customWidth="1"/>
    <col min="1790" max="1791" width="9.7109375" style="21" customWidth="1"/>
    <col min="1792" max="1792" width="11.28515625" style="21" customWidth="1"/>
    <col min="1793" max="1793" width="2.7109375" style="21" customWidth="1"/>
    <col min="1794" max="1794" width="3.5703125" style="21" customWidth="1"/>
    <col min="1795" max="2039" width="9.28515625" style="21"/>
    <col min="2040" max="2040" width="8.7109375" style="21" customWidth="1"/>
    <col min="2041" max="2041" width="9.7109375" style="21" customWidth="1"/>
    <col min="2042" max="2042" width="14.42578125" style="21" customWidth="1"/>
    <col min="2043" max="2043" width="7.28515625" style="21" customWidth="1"/>
    <col min="2044" max="2044" width="5.5703125" style="21" customWidth="1"/>
    <col min="2045" max="2045" width="9" style="21" customWidth="1"/>
    <col min="2046" max="2047" width="9.7109375" style="21" customWidth="1"/>
    <col min="2048" max="2048" width="11.28515625" style="21" customWidth="1"/>
    <col min="2049" max="2049" width="2.7109375" style="21" customWidth="1"/>
    <col min="2050" max="2050" width="3.5703125" style="21" customWidth="1"/>
    <col min="2051" max="2295" width="9.28515625" style="21"/>
    <col min="2296" max="2296" width="8.7109375" style="21" customWidth="1"/>
    <col min="2297" max="2297" width="9.7109375" style="21" customWidth="1"/>
    <col min="2298" max="2298" width="14.42578125" style="21" customWidth="1"/>
    <col min="2299" max="2299" width="7.28515625" style="21" customWidth="1"/>
    <col min="2300" max="2300" width="5.5703125" style="21" customWidth="1"/>
    <col min="2301" max="2301" width="9" style="21" customWidth="1"/>
    <col min="2302" max="2303" width="9.7109375" style="21" customWidth="1"/>
    <col min="2304" max="2304" width="11.28515625" style="21" customWidth="1"/>
    <col min="2305" max="2305" width="2.7109375" style="21" customWidth="1"/>
    <col min="2306" max="2306" width="3.5703125" style="21" customWidth="1"/>
    <col min="2307" max="2551" width="9.28515625" style="21"/>
    <col min="2552" max="2552" width="8.7109375" style="21" customWidth="1"/>
    <col min="2553" max="2553" width="9.7109375" style="21" customWidth="1"/>
    <col min="2554" max="2554" width="14.42578125" style="21" customWidth="1"/>
    <col min="2555" max="2555" width="7.28515625" style="21" customWidth="1"/>
    <col min="2556" max="2556" width="5.5703125" style="21" customWidth="1"/>
    <col min="2557" max="2557" width="9" style="21" customWidth="1"/>
    <col min="2558" max="2559" width="9.7109375" style="21" customWidth="1"/>
    <col min="2560" max="2560" width="11.28515625" style="21" customWidth="1"/>
    <col min="2561" max="2561" width="2.7109375" style="21" customWidth="1"/>
    <col min="2562" max="2562" width="3.5703125" style="21" customWidth="1"/>
    <col min="2563" max="2807" width="9.28515625" style="21"/>
    <col min="2808" max="2808" width="8.7109375" style="21" customWidth="1"/>
    <col min="2809" max="2809" width="9.7109375" style="21" customWidth="1"/>
    <col min="2810" max="2810" width="14.42578125" style="21" customWidth="1"/>
    <col min="2811" max="2811" width="7.28515625" style="21" customWidth="1"/>
    <col min="2812" max="2812" width="5.5703125" style="21" customWidth="1"/>
    <col min="2813" max="2813" width="9" style="21" customWidth="1"/>
    <col min="2814" max="2815" width="9.7109375" style="21" customWidth="1"/>
    <col min="2816" max="2816" width="11.28515625" style="21" customWidth="1"/>
    <col min="2817" max="2817" width="2.7109375" style="21" customWidth="1"/>
    <col min="2818" max="2818" width="3.5703125" style="21" customWidth="1"/>
    <col min="2819" max="3063" width="9.28515625" style="21"/>
    <col min="3064" max="3064" width="8.7109375" style="21" customWidth="1"/>
    <col min="3065" max="3065" width="9.7109375" style="21" customWidth="1"/>
    <col min="3066" max="3066" width="14.42578125" style="21" customWidth="1"/>
    <col min="3067" max="3067" width="7.28515625" style="21" customWidth="1"/>
    <col min="3068" max="3068" width="5.5703125" style="21" customWidth="1"/>
    <col min="3069" max="3069" width="9" style="21" customWidth="1"/>
    <col min="3070" max="3071" width="9.7109375" style="21" customWidth="1"/>
    <col min="3072" max="3072" width="11.28515625" style="21" customWidth="1"/>
    <col min="3073" max="3073" width="2.7109375" style="21" customWidth="1"/>
    <col min="3074" max="3074" width="3.5703125" style="21" customWidth="1"/>
    <col min="3075" max="3319" width="9.28515625" style="21"/>
    <col min="3320" max="3320" width="8.7109375" style="21" customWidth="1"/>
    <col min="3321" max="3321" width="9.7109375" style="21" customWidth="1"/>
    <col min="3322" max="3322" width="14.42578125" style="21" customWidth="1"/>
    <col min="3323" max="3323" width="7.28515625" style="21" customWidth="1"/>
    <col min="3324" max="3324" width="5.5703125" style="21" customWidth="1"/>
    <col min="3325" max="3325" width="9" style="21" customWidth="1"/>
    <col min="3326" max="3327" width="9.7109375" style="21" customWidth="1"/>
    <col min="3328" max="3328" width="11.28515625" style="21" customWidth="1"/>
    <col min="3329" max="3329" width="2.7109375" style="21" customWidth="1"/>
    <col min="3330" max="3330" width="3.5703125" style="21" customWidth="1"/>
    <col min="3331" max="3575" width="9.28515625" style="21"/>
    <col min="3576" max="3576" width="8.7109375" style="21" customWidth="1"/>
    <col min="3577" max="3577" width="9.7109375" style="21" customWidth="1"/>
    <col min="3578" max="3578" width="14.42578125" style="21" customWidth="1"/>
    <col min="3579" max="3579" width="7.28515625" style="21" customWidth="1"/>
    <col min="3580" max="3580" width="5.5703125" style="21" customWidth="1"/>
    <col min="3581" max="3581" width="9" style="21" customWidth="1"/>
    <col min="3582" max="3583" width="9.7109375" style="21" customWidth="1"/>
    <col min="3584" max="3584" width="11.28515625" style="21" customWidth="1"/>
    <col min="3585" max="3585" width="2.7109375" style="21" customWidth="1"/>
    <col min="3586" max="3586" width="3.5703125" style="21" customWidth="1"/>
    <col min="3587" max="3831" width="9.28515625" style="21"/>
    <col min="3832" max="3832" width="8.7109375" style="21" customWidth="1"/>
    <col min="3833" max="3833" width="9.7109375" style="21" customWidth="1"/>
    <col min="3834" max="3834" width="14.42578125" style="21" customWidth="1"/>
    <col min="3835" max="3835" width="7.28515625" style="21" customWidth="1"/>
    <col min="3836" max="3836" width="5.5703125" style="21" customWidth="1"/>
    <col min="3837" max="3837" width="9" style="21" customWidth="1"/>
    <col min="3838" max="3839" width="9.7109375" style="21" customWidth="1"/>
    <col min="3840" max="3840" width="11.28515625" style="21" customWidth="1"/>
    <col min="3841" max="3841" width="2.7109375" style="21" customWidth="1"/>
    <col min="3842" max="3842" width="3.5703125" style="21" customWidth="1"/>
    <col min="3843" max="4087" width="9.28515625" style="21"/>
    <col min="4088" max="4088" width="8.7109375" style="21" customWidth="1"/>
    <col min="4089" max="4089" width="9.7109375" style="21" customWidth="1"/>
    <col min="4090" max="4090" width="14.42578125" style="21" customWidth="1"/>
    <col min="4091" max="4091" width="7.28515625" style="21" customWidth="1"/>
    <col min="4092" max="4092" width="5.5703125" style="21" customWidth="1"/>
    <col min="4093" max="4093" width="9" style="21" customWidth="1"/>
    <col min="4094" max="4095" width="9.7109375" style="21" customWidth="1"/>
    <col min="4096" max="4096" width="11.28515625" style="21" customWidth="1"/>
    <col min="4097" max="4097" width="2.7109375" style="21" customWidth="1"/>
    <col min="4098" max="4098" width="3.5703125" style="21" customWidth="1"/>
    <col min="4099" max="4343" width="9.28515625" style="21"/>
    <col min="4344" max="4344" width="8.7109375" style="21" customWidth="1"/>
    <col min="4345" max="4345" width="9.7109375" style="21" customWidth="1"/>
    <col min="4346" max="4346" width="14.42578125" style="21" customWidth="1"/>
    <col min="4347" max="4347" width="7.28515625" style="21" customWidth="1"/>
    <col min="4348" max="4348" width="5.5703125" style="21" customWidth="1"/>
    <col min="4349" max="4349" width="9" style="21" customWidth="1"/>
    <col min="4350" max="4351" width="9.7109375" style="21" customWidth="1"/>
    <col min="4352" max="4352" width="11.28515625" style="21" customWidth="1"/>
    <col min="4353" max="4353" width="2.7109375" style="21" customWidth="1"/>
    <col min="4354" max="4354" width="3.5703125" style="21" customWidth="1"/>
    <col min="4355" max="4599" width="9.28515625" style="21"/>
    <col min="4600" max="4600" width="8.7109375" style="21" customWidth="1"/>
    <col min="4601" max="4601" width="9.7109375" style="21" customWidth="1"/>
    <col min="4602" max="4602" width="14.42578125" style="21" customWidth="1"/>
    <col min="4603" max="4603" width="7.28515625" style="21" customWidth="1"/>
    <col min="4604" max="4604" width="5.5703125" style="21" customWidth="1"/>
    <col min="4605" max="4605" width="9" style="21" customWidth="1"/>
    <col min="4606" max="4607" width="9.7109375" style="21" customWidth="1"/>
    <col min="4608" max="4608" width="11.28515625" style="21" customWidth="1"/>
    <col min="4609" max="4609" width="2.7109375" style="21" customWidth="1"/>
    <col min="4610" max="4610" width="3.5703125" style="21" customWidth="1"/>
    <col min="4611" max="4855" width="9.28515625" style="21"/>
    <col min="4856" max="4856" width="8.7109375" style="21" customWidth="1"/>
    <col min="4857" max="4857" width="9.7109375" style="21" customWidth="1"/>
    <col min="4858" max="4858" width="14.42578125" style="21" customWidth="1"/>
    <col min="4859" max="4859" width="7.28515625" style="21" customWidth="1"/>
    <col min="4860" max="4860" width="5.5703125" style="21" customWidth="1"/>
    <col min="4861" max="4861" width="9" style="21" customWidth="1"/>
    <col min="4862" max="4863" width="9.7109375" style="21" customWidth="1"/>
    <col min="4864" max="4864" width="11.28515625" style="21" customWidth="1"/>
    <col min="4865" max="4865" width="2.7109375" style="21" customWidth="1"/>
    <col min="4866" max="4866" width="3.5703125" style="21" customWidth="1"/>
    <col min="4867" max="5111" width="9.28515625" style="21"/>
    <col min="5112" max="5112" width="8.7109375" style="21" customWidth="1"/>
    <col min="5113" max="5113" width="9.7109375" style="21" customWidth="1"/>
    <col min="5114" max="5114" width="14.42578125" style="21" customWidth="1"/>
    <col min="5115" max="5115" width="7.28515625" style="21" customWidth="1"/>
    <col min="5116" max="5116" width="5.5703125" style="21" customWidth="1"/>
    <col min="5117" max="5117" width="9" style="21" customWidth="1"/>
    <col min="5118" max="5119" width="9.7109375" style="21" customWidth="1"/>
    <col min="5120" max="5120" width="11.28515625" style="21" customWidth="1"/>
    <col min="5121" max="5121" width="2.7109375" style="21" customWidth="1"/>
    <col min="5122" max="5122" width="3.5703125" style="21" customWidth="1"/>
    <col min="5123" max="5367" width="9.28515625" style="21"/>
    <col min="5368" max="5368" width="8.7109375" style="21" customWidth="1"/>
    <col min="5369" max="5369" width="9.7109375" style="21" customWidth="1"/>
    <col min="5370" max="5370" width="14.42578125" style="21" customWidth="1"/>
    <col min="5371" max="5371" width="7.28515625" style="21" customWidth="1"/>
    <col min="5372" max="5372" width="5.5703125" style="21" customWidth="1"/>
    <col min="5373" max="5373" width="9" style="21" customWidth="1"/>
    <col min="5374" max="5375" width="9.7109375" style="21" customWidth="1"/>
    <col min="5376" max="5376" width="11.28515625" style="21" customWidth="1"/>
    <col min="5377" max="5377" width="2.7109375" style="21" customWidth="1"/>
    <col min="5378" max="5378" width="3.5703125" style="21" customWidth="1"/>
    <col min="5379" max="5623" width="9.28515625" style="21"/>
    <col min="5624" max="5624" width="8.7109375" style="21" customWidth="1"/>
    <col min="5625" max="5625" width="9.7109375" style="21" customWidth="1"/>
    <col min="5626" max="5626" width="14.42578125" style="21" customWidth="1"/>
    <col min="5627" max="5627" width="7.28515625" style="21" customWidth="1"/>
    <col min="5628" max="5628" width="5.5703125" style="21" customWidth="1"/>
    <col min="5629" max="5629" width="9" style="21" customWidth="1"/>
    <col min="5630" max="5631" width="9.7109375" style="21" customWidth="1"/>
    <col min="5632" max="5632" width="11.28515625" style="21" customWidth="1"/>
    <col min="5633" max="5633" width="2.7109375" style="21" customWidth="1"/>
    <col min="5634" max="5634" width="3.5703125" style="21" customWidth="1"/>
    <col min="5635" max="5879" width="9.28515625" style="21"/>
    <col min="5880" max="5880" width="8.7109375" style="21" customWidth="1"/>
    <col min="5881" max="5881" width="9.7109375" style="21" customWidth="1"/>
    <col min="5882" max="5882" width="14.42578125" style="21" customWidth="1"/>
    <col min="5883" max="5883" width="7.28515625" style="21" customWidth="1"/>
    <col min="5884" max="5884" width="5.5703125" style="21" customWidth="1"/>
    <col min="5885" max="5885" width="9" style="21" customWidth="1"/>
    <col min="5886" max="5887" width="9.7109375" style="21" customWidth="1"/>
    <col min="5888" max="5888" width="11.28515625" style="21" customWidth="1"/>
    <col min="5889" max="5889" width="2.7109375" style="21" customWidth="1"/>
    <col min="5890" max="5890" width="3.5703125" style="21" customWidth="1"/>
    <col min="5891" max="6135" width="9.28515625" style="21"/>
    <col min="6136" max="6136" width="8.7109375" style="21" customWidth="1"/>
    <col min="6137" max="6137" width="9.7109375" style="21" customWidth="1"/>
    <col min="6138" max="6138" width="14.42578125" style="21" customWidth="1"/>
    <col min="6139" max="6139" width="7.28515625" style="21" customWidth="1"/>
    <col min="6140" max="6140" width="5.5703125" style="21" customWidth="1"/>
    <col min="6141" max="6141" width="9" style="21" customWidth="1"/>
    <col min="6142" max="6143" width="9.7109375" style="21" customWidth="1"/>
    <col min="6144" max="6144" width="11.28515625" style="21" customWidth="1"/>
    <col min="6145" max="6145" width="2.7109375" style="21" customWidth="1"/>
    <col min="6146" max="6146" width="3.5703125" style="21" customWidth="1"/>
    <col min="6147" max="6391" width="9.28515625" style="21"/>
    <col min="6392" max="6392" width="8.7109375" style="21" customWidth="1"/>
    <col min="6393" max="6393" width="9.7109375" style="21" customWidth="1"/>
    <col min="6394" max="6394" width="14.42578125" style="21" customWidth="1"/>
    <col min="6395" max="6395" width="7.28515625" style="21" customWidth="1"/>
    <col min="6396" max="6396" width="5.5703125" style="21" customWidth="1"/>
    <col min="6397" max="6397" width="9" style="21" customWidth="1"/>
    <col min="6398" max="6399" width="9.7109375" style="21" customWidth="1"/>
    <col min="6400" max="6400" width="11.28515625" style="21" customWidth="1"/>
    <col min="6401" max="6401" width="2.7109375" style="21" customWidth="1"/>
    <col min="6402" max="6402" width="3.5703125" style="21" customWidth="1"/>
    <col min="6403" max="6647" width="9.28515625" style="21"/>
    <col min="6648" max="6648" width="8.7109375" style="21" customWidth="1"/>
    <col min="6649" max="6649" width="9.7109375" style="21" customWidth="1"/>
    <col min="6650" max="6650" width="14.42578125" style="21" customWidth="1"/>
    <col min="6651" max="6651" width="7.28515625" style="21" customWidth="1"/>
    <col min="6652" max="6652" width="5.5703125" style="21" customWidth="1"/>
    <col min="6653" max="6653" width="9" style="21" customWidth="1"/>
    <col min="6654" max="6655" width="9.7109375" style="21" customWidth="1"/>
    <col min="6656" max="6656" width="11.28515625" style="21" customWidth="1"/>
    <col min="6657" max="6657" width="2.7109375" style="21" customWidth="1"/>
    <col min="6658" max="6658" width="3.5703125" style="21" customWidth="1"/>
    <col min="6659" max="6903" width="9.28515625" style="21"/>
    <col min="6904" max="6904" width="8.7109375" style="21" customWidth="1"/>
    <col min="6905" max="6905" width="9.7109375" style="21" customWidth="1"/>
    <col min="6906" max="6906" width="14.42578125" style="21" customWidth="1"/>
    <col min="6907" max="6907" width="7.28515625" style="21" customWidth="1"/>
    <col min="6908" max="6908" width="5.5703125" style="21" customWidth="1"/>
    <col min="6909" max="6909" width="9" style="21" customWidth="1"/>
    <col min="6910" max="6911" width="9.7109375" style="21" customWidth="1"/>
    <col min="6912" max="6912" width="11.28515625" style="21" customWidth="1"/>
    <col min="6913" max="6913" width="2.7109375" style="21" customWidth="1"/>
    <col min="6914" max="6914" width="3.5703125" style="21" customWidth="1"/>
    <col min="6915" max="7159" width="9.28515625" style="21"/>
    <col min="7160" max="7160" width="8.7109375" style="21" customWidth="1"/>
    <col min="7161" max="7161" width="9.7109375" style="21" customWidth="1"/>
    <col min="7162" max="7162" width="14.42578125" style="21" customWidth="1"/>
    <col min="7163" max="7163" width="7.28515625" style="21" customWidth="1"/>
    <col min="7164" max="7164" width="5.5703125" style="21" customWidth="1"/>
    <col min="7165" max="7165" width="9" style="21" customWidth="1"/>
    <col min="7166" max="7167" width="9.7109375" style="21" customWidth="1"/>
    <col min="7168" max="7168" width="11.28515625" style="21" customWidth="1"/>
    <col min="7169" max="7169" width="2.7109375" style="21" customWidth="1"/>
    <col min="7170" max="7170" width="3.5703125" style="21" customWidth="1"/>
    <col min="7171" max="7415" width="9.28515625" style="21"/>
    <col min="7416" max="7416" width="8.7109375" style="21" customWidth="1"/>
    <col min="7417" max="7417" width="9.7109375" style="21" customWidth="1"/>
    <col min="7418" max="7418" width="14.42578125" style="21" customWidth="1"/>
    <col min="7419" max="7419" width="7.28515625" style="21" customWidth="1"/>
    <col min="7420" max="7420" width="5.5703125" style="21" customWidth="1"/>
    <col min="7421" max="7421" width="9" style="21" customWidth="1"/>
    <col min="7422" max="7423" width="9.7109375" style="21" customWidth="1"/>
    <col min="7424" max="7424" width="11.28515625" style="21" customWidth="1"/>
    <col min="7425" max="7425" width="2.7109375" style="21" customWidth="1"/>
    <col min="7426" max="7426" width="3.5703125" style="21" customWidth="1"/>
    <col min="7427" max="7671" width="9.28515625" style="21"/>
    <col min="7672" max="7672" width="8.7109375" style="21" customWidth="1"/>
    <col min="7673" max="7673" width="9.7109375" style="21" customWidth="1"/>
    <col min="7674" max="7674" width="14.42578125" style="21" customWidth="1"/>
    <col min="7675" max="7675" width="7.28515625" style="21" customWidth="1"/>
    <col min="7676" max="7676" width="5.5703125" style="21" customWidth="1"/>
    <col min="7677" max="7677" width="9" style="21" customWidth="1"/>
    <col min="7678" max="7679" width="9.7109375" style="21" customWidth="1"/>
    <col min="7680" max="7680" width="11.28515625" style="21" customWidth="1"/>
    <col min="7681" max="7681" width="2.7109375" style="21" customWidth="1"/>
    <col min="7682" max="7682" width="3.5703125" style="21" customWidth="1"/>
    <col min="7683" max="7927" width="9.28515625" style="21"/>
    <col min="7928" max="7928" width="8.7109375" style="21" customWidth="1"/>
    <col min="7929" max="7929" width="9.7109375" style="21" customWidth="1"/>
    <col min="7930" max="7930" width="14.42578125" style="21" customWidth="1"/>
    <col min="7931" max="7931" width="7.28515625" style="21" customWidth="1"/>
    <col min="7932" max="7932" width="5.5703125" style="21" customWidth="1"/>
    <col min="7933" max="7933" width="9" style="21" customWidth="1"/>
    <col min="7934" max="7935" width="9.7109375" style="21" customWidth="1"/>
    <col min="7936" max="7936" width="11.28515625" style="21" customWidth="1"/>
    <col min="7937" max="7937" width="2.7109375" style="21" customWidth="1"/>
    <col min="7938" max="7938" width="3.5703125" style="21" customWidth="1"/>
    <col min="7939" max="8183" width="9.28515625" style="21"/>
    <col min="8184" max="8184" width="8.7109375" style="21" customWidth="1"/>
    <col min="8185" max="8185" width="9.7109375" style="21" customWidth="1"/>
    <col min="8186" max="8186" width="14.42578125" style="21" customWidth="1"/>
    <col min="8187" max="8187" width="7.28515625" style="21" customWidth="1"/>
    <col min="8188" max="8188" width="5.5703125" style="21" customWidth="1"/>
    <col min="8189" max="8189" width="9" style="21" customWidth="1"/>
    <col min="8190" max="8191" width="9.7109375" style="21" customWidth="1"/>
    <col min="8192" max="8192" width="11.28515625" style="21" customWidth="1"/>
    <col min="8193" max="8193" width="2.7109375" style="21" customWidth="1"/>
    <col min="8194" max="8194" width="3.5703125" style="21" customWidth="1"/>
    <col min="8195" max="8439" width="9.28515625" style="21"/>
    <col min="8440" max="8440" width="8.7109375" style="21" customWidth="1"/>
    <col min="8441" max="8441" width="9.7109375" style="21" customWidth="1"/>
    <col min="8442" max="8442" width="14.42578125" style="21" customWidth="1"/>
    <col min="8443" max="8443" width="7.28515625" style="21" customWidth="1"/>
    <col min="8444" max="8444" width="5.5703125" style="21" customWidth="1"/>
    <col min="8445" max="8445" width="9" style="21" customWidth="1"/>
    <col min="8446" max="8447" width="9.7109375" style="21" customWidth="1"/>
    <col min="8448" max="8448" width="11.28515625" style="21" customWidth="1"/>
    <col min="8449" max="8449" width="2.7109375" style="21" customWidth="1"/>
    <col min="8450" max="8450" width="3.5703125" style="21" customWidth="1"/>
    <col min="8451" max="8695" width="9.28515625" style="21"/>
    <col min="8696" max="8696" width="8.7109375" style="21" customWidth="1"/>
    <col min="8697" max="8697" width="9.7109375" style="21" customWidth="1"/>
    <col min="8698" max="8698" width="14.42578125" style="21" customWidth="1"/>
    <col min="8699" max="8699" width="7.28515625" style="21" customWidth="1"/>
    <col min="8700" max="8700" width="5.5703125" style="21" customWidth="1"/>
    <col min="8701" max="8701" width="9" style="21" customWidth="1"/>
    <col min="8702" max="8703" width="9.7109375" style="21" customWidth="1"/>
    <col min="8704" max="8704" width="11.28515625" style="21" customWidth="1"/>
    <col min="8705" max="8705" width="2.7109375" style="21" customWidth="1"/>
    <col min="8706" max="8706" width="3.5703125" style="21" customWidth="1"/>
    <col min="8707" max="8951" width="9.28515625" style="21"/>
    <col min="8952" max="8952" width="8.7109375" style="21" customWidth="1"/>
    <col min="8953" max="8953" width="9.7109375" style="21" customWidth="1"/>
    <col min="8954" max="8954" width="14.42578125" style="21" customWidth="1"/>
    <col min="8955" max="8955" width="7.28515625" style="21" customWidth="1"/>
    <col min="8956" max="8956" width="5.5703125" style="21" customWidth="1"/>
    <col min="8957" max="8957" width="9" style="21" customWidth="1"/>
    <col min="8958" max="8959" width="9.7109375" style="21" customWidth="1"/>
    <col min="8960" max="8960" width="11.28515625" style="21" customWidth="1"/>
    <col min="8961" max="8961" width="2.7109375" style="21" customWidth="1"/>
    <col min="8962" max="8962" width="3.5703125" style="21" customWidth="1"/>
    <col min="8963" max="9207" width="9.28515625" style="21"/>
    <col min="9208" max="9208" width="8.7109375" style="21" customWidth="1"/>
    <col min="9209" max="9209" width="9.7109375" style="21" customWidth="1"/>
    <col min="9210" max="9210" width="14.42578125" style="21" customWidth="1"/>
    <col min="9211" max="9211" width="7.28515625" style="21" customWidth="1"/>
    <col min="9212" max="9212" width="5.5703125" style="21" customWidth="1"/>
    <col min="9213" max="9213" width="9" style="21" customWidth="1"/>
    <col min="9214" max="9215" width="9.7109375" style="21" customWidth="1"/>
    <col min="9216" max="9216" width="11.28515625" style="21" customWidth="1"/>
    <col min="9217" max="9217" width="2.7109375" style="21" customWidth="1"/>
    <col min="9218" max="9218" width="3.5703125" style="21" customWidth="1"/>
    <col min="9219" max="9463" width="9.28515625" style="21"/>
    <col min="9464" max="9464" width="8.7109375" style="21" customWidth="1"/>
    <col min="9465" max="9465" width="9.7109375" style="21" customWidth="1"/>
    <col min="9466" max="9466" width="14.42578125" style="21" customWidth="1"/>
    <col min="9467" max="9467" width="7.28515625" style="21" customWidth="1"/>
    <col min="9468" max="9468" width="5.5703125" style="21" customWidth="1"/>
    <col min="9469" max="9469" width="9" style="21" customWidth="1"/>
    <col min="9470" max="9471" width="9.7109375" style="21" customWidth="1"/>
    <col min="9472" max="9472" width="11.28515625" style="21" customWidth="1"/>
    <col min="9473" max="9473" width="2.7109375" style="21" customWidth="1"/>
    <col min="9474" max="9474" width="3.5703125" style="21" customWidth="1"/>
    <col min="9475" max="9719" width="9.28515625" style="21"/>
    <col min="9720" max="9720" width="8.7109375" style="21" customWidth="1"/>
    <col min="9721" max="9721" width="9.7109375" style="21" customWidth="1"/>
    <col min="9722" max="9722" width="14.42578125" style="21" customWidth="1"/>
    <col min="9723" max="9723" width="7.28515625" style="21" customWidth="1"/>
    <col min="9724" max="9724" width="5.5703125" style="21" customWidth="1"/>
    <col min="9725" max="9725" width="9" style="21" customWidth="1"/>
    <col min="9726" max="9727" width="9.7109375" style="21" customWidth="1"/>
    <col min="9728" max="9728" width="11.28515625" style="21" customWidth="1"/>
    <col min="9729" max="9729" width="2.7109375" style="21" customWidth="1"/>
    <col min="9730" max="9730" width="3.5703125" style="21" customWidth="1"/>
    <col min="9731" max="9975" width="9.28515625" style="21"/>
    <col min="9976" max="9976" width="8.7109375" style="21" customWidth="1"/>
    <col min="9977" max="9977" width="9.7109375" style="21" customWidth="1"/>
    <col min="9978" max="9978" width="14.42578125" style="21" customWidth="1"/>
    <col min="9979" max="9979" width="7.28515625" style="21" customWidth="1"/>
    <col min="9980" max="9980" width="5.5703125" style="21" customWidth="1"/>
    <col min="9981" max="9981" width="9" style="21" customWidth="1"/>
    <col min="9982" max="9983" width="9.7109375" style="21" customWidth="1"/>
    <col min="9984" max="9984" width="11.28515625" style="21" customWidth="1"/>
    <col min="9985" max="9985" width="2.7109375" style="21" customWidth="1"/>
    <col min="9986" max="9986" width="3.5703125" style="21" customWidth="1"/>
    <col min="9987" max="10231" width="9.28515625" style="21"/>
    <col min="10232" max="10232" width="8.7109375" style="21" customWidth="1"/>
    <col min="10233" max="10233" width="9.7109375" style="21" customWidth="1"/>
    <col min="10234" max="10234" width="14.42578125" style="21" customWidth="1"/>
    <col min="10235" max="10235" width="7.28515625" style="21" customWidth="1"/>
    <col min="10236" max="10236" width="5.5703125" style="21" customWidth="1"/>
    <col min="10237" max="10237" width="9" style="21" customWidth="1"/>
    <col min="10238" max="10239" width="9.7109375" style="21" customWidth="1"/>
    <col min="10240" max="10240" width="11.28515625" style="21" customWidth="1"/>
    <col min="10241" max="10241" width="2.7109375" style="21" customWidth="1"/>
    <col min="10242" max="10242" width="3.5703125" style="21" customWidth="1"/>
    <col min="10243" max="10487" width="9.28515625" style="21"/>
    <col min="10488" max="10488" width="8.7109375" style="21" customWidth="1"/>
    <col min="10489" max="10489" width="9.7109375" style="21" customWidth="1"/>
    <col min="10490" max="10490" width="14.42578125" style="21" customWidth="1"/>
    <col min="10491" max="10491" width="7.28515625" style="21" customWidth="1"/>
    <col min="10492" max="10492" width="5.5703125" style="21" customWidth="1"/>
    <col min="10493" max="10493" width="9" style="21" customWidth="1"/>
    <col min="10494" max="10495" width="9.7109375" style="21" customWidth="1"/>
    <col min="10496" max="10496" width="11.28515625" style="21" customWidth="1"/>
    <col min="10497" max="10497" width="2.7109375" style="21" customWidth="1"/>
    <col min="10498" max="10498" width="3.5703125" style="21" customWidth="1"/>
    <col min="10499" max="10743" width="9.28515625" style="21"/>
    <col min="10744" max="10744" width="8.7109375" style="21" customWidth="1"/>
    <col min="10745" max="10745" width="9.7109375" style="21" customWidth="1"/>
    <col min="10746" max="10746" width="14.42578125" style="21" customWidth="1"/>
    <col min="10747" max="10747" width="7.28515625" style="21" customWidth="1"/>
    <col min="10748" max="10748" width="5.5703125" style="21" customWidth="1"/>
    <col min="10749" max="10749" width="9" style="21" customWidth="1"/>
    <col min="10750" max="10751" width="9.7109375" style="21" customWidth="1"/>
    <col min="10752" max="10752" width="11.28515625" style="21" customWidth="1"/>
    <col min="10753" max="10753" width="2.7109375" style="21" customWidth="1"/>
    <col min="10754" max="10754" width="3.5703125" style="21" customWidth="1"/>
    <col min="10755" max="10999" width="9.28515625" style="21"/>
    <col min="11000" max="11000" width="8.7109375" style="21" customWidth="1"/>
    <col min="11001" max="11001" width="9.7109375" style="21" customWidth="1"/>
    <col min="11002" max="11002" width="14.42578125" style="21" customWidth="1"/>
    <col min="11003" max="11003" width="7.28515625" style="21" customWidth="1"/>
    <col min="11004" max="11004" width="5.5703125" style="21" customWidth="1"/>
    <col min="11005" max="11005" width="9" style="21" customWidth="1"/>
    <col min="11006" max="11007" width="9.7109375" style="21" customWidth="1"/>
    <col min="11008" max="11008" width="11.28515625" style="21" customWidth="1"/>
    <col min="11009" max="11009" width="2.7109375" style="21" customWidth="1"/>
    <col min="11010" max="11010" width="3.5703125" style="21" customWidth="1"/>
    <col min="11011" max="11255" width="9.28515625" style="21"/>
    <col min="11256" max="11256" width="8.7109375" style="21" customWidth="1"/>
    <col min="11257" max="11257" width="9.7109375" style="21" customWidth="1"/>
    <col min="11258" max="11258" width="14.42578125" style="21" customWidth="1"/>
    <col min="11259" max="11259" width="7.28515625" style="21" customWidth="1"/>
    <col min="11260" max="11260" width="5.5703125" style="21" customWidth="1"/>
    <col min="11261" max="11261" width="9" style="21" customWidth="1"/>
    <col min="11262" max="11263" width="9.7109375" style="21" customWidth="1"/>
    <col min="11264" max="11264" width="11.28515625" style="21" customWidth="1"/>
    <col min="11265" max="11265" width="2.7109375" style="21" customWidth="1"/>
    <col min="11266" max="11266" width="3.5703125" style="21" customWidth="1"/>
    <col min="11267" max="11511" width="9.28515625" style="21"/>
    <col min="11512" max="11512" width="8.7109375" style="21" customWidth="1"/>
    <col min="11513" max="11513" width="9.7109375" style="21" customWidth="1"/>
    <col min="11514" max="11514" width="14.42578125" style="21" customWidth="1"/>
    <col min="11515" max="11515" width="7.28515625" style="21" customWidth="1"/>
    <col min="11516" max="11516" width="5.5703125" style="21" customWidth="1"/>
    <col min="11517" max="11517" width="9" style="21" customWidth="1"/>
    <col min="11518" max="11519" width="9.7109375" style="21" customWidth="1"/>
    <col min="11520" max="11520" width="11.28515625" style="21" customWidth="1"/>
    <col min="11521" max="11521" width="2.7109375" style="21" customWidth="1"/>
    <col min="11522" max="11522" width="3.5703125" style="21" customWidth="1"/>
    <col min="11523" max="11767" width="9.28515625" style="21"/>
    <col min="11768" max="11768" width="8.7109375" style="21" customWidth="1"/>
    <col min="11769" max="11769" width="9.7109375" style="21" customWidth="1"/>
    <col min="11770" max="11770" width="14.42578125" style="21" customWidth="1"/>
    <col min="11771" max="11771" width="7.28515625" style="21" customWidth="1"/>
    <col min="11772" max="11772" width="5.5703125" style="21" customWidth="1"/>
    <col min="11773" max="11773" width="9" style="21" customWidth="1"/>
    <col min="11774" max="11775" width="9.7109375" style="21" customWidth="1"/>
    <col min="11776" max="11776" width="11.28515625" style="21" customWidth="1"/>
    <col min="11777" max="11777" width="2.7109375" style="21" customWidth="1"/>
    <col min="11778" max="11778" width="3.5703125" style="21" customWidth="1"/>
    <col min="11779" max="12023" width="9.28515625" style="21"/>
    <col min="12024" max="12024" width="8.7109375" style="21" customWidth="1"/>
    <col min="12025" max="12025" width="9.7109375" style="21" customWidth="1"/>
    <col min="12026" max="12026" width="14.42578125" style="21" customWidth="1"/>
    <col min="12027" max="12027" width="7.28515625" style="21" customWidth="1"/>
    <col min="12028" max="12028" width="5.5703125" style="21" customWidth="1"/>
    <col min="12029" max="12029" width="9" style="21" customWidth="1"/>
    <col min="12030" max="12031" width="9.7109375" style="21" customWidth="1"/>
    <col min="12032" max="12032" width="11.28515625" style="21" customWidth="1"/>
    <col min="12033" max="12033" width="2.7109375" style="21" customWidth="1"/>
    <col min="12034" max="12034" width="3.5703125" style="21" customWidth="1"/>
    <col min="12035" max="12279" width="9.28515625" style="21"/>
    <col min="12280" max="12280" width="8.7109375" style="21" customWidth="1"/>
    <col min="12281" max="12281" width="9.7109375" style="21" customWidth="1"/>
    <col min="12282" max="12282" width="14.42578125" style="21" customWidth="1"/>
    <col min="12283" max="12283" width="7.28515625" style="21" customWidth="1"/>
    <col min="12284" max="12284" width="5.5703125" style="21" customWidth="1"/>
    <col min="12285" max="12285" width="9" style="21" customWidth="1"/>
    <col min="12286" max="12287" width="9.7109375" style="21" customWidth="1"/>
    <col min="12288" max="12288" width="11.28515625" style="21" customWidth="1"/>
    <col min="12289" max="12289" width="2.7109375" style="21" customWidth="1"/>
    <col min="12290" max="12290" width="3.5703125" style="21" customWidth="1"/>
    <col min="12291" max="12535" width="9.28515625" style="21"/>
    <col min="12536" max="12536" width="8.7109375" style="21" customWidth="1"/>
    <col min="12537" max="12537" width="9.7109375" style="21" customWidth="1"/>
    <col min="12538" max="12538" width="14.42578125" style="21" customWidth="1"/>
    <col min="12539" max="12539" width="7.28515625" style="21" customWidth="1"/>
    <col min="12540" max="12540" width="5.5703125" style="21" customWidth="1"/>
    <col min="12541" max="12541" width="9" style="21" customWidth="1"/>
    <col min="12542" max="12543" width="9.7109375" style="21" customWidth="1"/>
    <col min="12544" max="12544" width="11.28515625" style="21" customWidth="1"/>
    <col min="12545" max="12545" width="2.7109375" style="21" customWidth="1"/>
    <col min="12546" max="12546" width="3.5703125" style="21" customWidth="1"/>
    <col min="12547" max="12791" width="9.28515625" style="21"/>
    <col min="12792" max="12792" width="8.7109375" style="21" customWidth="1"/>
    <col min="12793" max="12793" width="9.7109375" style="21" customWidth="1"/>
    <col min="12794" max="12794" width="14.42578125" style="21" customWidth="1"/>
    <col min="12795" max="12795" width="7.28515625" style="21" customWidth="1"/>
    <col min="12796" max="12796" width="5.5703125" style="21" customWidth="1"/>
    <col min="12797" max="12797" width="9" style="21" customWidth="1"/>
    <col min="12798" max="12799" width="9.7109375" style="21" customWidth="1"/>
    <col min="12800" max="12800" width="11.28515625" style="21" customWidth="1"/>
    <col min="12801" max="12801" width="2.7109375" style="21" customWidth="1"/>
    <col min="12802" max="12802" width="3.5703125" style="21" customWidth="1"/>
    <col min="12803" max="13047" width="9.28515625" style="21"/>
    <col min="13048" max="13048" width="8.7109375" style="21" customWidth="1"/>
    <col min="13049" max="13049" width="9.7109375" style="21" customWidth="1"/>
    <col min="13050" max="13050" width="14.42578125" style="21" customWidth="1"/>
    <col min="13051" max="13051" width="7.28515625" style="21" customWidth="1"/>
    <col min="13052" max="13052" width="5.5703125" style="21" customWidth="1"/>
    <col min="13053" max="13053" width="9" style="21" customWidth="1"/>
    <col min="13054" max="13055" width="9.7109375" style="21" customWidth="1"/>
    <col min="13056" max="13056" width="11.28515625" style="21" customWidth="1"/>
    <col min="13057" max="13057" width="2.7109375" style="21" customWidth="1"/>
    <col min="13058" max="13058" width="3.5703125" style="21" customWidth="1"/>
    <col min="13059" max="13303" width="9.28515625" style="21"/>
    <col min="13304" max="13304" width="8.7109375" style="21" customWidth="1"/>
    <col min="13305" max="13305" width="9.7109375" style="21" customWidth="1"/>
    <col min="13306" max="13306" width="14.42578125" style="21" customWidth="1"/>
    <col min="13307" max="13307" width="7.28515625" style="21" customWidth="1"/>
    <col min="13308" max="13308" width="5.5703125" style="21" customWidth="1"/>
    <col min="13309" max="13309" width="9" style="21" customWidth="1"/>
    <col min="13310" max="13311" width="9.7109375" style="21" customWidth="1"/>
    <col min="13312" max="13312" width="11.28515625" style="21" customWidth="1"/>
    <col min="13313" max="13313" width="2.7109375" style="21" customWidth="1"/>
    <col min="13314" max="13314" width="3.5703125" style="21" customWidth="1"/>
    <col min="13315" max="13559" width="9.28515625" style="21"/>
    <col min="13560" max="13560" width="8.7109375" style="21" customWidth="1"/>
    <col min="13561" max="13561" width="9.7109375" style="21" customWidth="1"/>
    <col min="13562" max="13562" width="14.42578125" style="21" customWidth="1"/>
    <col min="13563" max="13563" width="7.28515625" style="21" customWidth="1"/>
    <col min="13564" max="13564" width="5.5703125" style="21" customWidth="1"/>
    <col min="13565" max="13565" width="9" style="21" customWidth="1"/>
    <col min="13566" max="13567" width="9.7109375" style="21" customWidth="1"/>
    <col min="13568" max="13568" width="11.28515625" style="21" customWidth="1"/>
    <col min="13569" max="13569" width="2.7109375" style="21" customWidth="1"/>
    <col min="13570" max="13570" width="3.5703125" style="21" customWidth="1"/>
    <col min="13571" max="13815" width="9.28515625" style="21"/>
    <col min="13816" max="13816" width="8.7109375" style="21" customWidth="1"/>
    <col min="13817" max="13817" width="9.7109375" style="21" customWidth="1"/>
    <col min="13818" max="13818" width="14.42578125" style="21" customWidth="1"/>
    <col min="13819" max="13819" width="7.28515625" style="21" customWidth="1"/>
    <col min="13820" max="13820" width="5.5703125" style="21" customWidth="1"/>
    <col min="13821" max="13821" width="9" style="21" customWidth="1"/>
    <col min="13822" max="13823" width="9.7109375" style="21" customWidth="1"/>
    <col min="13824" max="13824" width="11.28515625" style="21" customWidth="1"/>
    <col min="13825" max="13825" width="2.7109375" style="21" customWidth="1"/>
    <col min="13826" max="13826" width="3.5703125" style="21" customWidth="1"/>
    <col min="13827" max="14071" width="9.28515625" style="21"/>
    <col min="14072" max="14072" width="8.7109375" style="21" customWidth="1"/>
    <col min="14073" max="14073" width="9.7109375" style="21" customWidth="1"/>
    <col min="14074" max="14074" width="14.42578125" style="21" customWidth="1"/>
    <col min="14075" max="14075" width="7.28515625" style="21" customWidth="1"/>
    <col min="14076" max="14076" width="5.5703125" style="21" customWidth="1"/>
    <col min="14077" max="14077" width="9" style="21" customWidth="1"/>
    <col min="14078" max="14079" width="9.7109375" style="21" customWidth="1"/>
    <col min="14080" max="14080" width="11.28515625" style="21" customWidth="1"/>
    <col min="14081" max="14081" width="2.7109375" style="21" customWidth="1"/>
    <col min="14082" max="14082" width="3.5703125" style="21" customWidth="1"/>
    <col min="14083" max="14327" width="9.28515625" style="21"/>
    <col min="14328" max="14328" width="8.7109375" style="21" customWidth="1"/>
    <col min="14329" max="14329" width="9.7109375" style="21" customWidth="1"/>
    <col min="14330" max="14330" width="14.42578125" style="21" customWidth="1"/>
    <col min="14331" max="14331" width="7.28515625" style="21" customWidth="1"/>
    <col min="14332" max="14332" width="5.5703125" style="21" customWidth="1"/>
    <col min="14333" max="14333" width="9" style="21" customWidth="1"/>
    <col min="14334" max="14335" width="9.7109375" style="21" customWidth="1"/>
    <col min="14336" max="14336" width="11.28515625" style="21" customWidth="1"/>
    <col min="14337" max="14337" width="2.7109375" style="21" customWidth="1"/>
    <col min="14338" max="14338" width="3.5703125" style="21" customWidth="1"/>
    <col min="14339" max="14583" width="9.28515625" style="21"/>
    <col min="14584" max="14584" width="8.7109375" style="21" customWidth="1"/>
    <col min="14585" max="14585" width="9.7109375" style="21" customWidth="1"/>
    <col min="14586" max="14586" width="14.42578125" style="21" customWidth="1"/>
    <col min="14587" max="14587" width="7.28515625" style="21" customWidth="1"/>
    <col min="14588" max="14588" width="5.5703125" style="21" customWidth="1"/>
    <col min="14589" max="14589" width="9" style="21" customWidth="1"/>
    <col min="14590" max="14591" width="9.7109375" style="21" customWidth="1"/>
    <col min="14592" max="14592" width="11.28515625" style="21" customWidth="1"/>
    <col min="14593" max="14593" width="2.7109375" style="21" customWidth="1"/>
    <col min="14594" max="14594" width="3.5703125" style="21" customWidth="1"/>
    <col min="14595" max="14839" width="9.28515625" style="21"/>
    <col min="14840" max="14840" width="8.7109375" style="21" customWidth="1"/>
    <col min="14841" max="14841" width="9.7109375" style="21" customWidth="1"/>
    <col min="14842" max="14842" width="14.42578125" style="21" customWidth="1"/>
    <col min="14843" max="14843" width="7.28515625" style="21" customWidth="1"/>
    <col min="14844" max="14844" width="5.5703125" style="21" customWidth="1"/>
    <col min="14845" max="14845" width="9" style="21" customWidth="1"/>
    <col min="14846" max="14847" width="9.7109375" style="21" customWidth="1"/>
    <col min="14848" max="14848" width="11.28515625" style="21" customWidth="1"/>
    <col min="14849" max="14849" width="2.7109375" style="21" customWidth="1"/>
    <col min="14850" max="14850" width="3.5703125" style="21" customWidth="1"/>
    <col min="14851" max="15095" width="9.28515625" style="21"/>
    <col min="15096" max="15096" width="8.7109375" style="21" customWidth="1"/>
    <col min="15097" max="15097" width="9.7109375" style="21" customWidth="1"/>
    <col min="15098" max="15098" width="14.42578125" style="21" customWidth="1"/>
    <col min="15099" max="15099" width="7.28515625" style="21" customWidth="1"/>
    <col min="15100" max="15100" width="5.5703125" style="21" customWidth="1"/>
    <col min="15101" max="15101" width="9" style="21" customWidth="1"/>
    <col min="15102" max="15103" width="9.7109375" style="21" customWidth="1"/>
    <col min="15104" max="15104" width="11.28515625" style="21" customWidth="1"/>
    <col min="15105" max="15105" width="2.7109375" style="21" customWidth="1"/>
    <col min="15106" max="15106" width="3.5703125" style="21" customWidth="1"/>
    <col min="15107" max="15351" width="9.28515625" style="21"/>
    <col min="15352" max="15352" width="8.7109375" style="21" customWidth="1"/>
    <col min="15353" max="15353" width="9.7109375" style="21" customWidth="1"/>
    <col min="15354" max="15354" width="14.42578125" style="21" customWidth="1"/>
    <col min="15355" max="15355" width="7.28515625" style="21" customWidth="1"/>
    <col min="15356" max="15356" width="5.5703125" style="21" customWidth="1"/>
    <col min="15357" max="15357" width="9" style="21" customWidth="1"/>
    <col min="15358" max="15359" width="9.7109375" style="21" customWidth="1"/>
    <col min="15360" max="15360" width="11.28515625" style="21" customWidth="1"/>
    <col min="15361" max="15361" width="2.7109375" style="21" customWidth="1"/>
    <col min="15362" max="15362" width="3.5703125" style="21" customWidth="1"/>
    <col min="15363" max="15607" width="9.28515625" style="21"/>
    <col min="15608" max="15608" width="8.7109375" style="21" customWidth="1"/>
    <col min="15609" max="15609" width="9.7109375" style="21" customWidth="1"/>
    <col min="15610" max="15610" width="14.42578125" style="21" customWidth="1"/>
    <col min="15611" max="15611" width="7.28515625" style="21" customWidth="1"/>
    <col min="15612" max="15612" width="5.5703125" style="21" customWidth="1"/>
    <col min="15613" max="15613" width="9" style="21" customWidth="1"/>
    <col min="15614" max="15615" width="9.7109375" style="21" customWidth="1"/>
    <col min="15616" max="15616" width="11.28515625" style="21" customWidth="1"/>
    <col min="15617" max="15617" width="2.7109375" style="21" customWidth="1"/>
    <col min="15618" max="15618" width="3.5703125" style="21" customWidth="1"/>
    <col min="15619" max="15863" width="9.28515625" style="21"/>
    <col min="15864" max="15864" width="8.7109375" style="21" customWidth="1"/>
    <col min="15865" max="15865" width="9.7109375" style="21" customWidth="1"/>
    <col min="15866" max="15866" width="14.42578125" style="21" customWidth="1"/>
    <col min="15867" max="15867" width="7.28515625" style="21" customWidth="1"/>
    <col min="15868" max="15868" width="5.5703125" style="21" customWidth="1"/>
    <col min="15869" max="15869" width="9" style="21" customWidth="1"/>
    <col min="15870" max="15871" width="9.7109375" style="21" customWidth="1"/>
    <col min="15872" max="15872" width="11.28515625" style="21" customWidth="1"/>
    <col min="15873" max="15873" width="2.7109375" style="21" customWidth="1"/>
    <col min="15874" max="15874" width="3.5703125" style="21" customWidth="1"/>
    <col min="15875" max="16119" width="9.28515625" style="21"/>
    <col min="16120" max="16120" width="8.7109375" style="21" customWidth="1"/>
    <col min="16121" max="16121" width="9.7109375" style="21" customWidth="1"/>
    <col min="16122" max="16122" width="14.42578125" style="21" customWidth="1"/>
    <col min="16123" max="16123" width="7.28515625" style="21" customWidth="1"/>
    <col min="16124" max="16124" width="5.5703125" style="21" customWidth="1"/>
    <col min="16125" max="16125" width="9" style="21" customWidth="1"/>
    <col min="16126" max="16127" width="9.7109375" style="21" customWidth="1"/>
    <col min="16128" max="16128" width="11.28515625" style="21" customWidth="1"/>
    <col min="16129" max="16129" width="2.7109375" style="21" customWidth="1"/>
    <col min="16130" max="16130" width="3.5703125" style="21" customWidth="1"/>
    <col min="16131" max="16384" width="9.28515625" style="21"/>
  </cols>
  <sheetData>
    <row r="1" spans="1:26" ht="46.5" customHeight="1" x14ac:dyDescent="0.25">
      <c r="A1" s="210" t="s">
        <v>165</v>
      </c>
      <c r="B1" s="210"/>
      <c r="C1" s="210"/>
      <c r="D1" s="210"/>
      <c r="E1" s="210"/>
      <c r="F1" s="210"/>
      <c r="G1" s="210"/>
      <c r="H1" s="210"/>
    </row>
    <row r="2" spans="1:26" ht="16.5" customHeight="1" x14ac:dyDescent="0.25">
      <c r="A2" s="166" t="s">
        <v>0</v>
      </c>
      <c r="B2" s="166"/>
      <c r="C2" s="166"/>
      <c r="D2" s="166"/>
      <c r="E2" s="166"/>
      <c r="F2" s="166"/>
      <c r="G2" s="166"/>
      <c r="H2" s="166"/>
    </row>
    <row r="3" spans="1:26" x14ac:dyDescent="0.25">
      <c r="A3" s="181" t="s">
        <v>1</v>
      </c>
      <c r="B3" s="181"/>
      <c r="C3" s="181"/>
      <c r="D3" s="181"/>
      <c r="E3" s="181" t="str">
        <f ca="1">TEXT(TODAY(),"DD/MM/YYYY")</f>
        <v>20/08/2025</v>
      </c>
      <c r="F3" s="181"/>
      <c r="G3" s="181"/>
      <c r="H3" s="181"/>
      <c r="K3" s="53" t="s">
        <v>238</v>
      </c>
      <c r="L3" s="52" t="s">
        <v>236</v>
      </c>
      <c r="M3" s="52" t="s">
        <v>241</v>
      </c>
      <c r="N3" s="52" t="s">
        <v>239</v>
      </c>
      <c r="O3" s="52" t="s">
        <v>240</v>
      </c>
      <c r="P3" s="52" t="s">
        <v>242</v>
      </c>
    </row>
    <row r="4" spans="1:26" ht="15" customHeight="1" x14ac:dyDescent="0.25">
      <c r="A4" s="181" t="s">
        <v>235</v>
      </c>
      <c r="B4" s="181"/>
      <c r="C4" s="181"/>
      <c r="D4" s="181"/>
      <c r="E4" s="181" t="s">
        <v>468</v>
      </c>
      <c r="F4" s="181"/>
      <c r="G4" s="181"/>
      <c r="H4" s="181"/>
      <c r="K4" s="51" t="s">
        <v>237</v>
      </c>
      <c r="L4" s="52" t="s">
        <v>171</v>
      </c>
      <c r="M4" s="52" t="s">
        <v>246</v>
      </c>
      <c r="N4" s="52" t="s">
        <v>248</v>
      </c>
      <c r="O4" s="52" t="s">
        <v>250</v>
      </c>
      <c r="P4" s="52"/>
    </row>
    <row r="5" spans="1:26" ht="15" customHeight="1" x14ac:dyDescent="0.25">
      <c r="A5" s="181" t="s">
        <v>2</v>
      </c>
      <c r="B5" s="181"/>
      <c r="C5" s="181"/>
      <c r="D5" s="181"/>
      <c r="E5" s="181" t="s">
        <v>469</v>
      </c>
      <c r="F5" s="181"/>
      <c r="G5" s="181"/>
      <c r="H5" s="181"/>
      <c r="K5" s="51"/>
      <c r="L5" s="52" t="s">
        <v>243</v>
      </c>
      <c r="M5" s="52" t="s">
        <v>247</v>
      </c>
      <c r="N5" s="52" t="s">
        <v>249</v>
      </c>
      <c r="O5" s="52" t="s">
        <v>251</v>
      </c>
      <c r="P5" s="52"/>
    </row>
    <row r="6" spans="1:26" x14ac:dyDescent="0.25">
      <c r="A6" s="181" t="s">
        <v>3</v>
      </c>
      <c r="B6" s="181"/>
      <c r="C6" s="181"/>
      <c r="D6" s="181"/>
      <c r="E6" s="315">
        <v>45889</v>
      </c>
      <c r="F6" s="211"/>
      <c r="G6" s="211"/>
      <c r="H6" s="211"/>
      <c r="K6" s="51"/>
      <c r="L6" s="52" t="s">
        <v>244</v>
      </c>
      <c r="M6" s="52"/>
      <c r="N6" s="52"/>
      <c r="O6" s="52" t="s">
        <v>252</v>
      </c>
      <c r="P6" s="52"/>
    </row>
    <row r="7" spans="1:26" ht="16.5" customHeight="1" x14ac:dyDescent="0.25">
      <c r="A7" s="181" t="s">
        <v>4</v>
      </c>
      <c r="B7" s="181"/>
      <c r="C7" s="181"/>
      <c r="D7" s="181"/>
      <c r="E7" s="181" t="s">
        <v>338</v>
      </c>
      <c r="F7" s="181"/>
      <c r="G7" s="181"/>
      <c r="H7" s="181"/>
      <c r="K7" s="51"/>
      <c r="L7" s="52" t="s">
        <v>245</v>
      </c>
      <c r="M7" s="52"/>
      <c r="N7" s="52"/>
      <c r="O7" s="52" t="s">
        <v>252</v>
      </c>
      <c r="P7" s="52"/>
    </row>
    <row r="8" spans="1:26" ht="15" customHeight="1" x14ac:dyDescent="0.25">
      <c r="A8" s="181" t="s">
        <v>5</v>
      </c>
      <c r="B8" s="181"/>
      <c r="C8" s="181"/>
      <c r="D8" s="181"/>
      <c r="E8" s="181" t="str">
        <f>E7</f>
        <v>Prestige Projects Private Limited</v>
      </c>
      <c r="F8" s="181"/>
      <c r="G8" s="181"/>
      <c r="H8" s="181"/>
      <c r="K8" s="51"/>
      <c r="L8" s="52"/>
      <c r="M8" s="52"/>
      <c r="N8" s="52"/>
      <c r="O8" s="52" t="s">
        <v>253</v>
      </c>
      <c r="P8" s="52"/>
    </row>
    <row r="9" spans="1:26" x14ac:dyDescent="0.25">
      <c r="A9" s="181" t="s">
        <v>6</v>
      </c>
      <c r="B9" s="181"/>
      <c r="C9" s="181"/>
      <c r="D9" s="181"/>
      <c r="E9" s="129" t="s">
        <v>461</v>
      </c>
      <c r="F9" s="142"/>
      <c r="G9" s="142"/>
      <c r="H9" s="142"/>
      <c r="K9" s="51"/>
      <c r="L9" s="52"/>
      <c r="M9" s="52"/>
      <c r="N9" s="52"/>
      <c r="O9" s="52" t="s">
        <v>254</v>
      </c>
      <c r="P9" s="52"/>
    </row>
    <row r="10" spans="1:26" x14ac:dyDescent="0.25">
      <c r="A10" s="181" t="s">
        <v>168</v>
      </c>
      <c r="B10" s="181"/>
      <c r="C10" s="181"/>
      <c r="D10" s="181"/>
      <c r="E10" s="181" t="s">
        <v>413</v>
      </c>
      <c r="F10" s="181"/>
      <c r="G10" s="181"/>
      <c r="H10" s="181"/>
      <c r="K10" s="51"/>
      <c r="L10" s="52"/>
      <c r="M10" s="52"/>
      <c r="N10" s="52"/>
      <c r="O10" s="52"/>
      <c r="P10" s="52"/>
    </row>
    <row r="11" spans="1:26" x14ac:dyDescent="0.25">
      <c r="A11" s="181" t="s">
        <v>169</v>
      </c>
      <c r="B11" s="181"/>
      <c r="C11" s="181"/>
      <c r="D11" s="181"/>
      <c r="E11" s="211" t="s">
        <v>28</v>
      </c>
      <c r="F11" s="211"/>
      <c r="G11" s="211"/>
      <c r="H11" s="211"/>
    </row>
    <row r="12" spans="1:26" x14ac:dyDescent="0.25">
      <c r="A12" s="181" t="s">
        <v>7</v>
      </c>
      <c r="B12" s="181"/>
      <c r="C12" s="181"/>
      <c r="D12" s="181"/>
      <c r="E12" s="209" t="s">
        <v>460</v>
      </c>
      <c r="F12" s="181"/>
      <c r="G12" s="181"/>
      <c r="H12" s="181"/>
    </row>
    <row r="13" spans="1:26" x14ac:dyDescent="0.25">
      <c r="A13" s="181" t="s">
        <v>172</v>
      </c>
      <c r="B13" s="181"/>
      <c r="C13" s="181"/>
      <c r="D13" s="181"/>
      <c r="E13" s="181" t="s">
        <v>28</v>
      </c>
      <c r="F13" s="181"/>
      <c r="G13" s="181"/>
      <c r="H13" s="181"/>
      <c r="S13" s="52" t="s">
        <v>181</v>
      </c>
      <c r="T13" s="52" t="s">
        <v>190</v>
      </c>
      <c r="U13" s="52" t="s">
        <v>173</v>
      </c>
      <c r="V13" s="52" t="s">
        <v>195</v>
      </c>
      <c r="W13" s="52" t="s">
        <v>213</v>
      </c>
      <c r="X13"/>
      <c r="Y13" t="s">
        <v>195</v>
      </c>
      <c r="Z13" t="e">
        <f ca="1">OFFSET($S$13,1,MATCH($G20,$S$13:$W$13,0)-1,15,1)</f>
        <v>#VALUE!</v>
      </c>
    </row>
    <row r="14" spans="1:26" x14ac:dyDescent="0.25">
      <c r="A14" s="168" t="s">
        <v>281</v>
      </c>
      <c r="B14" s="168"/>
      <c r="C14" s="168"/>
      <c r="D14" s="168"/>
      <c r="E14" s="227" t="s">
        <v>228</v>
      </c>
      <c r="F14" s="227"/>
      <c r="G14" s="227"/>
      <c r="H14" s="227"/>
      <c r="S14" s="52" t="s">
        <v>181</v>
      </c>
      <c r="T14" s="52" t="s">
        <v>188</v>
      </c>
      <c r="U14" s="52" t="s">
        <v>210</v>
      </c>
      <c r="V14" s="52" t="s">
        <v>196</v>
      </c>
      <c r="W14" s="52" t="s">
        <v>214</v>
      </c>
      <c r="X14"/>
      <c r="Y14"/>
      <c r="Z14"/>
    </row>
    <row r="15" spans="1:26" x14ac:dyDescent="0.25">
      <c r="A15" s="168" t="s">
        <v>8</v>
      </c>
      <c r="B15" s="168"/>
      <c r="C15" s="168"/>
      <c r="D15" s="168"/>
      <c r="E15" s="209" t="s">
        <v>462</v>
      </c>
      <c r="F15" s="181"/>
      <c r="G15" s="181"/>
      <c r="H15" s="181"/>
      <c r="I15" s="163" t="e">
        <f ca="1">OFFSET($D$5,1,MATCH($J13,$D$5:$H$5,0)-1,15,1)</f>
        <v>#N/A</v>
      </c>
      <c r="J15" s="164"/>
      <c r="K15" s="164"/>
      <c r="L15" s="164"/>
      <c r="M15" s="164"/>
      <c r="N15" s="164"/>
      <c r="O15" s="164"/>
      <c r="P15" s="164"/>
      <c r="S15" s="52" t="s">
        <v>182</v>
      </c>
      <c r="T15" s="52" t="s">
        <v>189</v>
      </c>
      <c r="U15" s="52" t="s">
        <v>211</v>
      </c>
      <c r="V15" s="52" t="s">
        <v>197</v>
      </c>
      <c r="W15" s="52" t="s">
        <v>227</v>
      </c>
      <c r="X15"/>
      <c r="Y15"/>
      <c r="Z15"/>
    </row>
    <row r="16" spans="1:26" ht="49.5" customHeight="1" x14ac:dyDescent="0.25">
      <c r="A16" s="209" t="s">
        <v>9</v>
      </c>
      <c r="B16" s="209"/>
      <c r="C16" s="209" t="str">
        <f>CONCATENATE((IF(OR(E9="",E9="NA"),"",E9)),", ",(IF(OR(A17="",A17="NA"),"",A17)),".",(IF(OR(C17="",C17="NA"),"",C17)),", near ",(IF(OR(C22="",C22="NA"),"",C22)),", ",(IF(OR(C19="",C19="NA"),"",C19)),", ",(IF(OR(C18="",C18="NA"),"",C18)),", ",(IF(OR(G19="",G19="NA"),"",G19)),", ",(IF(OR(C20="",C20="NA"),"",C20)),", ",(IF(OR(C21="",C21="NA"),"",C21)),", ",(IF(OR(G20="",G20="NA"),"",G20))," - ",(IF(OR(G21="",G21="NA"),"",G21)),".")</f>
        <v>Prestige Ocean Towers - North, CTS No.2193 (Pt), near S.K. Patil Garden, Maharshi Karve Road, Hemraj Wadi, Bhuleshwar Division' C ', Charni Road, Mumbai, Mumbai - 400002.</v>
      </c>
      <c r="D16" s="209"/>
      <c r="E16" s="209"/>
      <c r="F16" s="209"/>
      <c r="G16" s="209"/>
      <c r="H16" s="209"/>
      <c r="S16" s="52" t="s">
        <v>183</v>
      </c>
      <c r="T16" s="52" t="s">
        <v>191</v>
      </c>
      <c r="U16" s="52" t="s">
        <v>212</v>
      </c>
      <c r="V16" s="52" t="s">
        <v>198</v>
      </c>
      <c r="W16" s="52" t="s">
        <v>215</v>
      </c>
      <c r="X16"/>
      <c r="Y16"/>
      <c r="Z16"/>
    </row>
    <row r="17" spans="1:26" x14ac:dyDescent="0.25">
      <c r="A17" s="209" t="s">
        <v>176</v>
      </c>
      <c r="B17" s="209"/>
      <c r="C17" s="209" t="s">
        <v>339</v>
      </c>
      <c r="D17" s="209"/>
      <c r="E17" s="209"/>
      <c r="F17" s="209"/>
      <c r="G17" s="209"/>
      <c r="H17" s="209"/>
      <c r="S17" s="52" t="s">
        <v>184</v>
      </c>
      <c r="T17" s="52" t="s">
        <v>192</v>
      </c>
      <c r="U17" s="52" t="s">
        <v>173</v>
      </c>
      <c r="V17" s="52" t="s">
        <v>199</v>
      </c>
      <c r="W17" s="52" t="s">
        <v>216</v>
      </c>
      <c r="X17"/>
      <c r="Y17"/>
      <c r="Z17"/>
    </row>
    <row r="18" spans="1:26" ht="15.75" customHeight="1" x14ac:dyDescent="0.25">
      <c r="A18" s="209" t="s">
        <v>163</v>
      </c>
      <c r="B18" s="209"/>
      <c r="C18" s="209" t="s">
        <v>342</v>
      </c>
      <c r="D18" s="209"/>
      <c r="E18" s="209"/>
      <c r="F18" s="209"/>
      <c r="G18" s="209"/>
      <c r="H18" s="209"/>
      <c r="S18" s="52" t="s">
        <v>185</v>
      </c>
      <c r="T18" s="52" t="s">
        <v>190</v>
      </c>
      <c r="U18" s="52"/>
      <c r="V18" s="52" t="s">
        <v>200</v>
      </c>
      <c r="W18" s="52" t="s">
        <v>217</v>
      </c>
      <c r="X18"/>
      <c r="Y18"/>
      <c r="Z18"/>
    </row>
    <row r="19" spans="1:26" ht="15.75" customHeight="1" x14ac:dyDescent="0.25">
      <c r="A19" s="209" t="s">
        <v>10</v>
      </c>
      <c r="B19" s="209"/>
      <c r="C19" s="181" t="s">
        <v>343</v>
      </c>
      <c r="D19" s="181"/>
      <c r="E19" s="209" t="s">
        <v>70</v>
      </c>
      <c r="F19" s="209"/>
      <c r="G19" s="209" t="s">
        <v>452</v>
      </c>
      <c r="H19" s="209"/>
      <c r="S19" s="52" t="s">
        <v>186</v>
      </c>
      <c r="T19" s="52" t="s">
        <v>193</v>
      </c>
      <c r="U19" s="52"/>
      <c r="V19" s="52" t="s">
        <v>201</v>
      </c>
      <c r="W19" s="52" t="s">
        <v>218</v>
      </c>
      <c r="X19"/>
      <c r="Y19"/>
      <c r="Z19"/>
    </row>
    <row r="20" spans="1:26" x14ac:dyDescent="0.25">
      <c r="A20" s="181" t="s">
        <v>12</v>
      </c>
      <c r="B20" s="181"/>
      <c r="C20" s="209" t="s">
        <v>344</v>
      </c>
      <c r="D20" s="209"/>
      <c r="E20" s="209" t="s">
        <v>11</v>
      </c>
      <c r="F20" s="209"/>
      <c r="G20" s="212" t="s">
        <v>173</v>
      </c>
      <c r="H20" s="212"/>
      <c r="S20" s="52" t="s">
        <v>187</v>
      </c>
      <c r="T20" s="52" t="s">
        <v>194</v>
      </c>
      <c r="U20" s="52"/>
      <c r="V20" s="52" t="s">
        <v>202</v>
      </c>
      <c r="W20" s="52" t="s">
        <v>219</v>
      </c>
      <c r="X20"/>
      <c r="Y20"/>
      <c r="Z20"/>
    </row>
    <row r="21" spans="1:26" x14ac:dyDescent="0.25">
      <c r="A21" s="181" t="s">
        <v>71</v>
      </c>
      <c r="B21" s="181"/>
      <c r="C21" s="209" t="s">
        <v>173</v>
      </c>
      <c r="D21" s="209"/>
      <c r="E21" s="209" t="s">
        <v>13</v>
      </c>
      <c r="F21" s="209"/>
      <c r="G21" s="209">
        <v>400002</v>
      </c>
      <c r="H21" s="209"/>
      <c r="S21" s="52"/>
      <c r="T21" s="52"/>
      <c r="U21" s="52"/>
      <c r="V21" s="52" t="s">
        <v>203</v>
      </c>
      <c r="W21" s="52" t="s">
        <v>220</v>
      </c>
      <c r="X21"/>
      <c r="Y21"/>
      <c r="Z21"/>
    </row>
    <row r="22" spans="1:26" ht="32.25" customHeight="1" x14ac:dyDescent="0.25">
      <c r="A22" s="181" t="s">
        <v>119</v>
      </c>
      <c r="B22" s="181"/>
      <c r="C22" s="209" t="s">
        <v>414</v>
      </c>
      <c r="D22" s="209"/>
      <c r="E22" s="209" t="s">
        <v>14</v>
      </c>
      <c r="F22" s="209"/>
      <c r="G22" s="209" t="s">
        <v>346</v>
      </c>
      <c r="H22" s="209"/>
      <c r="S22" s="52"/>
      <c r="T22" s="52"/>
      <c r="U22" s="52"/>
      <c r="V22" s="52" t="s">
        <v>204</v>
      </c>
      <c r="W22" s="52" t="s">
        <v>221</v>
      </c>
      <c r="X22"/>
      <c r="Y22"/>
      <c r="Z22"/>
    </row>
    <row r="23" spans="1:26" ht="15" customHeight="1" x14ac:dyDescent="0.25">
      <c r="A23" s="209" t="s">
        <v>73</v>
      </c>
      <c r="B23" s="209"/>
      <c r="C23" s="209"/>
      <c r="D23" s="209"/>
      <c r="E23" s="181" t="s">
        <v>15</v>
      </c>
      <c r="F23" s="181"/>
      <c r="G23" s="181"/>
      <c r="H23" s="181"/>
      <c r="S23" s="52"/>
      <c r="T23" s="52"/>
      <c r="U23" s="52"/>
      <c r="V23" s="52" t="s">
        <v>205</v>
      </c>
      <c r="W23" s="52" t="s">
        <v>222</v>
      </c>
      <c r="X23"/>
      <c r="Y23"/>
      <c r="Z23"/>
    </row>
    <row r="24" spans="1:26" ht="18.75" customHeight="1" x14ac:dyDescent="0.25">
      <c r="A24" s="209"/>
      <c r="B24" s="209"/>
      <c r="C24" s="209"/>
      <c r="D24" s="209"/>
      <c r="E24" s="181"/>
      <c r="F24" s="181"/>
      <c r="G24" s="181"/>
      <c r="H24" s="181"/>
      <c r="S24" s="52"/>
      <c r="T24" s="52"/>
      <c r="U24" s="52"/>
      <c r="V24" s="52" t="s">
        <v>206</v>
      </c>
      <c r="W24" s="52" t="s">
        <v>223</v>
      </c>
      <c r="X24"/>
      <c r="Y24"/>
      <c r="Z24"/>
    </row>
    <row r="25" spans="1:26" ht="15" customHeight="1" x14ac:dyDescent="0.25">
      <c r="A25" s="128" t="s">
        <v>16</v>
      </c>
      <c r="B25" s="128"/>
      <c r="C25" s="128"/>
      <c r="D25" s="128"/>
      <c r="E25" s="209" t="s">
        <v>17</v>
      </c>
      <c r="F25" s="209"/>
      <c r="G25" s="209"/>
      <c r="H25" s="209"/>
      <c r="S25" s="52"/>
      <c r="T25" s="52"/>
      <c r="U25" s="52"/>
      <c r="V25" s="52" t="s">
        <v>207</v>
      </c>
      <c r="W25" s="52" t="s">
        <v>224</v>
      </c>
      <c r="X25"/>
      <c r="Y25"/>
      <c r="Z25"/>
    </row>
    <row r="26" spans="1:26" ht="15" customHeight="1" x14ac:dyDescent="0.25">
      <c r="A26" s="168" t="s">
        <v>18</v>
      </c>
      <c r="B26" s="168"/>
      <c r="C26" s="168"/>
      <c r="D26" s="168"/>
      <c r="E26" s="209" t="str">
        <f>IF(AND(G20="Mumbai"),"Upper Class","Middle Class")</f>
        <v>Upper Class</v>
      </c>
      <c r="F26" s="209"/>
      <c r="G26" s="209"/>
      <c r="H26" s="209"/>
      <c r="S26" s="52"/>
      <c r="T26" s="52"/>
      <c r="U26" s="52"/>
      <c r="V26" s="52" t="s">
        <v>208</v>
      </c>
      <c r="W26" s="52" t="s">
        <v>225</v>
      </c>
      <c r="X26"/>
      <c r="Y26"/>
      <c r="Z26"/>
    </row>
    <row r="27" spans="1:26" x14ac:dyDescent="0.25">
      <c r="A27" s="168" t="s">
        <v>19</v>
      </c>
      <c r="B27" s="168"/>
      <c r="C27" s="168"/>
      <c r="D27" s="168"/>
      <c r="E27" s="209" t="s">
        <v>20</v>
      </c>
      <c r="F27" s="209"/>
      <c r="G27" s="209"/>
      <c r="H27" s="209"/>
      <c r="S27" s="52"/>
      <c r="T27" s="52"/>
      <c r="U27" s="52"/>
      <c r="V27" s="52" t="s">
        <v>209</v>
      </c>
      <c r="W27" s="52" t="s">
        <v>226</v>
      </c>
      <c r="X27"/>
      <c r="Y27"/>
      <c r="Z27"/>
    </row>
    <row r="28" spans="1:26" ht="15.75" customHeight="1" x14ac:dyDescent="0.25">
      <c r="A28" s="168" t="s">
        <v>21</v>
      </c>
      <c r="B28" s="168"/>
      <c r="C28" s="168"/>
      <c r="D28" s="168"/>
      <c r="E28" s="209" t="str">
        <f>IF(AND(G20="Mumbai"),"Developed","Developing")</f>
        <v>Developed</v>
      </c>
      <c r="F28" s="209"/>
      <c r="G28" s="209"/>
      <c r="H28" s="209"/>
    </row>
    <row r="29" spans="1:26" x14ac:dyDescent="0.25">
      <c r="A29" s="168" t="s">
        <v>22</v>
      </c>
      <c r="B29" s="168"/>
      <c r="C29" s="168"/>
      <c r="D29" s="168"/>
      <c r="E29" s="209" t="s">
        <v>23</v>
      </c>
      <c r="F29" s="209"/>
      <c r="G29" s="209"/>
      <c r="H29" s="209"/>
    </row>
    <row r="30" spans="1:26" ht="15.75" customHeight="1" x14ac:dyDescent="0.25">
      <c r="A30" s="168" t="s">
        <v>78</v>
      </c>
      <c r="B30" s="168"/>
      <c r="C30" s="168"/>
      <c r="D30" s="168"/>
      <c r="E30" s="209" t="s">
        <v>79</v>
      </c>
      <c r="F30" s="209"/>
      <c r="G30" s="209"/>
      <c r="H30" s="209"/>
    </row>
    <row r="31" spans="1:26" ht="15" customHeight="1" x14ac:dyDescent="0.25">
      <c r="A31" s="168" t="s">
        <v>30</v>
      </c>
      <c r="B31" s="168"/>
      <c r="C31" s="168"/>
      <c r="D31" s="168"/>
      <c r="E31" s="20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209"/>
      <c r="G31" s="209"/>
      <c r="H31" s="209"/>
    </row>
    <row r="32" spans="1:26" ht="15.75" customHeight="1" x14ac:dyDescent="0.25">
      <c r="A32" s="168" t="s">
        <v>89</v>
      </c>
      <c r="B32" s="168"/>
      <c r="C32" s="168"/>
      <c r="D32" s="168"/>
      <c r="E32" s="209" t="s">
        <v>31</v>
      </c>
      <c r="F32" s="209"/>
      <c r="G32" s="209"/>
      <c r="H32" s="209"/>
    </row>
    <row r="33" spans="1:19" s="22" customFormat="1" x14ac:dyDescent="0.25">
      <c r="A33" s="222" t="s">
        <v>90</v>
      </c>
      <c r="B33" s="222"/>
      <c r="C33" s="215" t="s">
        <v>174</v>
      </c>
      <c r="D33" s="216"/>
      <c r="E33" s="217"/>
      <c r="F33" s="215" t="s">
        <v>29</v>
      </c>
      <c r="G33" s="216"/>
      <c r="H33" s="217"/>
      <c r="S33" s="22" t="e">
        <f ca="1">OFFSET($S$13,1,MATCH($G20,$S$13:$W$13,0)-1,15,1)</f>
        <v>#VALUE!</v>
      </c>
    </row>
    <row r="34" spans="1:19" s="22" customFormat="1" x14ac:dyDescent="0.25">
      <c r="A34" s="221" t="s">
        <v>24</v>
      </c>
      <c r="B34" s="221" t="s">
        <v>28</v>
      </c>
      <c r="C34" s="218" t="s">
        <v>350</v>
      </c>
      <c r="D34" s="219"/>
      <c r="E34" s="220"/>
      <c r="F34" s="218" t="s">
        <v>347</v>
      </c>
      <c r="G34" s="219"/>
      <c r="H34" s="220"/>
    </row>
    <row r="35" spans="1:19" x14ac:dyDescent="0.25">
      <c r="A35" s="221" t="s">
        <v>25</v>
      </c>
      <c r="B35" s="221" t="s">
        <v>28</v>
      </c>
      <c r="C35" s="218" t="s">
        <v>351</v>
      </c>
      <c r="D35" s="219"/>
      <c r="E35" s="220"/>
      <c r="F35" s="218" t="s">
        <v>345</v>
      </c>
      <c r="G35" s="219"/>
      <c r="H35" s="220"/>
    </row>
    <row r="36" spans="1:19" s="22" customFormat="1" x14ac:dyDescent="0.25">
      <c r="A36" s="221" t="s">
        <v>27</v>
      </c>
      <c r="B36" s="221" t="s">
        <v>28</v>
      </c>
      <c r="C36" s="218" t="s">
        <v>352</v>
      </c>
      <c r="D36" s="219"/>
      <c r="E36" s="220"/>
      <c r="F36" s="218" t="s">
        <v>348</v>
      </c>
      <c r="G36" s="219"/>
      <c r="H36" s="220"/>
    </row>
    <row r="37" spans="1:19" x14ac:dyDescent="0.25">
      <c r="A37" s="221" t="s">
        <v>26</v>
      </c>
      <c r="B37" s="221" t="s">
        <v>28</v>
      </c>
      <c r="C37" s="218" t="s">
        <v>353</v>
      </c>
      <c r="D37" s="219"/>
      <c r="E37" s="220"/>
      <c r="F37" s="218" t="s">
        <v>349</v>
      </c>
      <c r="G37" s="219"/>
      <c r="H37" s="220"/>
    </row>
    <row r="38" spans="1:19" x14ac:dyDescent="0.25">
      <c r="A38" s="168" t="s">
        <v>282</v>
      </c>
      <c r="B38" s="168"/>
      <c r="C38" s="168"/>
      <c r="D38" s="168"/>
      <c r="E38" s="168"/>
      <c r="F38" s="168"/>
      <c r="G38" s="168"/>
      <c r="H38" s="168"/>
    </row>
    <row r="39" spans="1:19" ht="15.75" customHeight="1" x14ac:dyDescent="0.25">
      <c r="A39" s="168" t="s">
        <v>166</v>
      </c>
      <c r="B39" s="168"/>
      <c r="C39" s="208" t="s">
        <v>341</v>
      </c>
      <c r="D39" s="208"/>
      <c r="E39" s="208"/>
      <c r="F39" s="208"/>
      <c r="G39" s="208"/>
      <c r="H39" s="208"/>
    </row>
    <row r="40" spans="1:19" x14ac:dyDescent="0.25">
      <c r="A40" s="168" t="s">
        <v>162</v>
      </c>
      <c r="B40" s="168"/>
      <c r="C40" s="263" t="s">
        <v>340</v>
      </c>
      <c r="D40" s="209"/>
      <c r="E40" s="209"/>
      <c r="F40" s="209"/>
      <c r="G40" s="209"/>
      <c r="H40" s="209"/>
    </row>
    <row r="41" spans="1:19" x14ac:dyDescent="0.25">
      <c r="A41" s="208" t="s">
        <v>32</v>
      </c>
      <c r="B41" s="208"/>
      <c r="C41" s="208"/>
      <c r="D41" s="208"/>
      <c r="E41" s="208"/>
      <c r="F41" s="208"/>
      <c r="G41" s="208"/>
      <c r="H41" s="208"/>
    </row>
    <row r="42" spans="1:19" x14ac:dyDescent="0.25">
      <c r="A42" s="168" t="s">
        <v>33</v>
      </c>
      <c r="B42" s="168"/>
      <c r="C42" s="168"/>
      <c r="D42" s="168"/>
      <c r="E42" s="246">
        <v>8571.33</v>
      </c>
      <c r="F42" s="246"/>
      <c r="G42" s="246"/>
      <c r="H42" s="246"/>
    </row>
    <row r="43" spans="1:19" x14ac:dyDescent="0.25">
      <c r="A43" s="168" t="s">
        <v>34</v>
      </c>
      <c r="B43" s="168"/>
      <c r="C43" s="168"/>
      <c r="D43" s="168"/>
      <c r="E43" s="180">
        <v>1.33</v>
      </c>
      <c r="F43" s="180"/>
      <c r="G43" s="180"/>
      <c r="H43" s="180"/>
    </row>
    <row r="44" spans="1:19" x14ac:dyDescent="0.25">
      <c r="A44" s="181" t="s">
        <v>35</v>
      </c>
      <c r="B44" s="181"/>
      <c r="C44" s="181"/>
      <c r="D44" s="181"/>
      <c r="E44" s="213">
        <f>E46/E42-E43</f>
        <v>3.8179758683891531</v>
      </c>
      <c r="F44" s="213"/>
      <c r="G44" s="213"/>
      <c r="H44" s="213"/>
    </row>
    <row r="45" spans="1:19" x14ac:dyDescent="0.25">
      <c r="A45" s="181" t="s">
        <v>36</v>
      </c>
      <c r="B45" s="181"/>
      <c r="C45" s="181"/>
      <c r="D45" s="181"/>
      <c r="E45" s="213">
        <f>E43+E44</f>
        <v>5.1479758683891532</v>
      </c>
      <c r="F45" s="213"/>
      <c r="G45" s="213"/>
      <c r="H45" s="213"/>
    </row>
    <row r="46" spans="1:19" x14ac:dyDescent="0.25">
      <c r="A46" s="181" t="s">
        <v>88</v>
      </c>
      <c r="B46" s="181"/>
      <c r="C46" s="181"/>
      <c r="D46" s="181"/>
      <c r="E46" s="214">
        <v>44125</v>
      </c>
      <c r="F46" s="214"/>
      <c r="G46" s="214"/>
      <c r="H46" s="214"/>
      <c r="I46" s="21">
        <v>36071.730000000003</v>
      </c>
    </row>
    <row r="47" spans="1:19" x14ac:dyDescent="0.25">
      <c r="A47" s="181" t="s">
        <v>37</v>
      </c>
      <c r="B47" s="181"/>
      <c r="C47" s="181"/>
      <c r="D47" s="181"/>
      <c r="E47" s="181" t="s">
        <v>463</v>
      </c>
      <c r="F47" s="181"/>
      <c r="G47" s="181"/>
      <c r="H47" s="181"/>
    </row>
    <row r="48" spans="1:19" x14ac:dyDescent="0.25">
      <c r="A48" s="142" t="s">
        <v>38</v>
      </c>
      <c r="B48" s="142"/>
      <c r="C48" s="142"/>
      <c r="D48" s="142"/>
      <c r="E48" s="142"/>
      <c r="F48" s="142"/>
      <c r="G48" s="142"/>
      <c r="H48" s="142"/>
    </row>
    <row r="49" spans="1:24" ht="33.75" customHeight="1" x14ac:dyDescent="0.25">
      <c r="A49" s="233" t="s">
        <v>151</v>
      </c>
      <c r="B49" s="235"/>
      <c r="C49" s="239" t="s">
        <v>257</v>
      </c>
      <c r="D49" s="240"/>
      <c r="E49" s="240"/>
      <c r="F49" s="240"/>
      <c r="G49" s="240"/>
      <c r="H49" s="241"/>
      <c r="R49" t="s">
        <v>255</v>
      </c>
      <c r="S49" s="54" t="s">
        <v>173</v>
      </c>
      <c r="T49" s="54" t="s">
        <v>181</v>
      </c>
      <c r="U49" s="54" t="s">
        <v>195</v>
      </c>
      <c r="V49" s="54" t="s">
        <v>190</v>
      </c>
    </row>
    <row r="50" spans="1:24" ht="15.75" customHeight="1" x14ac:dyDescent="0.25">
      <c r="A50" s="233" t="s">
        <v>39</v>
      </c>
      <c r="B50" s="235"/>
      <c r="C50" s="228" t="s">
        <v>425</v>
      </c>
      <c r="D50" s="229"/>
      <c r="E50" s="230"/>
      <c r="F50" s="75" t="s">
        <v>40</v>
      </c>
      <c r="G50" s="231">
        <v>45594</v>
      </c>
      <c r="H50" s="232"/>
      <c r="I50" s="21" t="s">
        <v>356</v>
      </c>
      <c r="L50" s="25">
        <v>45442</v>
      </c>
      <c r="R50"/>
      <c r="S50" s="54" t="s">
        <v>256</v>
      </c>
      <c r="T50" s="54" t="s">
        <v>261</v>
      </c>
      <c r="U50" s="54" t="s">
        <v>272</v>
      </c>
      <c r="V50" s="54" t="s">
        <v>277</v>
      </c>
    </row>
    <row r="51" spans="1:24" x14ac:dyDescent="0.25">
      <c r="A51" s="233" t="s">
        <v>41</v>
      </c>
      <c r="B51" s="235"/>
      <c r="C51" s="228" t="str">
        <f>C50</f>
        <v>EB/1525/C/A/337/9/Amend</v>
      </c>
      <c r="D51" s="229"/>
      <c r="E51" s="230"/>
      <c r="F51" s="75" t="s">
        <v>40</v>
      </c>
      <c r="G51" s="231">
        <f>G50</f>
        <v>45594</v>
      </c>
      <c r="H51" s="232"/>
      <c r="R51"/>
      <c r="S51" s="54" t="s">
        <v>257</v>
      </c>
      <c r="T51" s="54" t="s">
        <v>262</v>
      </c>
      <c r="U51" s="54" t="s">
        <v>270</v>
      </c>
      <c r="V51" s="54" t="s">
        <v>278</v>
      </c>
    </row>
    <row r="52" spans="1:24" s="23" customFormat="1" ht="15.75" customHeight="1" x14ac:dyDescent="0.25">
      <c r="A52" s="253" t="s">
        <v>155</v>
      </c>
      <c r="B52" s="254"/>
      <c r="C52" s="228" t="s">
        <v>354</v>
      </c>
      <c r="D52" s="229"/>
      <c r="E52" s="230"/>
      <c r="F52" s="109" t="s">
        <v>40</v>
      </c>
      <c r="G52" s="231">
        <v>45189</v>
      </c>
      <c r="H52" s="232"/>
      <c r="I52" s="96" t="s">
        <v>426</v>
      </c>
      <c r="R52"/>
      <c r="S52" s="54" t="s">
        <v>258</v>
      </c>
      <c r="T52" s="54" t="s">
        <v>263</v>
      </c>
      <c r="U52" s="54" t="s">
        <v>260</v>
      </c>
      <c r="V52" s="54" t="s">
        <v>279</v>
      </c>
    </row>
    <row r="53" spans="1:24" s="23" customFormat="1" ht="50.1" customHeight="1" x14ac:dyDescent="0.25">
      <c r="A53" s="255"/>
      <c r="B53" s="256"/>
      <c r="C53" s="228" t="s">
        <v>355</v>
      </c>
      <c r="D53" s="229"/>
      <c r="E53" s="230"/>
      <c r="F53" s="109" t="s">
        <v>118</v>
      </c>
      <c r="G53" s="231">
        <v>45704</v>
      </c>
      <c r="H53" s="232"/>
      <c r="R53"/>
      <c r="S53" s="54" t="s">
        <v>259</v>
      </c>
      <c r="T53" s="54" t="s">
        <v>266</v>
      </c>
      <c r="U53" s="54" t="s">
        <v>273</v>
      </c>
      <c r="V53" s="69"/>
    </row>
    <row r="54" spans="1:24" s="23" customFormat="1" x14ac:dyDescent="0.25">
      <c r="A54" s="223" t="s">
        <v>283</v>
      </c>
      <c r="B54" s="238"/>
      <c r="C54" s="228" t="s">
        <v>451</v>
      </c>
      <c r="D54" s="229"/>
      <c r="E54" s="230"/>
      <c r="F54" s="18" t="s">
        <v>40</v>
      </c>
      <c r="G54" s="231">
        <v>45163</v>
      </c>
      <c r="H54" s="230"/>
      <c r="I54" s="23" t="s">
        <v>450</v>
      </c>
      <c r="R54"/>
      <c r="S54" s="54" t="s">
        <v>258</v>
      </c>
      <c r="T54" s="54" t="s">
        <v>263</v>
      </c>
      <c r="U54" s="54" t="s">
        <v>260</v>
      </c>
      <c r="V54" s="54" t="s">
        <v>279</v>
      </c>
    </row>
    <row r="55" spans="1:24" s="23" customFormat="1" ht="31.15" customHeight="1" x14ac:dyDescent="0.25">
      <c r="A55" s="244"/>
      <c r="B55" s="245"/>
      <c r="C55" s="265" t="s">
        <v>427</v>
      </c>
      <c r="D55" s="266"/>
      <c r="E55" s="266"/>
      <c r="F55" s="266"/>
      <c r="G55" s="266"/>
      <c r="H55" s="267"/>
      <c r="R55"/>
      <c r="S55" s="54" t="s">
        <v>260</v>
      </c>
      <c r="T55" s="54" t="s">
        <v>264</v>
      </c>
      <c r="U55" s="54" t="s">
        <v>274</v>
      </c>
      <c r="V55" s="70"/>
      <c r="W55" s="21"/>
      <c r="X55" s="21"/>
    </row>
    <row r="56" spans="1:24" s="23" customFormat="1" x14ac:dyDescent="0.25">
      <c r="A56" s="223" t="s">
        <v>284</v>
      </c>
      <c r="B56" s="238"/>
      <c r="C56" s="233" t="s">
        <v>417</v>
      </c>
      <c r="D56" s="234"/>
      <c r="E56" s="235"/>
      <c r="F56" s="75" t="s">
        <v>40</v>
      </c>
      <c r="G56" s="248">
        <v>43903</v>
      </c>
      <c r="H56" s="235"/>
      <c r="R56"/>
      <c r="S56" s="70"/>
      <c r="T56" s="54" t="s">
        <v>265</v>
      </c>
      <c r="U56" s="54" t="s">
        <v>275</v>
      </c>
      <c r="V56" s="70"/>
      <c r="W56" s="21"/>
      <c r="X56" s="21"/>
    </row>
    <row r="57" spans="1:24" s="23" customFormat="1" x14ac:dyDescent="0.25">
      <c r="A57" s="244"/>
      <c r="B57" s="245"/>
      <c r="C57" s="233" t="s">
        <v>418</v>
      </c>
      <c r="D57" s="234"/>
      <c r="E57" s="234"/>
      <c r="F57" s="234"/>
      <c r="G57" s="234"/>
      <c r="H57" s="235"/>
      <c r="R57"/>
      <c r="S57" s="70"/>
      <c r="T57" s="54" t="s">
        <v>267</v>
      </c>
      <c r="U57" s="54" t="s">
        <v>276</v>
      </c>
      <c r="V57" s="70"/>
      <c r="W57" s="21"/>
      <c r="X57" s="21"/>
    </row>
    <row r="58" spans="1:24" s="23" customFormat="1" ht="15.75" customHeight="1" x14ac:dyDescent="0.25">
      <c r="A58" s="223" t="s">
        <v>415</v>
      </c>
      <c r="B58" s="238"/>
      <c r="C58" s="249" t="s">
        <v>357</v>
      </c>
      <c r="D58" s="250"/>
      <c r="E58" s="251"/>
      <c r="F58" s="18" t="s">
        <v>40</v>
      </c>
      <c r="G58" s="252">
        <v>44876</v>
      </c>
      <c r="H58" s="251"/>
      <c r="R58"/>
      <c r="S58" s="70"/>
      <c r="T58" s="54" t="s">
        <v>268</v>
      </c>
      <c r="U58" s="70" t="s">
        <v>298</v>
      </c>
      <c r="V58" s="70"/>
      <c r="W58" s="21"/>
      <c r="X58" s="21"/>
    </row>
    <row r="59" spans="1:24" s="23" customFormat="1" ht="33.75" customHeight="1" x14ac:dyDescent="0.25">
      <c r="A59" s="244"/>
      <c r="B59" s="245"/>
      <c r="C59" s="128" t="s">
        <v>416</v>
      </c>
      <c r="D59" s="128"/>
      <c r="E59" s="128"/>
      <c r="F59" s="75" t="s">
        <v>118</v>
      </c>
      <c r="G59" s="257">
        <v>47797</v>
      </c>
      <c r="H59" s="128"/>
      <c r="R59"/>
      <c r="S59" s="70"/>
      <c r="T59" s="54" t="s">
        <v>269</v>
      </c>
      <c r="U59" s="70"/>
      <c r="V59" s="70"/>
      <c r="W59" s="21"/>
      <c r="X59" s="21"/>
    </row>
    <row r="60" spans="1:24" x14ac:dyDescent="0.25">
      <c r="A60" s="171" t="s">
        <v>42</v>
      </c>
      <c r="B60" s="172"/>
      <c r="C60" s="171" t="s">
        <v>102</v>
      </c>
      <c r="D60" s="173"/>
      <c r="E60" s="172"/>
      <c r="F60" s="43" t="s">
        <v>40</v>
      </c>
      <c r="G60" s="242" t="s">
        <v>28</v>
      </c>
      <c r="H60" s="243"/>
      <c r="R60"/>
      <c r="S60" s="70"/>
      <c r="T60" s="54" t="s">
        <v>271</v>
      </c>
      <c r="U60" s="70"/>
      <c r="V60" s="70"/>
    </row>
    <row r="61" spans="1:24" x14ac:dyDescent="0.25">
      <c r="A61" s="201" t="s">
        <v>44</v>
      </c>
      <c r="B61" s="201"/>
      <c r="C61" s="201"/>
      <c r="D61" s="201"/>
      <c r="E61" s="201"/>
      <c r="F61" s="201"/>
      <c r="G61" s="201"/>
      <c r="H61" s="201"/>
      <c r="S61" s="70"/>
      <c r="T61" s="54" t="s">
        <v>280</v>
      </c>
      <c r="U61" s="70"/>
      <c r="V61" s="70"/>
    </row>
    <row r="62" spans="1:24" ht="32.450000000000003" customHeight="1" x14ac:dyDescent="0.25">
      <c r="A62" s="128" t="s">
        <v>466</v>
      </c>
      <c r="B62" s="128"/>
      <c r="C62" s="128"/>
      <c r="D62" s="168">
        <v>20158.189999999999</v>
      </c>
      <c r="E62" s="168"/>
      <c r="F62" s="168"/>
      <c r="G62" s="168"/>
      <c r="H62" s="168"/>
      <c r="R62"/>
    </row>
    <row r="63" spans="1:24" x14ac:dyDescent="0.25">
      <c r="A63" s="209" t="s">
        <v>45</v>
      </c>
      <c r="B63" s="181"/>
      <c r="C63" s="181"/>
      <c r="D63" s="227" t="s">
        <v>467</v>
      </c>
      <c r="E63" s="211"/>
      <c r="F63" s="211"/>
      <c r="G63" s="211"/>
      <c r="H63" s="211"/>
      <c r="I63" s="24"/>
      <c r="R63"/>
    </row>
    <row r="64" spans="1:24" x14ac:dyDescent="0.25">
      <c r="A64" s="223" t="s">
        <v>46</v>
      </c>
      <c r="B64" s="224"/>
      <c r="C64" s="238"/>
      <c r="D64" s="236" t="s">
        <v>428</v>
      </c>
      <c r="E64" s="237"/>
      <c r="F64" s="237"/>
      <c r="G64" s="237"/>
      <c r="H64" s="237"/>
      <c r="R64"/>
    </row>
    <row r="65" spans="1:19" ht="31.5" customHeight="1" x14ac:dyDescent="0.25">
      <c r="A65" s="223" t="s">
        <v>86</v>
      </c>
      <c r="B65" s="224"/>
      <c r="C65" s="224"/>
      <c r="D65" s="227" t="s">
        <v>429</v>
      </c>
      <c r="E65" s="227"/>
      <c r="F65" s="227"/>
      <c r="G65" s="227"/>
      <c r="H65" s="227"/>
      <c r="I65" s="108" t="s">
        <v>430</v>
      </c>
      <c r="R65"/>
    </row>
    <row r="66" spans="1:19" ht="31.5" hidden="1" customHeight="1" x14ac:dyDescent="0.25">
      <c r="A66" s="225"/>
      <c r="B66" s="226"/>
      <c r="C66" s="226"/>
      <c r="D66" s="227" t="s">
        <v>419</v>
      </c>
      <c r="E66" s="227"/>
      <c r="F66" s="227"/>
      <c r="G66" s="227"/>
      <c r="H66" s="227"/>
      <c r="R66"/>
    </row>
    <row r="67" spans="1:19" ht="15.75" customHeight="1" x14ac:dyDescent="0.25">
      <c r="A67" s="168" t="s">
        <v>43</v>
      </c>
      <c r="B67" s="168"/>
      <c r="C67" s="168"/>
      <c r="D67" s="247" t="s">
        <v>358</v>
      </c>
      <c r="E67" s="247"/>
      <c r="F67" s="247"/>
      <c r="G67" s="247"/>
      <c r="H67" s="247"/>
      <c r="J67" s="25"/>
      <c r="K67" s="24"/>
      <c r="N67" s="24"/>
      <c r="S67"/>
    </row>
    <row r="68" spans="1:19" ht="15.75" customHeight="1" x14ac:dyDescent="0.25">
      <c r="A68" s="168" t="s">
        <v>84</v>
      </c>
      <c r="B68" s="168"/>
      <c r="C68" s="168"/>
      <c r="D68" s="272" t="str">
        <f>(IF(G60="NA","60 Years After Completion",IF(G60&lt;&gt;"NA",""&amp;60-ROUNDDOWN((E3-G60)/360,0)&amp;" Years"," ")))</f>
        <v>60 Years After Completion</v>
      </c>
      <c r="E68" s="272"/>
      <c r="F68" s="272"/>
      <c r="G68" s="272"/>
      <c r="H68" s="272"/>
      <c r="N68" s="24"/>
      <c r="S68"/>
    </row>
    <row r="69" spans="1:19" ht="15.75" customHeight="1" x14ac:dyDescent="0.25">
      <c r="A69" s="168" t="s">
        <v>85</v>
      </c>
      <c r="B69" s="168"/>
      <c r="C69" s="168"/>
      <c r="D69" s="128" t="s">
        <v>23</v>
      </c>
      <c r="E69" s="128"/>
      <c r="F69" s="128"/>
      <c r="G69" s="128"/>
      <c r="H69" s="128"/>
      <c r="J69" s="26"/>
      <c r="K69" s="26"/>
      <c r="S69"/>
    </row>
    <row r="70" spans="1:19" ht="48" customHeight="1" x14ac:dyDescent="0.25">
      <c r="A70" s="181" t="s">
        <v>409</v>
      </c>
      <c r="B70" s="181"/>
      <c r="C70" s="181"/>
      <c r="D70" s="209" t="s">
        <v>408</v>
      </c>
      <c r="E70" s="128"/>
      <c r="F70" s="128"/>
      <c r="G70" s="128"/>
      <c r="H70" s="128"/>
      <c r="S70"/>
    </row>
    <row r="71" spans="1:19" x14ac:dyDescent="0.25">
      <c r="A71" s="128" t="s">
        <v>147</v>
      </c>
      <c r="B71" s="128"/>
      <c r="C71" s="128"/>
      <c r="D71" s="128" t="s">
        <v>28</v>
      </c>
      <c r="E71" s="128"/>
      <c r="F71" s="128"/>
      <c r="G71" s="128"/>
      <c r="H71" s="128"/>
      <c r="I71" s="27"/>
      <c r="J71" s="27"/>
      <c r="K71" s="27"/>
      <c r="L71" s="27"/>
      <c r="M71" s="27"/>
      <c r="N71" s="27"/>
    </row>
    <row r="72" spans="1:19" ht="15.75" customHeight="1" x14ac:dyDescent="0.25">
      <c r="A72" s="271" t="s">
        <v>83</v>
      </c>
      <c r="B72" s="271"/>
      <c r="C72" s="271"/>
      <c r="D72" s="135" t="str">
        <f ca="1">(IF(G78&gt;95%,"Nothing",IF(G78&gt;0%,"Cement, Aggregate, Steel, etc",IF(G78=0%,"Work not yet Started"))))</f>
        <v>Cement, Aggregate, Steel, etc</v>
      </c>
      <c r="E72" s="135"/>
      <c r="F72" s="135"/>
      <c r="G72" s="135"/>
      <c r="H72" s="135"/>
      <c r="J72" s="26"/>
      <c r="S72"/>
    </row>
    <row r="73" spans="1:19" ht="33.75" customHeight="1" thickBot="1" x14ac:dyDescent="0.3">
      <c r="A73" s="270" t="s">
        <v>115</v>
      </c>
      <c r="B73" s="270"/>
      <c r="C73" s="270"/>
      <c r="D73" s="135" t="str">
        <f ca="1">(IF(D72="Nothing","Yes",IF(D72="Cement, Aggregate, Steel, etc","Under Construction",IF(D72="Work not yet Started","Work not yet Started"))))</f>
        <v>Under Construction</v>
      </c>
      <c r="E73" s="135"/>
      <c r="F73" s="135" t="str">
        <f ca="1">(IF(D72="Nothing","Yes",IF(D72="Cement, Aggregate, Steel, etc","Under Construction",IF(D72="Work not yet Started","Work not yet Started"))))</f>
        <v>Under Construction</v>
      </c>
      <c r="G73" s="135"/>
      <c r="H73" s="135"/>
      <c r="S73"/>
    </row>
    <row r="74" spans="1:19" x14ac:dyDescent="0.25">
      <c r="A74" s="143" t="s">
        <v>137</v>
      </c>
      <c r="B74" s="144"/>
      <c r="C74" s="145" t="str">
        <f>D65</f>
        <v>Wing 1 (Tower 1) = 2B + Gr/Stilt + P1 to P6 + 7th Floor + 8th to 55th Floor</v>
      </c>
      <c r="D74" s="146"/>
      <c r="E74" s="146"/>
      <c r="F74" s="146"/>
      <c r="G74" s="146"/>
      <c r="H74" s="147"/>
      <c r="I74" s="46" t="str">
        <f ca="1">IF(D87=100%,"All work Completed. Possession granted to the Building.",IF(D86=100%,"All work Completed, Waiting for OC",I75&amp;""&amp;I76&amp;""&amp;J75&amp;""&amp;J74&amp;" "&amp;J76))</f>
        <v xml:space="preserve">Excavation work in process </v>
      </c>
      <c r="J74" s="47"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25">
      <c r="A75" s="16" t="s">
        <v>139</v>
      </c>
      <c r="B75" s="50">
        <f>IF(AND(ISNUMBER(SEARCH("1B",C74))),1,IF(AND(ISNUMBER(SEARCH("2B",C74))),2,IF(AND(ISNUMBER(SEARCH("3B",C74))),3,IF(AND(ISNUMBER(SEARCH("4B",C74))),4,IF(ISNUMBER(SEARCH("5B",C74)),5,0)))))</f>
        <v>2</v>
      </c>
      <c r="C75" s="50" t="s">
        <v>69</v>
      </c>
      <c r="D75" s="50">
        <v>1</v>
      </c>
      <c r="E75" s="50" t="s">
        <v>68</v>
      </c>
      <c r="F75" s="50">
        <v>0</v>
      </c>
      <c r="G75" s="50" t="s">
        <v>77</v>
      </c>
      <c r="H75" s="17">
        <f ca="1">--TRIM(RIGHT(SUBSTITUTE(LEFT(C74,_xlfn.AGGREGATE(16,6,FIND({0,1,2,3,4,5,6,7,8,9},C74,ROW(INDIRECT("1:"&amp;LEN(C74)))),1))," ",REPT(" ",LEN(C74))),LEN(C74)))</f>
        <v>55</v>
      </c>
      <c r="I75" s="48" t="str">
        <f ca="1">IF(D78=100%,"Excavation","")&amp;IF(D79=100%,", Plinth","")&amp;IF(D80=100%,", RCC Slab","")&amp;IF(D81=100%,", Brickwork","")&amp;IF(D82=100%,", Internal Plaster","")&amp;IF(D83=100%,", External Plaster","")&amp;IF(D84=100%,", Flooring","")&amp;IF(D85=100%,", Painting","")&amp;IF(D86=100%,", Building common Amenities","")</f>
        <v/>
      </c>
      <c r="J75" s="49"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Excavation work in process</v>
      </c>
      <c r="S75"/>
    </row>
    <row r="76" spans="1:19" x14ac:dyDescent="0.25">
      <c r="A76" s="141" t="s">
        <v>87</v>
      </c>
      <c r="B76" s="142"/>
      <c r="C76" s="129" t="str">
        <f ca="1">I74</f>
        <v xml:space="preserve">Excavation work in process </v>
      </c>
      <c r="D76" s="129"/>
      <c r="E76" s="129"/>
      <c r="F76" s="129"/>
      <c r="G76" s="129"/>
      <c r="H76" s="130"/>
      <c r="I76" s="48" t="str">
        <f ca="1">IF(I75&lt;&gt;""," Completed","")</f>
        <v/>
      </c>
      <c r="J76" s="49" t="str">
        <f ca="1">IF(J74&lt;&gt;"","Completed","")</f>
        <v/>
      </c>
      <c r="S76"/>
    </row>
    <row r="77" spans="1:19" ht="15.75" customHeight="1" x14ac:dyDescent="0.25">
      <c r="A77" s="136" t="s">
        <v>47</v>
      </c>
      <c r="B77" s="137"/>
      <c r="C77" s="88" t="s">
        <v>136</v>
      </c>
      <c r="D77" s="88" t="s">
        <v>80</v>
      </c>
      <c r="E77" s="137" t="s">
        <v>82</v>
      </c>
      <c r="F77" s="137"/>
      <c r="G77" s="137" t="s">
        <v>81</v>
      </c>
      <c r="H77" s="138"/>
      <c r="I77" s="13" t="s">
        <v>138</v>
      </c>
      <c r="J77" s="28">
        <f ca="1">H75*25%</f>
        <v>13.75</v>
      </c>
      <c r="S77"/>
    </row>
    <row r="78" spans="1:19" x14ac:dyDescent="0.25">
      <c r="A78" s="136" t="s">
        <v>125</v>
      </c>
      <c r="B78" s="137"/>
      <c r="C78" s="72">
        <f ca="1">J78</f>
        <v>27.5</v>
      </c>
      <c r="D78" s="89">
        <f ca="1">((100/H75)*C78)/100</f>
        <v>0.5</v>
      </c>
      <c r="E78" s="148">
        <f ca="1">(((C79/H75*10)+(40/(D75+F75+H75)*C80)+(7.5/(H75)*C81)+(7.5/(H75)*C82)+(10/H75*C83)+(10/H75*C84)+(5/H75*C85)+(5/H75*C86)+(5/H75*C87))/100)</f>
        <v>0</v>
      </c>
      <c r="F78" s="149"/>
      <c r="G78" s="148">
        <f ca="1">((((C78/H75)*20)+((C79/H75)*25)+(30/(H75+F75+D75)*C80)+(5/H75*C81)+(5/H75*C82)+(5/H75*C83)+(5/H75*C84)+(0/H75*C85)+(0/H75*C86)+(5/H75*C87))/100)</f>
        <v>0.1</v>
      </c>
      <c r="H78" s="260"/>
      <c r="I78" s="13" t="s">
        <v>97</v>
      </c>
      <c r="J78" s="29">
        <f ca="1">H75*50%</f>
        <v>27.5</v>
      </c>
    </row>
    <row r="79" spans="1:19" x14ac:dyDescent="0.25">
      <c r="A79" s="136" t="s">
        <v>48</v>
      </c>
      <c r="B79" s="137"/>
      <c r="C79" s="88">
        <v>0</v>
      </c>
      <c r="D79" s="89">
        <f ca="1">((100/H75)*C79)/100</f>
        <v>0</v>
      </c>
      <c r="E79" s="150"/>
      <c r="F79" s="151"/>
      <c r="G79" s="150"/>
      <c r="H79" s="261"/>
      <c r="I79" s="13" t="s">
        <v>98</v>
      </c>
      <c r="J79" s="29">
        <f ca="1">H75</f>
        <v>55</v>
      </c>
      <c r="S79"/>
    </row>
    <row r="80" spans="1:19" ht="15.75" customHeight="1" x14ac:dyDescent="0.25">
      <c r="A80" s="136" t="s">
        <v>126</v>
      </c>
      <c r="B80" s="137"/>
      <c r="C80" s="88">
        <v>0</v>
      </c>
      <c r="D80" s="89">
        <f ca="1">((100/(D75+F75+H75))*C80)/100</f>
        <v>0</v>
      </c>
      <c r="E80" s="150"/>
      <c r="F80" s="151"/>
      <c r="G80" s="150"/>
      <c r="H80" s="261"/>
      <c r="I80" s="13" t="s">
        <v>99</v>
      </c>
      <c r="J80" s="30">
        <f ca="1">(IF(B75&gt;1,(H75/(B75+2)),H75/4))</f>
        <v>13.75</v>
      </c>
      <c r="S80"/>
    </row>
    <row r="81" spans="1:19" ht="15.75" customHeight="1" x14ac:dyDescent="0.25">
      <c r="A81" s="136" t="s">
        <v>133</v>
      </c>
      <c r="B81" s="137" t="s">
        <v>127</v>
      </c>
      <c r="C81" s="88">
        <v>0</v>
      </c>
      <c r="D81" s="89">
        <f ca="1">((100/H75)*C81)/100</f>
        <v>0</v>
      </c>
      <c r="E81" s="150"/>
      <c r="F81" s="151"/>
      <c r="G81" s="150"/>
      <c r="H81" s="261"/>
      <c r="I81" s="13" t="s">
        <v>100</v>
      </c>
      <c r="J81" s="30">
        <f ca="1">(IF(B75&gt;1,(H75/(B75+2)+J80),H75/4+J80))</f>
        <v>27.5</v>
      </c>
    </row>
    <row r="82" spans="1:19" ht="15.75" customHeight="1" x14ac:dyDescent="0.25">
      <c r="A82" s="136" t="s">
        <v>134</v>
      </c>
      <c r="B82" s="137" t="s">
        <v>127</v>
      </c>
      <c r="C82" s="88">
        <v>0</v>
      </c>
      <c r="D82" s="89">
        <f ca="1">((100/H75)*C82)/100</f>
        <v>0</v>
      </c>
      <c r="E82" s="150"/>
      <c r="F82" s="151"/>
      <c r="G82" s="150"/>
      <c r="H82" s="261"/>
      <c r="I82" s="13" t="s">
        <v>145</v>
      </c>
      <c r="J82" s="30">
        <f ca="1">(IF(B75&gt;1,(H75/(B75+2)+J81),0))</f>
        <v>41.25</v>
      </c>
    </row>
    <row r="83" spans="1:19" ht="15" customHeight="1" x14ac:dyDescent="0.25">
      <c r="A83" s="136" t="s">
        <v>132</v>
      </c>
      <c r="B83" s="137" t="s">
        <v>129</v>
      </c>
      <c r="C83" s="88">
        <v>0</v>
      </c>
      <c r="D83" s="89">
        <f ca="1">((100/(H75))*C83)/100</f>
        <v>0</v>
      </c>
      <c r="E83" s="150"/>
      <c r="F83" s="151"/>
      <c r="G83" s="150"/>
      <c r="H83" s="261"/>
      <c r="I83" s="13" t="s">
        <v>140</v>
      </c>
      <c r="J83" s="30">
        <f>(IF(B75&gt;2,(H75/(B75+2)+J82),0))</f>
        <v>0</v>
      </c>
    </row>
    <row r="84" spans="1:19" ht="15.75" customHeight="1" x14ac:dyDescent="0.25">
      <c r="A84" s="136" t="s">
        <v>128</v>
      </c>
      <c r="B84" s="137" t="s">
        <v>128</v>
      </c>
      <c r="C84" s="88">
        <v>0</v>
      </c>
      <c r="D84" s="89">
        <f ca="1">((100/H75)*C84)/100</f>
        <v>0</v>
      </c>
      <c r="E84" s="150"/>
      <c r="F84" s="151"/>
      <c r="G84" s="150"/>
      <c r="H84" s="261"/>
      <c r="I84" s="13" t="s">
        <v>141</v>
      </c>
      <c r="J84" s="31">
        <f>(IF(B75&gt;3,(H75/(B75+2)+J83),0))</f>
        <v>0</v>
      </c>
    </row>
    <row r="85" spans="1:19" ht="15.75" customHeight="1" x14ac:dyDescent="0.25">
      <c r="A85" s="136" t="s">
        <v>135</v>
      </c>
      <c r="B85" s="137"/>
      <c r="C85" s="88">
        <v>0</v>
      </c>
      <c r="D85" s="89">
        <f ca="1">((100/H75)*C85)/100</f>
        <v>0</v>
      </c>
      <c r="E85" s="150"/>
      <c r="F85" s="151"/>
      <c r="G85" s="150"/>
      <c r="H85" s="261"/>
      <c r="I85" s="13" t="s">
        <v>142</v>
      </c>
      <c r="J85" s="30">
        <f>(IF(B75&gt;4,(H75/(B75+2)+J84),0))</f>
        <v>0</v>
      </c>
    </row>
    <row r="86" spans="1:19" ht="15.75" customHeight="1" x14ac:dyDescent="0.25">
      <c r="A86" s="136" t="s">
        <v>130</v>
      </c>
      <c r="B86" s="137" t="s">
        <v>130</v>
      </c>
      <c r="C86" s="88">
        <v>0</v>
      </c>
      <c r="D86" s="89">
        <f ca="1">((100/(H75))*C86)/100</f>
        <v>0</v>
      </c>
      <c r="E86" s="150"/>
      <c r="F86" s="151"/>
      <c r="G86" s="150"/>
      <c r="H86" s="261"/>
      <c r="I86" s="13" t="s">
        <v>146</v>
      </c>
      <c r="J86" s="30">
        <f>(IF(B75=1,(H75/(B75+3)+J81),IF(B75=0,(H75/4+J81),IF(B75&gt;1,0))))</f>
        <v>0</v>
      </c>
    </row>
    <row r="87" spans="1:19" ht="16.5" thickBot="1" x14ac:dyDescent="0.3">
      <c r="A87" s="186" t="s">
        <v>131</v>
      </c>
      <c r="B87" s="187"/>
      <c r="C87" s="90">
        <v>0</v>
      </c>
      <c r="D87" s="91">
        <f ca="1">((100/(H75))*C87)/100</f>
        <v>0</v>
      </c>
      <c r="E87" s="152"/>
      <c r="F87" s="153"/>
      <c r="G87" s="152"/>
      <c r="H87" s="262"/>
      <c r="I87" s="15" t="s">
        <v>101</v>
      </c>
      <c r="J87" s="32">
        <f ca="1">(IF(B75&gt;1.5,(H75/(B75+2)+J81+MAX(0,J82-J81)+MAX(0,J83-J82)+MAX(0,J84-J83)+MAX(0,J85-J84)+MAX(0,J86-J85)),IF(B75=1,(H75/(B75+3)+J86),IF(B75=0,H75/4+J86))))</f>
        <v>55</v>
      </c>
    </row>
    <row r="88" spans="1:19" hidden="1" x14ac:dyDescent="0.25">
      <c r="A88" s="143" t="s">
        <v>137</v>
      </c>
      <c r="B88" s="144"/>
      <c r="C88" s="145" t="str">
        <f>D66</f>
        <v>Wing 2 (Tower 2) = 2B + Gr/Stilt + P1 to P6 + 7th Floor + 8th to 55th Floor</v>
      </c>
      <c r="D88" s="146"/>
      <c r="E88" s="146"/>
      <c r="F88" s="146"/>
      <c r="G88" s="146"/>
      <c r="H88" s="147"/>
      <c r="I88" s="46" t="str">
        <f ca="1">IF(D101=100%,"All work Completed. Possession granted to the Building.",IF(D100=100%,"All work Completed, Waiting for OC",I89&amp;""&amp;I90&amp;""&amp;J89&amp;""&amp;J88&amp;" "&amp;J90))</f>
        <v xml:space="preserve">Excavation work in process </v>
      </c>
      <c r="J88" s="47"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S88"/>
    </row>
    <row r="89" spans="1:19" hidden="1" x14ac:dyDescent="0.25">
      <c r="A89" s="16" t="s">
        <v>139</v>
      </c>
      <c r="B89" s="50">
        <f>IF(AND(ISNUMBER(SEARCH("1B",C88))),1,IF(AND(ISNUMBER(SEARCH("2B",C88))),2,IF(AND(ISNUMBER(SEARCH("3B",C88))),3,IF(AND(ISNUMBER(SEARCH("4B",C88))),4,IF(ISNUMBER(SEARCH("5B",C88)),5,0)))))</f>
        <v>2</v>
      </c>
      <c r="C89" s="50" t="s">
        <v>69</v>
      </c>
      <c r="D89" s="50">
        <v>1</v>
      </c>
      <c r="E89" s="50" t="s">
        <v>68</v>
      </c>
      <c r="F89" s="50">
        <v>0</v>
      </c>
      <c r="G89" s="50" t="s">
        <v>77</v>
      </c>
      <c r="H89" s="17">
        <f ca="1">--TRIM(RIGHT(SUBSTITUTE(LEFT(C88,_xlfn.AGGREGATE(16,6,FIND({0,1,2,3,4,5,6,7,8,9},C88,ROW(INDIRECT("1:"&amp;LEN(C88)))),1))," ",REPT(" ",LEN(C88))),LEN(C88)))</f>
        <v>55</v>
      </c>
      <c r="I89" s="48" t="str">
        <f ca="1">IF(D92=100%,"Excavation","")&amp;IF(D93=100%,", Plinth","")&amp;IF(D94=100%,", RCC Slab","")&amp;IF(D95=100%,", Brickwork","")&amp;IF(D96=100%,", Internal Plaster","")&amp;IF(D97=100%,", External Plaster","")&amp;IF(D98=100%,", Flooring","")&amp;IF(D99=100%,", Painting","")&amp;IF(D100=100%,", Building common Amenities","")</f>
        <v/>
      </c>
      <c r="J89" s="49"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Excavation work in process</v>
      </c>
      <c r="S89"/>
    </row>
    <row r="90" spans="1:19" hidden="1" x14ac:dyDescent="0.25">
      <c r="A90" s="141" t="s">
        <v>87</v>
      </c>
      <c r="B90" s="142"/>
      <c r="C90" s="129" t="str">
        <f ca="1">I88</f>
        <v xml:space="preserve">Excavation work in process </v>
      </c>
      <c r="D90" s="129"/>
      <c r="E90" s="129"/>
      <c r="F90" s="129"/>
      <c r="G90" s="129"/>
      <c r="H90" s="130"/>
      <c r="I90" s="48" t="str">
        <f ca="1">IF(I89&lt;&gt;""," Completed","")</f>
        <v/>
      </c>
      <c r="J90" s="49" t="str">
        <f ca="1">IF(J88&lt;&gt;"","Completed","")</f>
        <v/>
      </c>
      <c r="S90"/>
    </row>
    <row r="91" spans="1:19" ht="15.75" hidden="1" customHeight="1" x14ac:dyDescent="0.25">
      <c r="A91" s="136" t="s">
        <v>47</v>
      </c>
      <c r="B91" s="137"/>
      <c r="C91" s="88" t="s">
        <v>136</v>
      </c>
      <c r="D91" s="88" t="s">
        <v>80</v>
      </c>
      <c r="E91" s="137" t="s">
        <v>82</v>
      </c>
      <c r="F91" s="137"/>
      <c r="G91" s="137" t="s">
        <v>81</v>
      </c>
      <c r="H91" s="138"/>
      <c r="I91" s="13" t="s">
        <v>138</v>
      </c>
      <c r="J91" s="28">
        <f ca="1">H89*25%</f>
        <v>13.75</v>
      </c>
      <c r="S91"/>
    </row>
    <row r="92" spans="1:19" hidden="1" x14ac:dyDescent="0.25">
      <c r="A92" s="136" t="s">
        <v>125</v>
      </c>
      <c r="B92" s="137"/>
      <c r="C92" s="72">
        <f ca="1">J92</f>
        <v>27.5</v>
      </c>
      <c r="D92" s="89">
        <f ca="1">((100/H89)*C92)/100</f>
        <v>0.5</v>
      </c>
      <c r="E92" s="148">
        <f ca="1">(((C93/H89*10)+(40/(D89+F89+H89)*C94)+(7.5/(H89)*C95)+(7.5/(H89)*C96)+(10/H89*C97)+(10/H89*C98)+(5/H89*C99)+(5/H89*C100)+(5/H89*C101))/100)</f>
        <v>0</v>
      </c>
      <c r="F92" s="149"/>
      <c r="G92" s="148">
        <f ca="1">((((C92/H89)*20)+((C93/H89)*25)+(30/(H89+F89+D89)*C94)+(5/H89*C95)+(5/H89*C96)+(5/H89*C97)+(5/H89*C98)+(0/H89*C99)+(0/H89*C100)+(5/H89*C101))/100)</f>
        <v>0.1</v>
      </c>
      <c r="H92" s="260"/>
      <c r="I92" s="13" t="s">
        <v>97</v>
      </c>
      <c r="J92" s="29">
        <f ca="1">H89*50%</f>
        <v>27.5</v>
      </c>
    </row>
    <row r="93" spans="1:19" hidden="1" x14ac:dyDescent="0.25">
      <c r="A93" s="136" t="s">
        <v>48</v>
      </c>
      <c r="B93" s="137"/>
      <c r="C93" s="88">
        <v>0</v>
      </c>
      <c r="D93" s="89">
        <f ca="1">((100/H89)*C93)/100</f>
        <v>0</v>
      </c>
      <c r="E93" s="150"/>
      <c r="F93" s="151"/>
      <c r="G93" s="150"/>
      <c r="H93" s="261"/>
      <c r="I93" s="13" t="s">
        <v>98</v>
      </c>
      <c r="J93" s="29">
        <f ca="1">H89</f>
        <v>55</v>
      </c>
      <c r="S93"/>
    </row>
    <row r="94" spans="1:19" ht="15.75" hidden="1" customHeight="1" x14ac:dyDescent="0.25">
      <c r="A94" s="136" t="s">
        <v>126</v>
      </c>
      <c r="B94" s="137"/>
      <c r="C94" s="88">
        <v>0</v>
      </c>
      <c r="D94" s="89">
        <f ca="1">((100/(D89+F89+H89))*C94)/100</f>
        <v>0</v>
      </c>
      <c r="E94" s="150"/>
      <c r="F94" s="151"/>
      <c r="G94" s="150"/>
      <c r="H94" s="261"/>
      <c r="I94" s="13" t="s">
        <v>99</v>
      </c>
      <c r="J94" s="30">
        <f ca="1">(IF(B89&gt;1,(H89/(B89+2)),H89/4))</f>
        <v>13.75</v>
      </c>
      <c r="S94"/>
    </row>
    <row r="95" spans="1:19" ht="15.75" hidden="1" customHeight="1" x14ac:dyDescent="0.25">
      <c r="A95" s="136" t="s">
        <v>133</v>
      </c>
      <c r="B95" s="137" t="s">
        <v>127</v>
      </c>
      <c r="C95" s="88">
        <v>0</v>
      </c>
      <c r="D95" s="89">
        <f ca="1">((100/H89)*C95)/100</f>
        <v>0</v>
      </c>
      <c r="E95" s="150"/>
      <c r="F95" s="151"/>
      <c r="G95" s="150"/>
      <c r="H95" s="261"/>
      <c r="I95" s="13" t="s">
        <v>100</v>
      </c>
      <c r="J95" s="30">
        <f ca="1">(IF(B89&gt;1,(H89/(B89+2)+J94),H89/4+J94))</f>
        <v>27.5</v>
      </c>
    </row>
    <row r="96" spans="1:19" ht="15.75" hidden="1" customHeight="1" x14ac:dyDescent="0.25">
      <c r="A96" s="136" t="s">
        <v>134</v>
      </c>
      <c r="B96" s="137" t="s">
        <v>127</v>
      </c>
      <c r="C96" s="88">
        <v>0</v>
      </c>
      <c r="D96" s="89">
        <f ca="1">((100/H89)*C96)/100</f>
        <v>0</v>
      </c>
      <c r="E96" s="150"/>
      <c r="F96" s="151"/>
      <c r="G96" s="150"/>
      <c r="H96" s="261"/>
      <c r="I96" s="13" t="s">
        <v>145</v>
      </c>
      <c r="J96" s="30">
        <f ca="1">(IF(B89&gt;1,(H89/(B89+2)+J95),0))</f>
        <v>41.25</v>
      </c>
    </row>
    <row r="97" spans="1:19" ht="15" hidden="1" customHeight="1" x14ac:dyDescent="0.25">
      <c r="A97" s="136" t="s">
        <v>132</v>
      </c>
      <c r="B97" s="137" t="s">
        <v>129</v>
      </c>
      <c r="C97" s="88">
        <v>0</v>
      </c>
      <c r="D97" s="89">
        <f ca="1">((100/(H89))*C97)/100</f>
        <v>0</v>
      </c>
      <c r="E97" s="150"/>
      <c r="F97" s="151"/>
      <c r="G97" s="150"/>
      <c r="H97" s="261"/>
      <c r="I97" s="13" t="s">
        <v>140</v>
      </c>
      <c r="J97" s="30">
        <f>(IF(B89&gt;2,(H89/(B89+2)+J96),0))</f>
        <v>0</v>
      </c>
    </row>
    <row r="98" spans="1:19" ht="15.75" hidden="1" customHeight="1" x14ac:dyDescent="0.25">
      <c r="A98" s="136" t="s">
        <v>128</v>
      </c>
      <c r="B98" s="137" t="s">
        <v>128</v>
      </c>
      <c r="C98" s="88">
        <v>0</v>
      </c>
      <c r="D98" s="89">
        <f ca="1">((100/H89)*C98)/100</f>
        <v>0</v>
      </c>
      <c r="E98" s="150"/>
      <c r="F98" s="151"/>
      <c r="G98" s="150"/>
      <c r="H98" s="261"/>
      <c r="I98" s="13" t="s">
        <v>141</v>
      </c>
      <c r="J98" s="31">
        <f>(IF(B89&gt;3,(H89/(B89+2)+J97),0))</f>
        <v>0</v>
      </c>
    </row>
    <row r="99" spans="1:19" ht="15.75" hidden="1" customHeight="1" x14ac:dyDescent="0.25">
      <c r="A99" s="136" t="s">
        <v>135</v>
      </c>
      <c r="B99" s="137"/>
      <c r="C99" s="88">
        <v>0</v>
      </c>
      <c r="D99" s="89">
        <f ca="1">((100/H89)*C99)/100</f>
        <v>0</v>
      </c>
      <c r="E99" s="150"/>
      <c r="F99" s="151"/>
      <c r="G99" s="150"/>
      <c r="H99" s="261"/>
      <c r="I99" s="13" t="s">
        <v>142</v>
      </c>
      <c r="J99" s="30">
        <f>(IF(B89&gt;4,(H89/(B89+2)+J98),0))</f>
        <v>0</v>
      </c>
    </row>
    <row r="100" spans="1:19" ht="15.75" hidden="1" customHeight="1" x14ac:dyDescent="0.25">
      <c r="A100" s="136" t="s">
        <v>130</v>
      </c>
      <c r="B100" s="137" t="s">
        <v>130</v>
      </c>
      <c r="C100" s="88">
        <v>0</v>
      </c>
      <c r="D100" s="89">
        <f ca="1">((100/(H89))*C100)/100</f>
        <v>0</v>
      </c>
      <c r="E100" s="150"/>
      <c r="F100" s="151"/>
      <c r="G100" s="150"/>
      <c r="H100" s="261"/>
      <c r="I100" s="13" t="s">
        <v>146</v>
      </c>
      <c r="J100" s="30">
        <f>(IF(B89=1,(H89/(B89+3)+J95),IF(B89=0,(H89/4+J95),IF(B89&gt;1,0))))</f>
        <v>0</v>
      </c>
    </row>
    <row r="101" spans="1:19" ht="16.5" hidden="1" thickBot="1" x14ac:dyDescent="0.3">
      <c r="A101" s="186" t="s">
        <v>131</v>
      </c>
      <c r="B101" s="187"/>
      <c r="C101" s="90">
        <v>0</v>
      </c>
      <c r="D101" s="91">
        <f ca="1">((100/(H89))*C101)/100</f>
        <v>0</v>
      </c>
      <c r="E101" s="152"/>
      <c r="F101" s="153"/>
      <c r="G101" s="152"/>
      <c r="H101" s="262"/>
      <c r="I101" s="15" t="s">
        <v>101</v>
      </c>
      <c r="J101" s="32">
        <f ca="1">(IF(B89&gt;1.5,(H89/(B89+2)+J95+MAX(0,J96-J95)+MAX(0,J97-J96)+MAX(0,J98-J97)+MAX(0,J99-J98)+MAX(0,J100-J99)),IF(B89=1,(H89/(B89+3)+J100),IF(B89=0,H89/4+J100))))</f>
        <v>55</v>
      </c>
    </row>
    <row r="102" spans="1:19" ht="15.75" hidden="1" customHeight="1" x14ac:dyDescent="0.25">
      <c r="A102" s="154" t="s">
        <v>137</v>
      </c>
      <c r="B102" s="155"/>
      <c r="C102" s="156" t="e">
        <f>#REF!</f>
        <v>#REF!</v>
      </c>
      <c r="D102" s="157"/>
      <c r="E102" s="157"/>
      <c r="F102" s="157"/>
      <c r="G102" s="157"/>
      <c r="H102" s="158"/>
      <c r="I102" s="46" t="e">
        <f ca="1">IF(D115=100%,"All work Completed. Possession granted to the Building.",IF(D114=100%,"All work Completed, Waiting for OC",I103&amp;""&amp;I104&amp;""&amp;J103&amp;""&amp;J102&amp;" "&amp;J104))</f>
        <v>#REF!</v>
      </c>
      <c r="J102" s="47"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c r="S102"/>
    </row>
    <row r="103" spans="1:19" hidden="1" x14ac:dyDescent="0.25">
      <c r="A103" s="16" t="s">
        <v>139</v>
      </c>
      <c r="B103" s="50">
        <f>IF(AND(ISNUMBER(SEARCH("1B",C102))),1,IF(AND(ISNUMBER(SEARCH("2B",C102))),2,IF(AND(ISNUMBER(SEARCH("3B",C102))),3,IF(AND(ISNUMBER(SEARCH("4B",C102))),4,IF(ISNUMBER(SEARCH("5B",C102)),5,0)))))</f>
        <v>0</v>
      </c>
      <c r="C103" s="50" t="s">
        <v>69</v>
      </c>
      <c r="D103" s="50">
        <v>1</v>
      </c>
      <c r="E103" s="50" t="s">
        <v>68</v>
      </c>
      <c r="F103" s="14">
        <v>0</v>
      </c>
      <c r="G103" s="45" t="s">
        <v>77</v>
      </c>
      <c r="H103" s="17" t="e">
        <f ca="1">--TRIM(RIGHT(SUBSTITUTE(LEFT(C102,_xlfn.AGGREGATE(16,6,FIND({0,1,2,3,4,5,6,7,8,9},C102,ROW(INDIRECT("1:"&amp;LEN(C102)))),1))," ",REPT(" ",LEN(C102))),LEN(C102)))</f>
        <v>#REF!</v>
      </c>
      <c r="I103" s="48" t="e">
        <f ca="1">IF(D106=100%,"Excavation","")&amp;IF(D107=100%,", Plinth","")&amp;IF(D108=100%,", RCC Slab","")&amp;IF(D109=100%,", Brickwork","")&amp;IF(D110=100%,", Internal Plaster","")&amp;IF(D111=100%,", External Plaster","")&amp;IF(D112=100%,", Flooring","")&amp;IF(D113=100%,", Painting","")&amp;IF(D114=100%,", Building common Amenities","")</f>
        <v>#REF!</v>
      </c>
      <c r="J103" s="49"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c r="S103"/>
    </row>
    <row r="104" spans="1:19" ht="36.75" hidden="1" customHeight="1" x14ac:dyDescent="0.25">
      <c r="A104" s="141" t="s">
        <v>87</v>
      </c>
      <c r="B104" s="142"/>
      <c r="C104" s="129" t="e">
        <f ca="1">I102</f>
        <v>#REF!</v>
      </c>
      <c r="D104" s="129"/>
      <c r="E104" s="129"/>
      <c r="F104" s="129"/>
      <c r="G104" s="129"/>
      <c r="H104" s="130"/>
      <c r="I104" s="48" t="e">
        <f ca="1">IF(I103&lt;&gt;""," Completed","")</f>
        <v>#REF!</v>
      </c>
      <c r="J104" s="49" t="e">
        <f ca="1">IF(J102&lt;&gt;"","Completed","")</f>
        <v>#REF!</v>
      </c>
      <c r="S104"/>
    </row>
    <row r="105" spans="1:19" ht="15.75" hidden="1" customHeight="1" x14ac:dyDescent="0.25">
      <c r="A105" s="159" t="s">
        <v>47</v>
      </c>
      <c r="B105" s="160"/>
      <c r="C105" s="72" t="s">
        <v>136</v>
      </c>
      <c r="D105" s="72" t="s">
        <v>80</v>
      </c>
      <c r="E105" s="160" t="s">
        <v>82</v>
      </c>
      <c r="F105" s="160"/>
      <c r="G105" s="160" t="s">
        <v>81</v>
      </c>
      <c r="H105" s="161"/>
      <c r="I105" s="13" t="s">
        <v>138</v>
      </c>
      <c r="J105" s="28" t="e">
        <f ca="1">H103*25%</f>
        <v>#REF!</v>
      </c>
      <c r="S105"/>
    </row>
    <row r="106" spans="1:19" hidden="1" x14ac:dyDescent="0.25">
      <c r="A106" s="159" t="s">
        <v>125</v>
      </c>
      <c r="B106" s="160"/>
      <c r="C106" s="57" t="e">
        <f ca="1">J107</f>
        <v>#REF!</v>
      </c>
      <c r="D106" s="19" t="e">
        <f ca="1">((100/H103)*C106)/100</f>
        <v>#REF!</v>
      </c>
      <c r="E106" s="289" t="e">
        <f ca="1">(((C107/H103*10)+(40/(D103+F103+H103)*C108)+(7.5/(H103)*C109)+(7.5/(H103)*C110)+(10/H103*C111)+(10/H103*C112)+(5/H103*C113)+(5/H103*C114)+(5/H103*C115))/100)</f>
        <v>#REF!</v>
      </c>
      <c r="F106" s="290"/>
      <c r="G106" s="289" t="e">
        <f ca="1">((((C106/H103)*20)+((C107/H103)*25)+(30/(H103+F103+D103)*C108)+(5/H103*C109)+(5/H103*C110)+(5/H103*C111)+(5/H103*C112)+(0/H103*C113)+(0/H103*C114)+(5/H103*C115))/100)</f>
        <v>#REF!</v>
      </c>
      <c r="H106" s="295"/>
      <c r="I106" s="13" t="s">
        <v>97</v>
      </c>
      <c r="J106" s="29" t="e">
        <f ca="1">H103*50%</f>
        <v>#REF!</v>
      </c>
    </row>
    <row r="107" spans="1:19" hidden="1" x14ac:dyDescent="0.25">
      <c r="A107" s="159" t="s">
        <v>48</v>
      </c>
      <c r="B107" s="160"/>
      <c r="C107" s="72" t="e">
        <f ca="1">J115</f>
        <v>#REF!</v>
      </c>
      <c r="D107" s="19" t="e">
        <f ca="1">((100/H103)*C107)/100</f>
        <v>#REF!</v>
      </c>
      <c r="E107" s="291"/>
      <c r="F107" s="292"/>
      <c r="G107" s="291"/>
      <c r="H107" s="296"/>
      <c r="I107" s="13" t="s">
        <v>98</v>
      </c>
      <c r="J107" s="29" t="e">
        <f ca="1">H103</f>
        <v>#REF!</v>
      </c>
      <c r="S107"/>
    </row>
    <row r="108" spans="1:19" ht="15.75" hidden="1" customHeight="1" x14ac:dyDescent="0.25">
      <c r="A108" s="159" t="s">
        <v>126</v>
      </c>
      <c r="B108" s="160"/>
      <c r="C108" s="72">
        <v>0</v>
      </c>
      <c r="D108" s="19" t="e">
        <f ca="1">((100/(D103+F103+H103))*C108)/100</f>
        <v>#REF!</v>
      </c>
      <c r="E108" s="291"/>
      <c r="F108" s="292"/>
      <c r="G108" s="291"/>
      <c r="H108" s="296"/>
      <c r="I108" s="13" t="s">
        <v>99</v>
      </c>
      <c r="J108" s="30" t="e">
        <f ca="1">(IF(B103&gt;1,(H103/(B103+2)),H103/4))</f>
        <v>#REF!</v>
      </c>
      <c r="S108"/>
    </row>
    <row r="109" spans="1:19" ht="15.75" hidden="1" customHeight="1" x14ac:dyDescent="0.25">
      <c r="A109" s="159" t="s">
        <v>133</v>
      </c>
      <c r="B109" s="160" t="s">
        <v>127</v>
      </c>
      <c r="C109" s="72">
        <v>0</v>
      </c>
      <c r="D109" s="19" t="e">
        <f ca="1">((100/H103)*C109)/100</f>
        <v>#REF!</v>
      </c>
      <c r="E109" s="291"/>
      <c r="F109" s="292"/>
      <c r="G109" s="291"/>
      <c r="H109" s="296"/>
      <c r="I109" s="13" t="s">
        <v>100</v>
      </c>
      <c r="J109" s="30" t="e">
        <f ca="1">(IF(B103&gt;1,(H103/(B103+2)+J108),H103/4+J108))</f>
        <v>#REF!</v>
      </c>
    </row>
    <row r="110" spans="1:19" ht="15.75" hidden="1" customHeight="1" x14ac:dyDescent="0.25">
      <c r="A110" s="159" t="s">
        <v>134</v>
      </c>
      <c r="B110" s="160" t="s">
        <v>127</v>
      </c>
      <c r="C110" s="72">
        <v>0</v>
      </c>
      <c r="D110" s="19" t="e">
        <f ca="1">((100/H103)*C110)/100</f>
        <v>#REF!</v>
      </c>
      <c r="E110" s="291"/>
      <c r="F110" s="292"/>
      <c r="G110" s="291"/>
      <c r="H110" s="296"/>
      <c r="I110" s="13" t="s">
        <v>145</v>
      </c>
      <c r="J110" s="30">
        <f>(IF(B103&gt;1,(H103/(B103+2)+J109),0))</f>
        <v>0</v>
      </c>
    </row>
    <row r="111" spans="1:19" ht="15" hidden="1" customHeight="1" x14ac:dyDescent="0.25">
      <c r="A111" s="159" t="s">
        <v>132</v>
      </c>
      <c r="B111" s="160" t="s">
        <v>129</v>
      </c>
      <c r="C111" s="72">
        <v>0</v>
      </c>
      <c r="D111" s="19" t="e">
        <f ca="1">((100/(H103))*C111)/100</f>
        <v>#REF!</v>
      </c>
      <c r="E111" s="291"/>
      <c r="F111" s="292"/>
      <c r="G111" s="291"/>
      <c r="H111" s="296"/>
      <c r="I111" s="13" t="s">
        <v>140</v>
      </c>
      <c r="J111" s="30">
        <f>(IF(B103&gt;2,(H103/(B103+2)+J110),0))</f>
        <v>0</v>
      </c>
    </row>
    <row r="112" spans="1:19" ht="15.75" hidden="1" customHeight="1" x14ac:dyDescent="0.25">
      <c r="A112" s="159" t="s">
        <v>128</v>
      </c>
      <c r="B112" s="160" t="s">
        <v>128</v>
      </c>
      <c r="C112" s="72">
        <v>0</v>
      </c>
      <c r="D112" s="19" t="e">
        <f ca="1">((100/H103)*C112)/100</f>
        <v>#REF!</v>
      </c>
      <c r="E112" s="291"/>
      <c r="F112" s="292"/>
      <c r="G112" s="291"/>
      <c r="H112" s="296"/>
      <c r="I112" s="13" t="s">
        <v>141</v>
      </c>
      <c r="J112" s="31">
        <f>(IF(B103&gt;3,(H103/(B103+2)+J111),0))</f>
        <v>0</v>
      </c>
    </row>
    <row r="113" spans="1:22" ht="15.75" hidden="1" customHeight="1" x14ac:dyDescent="0.25">
      <c r="A113" s="159" t="s">
        <v>135</v>
      </c>
      <c r="B113" s="160"/>
      <c r="C113" s="72">
        <v>0</v>
      </c>
      <c r="D113" s="19" t="e">
        <f ca="1">((100/H103)*C113)/100</f>
        <v>#REF!</v>
      </c>
      <c r="E113" s="291"/>
      <c r="F113" s="292"/>
      <c r="G113" s="291"/>
      <c r="H113" s="296"/>
      <c r="I113" s="13" t="s">
        <v>142</v>
      </c>
      <c r="J113" s="30">
        <f>(IF(B103&gt;4,(H103/(B103+2)+J112),0))</f>
        <v>0</v>
      </c>
    </row>
    <row r="114" spans="1:22" ht="15.75" hidden="1" customHeight="1" x14ac:dyDescent="0.25">
      <c r="A114" s="159" t="s">
        <v>130</v>
      </c>
      <c r="B114" s="160" t="s">
        <v>130</v>
      </c>
      <c r="C114" s="72">
        <v>0</v>
      </c>
      <c r="D114" s="19" t="e">
        <f ca="1">((100/(H103))*C114)/100</f>
        <v>#REF!</v>
      </c>
      <c r="E114" s="291"/>
      <c r="F114" s="292"/>
      <c r="G114" s="291"/>
      <c r="H114" s="296"/>
      <c r="I114" s="13" t="s">
        <v>146</v>
      </c>
      <c r="J114" s="30" t="e">
        <f ca="1">(IF(B103=1,(H103/(B103+3)+J109),IF(B103=0,(H103/4+J109),IF(B103&gt;1,0))))</f>
        <v>#REF!</v>
      </c>
    </row>
    <row r="115" spans="1:22" ht="16.5" hidden="1" thickBot="1" x14ac:dyDescent="0.3">
      <c r="A115" s="268" t="s">
        <v>131</v>
      </c>
      <c r="B115" s="269"/>
      <c r="C115" s="71">
        <v>0</v>
      </c>
      <c r="D115" s="20" t="e">
        <f ca="1">((100/(H103))*C115)/100</f>
        <v>#REF!</v>
      </c>
      <c r="E115" s="293"/>
      <c r="F115" s="294"/>
      <c r="G115" s="293"/>
      <c r="H115" s="297"/>
      <c r="I115" s="15" t="s">
        <v>101</v>
      </c>
      <c r="J115" s="32" t="e">
        <f ca="1">(IF(B103&gt;1.5,(H103/(B103+2)+J109+MAX(0,J110-J109)+MAX(0,J111-J110)+MAX(0,J112-J111)+MAX(0,J113-J112)+MAX(0,J114-J113)),IF(B103=1,(H103/(B103+3)+J114),IF(B103=0,H103/4+J114))))</f>
        <v>#REF!</v>
      </c>
    </row>
    <row r="116" spans="1:22" x14ac:dyDescent="0.25">
      <c r="A116" s="203" t="s">
        <v>157</v>
      </c>
      <c r="B116" s="203"/>
      <c r="C116" s="203"/>
      <c r="D116" s="203"/>
      <c r="E116" s="203"/>
      <c r="F116" s="192" t="s">
        <v>161</v>
      </c>
      <c r="G116" s="192"/>
      <c r="H116" s="192"/>
      <c r="I116" s="93"/>
      <c r="J116" s="93" t="s">
        <v>411</v>
      </c>
      <c r="K116" s="93"/>
      <c r="L116" s="93"/>
      <c r="M116" s="93"/>
      <c r="N116" s="93"/>
      <c r="R116" t="s">
        <v>255</v>
      </c>
      <c r="S116" t="s">
        <v>173</v>
      </c>
      <c r="T116" t="s">
        <v>180</v>
      </c>
      <c r="U116" t="s">
        <v>195</v>
      </c>
      <c r="V116" t="s">
        <v>190</v>
      </c>
    </row>
    <row r="117" spans="1:22" x14ac:dyDescent="0.25">
      <c r="A117" s="168" t="s">
        <v>159</v>
      </c>
      <c r="B117" s="168"/>
      <c r="C117" s="168"/>
      <c r="D117" s="168"/>
      <c r="E117" s="168"/>
      <c r="F117" s="316">
        <v>65000</v>
      </c>
      <c r="G117" s="316"/>
      <c r="H117" s="316"/>
      <c r="I117" s="93" t="s">
        <v>458</v>
      </c>
      <c r="J117" s="93"/>
      <c r="K117" s="93"/>
      <c r="L117" s="93"/>
      <c r="M117" s="93"/>
      <c r="N117" s="93"/>
      <c r="R117"/>
      <c r="S117">
        <v>800000</v>
      </c>
      <c r="T117">
        <v>150000</v>
      </c>
      <c r="U117">
        <v>100000</v>
      </c>
      <c r="V117">
        <v>100000</v>
      </c>
    </row>
    <row r="118" spans="1:22" hidden="1" x14ac:dyDescent="0.25">
      <c r="A118" s="168" t="s">
        <v>158</v>
      </c>
      <c r="B118" s="168"/>
      <c r="C118" s="168"/>
      <c r="D118" s="168"/>
      <c r="E118" s="168"/>
      <c r="F118" s="316"/>
      <c r="G118" s="316"/>
      <c r="H118" s="316"/>
      <c r="I118" s="93" t="s">
        <v>459</v>
      </c>
      <c r="J118" s="93"/>
      <c r="K118" s="93"/>
      <c r="L118" s="93"/>
      <c r="M118" s="93"/>
      <c r="N118" s="93"/>
      <c r="R118"/>
      <c r="S118">
        <v>900000</v>
      </c>
      <c r="T118">
        <v>200000</v>
      </c>
      <c r="U118">
        <v>150000</v>
      </c>
      <c r="V118">
        <v>150000</v>
      </c>
    </row>
    <row r="119" spans="1:22" hidden="1" x14ac:dyDescent="0.25">
      <c r="A119" s="168" t="s">
        <v>160</v>
      </c>
      <c r="B119" s="168"/>
      <c r="C119" s="168"/>
      <c r="D119" s="168"/>
      <c r="E119" s="168"/>
      <c r="F119" s="316"/>
      <c r="G119" s="316"/>
      <c r="H119" s="316"/>
      <c r="I119" s="93"/>
      <c r="J119" s="93"/>
      <c r="K119" s="93"/>
      <c r="L119" s="93"/>
      <c r="M119" s="93"/>
      <c r="N119" s="93"/>
      <c r="R119"/>
      <c r="S119">
        <v>1000000</v>
      </c>
      <c r="T119">
        <v>250000</v>
      </c>
      <c r="U119">
        <v>200000</v>
      </c>
      <c r="V119">
        <v>200000</v>
      </c>
    </row>
    <row r="120" spans="1:22" s="33" customFormat="1" hidden="1" x14ac:dyDescent="0.25">
      <c r="A120" s="168" t="s">
        <v>457</v>
      </c>
      <c r="B120" s="168"/>
      <c r="C120" s="168"/>
      <c r="D120" s="168"/>
      <c r="E120" s="168"/>
      <c r="F120" s="316">
        <v>200</v>
      </c>
      <c r="G120" s="316"/>
      <c r="H120" s="316"/>
      <c r="I120" s="94"/>
      <c r="J120" s="94"/>
      <c r="K120" s="94"/>
      <c r="L120" s="94"/>
      <c r="M120" s="94"/>
      <c r="N120" s="94"/>
      <c r="R120"/>
      <c r="S120">
        <v>1100000</v>
      </c>
      <c r="T120">
        <v>300000</v>
      </c>
      <c r="U120">
        <v>250000</v>
      </c>
      <c r="V120" s="23">
        <v>250000</v>
      </c>
    </row>
    <row r="121" spans="1:22" s="33" customFormat="1" hidden="1" x14ac:dyDescent="0.25">
      <c r="A121" s="168" t="s">
        <v>91</v>
      </c>
      <c r="B121" s="168"/>
      <c r="C121" s="168"/>
      <c r="D121" s="168"/>
      <c r="E121" s="168"/>
      <c r="F121" s="316"/>
      <c r="G121" s="316"/>
      <c r="H121" s="316"/>
      <c r="I121" s="94"/>
      <c r="J121" s="94"/>
      <c r="K121" s="94"/>
      <c r="L121" s="94"/>
      <c r="M121" s="94"/>
      <c r="N121" s="94"/>
      <c r="R121"/>
      <c r="S121">
        <v>1200000</v>
      </c>
      <c r="T121">
        <v>350000</v>
      </c>
      <c r="U121">
        <v>300000</v>
      </c>
      <c r="V121">
        <v>300000</v>
      </c>
    </row>
    <row r="122" spans="1:22" s="33" customFormat="1" hidden="1" x14ac:dyDescent="0.25">
      <c r="A122" s="168" t="s">
        <v>92</v>
      </c>
      <c r="B122" s="168"/>
      <c r="C122" s="168"/>
      <c r="D122" s="168"/>
      <c r="E122" s="168"/>
      <c r="F122" s="316"/>
      <c r="G122" s="316"/>
      <c r="H122" s="316"/>
      <c r="I122" s="94"/>
      <c r="J122" s="94"/>
      <c r="K122" s="94"/>
      <c r="L122" s="94"/>
      <c r="M122" s="94"/>
      <c r="N122" s="94"/>
      <c r="R122"/>
      <c r="S122">
        <v>1300000</v>
      </c>
      <c r="T122">
        <v>400000</v>
      </c>
      <c r="U122">
        <v>350000</v>
      </c>
      <c r="V122" s="23">
        <v>400000</v>
      </c>
    </row>
    <row r="123" spans="1:22" s="33" customFormat="1" hidden="1" x14ac:dyDescent="0.25">
      <c r="A123" s="168" t="s">
        <v>93</v>
      </c>
      <c r="B123" s="168"/>
      <c r="C123" s="168"/>
      <c r="D123" s="168"/>
      <c r="E123" s="168"/>
      <c r="F123" s="316"/>
      <c r="G123" s="316"/>
      <c r="H123" s="316"/>
      <c r="I123" s="94"/>
      <c r="J123" s="94"/>
      <c r="K123" s="94"/>
      <c r="L123" s="94"/>
      <c r="M123" s="94"/>
      <c r="N123" s="94"/>
      <c r="R123"/>
      <c r="S123">
        <v>1400000</v>
      </c>
      <c r="T123">
        <v>500000</v>
      </c>
      <c r="U123">
        <v>400000</v>
      </c>
      <c r="V123"/>
    </row>
    <row r="124" spans="1:22" s="33" customFormat="1" hidden="1" x14ac:dyDescent="0.25">
      <c r="A124" s="168" t="s">
        <v>94</v>
      </c>
      <c r="B124" s="168"/>
      <c r="C124" s="168"/>
      <c r="D124" s="168"/>
      <c r="E124" s="168"/>
      <c r="F124" s="316"/>
      <c r="G124" s="316"/>
      <c r="H124" s="316"/>
      <c r="I124" s="94"/>
      <c r="J124" s="94"/>
      <c r="K124" s="94"/>
      <c r="L124" s="94"/>
      <c r="M124" s="94"/>
      <c r="N124" s="94"/>
      <c r="R124"/>
      <c r="S124">
        <v>1500000</v>
      </c>
      <c r="T124">
        <v>600000</v>
      </c>
      <c r="U124">
        <v>500000</v>
      </c>
      <c r="V124" s="23"/>
    </row>
    <row r="125" spans="1:22" s="33" customFormat="1" hidden="1" x14ac:dyDescent="0.25">
      <c r="A125" s="168" t="s">
        <v>95</v>
      </c>
      <c r="B125" s="168"/>
      <c r="C125" s="168"/>
      <c r="D125" s="168"/>
      <c r="E125" s="168"/>
      <c r="F125" s="316"/>
      <c r="G125" s="316"/>
      <c r="H125" s="316"/>
      <c r="I125" s="94"/>
      <c r="J125" s="94"/>
      <c r="K125" s="94"/>
      <c r="L125" s="94"/>
      <c r="M125" s="94"/>
      <c r="N125" s="94"/>
      <c r="R125"/>
      <c r="S125">
        <v>1600000</v>
      </c>
      <c r="T125">
        <v>700000</v>
      </c>
      <c r="U125">
        <v>600000</v>
      </c>
      <c r="V125"/>
    </row>
    <row r="126" spans="1:22" s="33" customFormat="1" hidden="1" x14ac:dyDescent="0.25">
      <c r="A126" s="168" t="s">
        <v>96</v>
      </c>
      <c r="B126" s="168"/>
      <c r="C126" s="168"/>
      <c r="D126" s="168"/>
      <c r="E126" s="168"/>
      <c r="F126" s="316"/>
      <c r="G126" s="316"/>
      <c r="H126" s="316"/>
      <c r="I126" s="94"/>
      <c r="J126" s="94"/>
      <c r="K126" s="94"/>
      <c r="L126" s="94"/>
      <c r="M126" s="94"/>
      <c r="N126" s="94"/>
      <c r="R126"/>
      <c r="S126">
        <v>1700000</v>
      </c>
      <c r="T126">
        <v>800000</v>
      </c>
      <c r="U126"/>
      <c r="V126" s="23"/>
    </row>
    <row r="127" spans="1:22" x14ac:dyDescent="0.25">
      <c r="A127" s="168" t="s">
        <v>49</v>
      </c>
      <c r="B127" s="168"/>
      <c r="C127" s="168"/>
      <c r="D127" s="168"/>
      <c r="E127" s="168"/>
      <c r="F127" s="316">
        <v>1600000</v>
      </c>
      <c r="G127" s="316"/>
      <c r="H127" s="316"/>
      <c r="I127" s="93"/>
      <c r="J127" s="93"/>
      <c r="K127" s="93"/>
      <c r="L127" s="93"/>
      <c r="M127" s="93"/>
      <c r="N127" s="93"/>
      <c r="R127"/>
      <c r="S127">
        <v>1800000</v>
      </c>
      <c r="T127">
        <v>900000</v>
      </c>
      <c r="U127"/>
    </row>
    <row r="128" spans="1:22" s="34" customFormat="1" x14ac:dyDescent="0.25">
      <c r="A128" s="208" t="s">
        <v>50</v>
      </c>
      <c r="B128" s="208"/>
      <c r="C128" s="208"/>
      <c r="D128" s="208"/>
      <c r="E128" s="208"/>
      <c r="F128" s="165">
        <f>F117*0.8</f>
        <v>52000</v>
      </c>
      <c r="G128" s="165"/>
      <c r="H128" s="165"/>
      <c r="I128" s="95"/>
      <c r="J128" s="95"/>
      <c r="K128" s="95"/>
      <c r="L128" s="95"/>
      <c r="M128" s="95"/>
      <c r="N128" s="95"/>
      <c r="R128" s="21"/>
      <c r="S128" s="21">
        <v>2000000</v>
      </c>
      <c r="T128">
        <v>1000000</v>
      </c>
      <c r="U128"/>
      <c r="V128" s="21"/>
    </row>
    <row r="129" spans="1:22" s="35" customFormat="1" ht="15.75" hidden="1" customHeight="1" x14ac:dyDescent="0.25">
      <c r="A129" s="207" t="s">
        <v>72</v>
      </c>
      <c r="B129" s="207"/>
      <c r="C129" s="207"/>
      <c r="D129" s="207"/>
      <c r="E129" s="207"/>
      <c r="F129" s="207"/>
      <c r="G129" s="207"/>
      <c r="H129" s="207"/>
      <c r="R129"/>
      <c r="S129" s="21"/>
      <c r="T129"/>
      <c r="U129"/>
      <c r="V129" s="21"/>
    </row>
    <row r="130" spans="1:22" s="35" customFormat="1" ht="15.75" hidden="1" customHeight="1" x14ac:dyDescent="0.25">
      <c r="A130" s="167" t="s">
        <v>51</v>
      </c>
      <c r="B130" s="167"/>
      <c r="C130" s="176" t="s">
        <v>75</v>
      </c>
      <c r="D130" s="176"/>
      <c r="E130" s="174" t="s">
        <v>52</v>
      </c>
      <c r="F130" s="174"/>
      <c r="G130" s="167" t="s">
        <v>53</v>
      </c>
      <c r="H130" s="167"/>
      <c r="R130"/>
      <c r="S130" s="21"/>
      <c r="T130"/>
      <c r="U130" s="21"/>
      <c r="V130" s="21"/>
    </row>
    <row r="131" spans="1:22" s="35" customFormat="1" hidden="1" x14ac:dyDescent="0.25">
      <c r="A131" s="175"/>
      <c r="B131" s="175"/>
      <c r="C131" s="162"/>
      <c r="D131" s="162"/>
      <c r="E131" s="264"/>
      <c r="F131" s="264"/>
      <c r="G131" s="185"/>
      <c r="H131" s="185"/>
      <c r="R131"/>
      <c r="S131" s="21"/>
      <c r="T131"/>
      <c r="U131" s="21"/>
      <c r="V131" s="21"/>
    </row>
    <row r="132" spans="1:22" s="35" customFormat="1" hidden="1" x14ac:dyDescent="0.25">
      <c r="A132" s="175"/>
      <c r="B132" s="175"/>
      <c r="C132" s="162"/>
      <c r="D132" s="162"/>
      <c r="E132" s="264"/>
      <c r="F132" s="264"/>
      <c r="G132" s="185"/>
      <c r="H132" s="185"/>
      <c r="R132"/>
      <c r="S132" s="21"/>
      <c r="T132"/>
      <c r="U132" s="21"/>
      <c r="V132" s="21"/>
    </row>
    <row r="133" spans="1:22" s="35" customFormat="1" hidden="1" x14ac:dyDescent="0.25">
      <c r="A133" s="207" t="s">
        <v>150</v>
      </c>
      <c r="B133" s="207"/>
      <c r="C133" s="176"/>
      <c r="D133" s="176"/>
      <c r="E133" s="174"/>
      <c r="F133" s="174"/>
      <c r="G133" s="167"/>
      <c r="H133" s="167"/>
      <c r="R133"/>
      <c r="S133" s="21"/>
      <c r="T133"/>
      <c r="U133" s="21"/>
      <c r="V133" s="21"/>
    </row>
    <row r="134" spans="1:22" s="35" customFormat="1" x14ac:dyDescent="0.25">
      <c r="A134" s="207" t="s">
        <v>67</v>
      </c>
      <c r="B134" s="207"/>
      <c r="C134" s="207"/>
      <c r="D134" s="207"/>
      <c r="E134" s="207"/>
      <c r="F134" s="207"/>
      <c r="G134" s="207"/>
      <c r="H134" s="207"/>
      <c r="J134" s="35">
        <f>9400000/1.55</f>
        <v>6064516.1290322579</v>
      </c>
      <c r="T134"/>
    </row>
    <row r="135" spans="1:22" s="35" customFormat="1" ht="15.75" customHeight="1" x14ac:dyDescent="0.25">
      <c r="A135" s="167" t="s">
        <v>51</v>
      </c>
      <c r="B135" s="167"/>
      <c r="C135" s="176" t="s">
        <v>75</v>
      </c>
      <c r="D135" s="176"/>
      <c r="E135" s="174" t="s">
        <v>52</v>
      </c>
      <c r="F135" s="174"/>
      <c r="G135" s="167" t="s">
        <v>53</v>
      </c>
      <c r="H135" s="167"/>
      <c r="T135"/>
    </row>
    <row r="136" spans="1:22" s="35" customFormat="1" x14ac:dyDescent="0.25">
      <c r="A136" s="175" t="s">
        <v>420</v>
      </c>
      <c r="B136" s="175"/>
      <c r="C136" s="139">
        <f>COUNT(F166:F167)*12+COUNT(F169)+COUNT(F171)+COUNT(F174:F175)+COUNT(F177:F178)*18+COUNT(F180)*2+COUNT(F182)+COUNT(F185:F186)+COUNT(F188:F189)*3+COUNT(F191)</f>
        <v>76</v>
      </c>
      <c r="D136" s="139"/>
      <c r="E136" s="139">
        <f>SUM(F166:F167)*12+SUM(F169)+SUM(F171)+SUM(F174:F175)+SUM(F177:F178)*18+SUM(F180)*2+SUM(F182)+SUM(F185:F186)+SUM(F188:F189)*3+SUM(F191)</f>
        <v>184533.78294936</v>
      </c>
      <c r="F136" s="139"/>
      <c r="G136" s="139">
        <f>SUM(H166:H167)*12+SUM(H169)+SUM(H171)+SUM(H174:H175)+SUM(H177:H178)*18+SUM(H180)*2+SUM(H182)+SUM(H185:H186)+SUM(H188:H189)*3+SUM(H191)</f>
        <v>286027.36357150797</v>
      </c>
      <c r="H136" s="139"/>
      <c r="J136" s="87">
        <f>C136+C139</f>
        <v>126</v>
      </c>
      <c r="T136"/>
    </row>
    <row r="137" spans="1:22" s="35" customFormat="1" ht="29.65" hidden="1" customHeight="1" x14ac:dyDescent="0.25">
      <c r="A137" s="273" t="s">
        <v>421</v>
      </c>
      <c r="B137" s="44" t="s">
        <v>406</v>
      </c>
      <c r="C137" s="139">
        <f>COUNT(F203:F214)*12+COUNT(F217:F224)*2+COUNT(F229:F236,F239:F240)</f>
        <v>170</v>
      </c>
      <c r="D137" s="139"/>
      <c r="E137" s="139">
        <f>SUM(F203:F214)*12+SUM(F217:F224)*2+SUM(F229:F236,F239:F240)</f>
        <v>52991.342071200001</v>
      </c>
      <c r="F137" s="139"/>
      <c r="G137" s="139">
        <f>SUM(H203:H214)*12+SUM(H217:H224)*2+SUM(H229:H236,H239:H240)</f>
        <v>82136.580210360014</v>
      </c>
      <c r="H137" s="139"/>
      <c r="T137"/>
    </row>
    <row r="138" spans="1:22" s="35" customFormat="1" ht="31.5" hidden="1" x14ac:dyDescent="0.25">
      <c r="A138" s="274"/>
      <c r="B138" s="44" t="s">
        <v>407</v>
      </c>
      <c r="C138" s="139">
        <f>COUNT(F237:F238)</f>
        <v>2</v>
      </c>
      <c r="D138" s="139"/>
      <c r="E138" s="139">
        <f>SUM(F237:F238)</f>
        <v>598.34923200000003</v>
      </c>
      <c r="F138" s="139"/>
      <c r="G138" s="139">
        <f>SUM(H237:H238)</f>
        <v>927.44130960000007</v>
      </c>
      <c r="H138" s="139"/>
      <c r="I138" s="35">
        <f>4+6+6+1</f>
        <v>17</v>
      </c>
      <c r="T138"/>
    </row>
    <row r="139" spans="1:22" s="35" customFormat="1" hidden="1" x14ac:dyDescent="0.25">
      <c r="A139" s="275"/>
      <c r="B139" s="44" t="s">
        <v>424</v>
      </c>
      <c r="C139" s="140">
        <f>COUNT(D243:D244)*18+COUNT(D246)*2+COUNT(D248)+COUNT(D251:D252)+COUNT(D254:D255)*4+COUNT(D257)</f>
        <v>50</v>
      </c>
      <c r="D139" s="140"/>
      <c r="E139" s="140">
        <f>SUM(F243:F244)*18+SUM(F246)*2+SUM(F248)+SUM(F251:F252)+SUM(F254:F255)*4+SUM(F257)</f>
        <v>123527.59511039998</v>
      </c>
      <c r="F139" s="140"/>
      <c r="G139" s="140">
        <f>SUM(H243:H244)*18+SUM(H246)*2+SUM(H248)+SUM(H251:H252)+SUM(H254:H255)*4+SUM(H257)</f>
        <v>191467.77242112003</v>
      </c>
      <c r="H139" s="140"/>
      <c r="T139"/>
    </row>
    <row r="140" spans="1:22" s="35" customFormat="1" hidden="1" x14ac:dyDescent="0.25">
      <c r="A140" s="207" t="s">
        <v>150</v>
      </c>
      <c r="B140" s="207"/>
      <c r="C140" s="188">
        <f>SUM(C136:D139)</f>
        <v>298</v>
      </c>
      <c r="D140" s="176"/>
      <c r="E140" s="300">
        <f>SUM(E136:E139)</f>
        <v>361651.06936296</v>
      </c>
      <c r="F140" s="300"/>
      <c r="G140" s="167">
        <f>SUM(G136:G139)</f>
        <v>560559.15751258796</v>
      </c>
      <c r="H140" s="167"/>
      <c r="T140"/>
    </row>
    <row r="141" spans="1:22" s="35" customFormat="1" ht="16.5" hidden="1" thickBot="1" x14ac:dyDescent="0.3">
      <c r="A141" s="197" t="s">
        <v>167</v>
      </c>
      <c r="B141" s="198"/>
      <c r="C141" s="199">
        <f>C133+C140</f>
        <v>298</v>
      </c>
      <c r="D141" s="199"/>
      <c r="E141" s="200">
        <f>E133+E140</f>
        <v>361651.06936296</v>
      </c>
      <c r="F141" s="200"/>
      <c r="G141" s="298">
        <f>G133+G140</f>
        <v>560559.15751258796</v>
      </c>
      <c r="H141" s="299"/>
      <c r="T141"/>
    </row>
    <row r="142" spans="1:22" s="34" customFormat="1" x14ac:dyDescent="0.25">
      <c r="A142" s="194" t="s">
        <v>54</v>
      </c>
      <c r="B142" s="194"/>
      <c r="C142" s="194"/>
      <c r="D142" s="194"/>
      <c r="E142" s="194"/>
      <c r="F142" s="194"/>
      <c r="G142" s="194"/>
      <c r="H142" s="194"/>
      <c r="I142" s="34">
        <f>76+222</f>
        <v>298</v>
      </c>
      <c r="T142" s="35"/>
    </row>
    <row r="143" spans="1:22" x14ac:dyDescent="0.25">
      <c r="A143" s="166" t="s">
        <v>175</v>
      </c>
      <c r="B143" s="166"/>
      <c r="C143" s="166"/>
      <c r="D143" s="166"/>
      <c r="E143" s="166"/>
      <c r="F143" s="166"/>
      <c r="G143" s="166"/>
      <c r="H143" s="166"/>
      <c r="T143" s="35"/>
    </row>
    <row r="144" spans="1:22" ht="47.25" hidden="1" customHeight="1" x14ac:dyDescent="0.25">
      <c r="A144" s="183" t="s">
        <v>404</v>
      </c>
      <c r="B144" s="183" t="s">
        <v>177</v>
      </c>
      <c r="C144" s="183" t="s">
        <v>55</v>
      </c>
      <c r="D144" s="183" t="s">
        <v>233</v>
      </c>
      <c r="E144" s="258" t="s">
        <v>156</v>
      </c>
      <c r="F144" s="183" t="s">
        <v>56</v>
      </c>
      <c r="G144" s="258" t="s">
        <v>57</v>
      </c>
      <c r="H144" s="84" t="s">
        <v>148</v>
      </c>
      <c r="T144" s="35"/>
    </row>
    <row r="145" spans="1:20" s="37" customFormat="1" hidden="1" x14ac:dyDescent="0.25">
      <c r="A145" s="184"/>
      <c r="B145" s="184"/>
      <c r="C145" s="184"/>
      <c r="D145" s="184"/>
      <c r="E145" s="259"/>
      <c r="F145" s="184"/>
      <c r="G145" s="259"/>
      <c r="H145" s="85">
        <v>0.45</v>
      </c>
      <c r="T145" s="35"/>
    </row>
    <row r="146" spans="1:20" s="37" customFormat="1" hidden="1" x14ac:dyDescent="0.25">
      <c r="A146" s="177" t="s">
        <v>361</v>
      </c>
      <c r="B146" s="178"/>
      <c r="C146" s="178"/>
      <c r="D146" s="178"/>
      <c r="E146" s="178"/>
      <c r="F146" s="178"/>
      <c r="G146" s="178"/>
      <c r="H146" s="179"/>
      <c r="J146" s="36"/>
    </row>
    <row r="147" spans="1:20" s="37" customFormat="1" hidden="1" x14ac:dyDescent="0.25">
      <c r="A147" s="177" t="s">
        <v>359</v>
      </c>
      <c r="B147" s="178"/>
      <c r="C147" s="178"/>
      <c r="D147" s="178"/>
      <c r="E147" s="178"/>
      <c r="F147" s="178"/>
      <c r="G147" s="178"/>
      <c r="H147" s="179"/>
      <c r="J147" s="36"/>
    </row>
    <row r="148" spans="1:20" s="37" customFormat="1" hidden="1" x14ac:dyDescent="0.25">
      <c r="A148" s="177" t="s">
        <v>362</v>
      </c>
      <c r="B148" s="178"/>
      <c r="C148" s="178"/>
      <c r="D148" s="178"/>
      <c r="E148" s="178"/>
      <c r="F148" s="178"/>
      <c r="G148" s="178"/>
      <c r="H148" s="179"/>
      <c r="J148" s="36"/>
      <c r="T148" s="35"/>
    </row>
    <row r="149" spans="1:20" s="37" customFormat="1" ht="15.75" hidden="1" customHeight="1" x14ac:dyDescent="0.25">
      <c r="A149" s="169">
        <v>1</v>
      </c>
      <c r="B149" s="170"/>
      <c r="C149" s="86"/>
      <c r="D149" s="86">
        <v>0</v>
      </c>
      <c r="E149" s="86">
        <v>0</v>
      </c>
      <c r="F149" s="86">
        <f>D149+(IF(E149&lt;201,E149,IF(E149&lt;301,E149/2,E149/3)))</f>
        <v>0</v>
      </c>
      <c r="G149" s="86">
        <v>0</v>
      </c>
      <c r="H149" s="86">
        <f>(F149+(IF(G149&lt;101,G149,IF(G149&lt;201,G149/2,IF(G149&lt;=301,G149/3,G149/4)))))*(($H$145)+1)</f>
        <v>0</v>
      </c>
      <c r="I149" s="36"/>
      <c r="L149" s="112"/>
      <c r="M149" s="112"/>
      <c r="N149" s="36"/>
      <c r="T149" s="35"/>
    </row>
    <row r="150" spans="1:20" s="37" customFormat="1" ht="15.75" hidden="1" customHeight="1" x14ac:dyDescent="0.25">
      <c r="A150" s="169">
        <f>A149+1</f>
        <v>2</v>
      </c>
      <c r="B150" s="170"/>
      <c r="C150" s="86"/>
      <c r="D150" s="86"/>
      <c r="E150" s="86">
        <v>0</v>
      </c>
      <c r="F150" s="86">
        <f t="shared" ref="F150:F152" si="0">D150+(IF(E150&lt;201,E150,IF(E150&lt;301,E150/2,E150/3)))</f>
        <v>0</v>
      </c>
      <c r="G150" s="86">
        <v>0</v>
      </c>
      <c r="H150" s="86">
        <f t="shared" ref="H150:H152" si="1">(F150+(IF(G150&lt;101,G150,IF(G150&lt;201,G150/2,IF(G150&lt;=301,G150/3,G150/4)))))*(($H$145)+1)</f>
        <v>0</v>
      </c>
      <c r="I150" s="36"/>
      <c r="L150" s="112"/>
      <c r="M150" s="112"/>
      <c r="N150" s="36"/>
      <c r="T150" s="34"/>
    </row>
    <row r="151" spans="1:20" s="37" customFormat="1" ht="15.75" hidden="1" customHeight="1" x14ac:dyDescent="0.25">
      <c r="A151" s="169">
        <f>A150+1</f>
        <v>3</v>
      </c>
      <c r="B151" s="170"/>
      <c r="C151" s="86"/>
      <c r="D151" s="86"/>
      <c r="E151" s="86">
        <v>0</v>
      </c>
      <c r="F151" s="86">
        <f t="shared" si="0"/>
        <v>0</v>
      </c>
      <c r="G151" s="86">
        <v>0</v>
      </c>
      <c r="H151" s="86">
        <f t="shared" si="1"/>
        <v>0</v>
      </c>
      <c r="I151" s="36"/>
      <c r="L151" s="112"/>
      <c r="M151" s="112"/>
      <c r="N151" s="36"/>
      <c r="T151" s="21"/>
    </row>
    <row r="152" spans="1:20" s="37" customFormat="1" ht="15.75" hidden="1" customHeight="1" x14ac:dyDescent="0.25">
      <c r="A152" s="169">
        <f>A151+1</f>
        <v>4</v>
      </c>
      <c r="B152" s="170"/>
      <c r="C152" s="86"/>
      <c r="D152" s="86"/>
      <c r="E152" s="86">
        <v>0</v>
      </c>
      <c r="F152" s="86">
        <f t="shared" si="0"/>
        <v>0</v>
      </c>
      <c r="G152" s="86">
        <v>0</v>
      </c>
      <c r="H152" s="86">
        <f t="shared" si="1"/>
        <v>0</v>
      </c>
      <c r="I152" s="36"/>
      <c r="L152" s="112"/>
      <c r="M152" s="112"/>
      <c r="N152" s="36"/>
      <c r="T152" s="21"/>
    </row>
    <row r="153" spans="1:20" s="37" customFormat="1" hidden="1" x14ac:dyDescent="0.25">
      <c r="A153" s="169"/>
      <c r="B153" s="193"/>
      <c r="C153" s="193"/>
      <c r="D153" s="193"/>
      <c r="E153" s="193"/>
      <c r="F153" s="193"/>
      <c r="G153" s="193"/>
      <c r="H153" s="170"/>
      <c r="I153" s="36"/>
      <c r="N153" s="36"/>
    </row>
    <row r="154" spans="1:20" ht="47.25" customHeight="1" x14ac:dyDescent="0.25">
      <c r="A154" s="195" t="s">
        <v>405</v>
      </c>
      <c r="B154" s="183" t="s">
        <v>178</v>
      </c>
      <c r="C154" s="183" t="s">
        <v>55</v>
      </c>
      <c r="D154" s="183" t="s">
        <v>233</v>
      </c>
      <c r="E154" s="183" t="s">
        <v>423</v>
      </c>
      <c r="F154" s="183" t="s">
        <v>56</v>
      </c>
      <c r="G154" s="258" t="s">
        <v>57</v>
      </c>
      <c r="H154" s="84" t="s">
        <v>148</v>
      </c>
      <c r="I154" s="36"/>
      <c r="T154" s="37"/>
    </row>
    <row r="155" spans="1:20" s="37" customFormat="1" x14ac:dyDescent="0.25">
      <c r="A155" s="196"/>
      <c r="B155" s="184"/>
      <c r="C155" s="184"/>
      <c r="D155" s="184"/>
      <c r="E155" s="184"/>
      <c r="F155" s="184"/>
      <c r="G155" s="259"/>
      <c r="H155" s="85">
        <v>0.55000000000000004</v>
      </c>
      <c r="I155" s="36"/>
    </row>
    <row r="156" spans="1:20" s="37" customFormat="1" x14ac:dyDescent="0.25">
      <c r="A156" s="301" t="s">
        <v>422</v>
      </c>
      <c r="B156" s="302"/>
      <c r="C156" s="302"/>
      <c r="D156" s="302"/>
      <c r="E156" s="302"/>
      <c r="F156" s="302"/>
      <c r="G156" s="302"/>
      <c r="H156" s="303"/>
      <c r="J156" s="36">
        <f>100000/1.55</f>
        <v>64516.129032258061</v>
      </c>
    </row>
    <row r="157" spans="1:20" s="37" customFormat="1" x14ac:dyDescent="0.25">
      <c r="A157" s="177" t="s">
        <v>359</v>
      </c>
      <c r="B157" s="178"/>
      <c r="C157" s="178"/>
      <c r="D157" s="178"/>
      <c r="E157" s="178"/>
      <c r="F157" s="178"/>
      <c r="G157" s="178"/>
      <c r="H157" s="179"/>
      <c r="J157" s="36"/>
    </row>
    <row r="158" spans="1:20" s="37" customFormat="1" x14ac:dyDescent="0.25">
      <c r="A158" s="177" t="s">
        <v>360</v>
      </c>
      <c r="B158" s="178"/>
      <c r="C158" s="178"/>
      <c r="D158" s="178"/>
      <c r="E158" s="178"/>
      <c r="F158" s="178"/>
      <c r="G158" s="178"/>
      <c r="H158" s="179"/>
      <c r="J158" s="36"/>
    </row>
    <row r="159" spans="1:20" s="37" customFormat="1" x14ac:dyDescent="0.25">
      <c r="A159" s="177" t="s">
        <v>364</v>
      </c>
      <c r="B159" s="178"/>
      <c r="C159" s="178"/>
      <c r="D159" s="178"/>
      <c r="E159" s="178"/>
      <c r="F159" s="178"/>
      <c r="G159" s="178"/>
      <c r="H159" s="179"/>
      <c r="J159" s="36"/>
    </row>
    <row r="160" spans="1:20" s="37" customFormat="1" x14ac:dyDescent="0.25">
      <c r="A160" s="113" t="s">
        <v>365</v>
      </c>
      <c r="B160" s="114"/>
      <c r="C160" s="114"/>
      <c r="D160" s="114"/>
      <c r="E160" s="114"/>
      <c r="F160" s="114"/>
      <c r="G160" s="114"/>
      <c r="H160" s="115"/>
      <c r="J160" s="36"/>
    </row>
    <row r="161" spans="1:14" s="37" customFormat="1" x14ac:dyDescent="0.25">
      <c r="A161" s="113" t="s">
        <v>368</v>
      </c>
      <c r="B161" s="114"/>
      <c r="C161" s="114"/>
      <c r="D161" s="114"/>
      <c r="E161" s="114"/>
      <c r="F161" s="114"/>
      <c r="G161" s="114"/>
      <c r="H161" s="115"/>
      <c r="J161" s="36"/>
    </row>
    <row r="162" spans="1:14" s="37" customFormat="1" x14ac:dyDescent="0.25">
      <c r="A162" s="113" t="s">
        <v>370</v>
      </c>
      <c r="B162" s="114"/>
      <c r="C162" s="114"/>
      <c r="D162" s="114"/>
      <c r="E162" s="114"/>
      <c r="F162" s="114"/>
      <c r="G162" s="114"/>
      <c r="H162" s="115"/>
      <c r="J162" s="36"/>
    </row>
    <row r="163" spans="1:14" s="37" customFormat="1" x14ac:dyDescent="0.25">
      <c r="A163" s="113" t="s">
        <v>371</v>
      </c>
      <c r="B163" s="114"/>
      <c r="C163" s="114"/>
      <c r="D163" s="114"/>
      <c r="E163" s="114"/>
      <c r="F163" s="114"/>
      <c r="G163" s="114"/>
      <c r="H163" s="115"/>
      <c r="J163" s="36"/>
    </row>
    <row r="164" spans="1:14" s="37" customFormat="1" x14ac:dyDescent="0.25">
      <c r="A164" s="113" t="s">
        <v>372</v>
      </c>
      <c r="B164" s="114"/>
      <c r="C164" s="114"/>
      <c r="D164" s="114"/>
      <c r="E164" s="114"/>
      <c r="F164" s="114"/>
      <c r="G164" s="114"/>
      <c r="H164" s="115"/>
      <c r="J164" s="36"/>
    </row>
    <row r="165" spans="1:14" s="37" customFormat="1" x14ac:dyDescent="0.25">
      <c r="A165" s="113" t="s">
        <v>373</v>
      </c>
      <c r="B165" s="114"/>
      <c r="C165" s="114"/>
      <c r="D165" s="114"/>
      <c r="E165" s="114"/>
      <c r="F165" s="114"/>
      <c r="G165" s="114"/>
      <c r="H165" s="115"/>
      <c r="J165" s="36"/>
    </row>
    <row r="166" spans="1:14" s="37" customFormat="1" ht="15.75" customHeight="1" x14ac:dyDescent="0.25">
      <c r="A166" s="116">
        <v>1</v>
      </c>
      <c r="B166" s="117"/>
      <c r="C166" s="42" t="s">
        <v>374</v>
      </c>
      <c r="D166" s="42">
        <f>'Tower 1 Area Calculation'!D59</f>
        <v>2270.8337183999997</v>
      </c>
      <c r="E166" s="42">
        <f t="shared" ref="E166:E167" si="2">(3.78*2.1)*10.764</f>
        <v>85.444631999999999</v>
      </c>
      <c r="F166" s="42">
        <f>D166+E166</f>
        <v>2356.2783503999999</v>
      </c>
      <c r="G166" s="42">
        <v>0</v>
      </c>
      <c r="H166" s="42">
        <f>F166*(($H$155)+1)+(IF(G166&lt;101,G166,IF(G166&lt;201,G166/2,IF(G166&lt;=301,G166/3,G166/4))))</f>
        <v>3652.2314431199998</v>
      </c>
      <c r="I166" s="36"/>
      <c r="J166" s="36">
        <f>160200000/H166</f>
        <v>43863.594762533889</v>
      </c>
      <c r="L166" s="112"/>
      <c r="M166" s="112"/>
      <c r="N166" s="36"/>
    </row>
    <row r="167" spans="1:14" s="37" customFormat="1" ht="15.75" customHeight="1" x14ac:dyDescent="0.25">
      <c r="A167" s="116">
        <f>A166+1</f>
        <v>2</v>
      </c>
      <c r="B167" s="117"/>
      <c r="C167" s="42" t="s">
        <v>374</v>
      </c>
      <c r="D167" s="42">
        <f>'Tower 1 Area Calculation'!D59</f>
        <v>2270.8337183999997</v>
      </c>
      <c r="E167" s="42">
        <f t="shared" si="2"/>
        <v>85.444631999999999</v>
      </c>
      <c r="F167" s="42">
        <f>D167+E167</f>
        <v>2356.2783503999999</v>
      </c>
      <c r="G167" s="42">
        <v>0</v>
      </c>
      <c r="H167" s="42">
        <f>F167*(($H$155)+1)+(IF(G167&lt;101,G167,IF(G167&lt;201,G167/2,IF(G167&lt;=301,G167/3,G167/4))))</f>
        <v>3652.2314431199998</v>
      </c>
      <c r="I167" s="36"/>
      <c r="L167" s="112"/>
      <c r="M167" s="112"/>
      <c r="N167" s="36"/>
    </row>
    <row r="168" spans="1:14" s="37" customFormat="1" x14ac:dyDescent="0.25">
      <c r="A168" s="113" t="s">
        <v>377</v>
      </c>
      <c r="B168" s="114"/>
      <c r="C168" s="114"/>
      <c r="D168" s="114"/>
      <c r="E168" s="114"/>
      <c r="F168" s="114"/>
      <c r="G168" s="114"/>
      <c r="H168" s="115"/>
      <c r="J168" s="36"/>
    </row>
    <row r="169" spans="1:14" s="37" customFormat="1" ht="15.75" customHeight="1" x14ac:dyDescent="0.25">
      <c r="A169" s="116">
        <v>1</v>
      </c>
      <c r="B169" s="117"/>
      <c r="C169" s="42" t="s">
        <v>378</v>
      </c>
      <c r="D169" s="42">
        <f>'Tower 1 Area Calculation'!P59</f>
        <v>3206.9755691999994</v>
      </c>
      <c r="E169" s="42">
        <f>(7.71*2.1)*10.764</f>
        <v>174.27992399999997</v>
      </c>
      <c r="F169" s="42">
        <f>D169+E169</f>
        <v>3381.2554931999994</v>
      </c>
      <c r="G169" s="42">
        <v>0</v>
      </c>
      <c r="H169" s="42">
        <f>F169*(($H$155)+1)+(IF(G169&lt;101,G169,IF(G169&lt;201,G169/2,IF(G169&lt;=301,G169/3,G169/4))))</f>
        <v>5240.9460144599989</v>
      </c>
      <c r="I169" s="36"/>
      <c r="L169" s="112"/>
      <c r="M169" s="112"/>
      <c r="N169" s="36"/>
    </row>
    <row r="170" spans="1:14" s="37" customFormat="1" x14ac:dyDescent="0.25">
      <c r="A170" s="113" t="s">
        <v>381</v>
      </c>
      <c r="B170" s="114"/>
      <c r="C170" s="114"/>
      <c r="D170" s="114"/>
      <c r="E170" s="114"/>
      <c r="F170" s="114"/>
      <c r="G170" s="114"/>
      <c r="H170" s="115"/>
      <c r="J170" s="36"/>
    </row>
    <row r="171" spans="1:14" s="37" customFormat="1" ht="15.75" customHeight="1" x14ac:dyDescent="0.25">
      <c r="A171" s="116">
        <v>1</v>
      </c>
      <c r="B171" s="117"/>
      <c r="C171" s="42" t="s">
        <v>378</v>
      </c>
      <c r="D171" s="42">
        <f>'Tower 1 Area Calculation'!U59</f>
        <v>3028.0563612000001</v>
      </c>
      <c r="E171" s="42">
        <v>0</v>
      </c>
      <c r="F171" s="42">
        <f>D171+E171</f>
        <v>3028.0563612000001</v>
      </c>
      <c r="G171" s="42">
        <v>0</v>
      </c>
      <c r="H171" s="42">
        <f>F171*(($H$155)+1)+(IF(G171&lt;101,G171,IF(G171&lt;201,G171/2,IF(G171&lt;=301,G171/3,G171/4))))</f>
        <v>4693.4873598600007</v>
      </c>
      <c r="I171" s="36"/>
      <c r="L171" s="112"/>
      <c r="M171" s="112"/>
      <c r="N171" s="36"/>
    </row>
    <row r="172" spans="1:14" s="37" customFormat="1" x14ac:dyDescent="0.25">
      <c r="A172" s="113" t="s">
        <v>390</v>
      </c>
      <c r="B172" s="114"/>
      <c r="C172" s="114"/>
      <c r="D172" s="114"/>
      <c r="E172" s="114"/>
      <c r="F172" s="114"/>
      <c r="G172" s="114"/>
      <c r="H172" s="115"/>
      <c r="J172" s="36"/>
    </row>
    <row r="173" spans="1:14" s="37" customFormat="1" x14ac:dyDescent="0.25">
      <c r="A173" s="113" t="s">
        <v>383</v>
      </c>
      <c r="B173" s="114"/>
      <c r="C173" s="114"/>
      <c r="D173" s="114"/>
      <c r="E173" s="114"/>
      <c r="F173" s="114"/>
      <c r="G173" s="114"/>
      <c r="H173" s="115"/>
      <c r="J173" s="36"/>
    </row>
    <row r="174" spans="1:14" s="37" customFormat="1" ht="15.75" customHeight="1" x14ac:dyDescent="0.25">
      <c r="A174" s="116">
        <v>1</v>
      </c>
      <c r="B174" s="117"/>
      <c r="C174" s="42" t="s">
        <v>374</v>
      </c>
      <c r="D174" s="42">
        <f>D166</f>
        <v>2270.8337183999997</v>
      </c>
      <c r="E174" s="42">
        <v>0</v>
      </c>
      <c r="F174" s="42">
        <f>D174+E174</f>
        <v>2270.8337183999997</v>
      </c>
      <c r="G174" s="42">
        <v>0</v>
      </c>
      <c r="H174" s="42">
        <f>F174*(($H$155)+1)+(IF(G174&lt;101,G174,IF(G174&lt;201,G174/2,IF(G174&lt;=301,G174/3,G174/4))))</f>
        <v>3519.7922635199998</v>
      </c>
      <c r="I174" s="36"/>
      <c r="L174" s="112"/>
      <c r="M174" s="112"/>
      <c r="N174" s="36"/>
    </row>
    <row r="175" spans="1:14" s="37" customFormat="1" ht="15.75" customHeight="1" x14ac:dyDescent="0.25">
      <c r="A175" s="116">
        <f>A174+1</f>
        <v>2</v>
      </c>
      <c r="B175" s="117"/>
      <c r="C175" s="42" t="s">
        <v>374</v>
      </c>
      <c r="D175" s="42">
        <f>D167</f>
        <v>2270.8337183999997</v>
      </c>
      <c r="E175" s="42">
        <v>0</v>
      </c>
      <c r="F175" s="42">
        <f>D175+E175</f>
        <v>2270.8337183999997</v>
      </c>
      <c r="G175" s="42">
        <v>0</v>
      </c>
      <c r="H175" s="42">
        <f>F175*(($H$155)+1)+(IF(G175&lt;101,G175,IF(G175&lt;201,G175/2,IF(G175&lt;=301,G175/3,G175/4))))</f>
        <v>3519.7922635199998</v>
      </c>
      <c r="I175" s="36"/>
      <c r="L175" s="112"/>
      <c r="M175" s="112"/>
      <c r="N175" s="36"/>
    </row>
    <row r="176" spans="1:14" s="37" customFormat="1" x14ac:dyDescent="0.25">
      <c r="A176" s="131" t="s">
        <v>384</v>
      </c>
      <c r="B176" s="131"/>
      <c r="C176" s="131"/>
      <c r="D176" s="131"/>
      <c r="E176" s="131"/>
      <c r="F176" s="131"/>
      <c r="G176" s="131"/>
      <c r="H176" s="131"/>
      <c r="J176" s="36"/>
    </row>
    <row r="177" spans="1:14" s="37" customFormat="1" ht="15.75" customHeight="1" x14ac:dyDescent="0.25">
      <c r="A177" s="124">
        <v>1</v>
      </c>
      <c r="B177" s="124"/>
      <c r="C177" s="42" t="s">
        <v>374</v>
      </c>
      <c r="D177" s="42">
        <f>D174</f>
        <v>2270.8337183999997</v>
      </c>
      <c r="E177" s="42">
        <f t="shared" ref="E177:E178" si="3">(3.78*2.1)*10.764</f>
        <v>85.444631999999999</v>
      </c>
      <c r="F177" s="42">
        <f>D177+E177</f>
        <v>2356.2783503999999</v>
      </c>
      <c r="G177" s="42">
        <v>0</v>
      </c>
      <c r="H177" s="42">
        <f>F177*(($H$155)+1)+(IF(G177&lt;101,G177,IF(G177&lt;201,G177/2,IF(G177&lt;=301,G177/3,G177/4))))</f>
        <v>3652.2314431199998</v>
      </c>
      <c r="I177" s="36"/>
      <c r="L177" s="112"/>
      <c r="M177" s="112"/>
      <c r="N177" s="36"/>
    </row>
    <row r="178" spans="1:14" s="37" customFormat="1" ht="15.75" customHeight="1" x14ac:dyDescent="0.25">
      <c r="A178" s="124">
        <f>A177+1</f>
        <v>2</v>
      </c>
      <c r="B178" s="124"/>
      <c r="C178" s="42" t="s">
        <v>374</v>
      </c>
      <c r="D178" s="42">
        <f>D175</f>
        <v>2270.8337183999997</v>
      </c>
      <c r="E178" s="42">
        <f t="shared" si="3"/>
        <v>85.444631999999999</v>
      </c>
      <c r="F178" s="42">
        <f>D178+E178</f>
        <v>2356.2783503999999</v>
      </c>
      <c r="G178" s="42">
        <v>0</v>
      </c>
      <c r="H178" s="42">
        <f>F178*(($H$155)+1)+(IF(G178&lt;101,G178,IF(G178&lt;201,G178/2,IF(G178&lt;=301,G178/3,G178/4))))</f>
        <v>3652.2314431199998</v>
      </c>
      <c r="I178" s="36"/>
      <c r="L178" s="112"/>
      <c r="M178" s="112"/>
      <c r="N178" s="36"/>
    </row>
    <row r="179" spans="1:14" s="37" customFormat="1" x14ac:dyDescent="0.25">
      <c r="A179" s="131" t="s">
        <v>387</v>
      </c>
      <c r="B179" s="131"/>
      <c r="C179" s="131"/>
      <c r="D179" s="131"/>
      <c r="E179" s="131"/>
      <c r="F179" s="131"/>
      <c r="G179" s="131"/>
      <c r="H179" s="131"/>
      <c r="J179" s="36"/>
    </row>
    <row r="180" spans="1:14" s="37" customFormat="1" ht="15.75" customHeight="1" x14ac:dyDescent="0.25">
      <c r="A180" s="124">
        <v>1</v>
      </c>
      <c r="B180" s="124"/>
      <c r="C180" s="42" t="s">
        <v>378</v>
      </c>
      <c r="D180" s="42">
        <f>D169</f>
        <v>3206.9755691999994</v>
      </c>
      <c r="E180" s="42">
        <f>(7.76*2.1)*10.764</f>
        <v>175.41014399999997</v>
      </c>
      <c r="F180" s="42">
        <f>D180+E180</f>
        <v>3382.3857131999994</v>
      </c>
      <c r="G180" s="42">
        <v>0</v>
      </c>
      <c r="H180" s="42">
        <f>F180*(($H$155)+1)+(IF(G180&lt;101,G180,IF(G180&lt;201,G180/2,IF(G180&lt;=301,G180/3,G180/4))))</f>
        <v>5242.6978554599991</v>
      </c>
      <c r="I180" s="36"/>
      <c r="L180" s="112"/>
      <c r="M180" s="112"/>
      <c r="N180" s="36"/>
    </row>
    <row r="181" spans="1:14" s="37" customFormat="1" x14ac:dyDescent="0.25">
      <c r="A181" s="131" t="s">
        <v>391</v>
      </c>
      <c r="B181" s="131"/>
      <c r="C181" s="131"/>
      <c r="D181" s="131"/>
      <c r="E181" s="131"/>
      <c r="F181" s="131"/>
      <c r="G181" s="131"/>
      <c r="H181" s="131"/>
      <c r="J181" s="36"/>
    </row>
    <row r="182" spans="1:14" s="37" customFormat="1" ht="15.75" customHeight="1" x14ac:dyDescent="0.25">
      <c r="A182" s="124">
        <v>1</v>
      </c>
      <c r="B182" s="124"/>
      <c r="C182" s="42" t="s">
        <v>378</v>
      </c>
      <c r="D182" s="42">
        <f>D180</f>
        <v>3206.9755691999994</v>
      </c>
      <c r="E182" s="42">
        <v>0</v>
      </c>
      <c r="F182" s="42">
        <f>D182+E182</f>
        <v>3206.9755691999994</v>
      </c>
      <c r="G182" s="42">
        <v>0</v>
      </c>
      <c r="H182" s="42">
        <f>F182*(($H$155)+1)+(IF(G182&lt;101,G182,IF(G182&lt;201,G182/2,IF(G182&lt;=301,G182/3,G182/4))))</f>
        <v>4970.8121322599991</v>
      </c>
      <c r="I182" s="36"/>
      <c r="J182" s="36">
        <f>224700000/H182</f>
        <v>45203.880979875066</v>
      </c>
      <c r="L182" s="112"/>
      <c r="M182" s="112"/>
      <c r="N182" s="36"/>
    </row>
    <row r="183" spans="1:14" s="37" customFormat="1" x14ac:dyDescent="0.25">
      <c r="A183" s="131" t="s">
        <v>395</v>
      </c>
      <c r="B183" s="131"/>
      <c r="C183" s="131"/>
      <c r="D183" s="131"/>
      <c r="E183" s="131"/>
      <c r="F183" s="131"/>
      <c r="G183" s="131"/>
      <c r="H183" s="131"/>
      <c r="J183" s="36"/>
    </row>
    <row r="184" spans="1:14" s="37" customFormat="1" x14ac:dyDescent="0.25">
      <c r="A184" s="131" t="s">
        <v>392</v>
      </c>
      <c r="B184" s="131"/>
      <c r="C184" s="131"/>
      <c r="D184" s="131"/>
      <c r="E184" s="131"/>
      <c r="F184" s="131"/>
      <c r="G184" s="131"/>
      <c r="H184" s="131"/>
      <c r="J184" s="36"/>
    </row>
    <row r="185" spans="1:14" s="37" customFormat="1" ht="15.75" customHeight="1" x14ac:dyDescent="0.25">
      <c r="A185" s="124">
        <v>1</v>
      </c>
      <c r="B185" s="124"/>
      <c r="C185" s="42" t="s">
        <v>374</v>
      </c>
      <c r="D185" s="42">
        <f>D177</f>
        <v>2270.8337183999997</v>
      </c>
      <c r="E185" s="42">
        <v>0</v>
      </c>
      <c r="F185" s="42">
        <f>D185+E185</f>
        <v>2270.8337183999997</v>
      </c>
      <c r="G185" s="42">
        <v>0</v>
      </c>
      <c r="H185" s="42">
        <f>F185*(($H$155)+1)+(IF(G185&lt;101,G185,IF(G185&lt;201,G185/2,IF(G185&lt;=301,G185/3,G185/4))))</f>
        <v>3519.7922635199998</v>
      </c>
      <c r="I185" s="36"/>
      <c r="L185" s="112"/>
      <c r="M185" s="112"/>
      <c r="N185" s="36"/>
    </row>
    <row r="186" spans="1:14" s="37" customFormat="1" ht="15.75" customHeight="1" x14ac:dyDescent="0.25">
      <c r="A186" s="124">
        <f>A185+1</f>
        <v>2</v>
      </c>
      <c r="B186" s="124"/>
      <c r="C186" s="42" t="s">
        <v>374</v>
      </c>
      <c r="D186" s="42">
        <f>D178</f>
        <v>2270.8337183999997</v>
      </c>
      <c r="E186" s="42">
        <v>0</v>
      </c>
      <c r="F186" s="42">
        <f>D186+E186</f>
        <v>2270.8337183999997</v>
      </c>
      <c r="G186" s="42">
        <v>0</v>
      </c>
      <c r="H186" s="42">
        <f>F186*(($H$155)+1)+(IF(G186&lt;101,G186,IF(G186&lt;201,G186/2,IF(G186&lt;=301,G186/3,G186/4))))</f>
        <v>3519.7922635199998</v>
      </c>
      <c r="I186" s="36"/>
      <c r="L186" s="112"/>
      <c r="M186" s="112"/>
      <c r="N186" s="36"/>
    </row>
    <row r="187" spans="1:14" s="37" customFormat="1" x14ac:dyDescent="0.25">
      <c r="A187" s="131" t="s">
        <v>393</v>
      </c>
      <c r="B187" s="131"/>
      <c r="C187" s="131"/>
      <c r="D187" s="131"/>
      <c r="E187" s="131"/>
      <c r="F187" s="131"/>
      <c r="G187" s="131"/>
      <c r="H187" s="131"/>
      <c r="J187" s="36"/>
    </row>
    <row r="188" spans="1:14" s="37" customFormat="1" ht="15.75" customHeight="1" x14ac:dyDescent="0.25">
      <c r="A188" s="116">
        <v>1</v>
      </c>
      <c r="B188" s="117"/>
      <c r="C188" s="42" t="s">
        <v>374</v>
      </c>
      <c r="D188" s="42">
        <f>D185</f>
        <v>2270.8337183999997</v>
      </c>
      <c r="E188" s="42">
        <f t="shared" ref="E188:E189" si="4">(3.78*2.1)*10.764</f>
        <v>85.444631999999999</v>
      </c>
      <c r="F188" s="42">
        <f>D188+E188</f>
        <v>2356.2783503999999</v>
      </c>
      <c r="G188" s="42">
        <v>0</v>
      </c>
      <c r="H188" s="42">
        <f>F188*(($H$155)+1)+(IF(G188&lt;101,G188,IF(G188&lt;201,G188/2,IF(G188&lt;=301,G188/3,G188/4))))</f>
        <v>3652.2314431199998</v>
      </c>
      <c r="I188" s="36"/>
      <c r="L188" s="112"/>
      <c r="M188" s="112"/>
      <c r="N188" s="36"/>
    </row>
    <row r="189" spans="1:14" s="37" customFormat="1" ht="15.75" customHeight="1" x14ac:dyDescent="0.25">
      <c r="A189" s="116">
        <f>A188+1</f>
        <v>2</v>
      </c>
      <c r="B189" s="117"/>
      <c r="C189" s="42" t="s">
        <v>374</v>
      </c>
      <c r="D189" s="42">
        <f>D186</f>
        <v>2270.8337183999997</v>
      </c>
      <c r="E189" s="42">
        <f t="shared" si="4"/>
        <v>85.444631999999999</v>
      </c>
      <c r="F189" s="42">
        <f>D189+E189</f>
        <v>2356.2783503999999</v>
      </c>
      <c r="G189" s="42">
        <v>0</v>
      </c>
      <c r="H189" s="42">
        <f>F189*(($H$155)+1)+(IF(G189&lt;101,G189,IF(G189&lt;201,G189/2,IF(G189&lt;=301,G189/3,G189/4))))</f>
        <v>3652.2314431199998</v>
      </c>
      <c r="I189" s="36"/>
      <c r="L189" s="112"/>
      <c r="M189" s="112"/>
      <c r="N189" s="36"/>
    </row>
    <row r="190" spans="1:14" s="37" customFormat="1" x14ac:dyDescent="0.25">
      <c r="A190" s="132" t="s">
        <v>454</v>
      </c>
      <c r="B190" s="133"/>
      <c r="C190" s="133"/>
      <c r="D190" s="133"/>
      <c r="E190" s="133"/>
      <c r="F190" s="133"/>
      <c r="G190" s="133"/>
      <c r="H190" s="134"/>
      <c r="J190" s="36"/>
    </row>
    <row r="191" spans="1:14" s="37" customFormat="1" ht="15.75" customHeight="1" x14ac:dyDescent="0.25">
      <c r="A191" s="116">
        <v>1</v>
      </c>
      <c r="B191" s="117"/>
      <c r="C191" s="42" t="s">
        <v>378</v>
      </c>
      <c r="D191" s="42">
        <f>'Tower 1 Area Calculation'!D239</f>
        <v>3379.6079553599993</v>
      </c>
      <c r="E191" s="42">
        <f>(7.76*2.1)*10.764</f>
        <v>175.41014399999997</v>
      </c>
      <c r="F191" s="42">
        <f>D191+E191</f>
        <v>3555.0180993599993</v>
      </c>
      <c r="G191" s="42">
        <v>0</v>
      </c>
      <c r="H191" s="42">
        <f>F191*(($H$155)+1)+(IF(G191&lt;101,G191,IF(G191&lt;201,G191/2,IF(G191&lt;=301,G191/3,G191/4))))</f>
        <v>5510.2780540079993</v>
      </c>
      <c r="I191" s="36"/>
      <c r="L191" s="112"/>
      <c r="M191" s="112"/>
      <c r="N191" s="36"/>
    </row>
    <row r="192" spans="1:14" s="37" customFormat="1" hidden="1" x14ac:dyDescent="0.25">
      <c r="A192" s="286" t="s">
        <v>361</v>
      </c>
      <c r="B192" s="287"/>
      <c r="C192" s="287"/>
      <c r="D192" s="287"/>
      <c r="E192" s="287"/>
      <c r="F192" s="287"/>
      <c r="G192" s="287"/>
      <c r="H192" s="288"/>
      <c r="J192" s="36"/>
    </row>
    <row r="193" spans="1:20" s="37" customFormat="1" hidden="1" x14ac:dyDescent="0.25">
      <c r="A193" s="113" t="s">
        <v>359</v>
      </c>
      <c r="B193" s="114"/>
      <c r="C193" s="114"/>
      <c r="D193" s="114"/>
      <c r="E193" s="114"/>
      <c r="F193" s="114"/>
      <c r="G193" s="114"/>
      <c r="H193" s="115"/>
      <c r="J193" s="36"/>
    </row>
    <row r="194" spans="1:20" s="37" customFormat="1" ht="15.6" hidden="1" customHeight="1" x14ac:dyDescent="0.25">
      <c r="A194" s="113" t="s">
        <v>362</v>
      </c>
      <c r="B194" s="114"/>
      <c r="C194" s="114"/>
      <c r="D194" s="114"/>
      <c r="E194" s="114"/>
      <c r="F194" s="114"/>
      <c r="G194" s="114"/>
      <c r="H194" s="115"/>
      <c r="J194" s="36"/>
    </row>
    <row r="195" spans="1:20" s="37" customFormat="1" hidden="1" x14ac:dyDescent="0.25">
      <c r="A195" s="113" t="s">
        <v>363</v>
      </c>
      <c r="B195" s="114"/>
      <c r="C195" s="114"/>
      <c r="D195" s="114"/>
      <c r="E195" s="114"/>
      <c r="F195" s="114"/>
      <c r="G195" s="114"/>
      <c r="H195" s="115"/>
      <c r="J195" s="36"/>
    </row>
    <row r="196" spans="1:20" s="37" customFormat="1" hidden="1" x14ac:dyDescent="0.25">
      <c r="A196" s="113" t="s">
        <v>366</v>
      </c>
      <c r="B196" s="114"/>
      <c r="C196" s="114"/>
      <c r="D196" s="114"/>
      <c r="E196" s="114"/>
      <c r="F196" s="114"/>
      <c r="G196" s="114"/>
      <c r="H196" s="115"/>
      <c r="J196" s="36"/>
    </row>
    <row r="197" spans="1:20" s="37" customFormat="1" hidden="1" x14ac:dyDescent="0.25">
      <c r="A197" s="113" t="s">
        <v>367</v>
      </c>
      <c r="B197" s="114"/>
      <c r="C197" s="114"/>
      <c r="D197" s="114"/>
      <c r="E197" s="114"/>
      <c r="F197" s="114"/>
      <c r="G197" s="114"/>
      <c r="H197" s="115"/>
      <c r="J197" s="36"/>
    </row>
    <row r="198" spans="1:20" s="37" customFormat="1" hidden="1" x14ac:dyDescent="0.25">
      <c r="A198" s="113" t="s">
        <v>369</v>
      </c>
      <c r="B198" s="114"/>
      <c r="C198" s="114"/>
      <c r="D198" s="114"/>
      <c r="E198" s="114"/>
      <c r="F198" s="114"/>
      <c r="G198" s="114"/>
      <c r="H198" s="115"/>
      <c r="J198" s="36"/>
    </row>
    <row r="199" spans="1:20" s="37" customFormat="1" hidden="1" x14ac:dyDescent="0.25">
      <c r="A199" s="113" t="s">
        <v>370</v>
      </c>
      <c r="B199" s="114"/>
      <c r="C199" s="114"/>
      <c r="D199" s="114"/>
      <c r="E199" s="114"/>
      <c r="F199" s="114"/>
      <c r="G199" s="114"/>
      <c r="H199" s="115"/>
      <c r="J199" s="36"/>
    </row>
    <row r="200" spans="1:20" s="37" customFormat="1" hidden="1" x14ac:dyDescent="0.25">
      <c r="A200" s="113" t="s">
        <v>371</v>
      </c>
      <c r="B200" s="114"/>
      <c r="C200" s="114"/>
      <c r="D200" s="114"/>
      <c r="E200" s="114"/>
      <c r="F200" s="114"/>
      <c r="G200" s="114"/>
      <c r="H200" s="115"/>
      <c r="J200" s="36"/>
    </row>
    <row r="201" spans="1:20" s="37" customFormat="1" hidden="1" x14ac:dyDescent="0.25">
      <c r="A201" s="113" t="s">
        <v>372</v>
      </c>
      <c r="B201" s="114"/>
      <c r="C201" s="114"/>
      <c r="D201" s="114"/>
      <c r="E201" s="114"/>
      <c r="F201" s="114"/>
      <c r="G201" s="114"/>
      <c r="H201" s="115"/>
      <c r="I201" s="37">
        <v>1</v>
      </c>
      <c r="J201" s="36"/>
    </row>
    <row r="202" spans="1:20" s="37" customFormat="1" hidden="1" x14ac:dyDescent="0.25">
      <c r="A202" s="113" t="s">
        <v>396</v>
      </c>
      <c r="B202" s="114"/>
      <c r="C202" s="114"/>
      <c r="D202" s="114"/>
      <c r="E202" s="114"/>
      <c r="F202" s="114"/>
      <c r="G202" s="114"/>
      <c r="H202" s="115"/>
      <c r="I202" s="37">
        <f>5+6+1</f>
        <v>12</v>
      </c>
      <c r="J202" s="83">
        <v>10.763999999999999</v>
      </c>
    </row>
    <row r="203" spans="1:20" s="37" customFormat="1" ht="15.75" hidden="1" customHeight="1" x14ac:dyDescent="0.25">
      <c r="A203" s="42">
        <v>1</v>
      </c>
      <c r="B203" s="42" t="s">
        <v>401</v>
      </c>
      <c r="C203" s="42" t="s">
        <v>397</v>
      </c>
      <c r="D203" s="83">
        <f>(4.84*4.75+1.96*1.84+0.75*1.24)*10.764</f>
        <v>296.29416959999998</v>
      </c>
      <c r="E203" s="42">
        <v>0</v>
      </c>
      <c r="F203" s="42">
        <f t="shared" ref="F203:F214" si="5">D203+E203</f>
        <v>296.29416959999998</v>
      </c>
      <c r="G203" s="42">
        <v>0</v>
      </c>
      <c r="H203" s="42">
        <f t="shared" ref="H203:H214" si="6">F203*(($H$155)+1)+(IF(G203&lt;101,G203,IF(G203&lt;201,G203/2,IF(G203&lt;=301,G203/3,G203/4))))</f>
        <v>459.25596287999997</v>
      </c>
      <c r="I203" s="36"/>
      <c r="L203" s="112"/>
      <c r="M203" s="112"/>
      <c r="N203" s="36"/>
    </row>
    <row r="204" spans="1:20" s="37" customFormat="1" ht="15.75" hidden="1" customHeight="1" x14ac:dyDescent="0.25">
      <c r="A204" s="42">
        <f t="shared" ref="A204:A214" si="7">A203+1</f>
        <v>2</v>
      </c>
      <c r="B204" s="42" t="s">
        <v>401</v>
      </c>
      <c r="C204" s="42" t="s">
        <v>397</v>
      </c>
      <c r="D204" s="83">
        <f>(3.95*4.14+3.49*0.61+1.45*2.44+1.5*0.95+1.2*1.25+1.1*2.45)*10.764</f>
        <v>297.5158836</v>
      </c>
      <c r="E204" s="42">
        <v>0</v>
      </c>
      <c r="F204" s="42">
        <f t="shared" si="5"/>
        <v>297.5158836</v>
      </c>
      <c r="G204" s="42">
        <v>0</v>
      </c>
      <c r="H204" s="42">
        <f t="shared" si="6"/>
        <v>461.14961957999998</v>
      </c>
      <c r="I204" s="36"/>
      <c r="L204" s="112"/>
      <c r="M204" s="112"/>
      <c r="N204" s="36"/>
    </row>
    <row r="205" spans="1:20" s="37" customFormat="1" ht="15.75" hidden="1" customHeight="1" x14ac:dyDescent="0.25">
      <c r="A205" s="42">
        <f t="shared" si="7"/>
        <v>3</v>
      </c>
      <c r="B205" s="42" t="s">
        <v>401</v>
      </c>
      <c r="C205" s="42" t="s">
        <v>397</v>
      </c>
      <c r="D205" s="83">
        <f>(4.83*4.15+4.3*0.4+1.02*1.84+1.45*0.95+0.87*1.1+1.45*1.06)*10.764</f>
        <v>296.1477792</v>
      </c>
      <c r="E205" s="42">
        <f>(3.78*2.05)*10.764</f>
        <v>83.410235999999983</v>
      </c>
      <c r="F205" s="42">
        <f t="shared" si="5"/>
        <v>379.5580152</v>
      </c>
      <c r="G205" s="42">
        <v>0</v>
      </c>
      <c r="H205" s="42">
        <f t="shared" si="6"/>
        <v>588.31492356000001</v>
      </c>
      <c r="I205" s="36"/>
      <c r="L205" s="112"/>
      <c r="M205" s="112"/>
      <c r="N205" s="36"/>
    </row>
    <row r="206" spans="1:20" s="37" customFormat="1" ht="15.75" hidden="1" customHeight="1" x14ac:dyDescent="0.25">
      <c r="A206" s="42">
        <f t="shared" si="7"/>
        <v>4</v>
      </c>
      <c r="B206" s="42" t="s">
        <v>401</v>
      </c>
      <c r="C206" s="42" t="s">
        <v>397</v>
      </c>
      <c r="D206" s="83">
        <f>(4.83*4.15+4.3*0.4+1.02*1.84+1.45*0.95+0.87*1.1+1.45*1.06)*10.764</f>
        <v>296.1477792</v>
      </c>
      <c r="E206" s="42">
        <f>(3.78*2.05)*10.764</f>
        <v>83.410235999999983</v>
      </c>
      <c r="F206" s="42">
        <f t="shared" si="5"/>
        <v>379.5580152</v>
      </c>
      <c r="G206" s="42">
        <v>0</v>
      </c>
      <c r="H206" s="42">
        <f t="shared" si="6"/>
        <v>588.31492356000001</v>
      </c>
      <c r="I206" s="36"/>
      <c r="L206" s="112"/>
      <c r="M206" s="112"/>
      <c r="N206" s="36"/>
      <c r="T206" s="21"/>
    </row>
    <row r="207" spans="1:20" s="37" customFormat="1" ht="15.75" hidden="1" customHeight="1" x14ac:dyDescent="0.25">
      <c r="A207" s="42">
        <f t="shared" si="7"/>
        <v>5</v>
      </c>
      <c r="B207" s="42" t="s">
        <v>401</v>
      </c>
      <c r="C207" s="42" t="s">
        <v>397</v>
      </c>
      <c r="D207" s="83">
        <f>(3.95*4.14+3.49*0.61+1.45*2.44+1.5*0.95+1.2*1.25+1.1*2.45)*10.764</f>
        <v>297.5158836</v>
      </c>
      <c r="E207" s="42">
        <v>0</v>
      </c>
      <c r="F207" s="42">
        <f t="shared" si="5"/>
        <v>297.5158836</v>
      </c>
      <c r="G207" s="42">
        <v>0</v>
      </c>
      <c r="H207" s="42">
        <f t="shared" si="6"/>
        <v>461.14961957999998</v>
      </c>
      <c r="I207" s="36"/>
      <c r="J207" s="37">
        <f>12*12+2*8+10</f>
        <v>170</v>
      </c>
      <c r="L207" s="112"/>
      <c r="M207" s="112"/>
      <c r="N207" s="36"/>
    </row>
    <row r="208" spans="1:20" s="37" customFormat="1" ht="15.75" hidden="1" customHeight="1" x14ac:dyDescent="0.25">
      <c r="A208" s="42">
        <f t="shared" si="7"/>
        <v>6</v>
      </c>
      <c r="B208" s="42" t="s">
        <v>401</v>
      </c>
      <c r="C208" s="42" t="s">
        <v>397</v>
      </c>
      <c r="D208" s="83">
        <f>(4.84*4.75+1.96*1.84+0.75*1.24)*10.764</f>
        <v>296.29416959999998</v>
      </c>
      <c r="E208" s="42">
        <v>0</v>
      </c>
      <c r="F208" s="42">
        <f t="shared" si="5"/>
        <v>296.29416959999998</v>
      </c>
      <c r="G208" s="42">
        <v>0</v>
      </c>
      <c r="H208" s="42">
        <f t="shared" si="6"/>
        <v>459.25596287999997</v>
      </c>
      <c r="I208" s="36"/>
      <c r="L208" s="112"/>
      <c r="M208" s="112"/>
      <c r="N208" s="36"/>
    </row>
    <row r="209" spans="1:20" s="37" customFormat="1" ht="15.75" hidden="1" customHeight="1" x14ac:dyDescent="0.25">
      <c r="A209" s="42">
        <f t="shared" si="7"/>
        <v>7</v>
      </c>
      <c r="B209" s="42" t="s">
        <v>401</v>
      </c>
      <c r="C209" s="42" t="s">
        <v>397</v>
      </c>
      <c r="D209" s="83">
        <f>(1.76*1.02+5.15*3.48+2.4*1.22+1.8*2.11+0.75*1.51)*10.764</f>
        <v>296.82483480000002</v>
      </c>
      <c r="E209" s="42">
        <v>0</v>
      </c>
      <c r="F209" s="42">
        <f t="shared" si="5"/>
        <v>296.82483480000002</v>
      </c>
      <c r="G209" s="42">
        <v>0</v>
      </c>
      <c r="H209" s="42">
        <f t="shared" si="6"/>
        <v>460.07849394000004</v>
      </c>
      <c r="I209" s="36"/>
      <c r="L209" s="112"/>
      <c r="M209" s="112"/>
      <c r="N209" s="36"/>
      <c r="T209" s="21"/>
    </row>
    <row r="210" spans="1:20" s="37" customFormat="1" ht="15.75" hidden="1" customHeight="1" x14ac:dyDescent="0.25">
      <c r="A210" s="42">
        <f t="shared" si="7"/>
        <v>8</v>
      </c>
      <c r="B210" s="42" t="s">
        <v>401</v>
      </c>
      <c r="C210" s="42" t="s">
        <v>397</v>
      </c>
      <c r="D210" s="83">
        <f>(4.95*4+3.5*0.23+0.3*0.95+1.75*1.47+1.04*1.93+0.86*2.38)*10.764</f>
        <v>296.18760600000002</v>
      </c>
      <c r="E210" s="42">
        <v>0</v>
      </c>
      <c r="F210" s="42">
        <f t="shared" si="5"/>
        <v>296.18760600000002</v>
      </c>
      <c r="G210" s="42">
        <v>0</v>
      </c>
      <c r="H210" s="42">
        <f t="shared" si="6"/>
        <v>459.09078930000004</v>
      </c>
      <c r="I210" s="36"/>
      <c r="L210" s="112"/>
      <c r="M210" s="112"/>
      <c r="N210" s="36"/>
    </row>
    <row r="211" spans="1:20" s="37" customFormat="1" ht="15.75" hidden="1" customHeight="1" x14ac:dyDescent="0.25">
      <c r="A211" s="42">
        <f t="shared" si="7"/>
        <v>9</v>
      </c>
      <c r="B211" s="42" t="s">
        <v>401</v>
      </c>
      <c r="C211" s="42" t="s">
        <v>397</v>
      </c>
      <c r="D211" s="83">
        <f>(3.2*7.57+1*1.11+2.05*1.2)*10.764</f>
        <v>299.17461600000001</v>
      </c>
      <c r="E211" s="42">
        <v>0</v>
      </c>
      <c r="F211" s="42">
        <f t="shared" si="5"/>
        <v>299.17461600000001</v>
      </c>
      <c r="G211" s="42">
        <v>0</v>
      </c>
      <c r="H211" s="42">
        <f t="shared" si="6"/>
        <v>463.72065480000003</v>
      </c>
      <c r="I211" s="36"/>
      <c r="L211" s="112"/>
      <c r="M211" s="112"/>
      <c r="N211" s="36"/>
    </row>
    <row r="212" spans="1:20" s="37" customFormat="1" ht="15.75" hidden="1" customHeight="1" x14ac:dyDescent="0.25">
      <c r="A212" s="42">
        <f t="shared" si="7"/>
        <v>10</v>
      </c>
      <c r="B212" s="42" t="s">
        <v>401</v>
      </c>
      <c r="C212" s="42" t="s">
        <v>397</v>
      </c>
      <c r="D212" s="83">
        <f>(3.2*7.57+1*1.11+2.05*1.2)*10.764</f>
        <v>299.17461600000001</v>
      </c>
      <c r="E212" s="42">
        <v>0</v>
      </c>
      <c r="F212" s="42">
        <f t="shared" si="5"/>
        <v>299.17461600000001</v>
      </c>
      <c r="G212" s="42">
        <v>0</v>
      </c>
      <c r="H212" s="42">
        <f t="shared" si="6"/>
        <v>463.72065480000003</v>
      </c>
      <c r="I212" s="36"/>
      <c r="L212" s="112"/>
      <c r="M212" s="112"/>
      <c r="N212" s="36"/>
      <c r="T212" s="21"/>
    </row>
    <row r="213" spans="1:20" s="37" customFormat="1" ht="15.75" hidden="1" customHeight="1" x14ac:dyDescent="0.25">
      <c r="A213" s="42">
        <f t="shared" si="7"/>
        <v>11</v>
      </c>
      <c r="B213" s="42" t="s">
        <v>401</v>
      </c>
      <c r="C213" s="42" t="s">
        <v>397</v>
      </c>
      <c r="D213" s="83">
        <f>(4.95*4+3.5*0.23+0.3*0.95+1.75*1.47+1.04*1.93+0.86*2.38)*10.764</f>
        <v>296.18760600000002</v>
      </c>
      <c r="E213" s="42">
        <v>0</v>
      </c>
      <c r="F213" s="42">
        <f t="shared" si="5"/>
        <v>296.18760600000002</v>
      </c>
      <c r="G213" s="42">
        <v>0</v>
      </c>
      <c r="H213" s="42">
        <f t="shared" si="6"/>
        <v>459.09078930000004</v>
      </c>
      <c r="I213" s="36"/>
      <c r="L213" s="112"/>
      <c r="M213" s="112"/>
      <c r="N213" s="36"/>
    </row>
    <row r="214" spans="1:20" s="37" customFormat="1" ht="15.75" hidden="1" customHeight="1" x14ac:dyDescent="0.25">
      <c r="A214" s="42">
        <f t="shared" si="7"/>
        <v>12</v>
      </c>
      <c r="B214" s="42" t="s">
        <v>401</v>
      </c>
      <c r="C214" s="42" t="s">
        <v>397</v>
      </c>
      <c r="D214" s="83">
        <f>(1.76*1.02+5.15*3.48+2.4*1.22+1.8*2.11+0.75*1.51)*10.764</f>
        <v>296.82483480000002</v>
      </c>
      <c r="E214" s="42">
        <v>0</v>
      </c>
      <c r="F214" s="42">
        <f t="shared" si="5"/>
        <v>296.82483480000002</v>
      </c>
      <c r="G214" s="42">
        <v>0</v>
      </c>
      <c r="H214" s="42">
        <f t="shared" si="6"/>
        <v>460.07849394000004</v>
      </c>
      <c r="I214" s="36"/>
      <c r="L214" s="112"/>
      <c r="M214" s="112"/>
      <c r="N214" s="36"/>
    </row>
    <row r="215" spans="1:20" s="37" customFormat="1" hidden="1" x14ac:dyDescent="0.25">
      <c r="A215" s="113" t="s">
        <v>398</v>
      </c>
      <c r="B215" s="114"/>
      <c r="C215" s="114"/>
      <c r="D215" s="114"/>
      <c r="E215" s="114"/>
      <c r="F215" s="114"/>
      <c r="G215" s="114"/>
      <c r="H215" s="115"/>
      <c r="I215" s="37">
        <v>2</v>
      </c>
      <c r="J215" s="36"/>
    </row>
    <row r="216" spans="1:20" s="37" customFormat="1" ht="15.75" hidden="1" customHeight="1" x14ac:dyDescent="0.25">
      <c r="A216" s="42">
        <v>1</v>
      </c>
      <c r="B216" s="116" t="s">
        <v>399</v>
      </c>
      <c r="C216" s="276"/>
      <c r="D216" s="276"/>
      <c r="E216" s="276"/>
      <c r="F216" s="276"/>
      <c r="G216" s="276"/>
      <c r="H216" s="117"/>
      <c r="I216" s="36"/>
      <c r="L216" s="112"/>
      <c r="M216" s="112"/>
      <c r="N216" s="36"/>
    </row>
    <row r="217" spans="1:20" s="37" customFormat="1" ht="15.75" hidden="1" customHeight="1" x14ac:dyDescent="0.25">
      <c r="A217" s="42">
        <f t="shared" ref="A217:A227" si="8">A216+1</f>
        <v>2</v>
      </c>
      <c r="B217" s="42" t="s">
        <v>401</v>
      </c>
      <c r="C217" s="42" t="s">
        <v>397</v>
      </c>
      <c r="D217" s="83">
        <f>(3.95*4.14+3.49*0.61+1.45*2.44+1.5*0.95+1.2*1.25+1.1*2.45)*10.764</f>
        <v>297.5158836</v>
      </c>
      <c r="E217" s="42">
        <v>0</v>
      </c>
      <c r="F217" s="42">
        <f t="shared" ref="F217:F224" si="9">D217+E217</f>
        <v>297.5158836</v>
      </c>
      <c r="G217" s="42">
        <v>0</v>
      </c>
      <c r="H217" s="42">
        <f t="shared" ref="H217:H224" si="10">F217*(($H$155)+1)+(IF(G217&lt;101,G217,IF(G217&lt;201,G217/2,IF(G217&lt;=301,G217/3,G217/4))))</f>
        <v>461.14961957999998</v>
      </c>
      <c r="I217" s="36"/>
      <c r="L217" s="112"/>
      <c r="M217" s="112"/>
      <c r="N217" s="36"/>
    </row>
    <row r="218" spans="1:20" s="37" customFormat="1" ht="15.75" hidden="1" customHeight="1" x14ac:dyDescent="0.25">
      <c r="A218" s="42">
        <f t="shared" si="8"/>
        <v>3</v>
      </c>
      <c r="B218" s="42" t="s">
        <v>401</v>
      </c>
      <c r="C218" s="42" t="s">
        <v>397</v>
      </c>
      <c r="D218" s="83">
        <f>(4.83*4.15+4.3*0.4+1.02*1.84+1.45*0.95+0.87*1.1+1.45*1.06)*10.764</f>
        <v>296.1477792</v>
      </c>
      <c r="E218" s="83">
        <f>(3.78*2.05)*10.764</f>
        <v>83.410235999999983</v>
      </c>
      <c r="F218" s="42">
        <f t="shared" si="9"/>
        <v>379.5580152</v>
      </c>
      <c r="G218" s="42">
        <v>0</v>
      </c>
      <c r="H218" s="42">
        <f t="shared" si="10"/>
        <v>588.31492356000001</v>
      </c>
      <c r="I218" s="36"/>
      <c r="L218" s="112"/>
      <c r="M218" s="112"/>
      <c r="N218" s="36"/>
    </row>
    <row r="219" spans="1:20" s="37" customFormat="1" ht="15.75" hidden="1" customHeight="1" x14ac:dyDescent="0.25">
      <c r="A219" s="42">
        <f t="shared" si="8"/>
        <v>4</v>
      </c>
      <c r="B219" s="42" t="s">
        <v>401</v>
      </c>
      <c r="C219" s="42" t="s">
        <v>397</v>
      </c>
      <c r="D219" s="83">
        <f>(4.83*4.15+4.3*0.4+1.02*1.84+1.45*0.95+0.87*1.1+1.45*1.06)*10.764</f>
        <v>296.1477792</v>
      </c>
      <c r="E219" s="83">
        <f>(3.78*2.05)*10.764</f>
        <v>83.410235999999983</v>
      </c>
      <c r="F219" s="42">
        <f t="shared" si="9"/>
        <v>379.5580152</v>
      </c>
      <c r="G219" s="42">
        <v>0</v>
      </c>
      <c r="H219" s="42">
        <f t="shared" si="10"/>
        <v>588.31492356000001</v>
      </c>
      <c r="I219" s="36"/>
      <c r="L219" s="112"/>
      <c r="M219" s="112"/>
      <c r="N219" s="36"/>
      <c r="T219" s="21"/>
    </row>
    <row r="220" spans="1:20" s="37" customFormat="1" ht="15.75" hidden="1" customHeight="1" x14ac:dyDescent="0.25">
      <c r="A220" s="42">
        <f t="shared" si="8"/>
        <v>5</v>
      </c>
      <c r="B220" s="42" t="s">
        <v>401</v>
      </c>
      <c r="C220" s="42" t="s">
        <v>397</v>
      </c>
      <c r="D220" s="83">
        <f>(3.95*4.14+3.49*0.61+1.45*2.44+1.5*0.95+1.2*1.25+1.1*2.45)*10.764</f>
        <v>297.5158836</v>
      </c>
      <c r="E220" s="42">
        <v>0</v>
      </c>
      <c r="F220" s="42">
        <f t="shared" si="9"/>
        <v>297.5158836</v>
      </c>
      <c r="G220" s="42">
        <v>0</v>
      </c>
      <c r="H220" s="42">
        <f t="shared" si="10"/>
        <v>461.14961957999998</v>
      </c>
      <c r="I220" s="36"/>
      <c r="L220" s="112"/>
      <c r="M220" s="112"/>
      <c r="N220" s="36"/>
    </row>
    <row r="221" spans="1:20" s="37" customFormat="1" ht="15.75" hidden="1" customHeight="1" x14ac:dyDescent="0.25">
      <c r="A221" s="42">
        <f t="shared" si="8"/>
        <v>6</v>
      </c>
      <c r="B221" s="42" t="s">
        <v>401</v>
      </c>
      <c r="C221" s="42" t="s">
        <v>397</v>
      </c>
      <c r="D221" s="83">
        <f>(4.84*4.75+1.96*1.84+0.75*1.24)*10.764</f>
        <v>296.29416959999998</v>
      </c>
      <c r="E221" s="42">
        <v>0</v>
      </c>
      <c r="F221" s="42">
        <f t="shared" si="9"/>
        <v>296.29416959999998</v>
      </c>
      <c r="G221" s="42">
        <v>0</v>
      </c>
      <c r="H221" s="42">
        <f t="shared" si="10"/>
        <v>459.25596287999997</v>
      </c>
      <c r="I221" s="36"/>
      <c r="L221" s="112"/>
      <c r="M221" s="112"/>
      <c r="N221" s="36"/>
    </row>
    <row r="222" spans="1:20" s="37" customFormat="1" ht="15.75" hidden="1" customHeight="1" x14ac:dyDescent="0.25">
      <c r="A222" s="42">
        <f t="shared" si="8"/>
        <v>7</v>
      </c>
      <c r="B222" s="42" t="s">
        <v>401</v>
      </c>
      <c r="C222" s="42" t="s">
        <v>397</v>
      </c>
      <c r="D222" s="83">
        <f>(1.76*1.02+5.15*3.48+2.4*1.22+1.8*2.11+0.75*1.51)*10.764</f>
        <v>296.82483480000002</v>
      </c>
      <c r="E222" s="42">
        <v>0</v>
      </c>
      <c r="F222" s="42">
        <f t="shared" si="9"/>
        <v>296.82483480000002</v>
      </c>
      <c r="G222" s="42">
        <v>0</v>
      </c>
      <c r="H222" s="42">
        <f t="shared" si="10"/>
        <v>460.07849394000004</v>
      </c>
      <c r="I222" s="36"/>
      <c r="L222" s="112"/>
      <c r="M222" s="112"/>
      <c r="N222" s="36"/>
      <c r="T222" s="21"/>
    </row>
    <row r="223" spans="1:20" s="37" customFormat="1" ht="15.75" hidden="1" customHeight="1" x14ac:dyDescent="0.25">
      <c r="A223" s="42">
        <f t="shared" si="8"/>
        <v>8</v>
      </c>
      <c r="B223" s="42" t="s">
        <v>401</v>
      </c>
      <c r="C223" s="42" t="s">
        <v>397</v>
      </c>
      <c r="D223" s="83">
        <f>(4.95*4+3.5*0.23+0.3*0.95+1.75*1.47+1.04*1.93+0.86*2.38)*10.764</f>
        <v>296.18760600000002</v>
      </c>
      <c r="E223" s="42">
        <v>0</v>
      </c>
      <c r="F223" s="42">
        <f t="shared" si="9"/>
        <v>296.18760600000002</v>
      </c>
      <c r="G223" s="42">
        <v>0</v>
      </c>
      <c r="H223" s="42">
        <f t="shared" si="10"/>
        <v>459.09078930000004</v>
      </c>
      <c r="I223" s="36"/>
      <c r="L223" s="112"/>
      <c r="M223" s="112"/>
      <c r="N223" s="36"/>
    </row>
    <row r="224" spans="1:20" s="37" customFormat="1" ht="15.75" hidden="1" customHeight="1" x14ac:dyDescent="0.25">
      <c r="A224" s="42">
        <f t="shared" si="8"/>
        <v>9</v>
      </c>
      <c r="B224" s="42" t="s">
        <v>401</v>
      </c>
      <c r="C224" s="42" t="s">
        <v>397</v>
      </c>
      <c r="D224" s="83">
        <f>(3.2*7.57+1*1.11+2.05*1.2)*10.764</f>
        <v>299.17461600000001</v>
      </c>
      <c r="E224" s="42">
        <v>0</v>
      </c>
      <c r="F224" s="42">
        <f t="shared" si="9"/>
        <v>299.17461600000001</v>
      </c>
      <c r="G224" s="42">
        <v>0</v>
      </c>
      <c r="H224" s="42">
        <f t="shared" si="10"/>
        <v>463.72065480000003</v>
      </c>
      <c r="I224" s="36"/>
      <c r="L224" s="112"/>
      <c r="M224" s="112"/>
      <c r="N224" s="36"/>
    </row>
    <row r="225" spans="1:20" s="37" customFormat="1" ht="15.75" hidden="1" customHeight="1" x14ac:dyDescent="0.25">
      <c r="A225" s="42">
        <f t="shared" si="8"/>
        <v>10</v>
      </c>
      <c r="B225" s="277" t="s">
        <v>399</v>
      </c>
      <c r="C225" s="278"/>
      <c r="D225" s="278"/>
      <c r="E225" s="278"/>
      <c r="F225" s="278"/>
      <c r="G225" s="278"/>
      <c r="H225" s="279"/>
      <c r="I225" s="36"/>
      <c r="L225" s="112"/>
      <c r="M225" s="112"/>
      <c r="N225" s="36"/>
      <c r="T225" s="21"/>
    </row>
    <row r="226" spans="1:20" s="37" customFormat="1" ht="15.75" hidden="1" customHeight="1" x14ac:dyDescent="0.25">
      <c r="A226" s="42">
        <f t="shared" si="8"/>
        <v>11</v>
      </c>
      <c r="B226" s="280"/>
      <c r="C226" s="281"/>
      <c r="D226" s="281"/>
      <c r="E226" s="281"/>
      <c r="F226" s="281"/>
      <c r="G226" s="281"/>
      <c r="H226" s="282"/>
      <c r="I226" s="36"/>
      <c r="L226" s="112"/>
      <c r="M226" s="112"/>
      <c r="N226" s="36"/>
    </row>
    <row r="227" spans="1:20" s="37" customFormat="1" ht="15.75" hidden="1" customHeight="1" x14ac:dyDescent="0.25">
      <c r="A227" s="42">
        <f t="shared" si="8"/>
        <v>12</v>
      </c>
      <c r="B227" s="283"/>
      <c r="C227" s="284"/>
      <c r="D227" s="284"/>
      <c r="E227" s="284"/>
      <c r="F227" s="284"/>
      <c r="G227" s="284"/>
      <c r="H227" s="285"/>
      <c r="I227" s="36"/>
      <c r="L227" s="112"/>
      <c r="M227" s="112"/>
      <c r="N227" s="36"/>
    </row>
    <row r="228" spans="1:20" s="37" customFormat="1" hidden="1" x14ac:dyDescent="0.25">
      <c r="A228" s="113" t="s">
        <v>383</v>
      </c>
      <c r="B228" s="114"/>
      <c r="C228" s="114"/>
      <c r="D228" s="114"/>
      <c r="E228" s="114"/>
      <c r="F228" s="114"/>
      <c r="G228" s="114"/>
      <c r="H228" s="115"/>
      <c r="I228" s="37">
        <v>1</v>
      </c>
      <c r="J228" s="36"/>
    </row>
    <row r="229" spans="1:20" s="37" customFormat="1" ht="15.75" hidden="1" customHeight="1" x14ac:dyDescent="0.25">
      <c r="A229" s="42">
        <v>1</v>
      </c>
      <c r="B229" s="42" t="s">
        <v>401</v>
      </c>
      <c r="C229" s="42" t="s">
        <v>397</v>
      </c>
      <c r="D229" s="83">
        <f>(4.84*4.75+1.96*1.84+0.75*1.24)*10.764</f>
        <v>296.29416959999998</v>
      </c>
      <c r="E229" s="83">
        <v>0</v>
      </c>
      <c r="F229" s="42">
        <f t="shared" ref="F229:F240" si="11">D229+E229</f>
        <v>296.29416959999998</v>
      </c>
      <c r="G229" s="42">
        <v>0</v>
      </c>
      <c r="H229" s="42">
        <f t="shared" ref="H229:H240" si="12">F229*(($H$155)+1)+(IF(G229&lt;101,G229,IF(G229&lt;201,G229/2,IF(G229&lt;=301,G229/3,G229/4))))</f>
        <v>459.25596287999997</v>
      </c>
      <c r="I229" s="36"/>
      <c r="L229" s="112"/>
      <c r="M229" s="112"/>
      <c r="N229" s="36"/>
    </row>
    <row r="230" spans="1:20" s="37" customFormat="1" ht="15.75" hidden="1" customHeight="1" x14ac:dyDescent="0.25">
      <c r="A230" s="42">
        <f t="shared" ref="A230:A240" si="13">A229+1</f>
        <v>2</v>
      </c>
      <c r="B230" s="42" t="s">
        <v>401</v>
      </c>
      <c r="C230" s="42" t="s">
        <v>397</v>
      </c>
      <c r="D230" s="83">
        <f>(3.95*4.14+3.49*0.61+1.45*2.44+1.5*0.95+1.2*1.25+1.1*2.45)*10.764</f>
        <v>297.5158836</v>
      </c>
      <c r="E230" s="83">
        <v>0</v>
      </c>
      <c r="F230" s="42">
        <f t="shared" si="11"/>
        <v>297.5158836</v>
      </c>
      <c r="G230" s="42">
        <v>0</v>
      </c>
      <c r="H230" s="42">
        <f t="shared" si="12"/>
        <v>461.14961957999998</v>
      </c>
      <c r="I230" s="36"/>
      <c r="L230" s="112"/>
      <c r="M230" s="112"/>
      <c r="N230" s="36"/>
    </row>
    <row r="231" spans="1:20" s="37" customFormat="1" ht="15.75" hidden="1" customHeight="1" x14ac:dyDescent="0.25">
      <c r="A231" s="42">
        <f t="shared" si="13"/>
        <v>3</v>
      </c>
      <c r="B231" s="42" t="s">
        <v>401</v>
      </c>
      <c r="C231" s="42" t="s">
        <v>397</v>
      </c>
      <c r="D231" s="83">
        <f>(4.83*4.15+4.3*0.4+1.02*1.84+1.45*0.95+0.87*1.1+1.45*1.06)*10.764</f>
        <v>296.1477792</v>
      </c>
      <c r="E231" s="83">
        <f>(3.78*2.05)*10.764</f>
        <v>83.410235999999983</v>
      </c>
      <c r="F231" s="42">
        <f t="shared" si="11"/>
        <v>379.5580152</v>
      </c>
      <c r="G231" s="42">
        <v>0</v>
      </c>
      <c r="H231" s="42">
        <f t="shared" si="12"/>
        <v>588.31492356000001</v>
      </c>
      <c r="I231" s="36"/>
      <c r="L231" s="112"/>
      <c r="M231" s="112"/>
      <c r="N231" s="36"/>
    </row>
    <row r="232" spans="1:20" s="37" customFormat="1" ht="15.75" hidden="1" customHeight="1" x14ac:dyDescent="0.25">
      <c r="A232" s="42">
        <f t="shared" si="13"/>
        <v>4</v>
      </c>
      <c r="B232" s="42" t="s">
        <v>401</v>
      </c>
      <c r="C232" s="42" t="s">
        <v>397</v>
      </c>
      <c r="D232" s="83">
        <f>(4.83*4.15+4.3*0.4+1.02*1.84+1.45*0.95+0.87*1.1+1.45*1.06)*10.764</f>
        <v>296.1477792</v>
      </c>
      <c r="E232" s="83">
        <f>(3.78*2.05)*10.764</f>
        <v>83.410235999999983</v>
      </c>
      <c r="F232" s="42">
        <f t="shared" si="11"/>
        <v>379.5580152</v>
      </c>
      <c r="G232" s="42">
        <v>0</v>
      </c>
      <c r="H232" s="42">
        <f t="shared" si="12"/>
        <v>588.31492356000001</v>
      </c>
      <c r="I232" s="36"/>
      <c r="L232" s="112"/>
      <c r="M232" s="112"/>
      <c r="N232" s="36"/>
      <c r="T232" s="21"/>
    </row>
    <row r="233" spans="1:20" s="37" customFormat="1" ht="15.75" hidden="1" customHeight="1" x14ac:dyDescent="0.25">
      <c r="A233" s="42">
        <f t="shared" si="13"/>
        <v>5</v>
      </c>
      <c r="B233" s="42" t="s">
        <v>401</v>
      </c>
      <c r="C233" s="42" t="s">
        <v>397</v>
      </c>
      <c r="D233" s="83">
        <f>(3.95*4.14+3.49*0.61+1.45*2.44+1.5*0.95+1.2*1.25+1.1*2.45)*10.764</f>
        <v>297.5158836</v>
      </c>
      <c r="E233" s="83">
        <v>0</v>
      </c>
      <c r="F233" s="42">
        <f t="shared" si="11"/>
        <v>297.5158836</v>
      </c>
      <c r="G233" s="42">
        <v>0</v>
      </c>
      <c r="H233" s="42">
        <f t="shared" si="12"/>
        <v>461.14961957999998</v>
      </c>
      <c r="I233" s="36"/>
      <c r="L233" s="112"/>
      <c r="M233" s="112"/>
      <c r="N233" s="36"/>
    </row>
    <row r="234" spans="1:20" s="37" customFormat="1" ht="15.75" hidden="1" customHeight="1" x14ac:dyDescent="0.25">
      <c r="A234" s="42">
        <f t="shared" si="13"/>
        <v>6</v>
      </c>
      <c r="B234" s="42" t="s">
        <v>401</v>
      </c>
      <c r="C234" s="42" t="s">
        <v>397</v>
      </c>
      <c r="D234" s="83">
        <f>(4.84*4.75+1.96*1.84+0.75*1.24)*10.764</f>
        <v>296.29416959999998</v>
      </c>
      <c r="E234" s="83">
        <v>0</v>
      </c>
      <c r="F234" s="42">
        <f t="shared" si="11"/>
        <v>296.29416959999998</v>
      </c>
      <c r="G234" s="42">
        <v>0</v>
      </c>
      <c r="H234" s="42">
        <f t="shared" si="12"/>
        <v>459.25596287999997</v>
      </c>
      <c r="I234" s="36"/>
      <c r="L234" s="112"/>
      <c r="M234" s="112"/>
      <c r="N234" s="36"/>
    </row>
    <row r="235" spans="1:20" s="37" customFormat="1" ht="15.75" hidden="1" customHeight="1" x14ac:dyDescent="0.25">
      <c r="A235" s="42">
        <f t="shared" si="13"/>
        <v>7</v>
      </c>
      <c r="B235" s="42" t="s">
        <v>401</v>
      </c>
      <c r="C235" s="42" t="s">
        <v>397</v>
      </c>
      <c r="D235" s="83">
        <f>(1.76*1.02+5.15*3.48+2.4*1.22+1.8*2.11+0.75*1.51)*10.764</f>
        <v>296.82483480000002</v>
      </c>
      <c r="E235" s="83">
        <v>0</v>
      </c>
      <c r="F235" s="42">
        <f t="shared" si="11"/>
        <v>296.82483480000002</v>
      </c>
      <c r="G235" s="42">
        <v>0</v>
      </c>
      <c r="H235" s="42">
        <f t="shared" si="12"/>
        <v>460.07849394000004</v>
      </c>
      <c r="I235" s="36"/>
      <c r="L235" s="112"/>
      <c r="M235" s="112"/>
      <c r="N235" s="36"/>
      <c r="T235" s="21"/>
    </row>
    <row r="236" spans="1:20" s="37" customFormat="1" ht="15.75" hidden="1" customHeight="1" x14ac:dyDescent="0.25">
      <c r="A236" s="42">
        <f t="shared" si="13"/>
        <v>8</v>
      </c>
      <c r="B236" s="42" t="s">
        <v>401</v>
      </c>
      <c r="C236" s="42" t="s">
        <v>397</v>
      </c>
      <c r="D236" s="83">
        <f>(4.95*4+3.5*0.23+0.3*0.95+1.75*1.47+1.04*1.93+0.86*2.38)*10.764</f>
        <v>296.18760600000002</v>
      </c>
      <c r="E236" s="83">
        <v>0</v>
      </c>
      <c r="F236" s="42">
        <f t="shared" si="11"/>
        <v>296.18760600000002</v>
      </c>
      <c r="G236" s="42">
        <v>0</v>
      </c>
      <c r="H236" s="42">
        <f t="shared" si="12"/>
        <v>459.09078930000004</v>
      </c>
      <c r="I236" s="36"/>
      <c r="L236" s="112"/>
      <c r="M236" s="112"/>
      <c r="N236" s="36"/>
    </row>
    <row r="237" spans="1:20" s="37" customFormat="1" ht="15.75" hidden="1" customHeight="1" x14ac:dyDescent="0.25">
      <c r="A237" s="42">
        <f t="shared" si="13"/>
        <v>9</v>
      </c>
      <c r="B237" s="76" t="s">
        <v>400</v>
      </c>
      <c r="C237" s="42" t="s">
        <v>397</v>
      </c>
      <c r="D237" s="83">
        <f>(3.2*7.57+1*1.11+2.05*1.2)*10.764</f>
        <v>299.17461600000001</v>
      </c>
      <c r="E237" s="83">
        <v>0</v>
      </c>
      <c r="F237" s="42">
        <f t="shared" si="11"/>
        <v>299.17461600000001</v>
      </c>
      <c r="G237" s="42">
        <v>0</v>
      </c>
      <c r="H237" s="42">
        <f t="shared" si="12"/>
        <v>463.72065480000003</v>
      </c>
      <c r="I237" s="36"/>
      <c r="L237" s="112"/>
      <c r="M237" s="112"/>
      <c r="N237" s="36"/>
    </row>
    <row r="238" spans="1:20" s="37" customFormat="1" ht="15.75" hidden="1" customHeight="1" x14ac:dyDescent="0.25">
      <c r="A238" s="42">
        <f t="shared" si="13"/>
        <v>10</v>
      </c>
      <c r="B238" s="76" t="s">
        <v>400</v>
      </c>
      <c r="C238" s="42" t="s">
        <v>397</v>
      </c>
      <c r="D238" s="83">
        <f>(3.2*7.57+1*1.11+2.05*1.2)*10.764</f>
        <v>299.17461600000001</v>
      </c>
      <c r="E238" s="83">
        <v>0</v>
      </c>
      <c r="F238" s="42">
        <f t="shared" si="11"/>
        <v>299.17461600000001</v>
      </c>
      <c r="G238" s="42">
        <v>0</v>
      </c>
      <c r="H238" s="42">
        <f t="shared" si="12"/>
        <v>463.72065480000003</v>
      </c>
      <c r="I238" s="36"/>
      <c r="L238" s="112"/>
      <c r="M238" s="112"/>
      <c r="N238" s="36"/>
      <c r="T238" s="21"/>
    </row>
    <row r="239" spans="1:20" s="37" customFormat="1" ht="15.75" hidden="1" customHeight="1" x14ac:dyDescent="0.25">
      <c r="A239" s="42">
        <f t="shared" si="13"/>
        <v>11</v>
      </c>
      <c r="B239" s="42" t="s">
        <v>401</v>
      </c>
      <c r="C239" s="42" t="s">
        <v>397</v>
      </c>
      <c r="D239" s="83">
        <f>(4.95*4+3.5*0.23+0.3*0.95+1.75*1.47+1.04*1.93+0.86*2.38)*10.764</f>
        <v>296.18760600000002</v>
      </c>
      <c r="E239" s="83">
        <v>0</v>
      </c>
      <c r="F239" s="42">
        <f t="shared" si="11"/>
        <v>296.18760600000002</v>
      </c>
      <c r="G239" s="42">
        <v>0</v>
      </c>
      <c r="H239" s="42">
        <f t="shared" si="12"/>
        <v>459.09078930000004</v>
      </c>
      <c r="I239" s="36"/>
      <c r="L239" s="112"/>
      <c r="M239" s="112"/>
      <c r="N239" s="36"/>
    </row>
    <row r="240" spans="1:20" s="37" customFormat="1" ht="15.75" hidden="1" customHeight="1" x14ac:dyDescent="0.25">
      <c r="A240" s="42">
        <f t="shared" si="13"/>
        <v>12</v>
      </c>
      <c r="B240" s="42" t="s">
        <v>401</v>
      </c>
      <c r="C240" s="42" t="s">
        <v>397</v>
      </c>
      <c r="D240" s="83">
        <f>(1.76*1.02+5.15*3.48+2.4*1.22+1.8*2.11+0.75*1.51)*10.764</f>
        <v>296.82483480000002</v>
      </c>
      <c r="E240" s="83">
        <v>0</v>
      </c>
      <c r="F240" s="42">
        <f t="shared" si="11"/>
        <v>296.82483480000002</v>
      </c>
      <c r="G240" s="42">
        <v>0</v>
      </c>
      <c r="H240" s="42">
        <f t="shared" si="12"/>
        <v>460.07849394000004</v>
      </c>
      <c r="I240" s="36"/>
      <c r="L240" s="112"/>
      <c r="M240" s="112"/>
      <c r="N240" s="36"/>
    </row>
    <row r="241" spans="1:14" s="37" customFormat="1" ht="15.6" hidden="1" customHeight="1" x14ac:dyDescent="0.25">
      <c r="A241" s="113" t="s">
        <v>402</v>
      </c>
      <c r="B241" s="114"/>
      <c r="C241" s="114"/>
      <c r="D241" s="114"/>
      <c r="E241" s="114"/>
      <c r="F241" s="114"/>
      <c r="G241" s="114"/>
      <c r="H241" s="115"/>
      <c r="I241" s="37">
        <v>1</v>
      </c>
      <c r="J241" s="36"/>
    </row>
    <row r="242" spans="1:14" s="37" customFormat="1" ht="15.6" hidden="1" customHeight="1" x14ac:dyDescent="0.25">
      <c r="A242" s="113" t="s">
        <v>384</v>
      </c>
      <c r="B242" s="114"/>
      <c r="C242" s="114"/>
      <c r="D242" s="114"/>
      <c r="E242" s="114"/>
      <c r="F242" s="114"/>
      <c r="G242" s="114"/>
      <c r="H242" s="115"/>
      <c r="I242" s="37">
        <f>4+6+6+2</f>
        <v>18</v>
      </c>
      <c r="J242" s="36"/>
    </row>
    <row r="243" spans="1:14" s="37" customFormat="1" ht="15.75" hidden="1" customHeight="1" x14ac:dyDescent="0.25">
      <c r="A243" s="116">
        <v>1</v>
      </c>
      <c r="B243" s="117"/>
      <c r="C243" s="42" t="s">
        <v>374</v>
      </c>
      <c r="D243" s="42">
        <f>D188</f>
        <v>2270.8337183999997</v>
      </c>
      <c r="E243" s="42">
        <f>(3.78*2.1)*10.764</f>
        <v>85.444631999999999</v>
      </c>
      <c r="F243" s="42">
        <f>D243+E243</f>
        <v>2356.2783503999999</v>
      </c>
      <c r="G243" s="42">
        <v>0</v>
      </c>
      <c r="H243" s="42">
        <f>F243*(($H$155)+1)+(IF(G243&lt;101,G243,IF(G243&lt;201,G243/2,IF(G243&lt;=301,G243/3,G243/4))))</f>
        <v>3652.2314431199998</v>
      </c>
      <c r="I243" s="36"/>
      <c r="J243" s="37">
        <f>32-10</f>
        <v>22</v>
      </c>
      <c r="L243" s="112"/>
      <c r="M243" s="112"/>
      <c r="N243" s="36"/>
    </row>
    <row r="244" spans="1:14" s="37" customFormat="1" ht="15.75" hidden="1" customHeight="1" x14ac:dyDescent="0.25">
      <c r="A244" s="116">
        <f>A243+1</f>
        <v>2</v>
      </c>
      <c r="B244" s="117"/>
      <c r="C244" s="42" t="s">
        <v>374</v>
      </c>
      <c r="D244" s="42">
        <f>D189</f>
        <v>2270.8337183999997</v>
      </c>
      <c r="E244" s="42">
        <f>(3.78*2.1)*10.764</f>
        <v>85.444631999999999</v>
      </c>
      <c r="F244" s="42">
        <f>D244+E244</f>
        <v>2356.2783503999999</v>
      </c>
      <c r="G244" s="42">
        <v>0</v>
      </c>
      <c r="H244" s="42">
        <f>F244*(($H$155)+1)+(IF(G244&lt;101,G244,IF(G244&lt;201,G244/2,IF(G244&lt;=301,G244/3,G244/4))))</f>
        <v>3652.2314431199998</v>
      </c>
      <c r="I244" s="36">
        <f>H244*59000</f>
        <v>215481655.14407998</v>
      </c>
      <c r="J244" s="36">
        <f>(200*J243)*H244</f>
        <v>16069818.349727999</v>
      </c>
      <c r="K244" s="36">
        <f>I244+J244+1500000*5</f>
        <v>239051473.49380797</v>
      </c>
      <c r="L244" s="112"/>
      <c r="M244" s="112"/>
      <c r="N244" s="36"/>
    </row>
    <row r="245" spans="1:14" s="37" customFormat="1" ht="15.6" hidden="1" customHeight="1" x14ac:dyDescent="0.25">
      <c r="A245" s="113" t="s">
        <v>387</v>
      </c>
      <c r="B245" s="114"/>
      <c r="C245" s="114"/>
      <c r="D245" s="114"/>
      <c r="E245" s="114"/>
      <c r="F245" s="114"/>
      <c r="G245" s="114"/>
      <c r="H245" s="115"/>
      <c r="I245" s="37">
        <v>2</v>
      </c>
      <c r="J245" s="36"/>
    </row>
    <row r="246" spans="1:14" s="37" customFormat="1" ht="15.75" hidden="1" customHeight="1" x14ac:dyDescent="0.25">
      <c r="A246" s="116">
        <v>1</v>
      </c>
      <c r="B246" s="117"/>
      <c r="C246" s="42" t="s">
        <v>378</v>
      </c>
      <c r="D246" s="42">
        <f>'Tower 2 Area Calculation'!P59</f>
        <v>3322.2547800000002</v>
      </c>
      <c r="E246" s="42">
        <f>(7.76*2.1)*10.764</f>
        <v>175.41014399999997</v>
      </c>
      <c r="F246" s="42">
        <f>D246+E246</f>
        <v>3497.6649240000002</v>
      </c>
      <c r="G246" s="42">
        <v>0</v>
      </c>
      <c r="H246" s="42">
        <f>F246*(($H$155)+1)+(IF(G246&lt;101,G246,IF(G246&lt;201,G246/2,IF(G246&lt;=301,G246/3,G246/4))))</f>
        <v>5421.3806322</v>
      </c>
      <c r="I246" s="36"/>
      <c r="L246" s="112"/>
      <c r="M246" s="112"/>
      <c r="N246" s="36"/>
    </row>
    <row r="247" spans="1:14" s="37" customFormat="1" ht="15.6" hidden="1" customHeight="1" x14ac:dyDescent="0.25">
      <c r="A247" s="113" t="s">
        <v>391</v>
      </c>
      <c r="B247" s="114"/>
      <c r="C247" s="114"/>
      <c r="D247" s="114"/>
      <c r="E247" s="114"/>
      <c r="F247" s="114"/>
      <c r="G247" s="114"/>
      <c r="H247" s="115"/>
      <c r="I247" s="37">
        <v>1</v>
      </c>
      <c r="J247" s="36"/>
    </row>
    <row r="248" spans="1:14" s="37" customFormat="1" ht="15.75" hidden="1" customHeight="1" x14ac:dyDescent="0.25">
      <c r="A248" s="116">
        <v>1</v>
      </c>
      <c r="B248" s="117"/>
      <c r="C248" s="42" t="s">
        <v>378</v>
      </c>
      <c r="D248" s="42">
        <f>'Tower 2 Area Calculation'!Z59</f>
        <v>3151.9596888000001</v>
      </c>
      <c r="E248" s="42">
        <v>0</v>
      </c>
      <c r="F248" s="42">
        <f>D248+E248</f>
        <v>3151.9596888000001</v>
      </c>
      <c r="G248" s="42">
        <v>0</v>
      </c>
      <c r="H248" s="42">
        <f>F248*(($H$155)+1)+(IF(G248&lt;101,G248,IF(G248&lt;201,G248/2,IF(G248&lt;=301,G248/3,G248/4))))</f>
        <v>4885.5375176400003</v>
      </c>
      <c r="I248" s="36"/>
      <c r="L248" s="112"/>
      <c r="M248" s="112"/>
      <c r="N248" s="36"/>
    </row>
    <row r="249" spans="1:14" s="37" customFormat="1" ht="15.6" hidden="1" customHeight="1" x14ac:dyDescent="0.25">
      <c r="A249" s="113" t="s">
        <v>431</v>
      </c>
      <c r="B249" s="114"/>
      <c r="C249" s="114"/>
      <c r="D249" s="114"/>
      <c r="E249" s="114"/>
      <c r="F249" s="114"/>
      <c r="G249" s="114"/>
      <c r="H249" s="115"/>
      <c r="I249" s="37">
        <v>1</v>
      </c>
      <c r="J249" s="36"/>
    </row>
    <row r="250" spans="1:14" s="37" customFormat="1" ht="15.6" hidden="1" customHeight="1" x14ac:dyDescent="0.25">
      <c r="A250" s="113" t="s">
        <v>392</v>
      </c>
      <c r="B250" s="114"/>
      <c r="C250" s="114"/>
      <c r="D250" s="114"/>
      <c r="E250" s="114"/>
      <c r="F250" s="114"/>
      <c r="G250" s="114"/>
      <c r="H250" s="115"/>
      <c r="I250" s="37">
        <v>1</v>
      </c>
      <c r="J250" s="36"/>
    </row>
    <row r="251" spans="1:14" s="37" customFormat="1" ht="15.75" hidden="1" customHeight="1" x14ac:dyDescent="0.25">
      <c r="A251" s="116">
        <v>1</v>
      </c>
      <c r="B251" s="117"/>
      <c r="C251" s="42" t="s">
        <v>374</v>
      </c>
      <c r="D251" s="42">
        <f>'Tower 2 Area Calculation'!D129</f>
        <v>2261.7349091999995</v>
      </c>
      <c r="E251" s="42">
        <v>0</v>
      </c>
      <c r="F251" s="42">
        <f>D251+E251</f>
        <v>2261.7349091999995</v>
      </c>
      <c r="G251" s="42">
        <v>0</v>
      </c>
      <c r="H251" s="42">
        <f>F251*(($H$155)+1)+(IF(G251&lt;101,G251,IF(G251&lt;201,G251/2,IF(G251&lt;=301,G251/3,G251/4))))</f>
        <v>3505.6891092599994</v>
      </c>
      <c r="I251" s="36"/>
      <c r="L251" s="112"/>
      <c r="M251" s="112"/>
      <c r="N251" s="36"/>
    </row>
    <row r="252" spans="1:14" s="37" customFormat="1" ht="15.75" hidden="1" customHeight="1" x14ac:dyDescent="0.25">
      <c r="A252" s="116">
        <f>A251+1</f>
        <v>2</v>
      </c>
      <c r="B252" s="117"/>
      <c r="C252" s="42" t="s">
        <v>374</v>
      </c>
      <c r="D252" s="42">
        <f>'Tower 2 Area Calculation'!D129</f>
        <v>2261.7349091999995</v>
      </c>
      <c r="E252" s="42">
        <v>0</v>
      </c>
      <c r="F252" s="42">
        <f>D252+E252</f>
        <v>2261.7349091999995</v>
      </c>
      <c r="G252" s="42">
        <v>0</v>
      </c>
      <c r="H252" s="42">
        <f>F252*(($H$155)+1)+(IF(G252&lt;101,G252,IF(G252&lt;201,G252/2,IF(G252&lt;=301,G252/3,G252/4))))</f>
        <v>3505.6891092599994</v>
      </c>
      <c r="I252" s="36"/>
      <c r="L252" s="112"/>
      <c r="M252" s="112"/>
      <c r="N252" s="36"/>
    </row>
    <row r="253" spans="1:14" s="37" customFormat="1" ht="15.6" hidden="1" customHeight="1" x14ac:dyDescent="0.25">
      <c r="A253" s="113" t="s">
        <v>432</v>
      </c>
      <c r="B253" s="114"/>
      <c r="C253" s="114"/>
      <c r="D253" s="114"/>
      <c r="E253" s="114"/>
      <c r="F253" s="114"/>
      <c r="G253" s="114"/>
      <c r="H253" s="115"/>
      <c r="I253" s="37">
        <v>4</v>
      </c>
      <c r="J253" s="36"/>
    </row>
    <row r="254" spans="1:14" s="37" customFormat="1" ht="15.75" hidden="1" customHeight="1" x14ac:dyDescent="0.25">
      <c r="A254" s="116">
        <v>1</v>
      </c>
      <c r="B254" s="117"/>
      <c r="C254" s="42" t="s">
        <v>374</v>
      </c>
      <c r="D254" s="42">
        <f>'Tower 2 Area Calculation'!W131</f>
        <v>2473.4606363999997</v>
      </c>
      <c r="E254" s="42">
        <f>(3.78*2.1)*10.764</f>
        <v>85.444631999999999</v>
      </c>
      <c r="F254" s="42">
        <f>D254+E254</f>
        <v>2558.9052683999998</v>
      </c>
      <c r="G254" s="42">
        <v>0</v>
      </c>
      <c r="H254" s="42">
        <f>F254*(($H$155)+1)+(IF(G254&lt;101,G254,IF(G254&lt;201,G254/2,IF(G254&lt;=301,G254/3,G254/4))))</f>
        <v>3966.3031660199999</v>
      </c>
      <c r="I254" s="36"/>
      <c r="L254" s="112"/>
      <c r="M254" s="112"/>
      <c r="N254" s="36"/>
    </row>
    <row r="255" spans="1:14" s="37" customFormat="1" ht="15.75" hidden="1" customHeight="1" x14ac:dyDescent="0.25">
      <c r="A255" s="116">
        <f>A254+1</f>
        <v>2</v>
      </c>
      <c r="B255" s="117"/>
      <c r="C255" s="42" t="s">
        <v>374</v>
      </c>
      <c r="D255" s="42">
        <f>'Tower 2 Area Calculation'!W131</f>
        <v>2473.4606363999997</v>
      </c>
      <c r="E255" s="42">
        <f>(3.78*2.1)*10.764</f>
        <v>85.444631999999999</v>
      </c>
      <c r="F255" s="42">
        <f>D255+E255</f>
        <v>2558.9052683999998</v>
      </c>
      <c r="G255" s="42">
        <v>0</v>
      </c>
      <c r="H255" s="42">
        <f>F255*(($H$155)+1)+(IF(G255&lt;101,G255,IF(G255&lt;201,G255/2,IF(G255&lt;=301,G255/3,G255/4))))</f>
        <v>3966.3031660199999</v>
      </c>
      <c r="I255" s="36"/>
      <c r="L255" s="112"/>
      <c r="M255" s="112"/>
      <c r="N255" s="36"/>
    </row>
    <row r="256" spans="1:14" s="37" customFormat="1" ht="15.6" hidden="1" customHeight="1" x14ac:dyDescent="0.25">
      <c r="A256" s="113" t="s">
        <v>433</v>
      </c>
      <c r="B256" s="114"/>
      <c r="C256" s="114"/>
      <c r="D256" s="114"/>
      <c r="E256" s="114"/>
      <c r="F256" s="114"/>
      <c r="G256" s="114"/>
      <c r="H256" s="115"/>
      <c r="I256" s="37">
        <v>1</v>
      </c>
      <c r="J256" s="36"/>
    </row>
    <row r="257" spans="1:20" s="37" customFormat="1" ht="15.75" hidden="1" customHeight="1" x14ac:dyDescent="0.25">
      <c r="A257" s="116">
        <v>1</v>
      </c>
      <c r="B257" s="117"/>
      <c r="C257" s="42" t="s">
        <v>378</v>
      </c>
      <c r="D257" s="42">
        <f>'Tower 2 Area Calculation'!P127</f>
        <v>3384.1628496000003</v>
      </c>
      <c r="E257" s="42">
        <f>(7.76*2.1)*10.764</f>
        <v>175.41014399999997</v>
      </c>
      <c r="F257" s="42">
        <f>D257+E257</f>
        <v>3559.5729936000002</v>
      </c>
      <c r="G257" s="42">
        <v>0</v>
      </c>
      <c r="H257" s="42">
        <f>F257*(($H$155)+1)+(IF(G257&lt;101,G257,IF(G257&lt;201,G257/2,IF(G257&lt;=301,G257/3,G257/4))))</f>
        <v>5517.3381400800008</v>
      </c>
      <c r="I257" s="36"/>
      <c r="L257" s="112"/>
      <c r="M257" s="112"/>
      <c r="N257" s="36"/>
    </row>
    <row r="258" spans="1:20" s="37" customFormat="1" ht="15.6" hidden="1" customHeight="1" x14ac:dyDescent="0.25">
      <c r="A258" s="113" t="s">
        <v>116</v>
      </c>
      <c r="B258" s="114"/>
      <c r="C258" s="114"/>
      <c r="D258" s="114"/>
      <c r="E258" s="114"/>
      <c r="F258" s="114"/>
      <c r="G258" s="114"/>
      <c r="H258" s="115"/>
      <c r="J258" s="36"/>
    </row>
    <row r="259" spans="1:20" s="37" customFormat="1" ht="15.75" hidden="1" customHeight="1" x14ac:dyDescent="0.25">
      <c r="A259" s="116">
        <v>1</v>
      </c>
      <c r="B259" s="117"/>
      <c r="C259" s="42"/>
      <c r="D259" s="42"/>
      <c r="E259" s="42">
        <v>0</v>
      </c>
      <c r="F259" s="42">
        <f>D259+E259</f>
        <v>0</v>
      </c>
      <c r="G259" s="42">
        <v>0</v>
      </c>
      <c r="H259" s="42">
        <f>F259*(($H$155)+1)+(IF(G259&lt;101,G259,IF(G259&lt;201,G259/2,IF(G259&lt;=301,G259/3,G259/4))))</f>
        <v>0</v>
      </c>
      <c r="I259" s="36"/>
      <c r="L259" s="112"/>
      <c r="M259" s="112"/>
      <c r="N259" s="36"/>
    </row>
    <row r="260" spans="1:20" s="37" customFormat="1" ht="15.75" hidden="1" customHeight="1" x14ac:dyDescent="0.25">
      <c r="A260" s="116">
        <f>A259+1</f>
        <v>2</v>
      </c>
      <c r="B260" s="117"/>
      <c r="C260" s="42"/>
      <c r="D260" s="42"/>
      <c r="E260" s="42">
        <v>0</v>
      </c>
      <c r="F260" s="42">
        <f>D260+E260</f>
        <v>0</v>
      </c>
      <c r="G260" s="42">
        <v>0</v>
      </c>
      <c r="H260" s="42">
        <f>F260*(($H$155)+1)+(IF(G260&lt;101,G260,IF(G260&lt;201,G260/2,IF(G260&lt;=301,G260/3,G260/4))))</f>
        <v>0</v>
      </c>
      <c r="I260" s="36"/>
      <c r="L260" s="112"/>
      <c r="M260" s="112"/>
      <c r="N260" s="36"/>
    </row>
    <row r="261" spans="1:20" s="37" customFormat="1" ht="15.75" hidden="1" customHeight="1" x14ac:dyDescent="0.25">
      <c r="A261" s="116">
        <f>A260+1</f>
        <v>3</v>
      </c>
      <c r="B261" s="117"/>
      <c r="C261" s="42"/>
      <c r="D261" s="42"/>
      <c r="E261" s="42">
        <v>0</v>
      </c>
      <c r="F261" s="42">
        <f>D261+E261</f>
        <v>0</v>
      </c>
      <c r="G261" s="42">
        <v>0</v>
      </c>
      <c r="H261" s="42">
        <f>F261*(($H$155)+1)+(IF(G261&lt;101,G261,IF(G261&lt;201,G261/2,IF(G261&lt;=301,G261/3,G261/4))))</f>
        <v>0</v>
      </c>
      <c r="I261" s="36"/>
      <c r="L261" s="112"/>
      <c r="M261" s="112"/>
      <c r="N261" s="36"/>
    </row>
    <row r="262" spans="1:20" s="37" customFormat="1" ht="15.75" hidden="1" customHeight="1" x14ac:dyDescent="0.25">
      <c r="A262" s="116">
        <f>A261+1</f>
        <v>4</v>
      </c>
      <c r="B262" s="117"/>
      <c r="C262" s="42"/>
      <c r="D262" s="42"/>
      <c r="E262" s="42">
        <v>0</v>
      </c>
      <c r="F262" s="42">
        <f>D262+E262</f>
        <v>0</v>
      </c>
      <c r="G262" s="42">
        <v>0</v>
      </c>
      <c r="H262" s="42">
        <f>F262*(($H$155)+1)+(IF(G262&lt;101,G262,IF(G262&lt;201,G262/2,IF(G262&lt;=301,G262/3,G262/4))))</f>
        <v>0</v>
      </c>
      <c r="I262" s="36"/>
      <c r="L262" s="112"/>
      <c r="M262" s="112"/>
      <c r="N262" s="36"/>
      <c r="T262" s="21"/>
    </row>
    <row r="263" spans="1:20" s="37" customFormat="1" hidden="1" x14ac:dyDescent="0.25">
      <c r="A263" s="131" t="s">
        <v>117</v>
      </c>
      <c r="B263" s="131"/>
      <c r="C263" s="131"/>
      <c r="D263" s="131"/>
      <c r="E263" s="131"/>
      <c r="F263" s="131"/>
      <c r="G263" s="131"/>
      <c r="H263" s="131"/>
      <c r="I263" s="36"/>
      <c r="L263" s="112"/>
      <c r="M263" s="112"/>
    </row>
    <row r="264" spans="1:20" s="37" customFormat="1" hidden="1" x14ac:dyDescent="0.25">
      <c r="A264" s="124">
        <f>LEFT(A263,SUM(LEN(A263)-LEN(SUBSTITUTE(A263,{"0","1","2","3","4","5","6","7","8","9"},""))))*100+1</f>
        <v>201</v>
      </c>
      <c r="B264" s="124"/>
      <c r="C264" s="42"/>
      <c r="D264" s="42"/>
      <c r="E264" s="42">
        <v>0</v>
      </c>
      <c r="F264" s="42">
        <f>D264+E264</f>
        <v>0</v>
      </c>
      <c r="G264" s="42">
        <v>0</v>
      </c>
      <c r="H264" s="42">
        <f>F264*(($H$155)+1)+(IF(G264&lt;101,G264,IF(G264&lt;201,G264/2,IF(G264&lt;=301,G264/3,G264/4))))</f>
        <v>0</v>
      </c>
      <c r="I264" s="36"/>
      <c r="N264" s="36"/>
    </row>
    <row r="265" spans="1:20" s="37" customFormat="1" hidden="1" x14ac:dyDescent="0.25">
      <c r="A265" s="124">
        <f>A264+1</f>
        <v>202</v>
      </c>
      <c r="B265" s="124"/>
      <c r="C265" s="42"/>
      <c r="D265" s="42"/>
      <c r="E265" s="42">
        <v>0</v>
      </c>
      <c r="F265" s="42">
        <f>D265+E265</f>
        <v>0</v>
      </c>
      <c r="G265" s="42">
        <v>0</v>
      </c>
      <c r="H265" s="42">
        <f>F265*(($H$155)+1)+(IF(G265&lt;101,G265,IF(G265&lt;201,G265/2,IF(G265&lt;=301,G265/3,G265/4))))</f>
        <v>0</v>
      </c>
      <c r="I265" s="36"/>
      <c r="N265" s="36"/>
    </row>
    <row r="266" spans="1:20" s="37" customFormat="1" hidden="1" x14ac:dyDescent="0.25">
      <c r="A266" s="124">
        <f>A265+1</f>
        <v>203</v>
      </c>
      <c r="B266" s="124"/>
      <c r="C266" s="42"/>
      <c r="D266" s="42"/>
      <c r="E266" s="42">
        <v>0</v>
      </c>
      <c r="F266" s="42">
        <f>D266+E266</f>
        <v>0</v>
      </c>
      <c r="G266" s="42">
        <v>0</v>
      </c>
      <c r="H266" s="42">
        <f>F266*(($H$155)+1)+(IF(G266&lt;101,G266,IF(G266&lt;201,G266/2,IF(G266&lt;=301,G266/3,G266/4))))</f>
        <v>0</v>
      </c>
      <c r="I266" s="36"/>
      <c r="N266" s="36"/>
    </row>
    <row r="267" spans="1:20" s="37" customFormat="1" hidden="1" x14ac:dyDescent="0.25">
      <c r="A267" s="124">
        <f>A266+1</f>
        <v>204</v>
      </c>
      <c r="B267" s="124"/>
      <c r="C267" s="42"/>
      <c r="D267" s="42"/>
      <c r="E267" s="42">
        <v>0</v>
      </c>
      <c r="F267" s="42">
        <f>D267+E267</f>
        <v>0</v>
      </c>
      <c r="G267" s="42">
        <v>0</v>
      </c>
      <c r="H267" s="42">
        <f>F267*(($H$155)+1)+(IF(G267&lt;101,G267,IF(G267&lt;201,G267/2,IF(G267&lt;=301,G267/3,G267/4))))</f>
        <v>0</v>
      </c>
      <c r="I267" s="36"/>
      <c r="N267" s="36"/>
    </row>
    <row r="268" spans="1:20" s="37" customFormat="1" hidden="1" x14ac:dyDescent="0.25">
      <c r="A268" s="124">
        <f>A267+1</f>
        <v>205</v>
      </c>
      <c r="B268" s="124"/>
      <c r="C268" s="42"/>
      <c r="D268" s="42"/>
      <c r="E268" s="42">
        <v>0</v>
      </c>
      <c r="F268" s="42">
        <f>D268+E268</f>
        <v>0</v>
      </c>
      <c r="G268" s="42">
        <v>0</v>
      </c>
      <c r="H268" s="42">
        <f>F268*(($H$155)+1)+(IF(G268&lt;101,G268,IF(G268&lt;201,G268/2,IF(G268&lt;=301,G268/3,G268/4))))</f>
        <v>0</v>
      </c>
      <c r="I268" s="36"/>
      <c r="N268" s="36"/>
    </row>
    <row r="269" spans="1:20" s="37" customFormat="1" ht="15.75" hidden="1" customHeight="1" x14ac:dyDescent="0.25">
      <c r="A269" s="113" t="s">
        <v>149</v>
      </c>
      <c r="B269" s="114"/>
      <c r="C269" s="114"/>
      <c r="D269" s="114"/>
      <c r="E269" s="114"/>
      <c r="F269" s="114"/>
      <c r="G269" s="114"/>
      <c r="H269" s="115"/>
      <c r="I269" s="36"/>
    </row>
    <row r="270" spans="1:20" s="37" customFormat="1" ht="15.75" hidden="1" customHeight="1" x14ac:dyDescent="0.25">
      <c r="A270" s="116"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10^ROW(INDIRECT("1:"&amp;LEN((LEFT(A269,SUM(LEN(A269)-LEN(SUBSTITUTE(A269,{"0","1","2"},""))))))))/10))*100+1&amp;""&amp;" ,..,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",LEN(A269))),LEN(A269)))))))/10))*100+1</f>
        <v>301 ,.., 1501</v>
      </c>
      <c r="B270" s="117"/>
      <c r="C270" s="42"/>
      <c r="D270" s="42"/>
      <c r="E270" s="42">
        <v>0</v>
      </c>
      <c r="F270" s="42">
        <f>D270+E270</f>
        <v>0</v>
      </c>
      <c r="G270" s="42">
        <v>0</v>
      </c>
      <c r="H270" s="42">
        <f>F270*(($H$155)+1)+(IF(G270&lt;101,G270,IF(G270&lt;201,G270/2,IF(G270&lt;=301,G270/3,G270/4))))</f>
        <v>0</v>
      </c>
      <c r="I270" s="36"/>
    </row>
    <row r="271" spans="1:20" s="37" customFormat="1" ht="15.75" hidden="1" customHeight="1" x14ac:dyDescent="0.25">
      <c r="A271" s="116"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302 ,.., 1502</v>
      </c>
      <c r="B271" s="117"/>
      <c r="C271" s="42"/>
      <c r="D271" s="42"/>
      <c r="E271" s="42">
        <v>0</v>
      </c>
      <c r="F271" s="42">
        <f>D271+E271</f>
        <v>0</v>
      </c>
      <c r="G271" s="42">
        <v>0</v>
      </c>
      <c r="H271" s="42">
        <f>F271*(($H$155)+1)+(IF(G271&lt;101,G271,IF(G271&lt;201,G271/2,IF(G271&lt;=301,G271/3,G271/4))))</f>
        <v>0</v>
      </c>
      <c r="I271" s="36"/>
    </row>
    <row r="272" spans="1:20" s="37" customFormat="1" ht="15.75" hidden="1" customHeight="1" x14ac:dyDescent="0.25">
      <c r="A272" s="116"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10^ROW(INDIRECT("1:"&amp;LEN((LEFT(A271,SUM(LEN(A271)-LEN(SUBSTITUTE(A271,{"0","1","2"},""))))))))/10))*1+1&amp;""&amp;" ,..,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",LEN(A271))),LEN(A271)))))))/10))*1+1</f>
        <v>303 ,.., 1503</v>
      </c>
      <c r="B272" s="117"/>
      <c r="C272" s="42"/>
      <c r="D272" s="42"/>
      <c r="E272" s="42">
        <v>0</v>
      </c>
      <c r="F272" s="42">
        <f>D272+E272</f>
        <v>0</v>
      </c>
      <c r="G272" s="42">
        <v>0</v>
      </c>
      <c r="H272" s="42">
        <f>F272*(($H$155)+1)+(IF(G272&lt;101,G272,IF(G272&lt;201,G272/2,IF(G272&lt;=301,G272/3,G272/4))))</f>
        <v>0</v>
      </c>
      <c r="I272" s="36"/>
    </row>
    <row r="273" spans="1:20" s="37" customFormat="1" ht="15.75" hidden="1" customHeight="1" x14ac:dyDescent="0.25">
      <c r="A273" s="116" t="str">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10^ROW(INDIRECT("1:"&amp;LEN((LEFT(A272,SUM(LEN(A272)-LEN(SUBSTITUTE(A272,{"0","1","2"},""))))))))/10))*1+1&amp;""&amp;" ,.., "&amp;""&amp;(SUMPRODUCT(MID(0&amp;(--TRIM(RIGHT(SUBSTITUTE(LEFT(A272,_xlfn.AGGREGATE(16,6,FIND({0,1,2,3,4,5,6,7,8,9},A272,ROW(INDIRECT("1:"&amp;LEN(A272)))),1)),"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",LEN(A272))),LEN(A272)))))))/10))*1+1</f>
        <v>304 ,.., 1504</v>
      </c>
      <c r="B273" s="117"/>
      <c r="C273" s="42"/>
      <c r="D273" s="42"/>
      <c r="E273" s="42">
        <v>0</v>
      </c>
      <c r="F273" s="42">
        <f>D273+E273</f>
        <v>0</v>
      </c>
      <c r="G273" s="42">
        <v>0</v>
      </c>
      <c r="H273" s="42">
        <f>F273*(($H$155)+1)+(IF(G273&lt;101,G273,IF(G273&lt;201,G273/2,IF(G273&lt;=301,G273/3,G273/4))))</f>
        <v>0</v>
      </c>
      <c r="I273" s="36"/>
    </row>
    <row r="274" spans="1:20" s="37" customFormat="1" ht="15.75" hidden="1" customHeight="1" x14ac:dyDescent="0.25">
      <c r="A274" s="116" t="str">
        <f ca="1">(SUMPRODUCT(MID(0&amp;(LEFT(A273,SUM(LEN(A273)-LEN(SUBSTITUTE(A273,{"0","1","2"},""))))), LARGE(INDEX(ISNUMBER(--MID((LEFT(A273,SUM(LEN(A273)-LEN(SUBSTITUTE(A273,{"0","1","2"},""))))), ROW(INDIRECT("1:"&amp;LEN((LEFT(A273,SUM(LEN(A273)-LEN(SUBSTITUTE(A273,{"0","1","2"},"")))))))), 1)) * ROW(INDIRECT("1:"&amp;LEN((LEFT(A273,SUM(LEN(A273)-LEN(SUBSTITUTE(A273,{"0","1","2"},"")))))))), 0), ROW(INDIRECT("1:"&amp;LEN((LEFT(A273,SUM(LEN(A273)-LEN(SUBSTITUTE(A273,{"0","1","2"},"")))))))))+1, 1) * 10^ROW(INDIRECT("1:"&amp;LEN((LEFT(A273,SUM(LEN(A273)-LEN(SUBSTITUTE(A273,{"0","1","2"},""))))))))/10))*1+1&amp;""&amp;" ,.., "&amp;""&amp;(SUMPRODUCT(MID(0&amp;(--TRIM(RIGHT(SUBSTITUTE(LEFT(A273,_xlfn.AGGREGATE(16,6,FIND({0,1,2,3,4,5,6,7,8,9},A273,ROW(INDIRECT("1:"&amp;LEN(A273)))),1))," ",REPT(" ",LEN(A273))),LEN(A273)))), LARGE(INDEX(ISNUMBER(--MID((--TRIM(RIGHT(SUBSTITUTE(LEFT(A273,_xlfn.AGGREGATE(16,6,FIND({0,1,2,3,4,5,6,7,8,9},A273,ROW(INDIRECT("1:"&amp;LEN(A273)))),1))," ",REPT(" ",LEN(A273))),LEN(A273)))), ROW(INDIRECT("1:"&amp;LEN((--TRIM(RIGHT(SUBSTITUTE(LEFT(A273,_xlfn.AGGREGATE(16,6,FIND({0,1,2,3,4,5,6,7,8,9},A273,ROW(INDIRECT("1:"&amp;LEN(A273)))),1))," ",REPT(" ",LEN(A273))),LEN(A273))))))), 1)) * ROW(INDIRECT("1:"&amp;LEN((--TRIM(RIGHT(SUBSTITUTE(LEFT(A273,_xlfn.AGGREGATE(16,6,FIND({0,1,2,3,4,5,6,7,8,9},A273,ROW(INDIRECT("1:"&amp;LEN(A273)))),1))," ",REPT(" ",LEN(A273))),LEN(A273))))))), 0), ROW(INDIRECT("1:"&amp;LEN((--TRIM(RIGHT(SUBSTITUTE(LEFT(A273,_xlfn.AGGREGATE(16,6,FIND({0,1,2,3,4,5,6,7,8,9},A273,ROW(INDIRECT("1:"&amp;LEN(A273)))),1))," ",REPT(" ",LEN(A273))),LEN(A273))))))))+1, 1) * 10^ROW(INDIRECT("1:"&amp;LEN((--TRIM(RIGHT(SUBSTITUTE(LEFT(A273,_xlfn.AGGREGATE(16,6,FIND({0,1,2,3,4,5,6,7,8,9},A273,ROW(INDIRECT("1:"&amp;LEN(A273)))),1))," ",REPT(" ",LEN(A273))),LEN(A273)))))))/10))*1+1</f>
        <v>305 ,.., 1505</v>
      </c>
      <c r="B274" s="117"/>
      <c r="C274" s="42"/>
      <c r="D274" s="42"/>
      <c r="E274" s="42">
        <v>0</v>
      </c>
      <c r="F274" s="42">
        <f>D274+E274</f>
        <v>0</v>
      </c>
      <c r="G274" s="42">
        <v>0</v>
      </c>
      <c r="H274" s="42">
        <f>F274*(($H$155)+1)+(IF(G274&lt;101,G274,IF(G274&lt;201,G274/2,IF(G274&lt;=301,G274/3,G274/4))))</f>
        <v>0</v>
      </c>
      <c r="I274" s="36"/>
    </row>
    <row r="275" spans="1:20" s="37" customFormat="1" hidden="1" x14ac:dyDescent="0.25">
      <c r="A275" s="113" t="s">
        <v>143</v>
      </c>
      <c r="B275" s="114"/>
      <c r="C275" s="114"/>
      <c r="D275" s="114"/>
      <c r="E275" s="114"/>
      <c r="F275" s="114"/>
      <c r="G275" s="114"/>
      <c r="H275" s="115"/>
      <c r="I275" s="36"/>
    </row>
    <row r="276" spans="1:20" s="37" customFormat="1" ht="15.75" hidden="1" customHeight="1" x14ac:dyDescent="0.25">
      <c r="A276" s="116" t="str">
        <f ca="1">(SUMPRODUCT(MID(0&amp;(LEFT(A275,SUM(LEN(A275)-LEN(SUBSTITUTE(A275,{"0","1","2"},""))))), LARGE(INDEX(ISNUMBER(--MID((LEFT(A275,SUM(LEN(A275)-LEN(SUBSTITUTE(A275,{"0","1","2"},""))))), ROW(INDIRECT("1:"&amp;LEN((LEFT(A275,SUM(LEN(A275)-LEN(SUBSTITUTE(A275,{"0","1","2"},"")))))))), 1)) * ROW(INDIRECT("1:"&amp;LEN((LEFT(A275,SUM(LEN(A275)-LEN(SUBSTITUTE(A275,{"0","1","2"},"")))))))), 0), ROW(INDIRECT("1:"&amp;LEN((LEFT(A275,SUM(LEN(A275)-LEN(SUBSTITUTE(A275,{"0","1","2"},"")))))))))+1, 1) * 10^ROW(INDIRECT("1:"&amp;LEN((LEFT(A275,SUM(LEN(A275)-LEN(SUBSTITUTE(A275,{"0","1","2"},""))))))))/10))*100+1&amp;""&amp;" to "&amp;""&amp;(SUMPRODUCT(MID(0&amp;(--TRIM(RIGHT(SUBSTITUTE(LEFT(A275,_xlfn.AGGREGATE(16,6,FIND({0,1,2,3,4,5,6,7,8,9},A275,ROW(INDIRECT("1:"&amp;LEN(A275)))),1))," ",REPT(" ",LEN(A275))),LEN(A275)))), LARGE(INDEX(ISNUMBER(--MID((--TRIM(RIGHT(SUBSTITUTE(LEFT(A275,_xlfn.AGGREGATE(16,6,FIND({0,1,2,3,4,5,6,7,8,9},A275,ROW(INDIRECT("1:"&amp;LEN(A275)))),1))," ",REPT(" ",LEN(A275))),LEN(A275)))), ROW(INDIRECT("1:"&amp;LEN((--TRIM(RIGHT(SUBSTITUTE(LEFT(A275,_xlfn.AGGREGATE(16,6,FIND({0,1,2,3,4,5,6,7,8,9},A275,ROW(INDIRECT("1:"&amp;LEN(A275)))),1))," ",REPT(" ",LEN(A275))),LEN(A275))))))), 1)) * ROW(INDIRECT("1:"&amp;LEN((--TRIM(RIGHT(SUBSTITUTE(LEFT(A275,_xlfn.AGGREGATE(16,6,FIND({0,1,2,3,4,5,6,7,8,9},A275,ROW(INDIRECT("1:"&amp;LEN(A275)))),1))," ",REPT(" ",LEN(A275))),LEN(A275))))))), 0), ROW(INDIRECT("1:"&amp;LEN((--TRIM(RIGHT(SUBSTITUTE(LEFT(A275,_xlfn.AGGREGATE(16,6,FIND({0,1,2,3,4,5,6,7,8,9},A275,ROW(INDIRECT("1:"&amp;LEN(A275)))),1))," ",REPT(" ",LEN(A275))),LEN(A275))))))))+1, 1) * 10^ROW(INDIRECT("1:"&amp;LEN((--TRIM(RIGHT(SUBSTITUTE(LEFT(A275,_xlfn.AGGREGATE(16,6,FIND({0,1,2,3,4,5,6,7,8,9},A275,ROW(INDIRECT("1:"&amp;LEN(A275)))),1))," ",REPT(" ",LEN(A275))),LEN(A275)))))))/10))*100+1</f>
        <v>201 to 501</v>
      </c>
      <c r="B276" s="117"/>
      <c r="C276" s="42"/>
      <c r="D276" s="42"/>
      <c r="E276" s="42">
        <v>0</v>
      </c>
      <c r="F276" s="42">
        <f>D276+E276</f>
        <v>0</v>
      </c>
      <c r="G276" s="42">
        <v>0</v>
      </c>
      <c r="H276" s="42">
        <f>F276*(($H$155)+1)+(IF(G276&lt;101,G276,IF(G276&lt;201,G276/2,IF(G276&lt;=301,G276/3,G276/4))))</f>
        <v>0</v>
      </c>
      <c r="I276" s="36"/>
    </row>
    <row r="277" spans="1:20" s="37" customFormat="1" ht="15.75" hidden="1" customHeight="1" x14ac:dyDescent="0.25">
      <c r="A277" s="116" t="str">
        <f ca="1">(SUMPRODUCT(MID(0&amp;(LEFT(A276,SUM(LEN(A276)-LEN(SUBSTITUTE(A276,{"0","1","2"},""))))), LARGE(INDEX(ISNUMBER(--MID((LEFT(A276,SUM(LEN(A276)-LEN(SUBSTITUTE(A276,{"0","1","2"},""))))), ROW(INDIRECT("1:"&amp;LEN((LEFT(A276,SUM(LEN(A276)-LEN(SUBSTITUTE(A276,{"0","1","2"},"")))))))), 1)) * ROW(INDIRECT("1:"&amp;LEN((LEFT(A276,SUM(LEN(A276)-LEN(SUBSTITUTE(A276,{"0","1","2"},"")))))))), 0), ROW(INDIRECT("1:"&amp;LEN((LEFT(A276,SUM(LEN(A276)-LEN(SUBSTITUTE(A276,{"0","1","2"},"")))))))))+1, 1) * 10^ROW(INDIRECT("1:"&amp;LEN((LEFT(A276,SUM(LEN(A276)-LEN(SUBSTITUTE(A276,{"0","1","2"},""))))))))/10))*1+1&amp;""&amp;" to "&amp;""&amp;(SUMPRODUCT(MID(0&amp;(--TRIM(RIGHT(SUBSTITUTE(LEFT(A276,_xlfn.AGGREGATE(16,6,FIND({0,1,2,3,4,5,6,7,8,9},A276,ROW(INDIRECT("1:"&amp;LEN(A276)))),1))," ",REPT(" ",LEN(A276))),LEN(A276)))), LARGE(INDEX(ISNUMBER(--MID((--TRIM(RIGHT(SUBSTITUTE(LEFT(A276,_xlfn.AGGREGATE(16,6,FIND({0,1,2,3,4,5,6,7,8,9},A276,ROW(INDIRECT("1:"&amp;LEN(A276)))),1))," ",REPT(" ",LEN(A276))),LEN(A276)))), ROW(INDIRECT("1:"&amp;LEN((--TRIM(RIGHT(SUBSTITUTE(LEFT(A276,_xlfn.AGGREGATE(16,6,FIND({0,1,2,3,4,5,6,7,8,9},A276,ROW(INDIRECT("1:"&amp;LEN(A276)))),1))," ",REPT(" ",LEN(A276))),LEN(A276))))))), 1)) * ROW(INDIRECT("1:"&amp;LEN((--TRIM(RIGHT(SUBSTITUTE(LEFT(A276,_xlfn.AGGREGATE(16,6,FIND({0,1,2,3,4,5,6,7,8,9},A276,ROW(INDIRECT("1:"&amp;LEN(A276)))),1))," ",REPT(" ",LEN(A276))),LEN(A276))))))), 0), ROW(INDIRECT("1:"&amp;LEN((--TRIM(RIGHT(SUBSTITUTE(LEFT(A276,_xlfn.AGGREGATE(16,6,FIND({0,1,2,3,4,5,6,7,8,9},A276,ROW(INDIRECT("1:"&amp;LEN(A276)))),1))," ",REPT(" ",LEN(A276))),LEN(A276))))))))+1, 1) * 10^ROW(INDIRECT("1:"&amp;LEN((--TRIM(RIGHT(SUBSTITUTE(LEFT(A276,_xlfn.AGGREGATE(16,6,FIND({0,1,2,3,4,5,6,7,8,9},A276,ROW(INDIRECT("1:"&amp;LEN(A276)))),1))," ",REPT(" ",LEN(A276))),LEN(A276)))))))/10))*1+1</f>
        <v>202 to 502</v>
      </c>
      <c r="B277" s="117"/>
      <c r="C277" s="42"/>
      <c r="D277" s="42"/>
      <c r="E277" s="42">
        <v>0</v>
      </c>
      <c r="F277" s="42">
        <f>D277+E277</f>
        <v>0</v>
      </c>
      <c r="G277" s="42">
        <v>0</v>
      </c>
      <c r="H277" s="42">
        <f>F277*(($H$155)+1)+(IF(G277&lt;101,G277,IF(G277&lt;201,G277/2,IF(G277&lt;=301,G277/3,G277/4))))</f>
        <v>0</v>
      </c>
      <c r="I277" s="36"/>
    </row>
    <row r="278" spans="1:20" s="37" customFormat="1" ht="15.75" hidden="1" customHeight="1" x14ac:dyDescent="0.25">
      <c r="A278" s="116" t="str">
        <f ca="1">(SUMPRODUCT(MID(0&amp;(LEFT(A277,SUM(LEN(A277)-LEN(SUBSTITUTE(A277,{"0","1","2"},""))))), LARGE(INDEX(ISNUMBER(--MID((LEFT(A277,SUM(LEN(A277)-LEN(SUBSTITUTE(A277,{"0","1","2"},""))))), ROW(INDIRECT("1:"&amp;LEN((LEFT(A277,SUM(LEN(A277)-LEN(SUBSTITUTE(A277,{"0","1","2"},"")))))))), 1)) * ROW(INDIRECT("1:"&amp;LEN((LEFT(A277,SUM(LEN(A277)-LEN(SUBSTITUTE(A277,{"0","1","2"},"")))))))), 0), ROW(INDIRECT("1:"&amp;LEN((LEFT(A277,SUM(LEN(A277)-LEN(SUBSTITUTE(A277,{"0","1","2"},"")))))))))+1, 1) * 10^ROW(INDIRECT("1:"&amp;LEN((LEFT(A277,SUM(LEN(A277)-LEN(SUBSTITUTE(A277,{"0","1","2"},""))))))))/10))*1+1&amp;""&amp;" to "&amp;""&amp;(SUMPRODUCT(MID(0&amp;(--TRIM(RIGHT(SUBSTITUTE(LEFT(A277,_xlfn.AGGREGATE(16,6,FIND({0,1,2,3,4,5,6,7,8,9},A277,ROW(INDIRECT("1:"&amp;LEN(A277)))),1))," ",REPT(" ",LEN(A277))),LEN(A277)))), LARGE(INDEX(ISNUMBER(--MID((--TRIM(RIGHT(SUBSTITUTE(LEFT(A277,_xlfn.AGGREGATE(16,6,FIND({0,1,2,3,4,5,6,7,8,9},A277,ROW(INDIRECT("1:"&amp;LEN(A277)))),1))," ",REPT(" ",LEN(A277))),LEN(A277)))), ROW(INDIRECT("1:"&amp;LEN((--TRIM(RIGHT(SUBSTITUTE(LEFT(A277,_xlfn.AGGREGATE(16,6,FIND({0,1,2,3,4,5,6,7,8,9},A277,ROW(INDIRECT("1:"&amp;LEN(A277)))),1))," ",REPT(" ",LEN(A277))),LEN(A277))))))), 1)) * ROW(INDIRECT("1:"&amp;LEN((--TRIM(RIGHT(SUBSTITUTE(LEFT(A277,_xlfn.AGGREGATE(16,6,FIND({0,1,2,3,4,5,6,7,8,9},A277,ROW(INDIRECT("1:"&amp;LEN(A277)))),1))," ",REPT(" ",LEN(A277))),LEN(A277))))))), 0), ROW(INDIRECT("1:"&amp;LEN((--TRIM(RIGHT(SUBSTITUTE(LEFT(A277,_xlfn.AGGREGATE(16,6,FIND({0,1,2,3,4,5,6,7,8,9},A277,ROW(INDIRECT("1:"&amp;LEN(A277)))),1))," ",REPT(" ",LEN(A277))),LEN(A277))))))))+1, 1) * 10^ROW(INDIRECT("1:"&amp;LEN((--TRIM(RIGHT(SUBSTITUTE(LEFT(A277,_xlfn.AGGREGATE(16,6,FIND({0,1,2,3,4,5,6,7,8,9},A277,ROW(INDIRECT("1:"&amp;LEN(A277)))),1))," ",REPT(" ",LEN(A277))),LEN(A277)))))))/10))*1+1</f>
        <v>203 to 503</v>
      </c>
      <c r="B278" s="117"/>
      <c r="C278" s="42"/>
      <c r="D278" s="42"/>
      <c r="E278" s="42">
        <v>0</v>
      </c>
      <c r="F278" s="42">
        <f>D278+E278</f>
        <v>0</v>
      </c>
      <c r="G278" s="42">
        <v>0</v>
      </c>
      <c r="H278" s="42">
        <f>F278*(($H$155)+1)+(IF(G278&lt;101,G278,IF(G278&lt;201,G278/2,IF(G278&lt;=301,G278/3,G278/4))))</f>
        <v>0</v>
      </c>
      <c r="I278" s="36"/>
    </row>
    <row r="279" spans="1:20" s="37" customFormat="1" ht="15.75" hidden="1" customHeight="1" x14ac:dyDescent="0.25">
      <c r="A279" s="116" t="str">
        <f ca="1">(SUMPRODUCT(MID(0&amp;(LEFT(A278,SUM(LEN(A278)-LEN(SUBSTITUTE(A278,{"0","1","2"},""))))), LARGE(INDEX(ISNUMBER(--MID((LEFT(A278,SUM(LEN(A278)-LEN(SUBSTITUTE(A278,{"0","1","2"},""))))), ROW(INDIRECT("1:"&amp;LEN((LEFT(A278,SUM(LEN(A278)-LEN(SUBSTITUTE(A278,{"0","1","2"},"")))))))), 1)) * ROW(INDIRECT("1:"&amp;LEN((LEFT(A278,SUM(LEN(A278)-LEN(SUBSTITUTE(A278,{"0","1","2"},"")))))))), 0), ROW(INDIRECT("1:"&amp;LEN((LEFT(A278,SUM(LEN(A278)-LEN(SUBSTITUTE(A278,{"0","1","2"},"")))))))))+1, 1) * 10^ROW(INDIRECT("1:"&amp;LEN((LEFT(A278,SUM(LEN(A278)-LEN(SUBSTITUTE(A278,{"0","1","2"},""))))))))/10))*1+1&amp;""&amp;" to "&amp;""&amp;(SUMPRODUCT(MID(0&amp;(--TRIM(RIGHT(SUBSTITUTE(LEFT(A278,_xlfn.AGGREGATE(16,6,FIND({0,1,2,3,4,5,6,7,8,9},A278,ROW(INDIRECT("1:"&amp;LEN(A278)))),1))," ",REPT(" ",LEN(A278))),LEN(A278)))), LARGE(INDEX(ISNUMBER(--MID((--TRIM(RIGHT(SUBSTITUTE(LEFT(A278,_xlfn.AGGREGATE(16,6,FIND({0,1,2,3,4,5,6,7,8,9},A278,ROW(INDIRECT("1:"&amp;LEN(A278)))),1))," ",REPT(" ",LEN(A278))),LEN(A278)))), ROW(INDIRECT("1:"&amp;LEN((--TRIM(RIGHT(SUBSTITUTE(LEFT(A278,_xlfn.AGGREGATE(16,6,FIND({0,1,2,3,4,5,6,7,8,9},A278,ROW(INDIRECT("1:"&amp;LEN(A278)))),1))," ",REPT(" ",LEN(A278))),LEN(A278))))))), 1)) * ROW(INDIRECT("1:"&amp;LEN((--TRIM(RIGHT(SUBSTITUTE(LEFT(A278,_xlfn.AGGREGATE(16,6,FIND({0,1,2,3,4,5,6,7,8,9},A278,ROW(INDIRECT("1:"&amp;LEN(A278)))),1))," ",REPT(" ",LEN(A278))),LEN(A278))))))), 0), ROW(INDIRECT("1:"&amp;LEN((--TRIM(RIGHT(SUBSTITUTE(LEFT(A278,_xlfn.AGGREGATE(16,6,FIND({0,1,2,3,4,5,6,7,8,9},A278,ROW(INDIRECT("1:"&amp;LEN(A278)))),1))," ",REPT(" ",LEN(A278))),LEN(A278))))))))+1, 1) * 10^ROW(INDIRECT("1:"&amp;LEN((--TRIM(RIGHT(SUBSTITUTE(LEFT(A278,_xlfn.AGGREGATE(16,6,FIND({0,1,2,3,4,5,6,7,8,9},A278,ROW(INDIRECT("1:"&amp;LEN(A278)))),1))," ",REPT(" ",LEN(A278))),LEN(A278)))))))/10))*1+1</f>
        <v>204 to 504</v>
      </c>
      <c r="B279" s="117"/>
      <c r="C279" s="42"/>
      <c r="D279" s="42"/>
      <c r="E279" s="42">
        <v>0</v>
      </c>
      <c r="F279" s="42">
        <f>D279+E279</f>
        <v>0</v>
      </c>
      <c r="G279" s="42">
        <v>0</v>
      </c>
      <c r="H279" s="42">
        <f>F279*(($H$155)+1)+(IF(G279&lt;101,G279,IF(G279&lt;201,G279/2,IF(G279&lt;=301,G279/3,G279/4))))</f>
        <v>0</v>
      </c>
      <c r="I279" s="36"/>
    </row>
    <row r="280" spans="1:20" s="37" customFormat="1" ht="15.75" hidden="1" customHeight="1" x14ac:dyDescent="0.25">
      <c r="A280" s="116" t="str">
        <f ca="1">(SUMPRODUCT(MID(0&amp;(LEFT(A279,SUM(LEN(A279)-LEN(SUBSTITUTE(A279,{"0","1","2"},""))))), LARGE(INDEX(ISNUMBER(--MID((LEFT(A279,SUM(LEN(A279)-LEN(SUBSTITUTE(A279,{"0","1","2"},""))))), ROW(INDIRECT("1:"&amp;LEN((LEFT(A279,SUM(LEN(A279)-LEN(SUBSTITUTE(A279,{"0","1","2"},"")))))))), 1)) * ROW(INDIRECT("1:"&amp;LEN((LEFT(A279,SUM(LEN(A279)-LEN(SUBSTITUTE(A279,{"0","1","2"},"")))))))), 0), ROW(INDIRECT("1:"&amp;LEN((LEFT(A279,SUM(LEN(A279)-LEN(SUBSTITUTE(A279,{"0","1","2"},"")))))))))+1, 1) * 10^ROW(INDIRECT("1:"&amp;LEN((LEFT(A279,SUM(LEN(A279)-LEN(SUBSTITUTE(A279,{"0","1","2"},""))))))))/10))*1+1&amp;""&amp;" to "&amp;""&amp;(SUMPRODUCT(MID(0&amp;(--TRIM(RIGHT(SUBSTITUTE(LEFT(A279,_xlfn.AGGREGATE(16,6,FIND({0,1,2,3,4,5,6,7,8,9},A279,ROW(INDIRECT("1:"&amp;LEN(A279)))),1))," ",REPT(" ",LEN(A279))),LEN(A279)))), LARGE(INDEX(ISNUMBER(--MID((--TRIM(RIGHT(SUBSTITUTE(LEFT(A279,_xlfn.AGGREGATE(16,6,FIND({0,1,2,3,4,5,6,7,8,9},A279,ROW(INDIRECT("1:"&amp;LEN(A279)))),1))," ",REPT(" ",LEN(A279))),LEN(A279)))), ROW(INDIRECT("1:"&amp;LEN((--TRIM(RIGHT(SUBSTITUTE(LEFT(A279,_xlfn.AGGREGATE(16,6,FIND({0,1,2,3,4,5,6,7,8,9},A279,ROW(INDIRECT("1:"&amp;LEN(A279)))),1))," ",REPT(" ",LEN(A279))),LEN(A279))))))), 1)) * ROW(INDIRECT("1:"&amp;LEN((--TRIM(RIGHT(SUBSTITUTE(LEFT(A279,_xlfn.AGGREGATE(16,6,FIND({0,1,2,3,4,5,6,7,8,9},A279,ROW(INDIRECT("1:"&amp;LEN(A279)))),1))," ",REPT(" ",LEN(A279))),LEN(A279))))))), 0), ROW(INDIRECT("1:"&amp;LEN((--TRIM(RIGHT(SUBSTITUTE(LEFT(A279,_xlfn.AGGREGATE(16,6,FIND({0,1,2,3,4,5,6,7,8,9},A279,ROW(INDIRECT("1:"&amp;LEN(A279)))),1))," ",REPT(" ",LEN(A279))),LEN(A279))))))))+1, 1) * 10^ROW(INDIRECT("1:"&amp;LEN((--TRIM(RIGHT(SUBSTITUTE(LEFT(A279,_xlfn.AGGREGATE(16,6,FIND({0,1,2,3,4,5,6,7,8,9},A279,ROW(INDIRECT("1:"&amp;LEN(A279)))),1))," ",REPT(" ",LEN(A279))),LEN(A279)))))))/10))*1+1</f>
        <v>205 to 505</v>
      </c>
      <c r="B280" s="117"/>
      <c r="C280" s="42"/>
      <c r="D280" s="42"/>
      <c r="E280" s="42">
        <v>0</v>
      </c>
      <c r="F280" s="42">
        <f>D280+E280</f>
        <v>0</v>
      </c>
      <c r="G280" s="42">
        <v>0</v>
      </c>
      <c r="H280" s="42">
        <f>F280*(($H$155)+1)+(IF(G280&lt;101,G280,IF(G280&lt;201,G280/2,IF(G280&lt;=301,G280/3,G280/4))))</f>
        <v>0</v>
      </c>
      <c r="I280" s="36"/>
    </row>
    <row r="281" spans="1:20" s="37" customFormat="1" hidden="1" x14ac:dyDescent="0.25">
      <c r="A281" s="113" t="s">
        <v>144</v>
      </c>
      <c r="B281" s="114"/>
      <c r="C281" s="114"/>
      <c r="D281" s="114"/>
      <c r="E281" s="114"/>
      <c r="F281" s="114"/>
      <c r="G281" s="114"/>
      <c r="H281" s="115"/>
      <c r="I281" s="36"/>
    </row>
    <row r="282" spans="1:20" s="37" customFormat="1" ht="15.75" hidden="1" customHeight="1" x14ac:dyDescent="0.25">
      <c r="A282" s="116"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10^ROW(INDIRECT("1:"&amp;LEN((LEFT(A281,SUM(LEN(A281)-LEN(SUBSTITUTE(A281,{"0","1","2"},""))))))))/10))*100+1&amp;""&amp;" &amp;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",LEN(A281))),LEN(A281)))))))/10))*100+1</f>
        <v>201 &amp; 501</v>
      </c>
      <c r="B282" s="117"/>
      <c r="C282" s="42"/>
      <c r="D282" s="42"/>
      <c r="E282" s="42">
        <v>0</v>
      </c>
      <c r="F282" s="42">
        <f>D282+E282</f>
        <v>0</v>
      </c>
      <c r="G282" s="42">
        <v>0</v>
      </c>
      <c r="H282" s="42">
        <f>F282*(($H$155)+1)+(IF(G282&lt;101,G282,IF(G282&lt;201,G282/2,IF(G282&lt;=301,G282/3,G282/4))))</f>
        <v>0</v>
      </c>
      <c r="I282" s="36"/>
    </row>
    <row r="283" spans="1:20" s="37" customFormat="1" ht="15.75" hidden="1" customHeight="1" x14ac:dyDescent="0.25">
      <c r="A283" s="116" t="str">
        <f ca="1">(SUMPRODUCT(MID(0&amp;(LEFT(A282,SUM(LEN(A282)-LEN(SUBSTITUTE(A282,{"0","1","2"},""))))), LARGE(INDEX(ISNUMBER(--MID((LEFT(A282,SUM(LEN(A282)-LEN(SUBSTITUTE(A282,{"0","1","2"},""))))), ROW(INDIRECT("1:"&amp;LEN((LEFT(A282,SUM(LEN(A282)-LEN(SUBSTITUTE(A282,{"0","1","2"},"")))))))), 1)) * ROW(INDIRECT("1:"&amp;LEN((LEFT(A282,SUM(LEN(A282)-LEN(SUBSTITUTE(A282,{"0","1","2"},"")))))))), 0), ROW(INDIRECT("1:"&amp;LEN((LEFT(A282,SUM(LEN(A282)-LEN(SUBSTITUTE(A282,{"0","1","2"},"")))))))))+1, 1) * 10^ROW(INDIRECT("1:"&amp;LEN((LEFT(A282,SUM(LEN(A282)-LEN(SUBSTITUTE(A282,{"0","1","2"},""))))))))/10))*1+1&amp;""&amp;" &amp; "&amp;""&amp;(SUMPRODUCT(MID(0&amp;(--TRIM(RIGHT(SUBSTITUTE(LEFT(A282,_xlfn.AGGREGATE(16,6,FIND({0,1,2,3,4,5,6,7,8,9},A282,ROW(INDIRECT("1:"&amp;LEN(A282)))),1))," ",REPT(" ",LEN(A282))),LEN(A282)))), LARGE(INDEX(ISNUMBER(--MID((--TRIM(RIGHT(SUBSTITUTE(LEFT(A282,_xlfn.AGGREGATE(16,6,FIND({0,1,2,3,4,5,6,7,8,9},A282,ROW(INDIRECT("1:"&amp;LEN(A282)))),1))," ",REPT(" ",LEN(A282))),LEN(A282)))), ROW(INDIRECT("1:"&amp;LEN((--TRIM(RIGHT(SUBSTITUTE(LEFT(A282,_xlfn.AGGREGATE(16,6,FIND({0,1,2,3,4,5,6,7,8,9},A282,ROW(INDIRECT("1:"&amp;LEN(A282)))),1))," ",REPT(" ",LEN(A282))),LEN(A282))))))), 1)) * ROW(INDIRECT("1:"&amp;LEN((--TRIM(RIGHT(SUBSTITUTE(LEFT(A282,_xlfn.AGGREGATE(16,6,FIND({0,1,2,3,4,5,6,7,8,9},A282,ROW(INDIRECT("1:"&amp;LEN(A282)))),1))," ",REPT(" ",LEN(A282))),LEN(A282))))))), 0), ROW(INDIRECT("1:"&amp;LEN((--TRIM(RIGHT(SUBSTITUTE(LEFT(A282,_xlfn.AGGREGATE(16,6,FIND({0,1,2,3,4,5,6,7,8,9},A282,ROW(INDIRECT("1:"&amp;LEN(A282)))),1))," ",REPT(" ",LEN(A282))),LEN(A282))))))))+1, 1) * 10^ROW(INDIRECT("1:"&amp;LEN((--TRIM(RIGHT(SUBSTITUTE(LEFT(A282,_xlfn.AGGREGATE(16,6,FIND({0,1,2,3,4,5,6,7,8,9},A282,ROW(INDIRECT("1:"&amp;LEN(A282)))),1))," ",REPT(" ",LEN(A282))),LEN(A282)))))))/10))*1+1</f>
        <v>202 &amp; 502</v>
      </c>
      <c r="B283" s="117"/>
      <c r="C283" s="42"/>
      <c r="D283" s="42"/>
      <c r="E283" s="42">
        <v>0</v>
      </c>
      <c r="F283" s="42">
        <f>D283+E283</f>
        <v>0</v>
      </c>
      <c r="G283" s="42">
        <v>0</v>
      </c>
      <c r="H283" s="42">
        <f>F283*(($H$155)+1)+(IF(G283&lt;101,G283,IF(G283&lt;201,G283/2,IF(G283&lt;=301,G283/3,G283/4))))</f>
        <v>0</v>
      </c>
      <c r="I283" s="36"/>
    </row>
    <row r="284" spans="1:20" s="37" customFormat="1" ht="15.75" hidden="1" customHeight="1" x14ac:dyDescent="0.25">
      <c r="A284" s="116" t="str">
        <f ca="1">(SUMPRODUCT(MID(0&amp;(LEFT(A283,SUM(LEN(A283)-LEN(SUBSTITUTE(A283,{"0","1","2"},""))))), LARGE(INDEX(ISNUMBER(--MID((LEFT(A283,SUM(LEN(A283)-LEN(SUBSTITUTE(A283,{"0","1","2"},""))))), ROW(INDIRECT("1:"&amp;LEN((LEFT(A283,SUM(LEN(A283)-LEN(SUBSTITUTE(A283,{"0","1","2"},"")))))))), 1)) * ROW(INDIRECT("1:"&amp;LEN((LEFT(A283,SUM(LEN(A283)-LEN(SUBSTITUTE(A283,{"0","1","2"},"")))))))), 0), ROW(INDIRECT("1:"&amp;LEN((LEFT(A283,SUM(LEN(A283)-LEN(SUBSTITUTE(A283,{"0","1","2"},"")))))))))+1, 1) * 10^ROW(INDIRECT("1:"&amp;LEN((LEFT(A283,SUM(LEN(A283)-LEN(SUBSTITUTE(A283,{"0","1","2"},""))))))))/10))*1+1&amp;""&amp;" &amp; "&amp;""&amp;(SUMPRODUCT(MID(0&amp;(--TRIM(RIGHT(SUBSTITUTE(LEFT(A283,_xlfn.AGGREGATE(16,6,FIND({0,1,2,3,4,5,6,7,8,9},A283,ROW(INDIRECT("1:"&amp;LEN(A283)))),1))," ",REPT(" ",LEN(A283))),LEN(A283)))), LARGE(INDEX(ISNUMBER(--MID((--TRIM(RIGHT(SUBSTITUTE(LEFT(A283,_xlfn.AGGREGATE(16,6,FIND({0,1,2,3,4,5,6,7,8,9},A283,ROW(INDIRECT("1:"&amp;LEN(A283)))),1))," ",REPT(" ",LEN(A283))),LEN(A283)))), ROW(INDIRECT("1:"&amp;LEN((--TRIM(RIGHT(SUBSTITUTE(LEFT(A283,_xlfn.AGGREGATE(16,6,FIND({0,1,2,3,4,5,6,7,8,9},A283,ROW(INDIRECT("1:"&amp;LEN(A283)))),1))," ",REPT(" ",LEN(A283))),LEN(A283))))))), 1)) * ROW(INDIRECT("1:"&amp;LEN((--TRIM(RIGHT(SUBSTITUTE(LEFT(A283,_xlfn.AGGREGATE(16,6,FIND({0,1,2,3,4,5,6,7,8,9},A283,ROW(INDIRECT("1:"&amp;LEN(A283)))),1))," ",REPT(" ",LEN(A283))),LEN(A283))))))), 0), ROW(INDIRECT("1:"&amp;LEN((--TRIM(RIGHT(SUBSTITUTE(LEFT(A283,_xlfn.AGGREGATE(16,6,FIND({0,1,2,3,4,5,6,7,8,9},A283,ROW(INDIRECT("1:"&amp;LEN(A283)))),1))," ",REPT(" ",LEN(A283))),LEN(A283))))))))+1, 1) * 10^ROW(INDIRECT("1:"&amp;LEN((--TRIM(RIGHT(SUBSTITUTE(LEFT(A283,_xlfn.AGGREGATE(16,6,FIND({0,1,2,3,4,5,6,7,8,9},A283,ROW(INDIRECT("1:"&amp;LEN(A283)))),1))," ",REPT(" ",LEN(A283))),LEN(A283)))))))/10))*1+1</f>
        <v>203 &amp; 503</v>
      </c>
      <c r="B284" s="117"/>
      <c r="C284" s="42"/>
      <c r="D284" s="42"/>
      <c r="E284" s="42">
        <v>0</v>
      </c>
      <c r="F284" s="42">
        <f>D284+E284</f>
        <v>0</v>
      </c>
      <c r="G284" s="42">
        <v>0</v>
      </c>
      <c r="H284" s="42">
        <f>F284*(($H$155)+1)+(IF(G284&lt;101,G284,IF(G284&lt;201,G284/2,IF(G284&lt;=301,G284/3,G284/4))))</f>
        <v>0</v>
      </c>
      <c r="I284" s="36"/>
    </row>
    <row r="285" spans="1:20" s="37" customFormat="1" ht="15.75" hidden="1" customHeight="1" x14ac:dyDescent="0.25">
      <c r="A285" s="116"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10^ROW(INDIRECT("1:"&amp;LEN((LEFT(A284,SUM(LEN(A284)-LEN(SUBSTITUTE(A284,{"0","1","2"},""))))))))/10))*1+1&amp;""&amp;" &amp;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",LEN(A284))),LEN(A284)))))))/10))*1+1</f>
        <v>204 &amp; 504</v>
      </c>
      <c r="B285" s="117"/>
      <c r="C285" s="42"/>
      <c r="D285" s="42"/>
      <c r="E285" s="42">
        <v>0</v>
      </c>
      <c r="F285" s="42">
        <f>D285+E285</f>
        <v>0</v>
      </c>
      <c r="G285" s="42">
        <v>0</v>
      </c>
      <c r="H285" s="42">
        <f>F285*(($H$155)+1)+(IF(G285&lt;101,G285,IF(G285&lt;201,G285/2,IF(G285&lt;=301,G285/3,G285/4))))</f>
        <v>0</v>
      </c>
      <c r="I285" s="36"/>
    </row>
    <row r="286" spans="1:20" s="37" customFormat="1" ht="15.75" hidden="1" customHeight="1" x14ac:dyDescent="0.25">
      <c r="A286" s="116" t="str">
        <f ca="1">(SUMPRODUCT(MID(0&amp;(LEFT(A285,SUM(LEN(A285)-LEN(SUBSTITUTE(A285,{"0","1","2"},""))))), LARGE(INDEX(ISNUMBER(--MID((LEFT(A285,SUM(LEN(A285)-LEN(SUBSTITUTE(A285,{"0","1","2"},""))))), ROW(INDIRECT("1:"&amp;LEN((LEFT(A285,SUM(LEN(A285)-LEN(SUBSTITUTE(A285,{"0","1","2"},"")))))))), 1)) * ROW(INDIRECT("1:"&amp;LEN((LEFT(A285,SUM(LEN(A285)-LEN(SUBSTITUTE(A285,{"0","1","2"},"")))))))), 0), ROW(INDIRECT("1:"&amp;LEN((LEFT(A285,SUM(LEN(A285)-LEN(SUBSTITUTE(A285,{"0","1","2"},"")))))))))+1, 1) * 10^ROW(INDIRECT("1:"&amp;LEN((LEFT(A285,SUM(LEN(A285)-LEN(SUBSTITUTE(A285,{"0","1","2"},""))))))))/10))*1+1&amp;""&amp;" &amp; "&amp;""&amp;(SUMPRODUCT(MID(0&amp;(--TRIM(RIGHT(SUBSTITUTE(LEFT(A285,_xlfn.AGGREGATE(16,6,FIND({0,1,2,3,4,5,6,7,8,9},A285,ROW(INDIRECT("1:"&amp;LEN(A285)))),1))," ",REPT(" ",LEN(A285))),LEN(A285)))), LARGE(INDEX(ISNUMBER(--MID((--TRIM(RIGHT(SUBSTITUTE(LEFT(A285,_xlfn.AGGREGATE(16,6,FIND({0,1,2,3,4,5,6,7,8,9},A285,ROW(INDIRECT("1:"&amp;LEN(A285)))),1))," ",REPT(" ",LEN(A285))),LEN(A285)))), ROW(INDIRECT("1:"&amp;LEN((--TRIM(RIGHT(SUBSTITUTE(LEFT(A285,_xlfn.AGGREGATE(16,6,FIND({0,1,2,3,4,5,6,7,8,9},A285,ROW(INDIRECT("1:"&amp;LEN(A285)))),1))," ",REPT(" ",LEN(A285))),LEN(A285))))))), 1)) * ROW(INDIRECT("1:"&amp;LEN((--TRIM(RIGHT(SUBSTITUTE(LEFT(A285,_xlfn.AGGREGATE(16,6,FIND({0,1,2,3,4,5,6,7,8,9},A285,ROW(INDIRECT("1:"&amp;LEN(A285)))),1))," ",REPT(" ",LEN(A285))),LEN(A285))))))), 0), ROW(INDIRECT("1:"&amp;LEN((--TRIM(RIGHT(SUBSTITUTE(LEFT(A285,_xlfn.AGGREGATE(16,6,FIND({0,1,2,3,4,5,6,7,8,9},A285,ROW(INDIRECT("1:"&amp;LEN(A285)))),1))," ",REPT(" ",LEN(A285))),LEN(A285))))))))+1, 1) * 10^ROW(INDIRECT("1:"&amp;LEN((--TRIM(RIGHT(SUBSTITUTE(LEFT(A285,_xlfn.AGGREGATE(16,6,FIND({0,1,2,3,4,5,6,7,8,9},A285,ROW(INDIRECT("1:"&amp;LEN(A285)))),1))," ",REPT(" ",LEN(A285))),LEN(A285)))))))/10))*1+1</f>
        <v>205 &amp; 505</v>
      </c>
      <c r="B286" s="117"/>
      <c r="C286" s="42"/>
      <c r="D286" s="42"/>
      <c r="E286" s="42">
        <v>0</v>
      </c>
      <c r="F286" s="42">
        <f>D286+E286</f>
        <v>0</v>
      </c>
      <c r="G286" s="42">
        <v>0</v>
      </c>
      <c r="H286" s="42">
        <f>F286*(($H$155)+1)+(IF(G286&lt;101,G286,IF(G286&lt;201,G286/2,IF(G286&lt;=301,G286/3,G286/4))))</f>
        <v>0</v>
      </c>
      <c r="I286" s="36"/>
    </row>
    <row r="287" spans="1:20" s="35" customFormat="1" x14ac:dyDescent="0.25">
      <c r="A287" s="202" t="s">
        <v>65</v>
      </c>
      <c r="B287" s="202"/>
      <c r="C287" s="202"/>
      <c r="D287" s="202"/>
      <c r="E287" s="202"/>
      <c r="F287" s="202"/>
      <c r="G287" s="202"/>
      <c r="H287" s="202"/>
      <c r="T287" s="37"/>
    </row>
    <row r="288" spans="1:20" s="35" customFormat="1" x14ac:dyDescent="0.25">
      <c r="A288" s="92" t="s">
        <v>153</v>
      </c>
      <c r="B288" s="118" t="s">
        <v>470</v>
      </c>
      <c r="C288" s="119"/>
      <c r="D288" s="119"/>
      <c r="E288" s="119"/>
      <c r="F288" s="119"/>
      <c r="G288" s="119"/>
      <c r="H288" s="120"/>
      <c r="T288" s="37"/>
    </row>
    <row r="289" spans="1:20" s="35" customFormat="1" x14ac:dyDescent="0.25">
      <c r="A289" s="92" t="s">
        <v>153</v>
      </c>
      <c r="B289" s="125" t="str">
        <f>(IF(H154="Saleable area Loading :","We have considered Saleable area of Flats as per our Calculation.","We considered Saleable area of Flat as per Builder area Sheet."))</f>
        <v>We have considered Saleable area of Flats as per our Calculation.</v>
      </c>
      <c r="C289" s="126"/>
      <c r="D289" s="126"/>
      <c r="E289" s="126"/>
      <c r="F289" s="126"/>
      <c r="G289" s="126"/>
      <c r="H289" s="127"/>
      <c r="T289" s="37"/>
    </row>
    <row r="290" spans="1:20" s="35" customFormat="1" hidden="1" x14ac:dyDescent="0.25">
      <c r="A290" s="92" t="s">
        <v>153</v>
      </c>
      <c r="B290" s="125" t="str">
        <f>(IF(H144="Saleable area Loading :","We have considered Saleable area of Commercial as per our Calculation.","We considered Saleable area of Commercial as per Builder area Sheet."))</f>
        <v>We have considered Saleable area of Commercial as per our Calculation.</v>
      </c>
      <c r="C290" s="126"/>
      <c r="D290" s="126"/>
      <c r="E290" s="126"/>
      <c r="F290" s="126"/>
      <c r="G290" s="126"/>
      <c r="H290" s="127"/>
      <c r="T290" s="37"/>
    </row>
    <row r="291" spans="1:20" s="35" customFormat="1" x14ac:dyDescent="0.25">
      <c r="A291" s="92" t="s">
        <v>153</v>
      </c>
      <c r="B291" s="125" t="s">
        <v>120</v>
      </c>
      <c r="C291" s="126"/>
      <c r="D291" s="126"/>
      <c r="E291" s="126"/>
      <c r="F291" s="126"/>
      <c r="G291" s="126"/>
      <c r="H291" s="127"/>
      <c r="T291" s="37"/>
    </row>
    <row r="292" spans="1:20" s="35" customFormat="1" x14ac:dyDescent="0.25">
      <c r="A292" s="92" t="s">
        <v>153</v>
      </c>
      <c r="B292" s="125" t="s">
        <v>455</v>
      </c>
      <c r="C292" s="126"/>
      <c r="D292" s="126"/>
      <c r="E292" s="126"/>
      <c r="F292" s="126"/>
      <c r="G292" s="126"/>
      <c r="H292" s="127"/>
      <c r="T292" s="37"/>
    </row>
    <row r="293" spans="1:20" s="35" customFormat="1" x14ac:dyDescent="0.25">
      <c r="A293" s="44" t="s">
        <v>153</v>
      </c>
      <c r="B293" s="121" t="s">
        <v>152</v>
      </c>
      <c r="C293" s="122"/>
      <c r="D293" s="122"/>
      <c r="E293" s="122"/>
      <c r="F293" s="122"/>
      <c r="G293" s="122"/>
      <c r="H293" s="123"/>
    </row>
    <row r="294" spans="1:20" s="35" customFormat="1" x14ac:dyDescent="0.25">
      <c r="A294" s="44" t="s">
        <v>153</v>
      </c>
      <c r="B294" s="121" t="s">
        <v>121</v>
      </c>
      <c r="C294" s="122"/>
      <c r="D294" s="122"/>
      <c r="E294" s="122"/>
      <c r="F294" s="122"/>
      <c r="G294" s="122"/>
      <c r="H294" s="123"/>
    </row>
    <row r="295" spans="1:20" s="35" customFormat="1" ht="34.5" customHeight="1" x14ac:dyDescent="0.25">
      <c r="A295" s="44" t="s">
        <v>153</v>
      </c>
      <c r="B295" s="121" t="s">
        <v>154</v>
      </c>
      <c r="C295" s="122"/>
      <c r="D295" s="122"/>
      <c r="E295" s="122"/>
      <c r="F295" s="122"/>
      <c r="G295" s="122"/>
      <c r="H295" s="123"/>
    </row>
    <row r="296" spans="1:20" s="35" customFormat="1" x14ac:dyDescent="0.25">
      <c r="A296" s="44" t="s">
        <v>153</v>
      </c>
      <c r="B296" s="121" t="s">
        <v>122</v>
      </c>
      <c r="C296" s="122"/>
      <c r="D296" s="122"/>
      <c r="E296" s="122"/>
      <c r="F296" s="122"/>
      <c r="G296" s="122"/>
      <c r="H296" s="123"/>
    </row>
    <row r="297" spans="1:20" s="35" customFormat="1" ht="32.25" hidden="1" customHeight="1" x14ac:dyDescent="0.25">
      <c r="A297" s="44" t="s">
        <v>153</v>
      </c>
      <c r="B297" s="189" t="s">
        <v>179</v>
      </c>
      <c r="C297" s="190"/>
      <c r="D297" s="190"/>
      <c r="E297" s="190"/>
      <c r="F297" s="190"/>
      <c r="G297" s="190"/>
      <c r="H297" s="191"/>
    </row>
    <row r="298" spans="1:20" s="35" customFormat="1" hidden="1" x14ac:dyDescent="0.25">
      <c r="A298" s="44" t="s">
        <v>153</v>
      </c>
      <c r="B298" s="189" t="s">
        <v>234</v>
      </c>
      <c r="C298" s="190"/>
      <c r="D298" s="190"/>
      <c r="E298" s="190"/>
      <c r="F298" s="190"/>
      <c r="G298" s="190"/>
      <c r="H298" s="191"/>
    </row>
    <row r="299" spans="1:20" s="35" customFormat="1" x14ac:dyDescent="0.25">
      <c r="A299" s="111" t="s">
        <v>153</v>
      </c>
      <c r="B299" s="121" t="s">
        <v>471</v>
      </c>
      <c r="C299" s="122"/>
      <c r="D299" s="122"/>
      <c r="E299" s="122"/>
      <c r="F299" s="122"/>
      <c r="G299" s="122"/>
      <c r="H299" s="123"/>
    </row>
    <row r="300" spans="1:20" s="35" customFormat="1" ht="31.15" customHeight="1" x14ac:dyDescent="0.25">
      <c r="A300" s="44" t="s">
        <v>153</v>
      </c>
      <c r="B300" s="121" t="s">
        <v>412</v>
      </c>
      <c r="C300" s="122"/>
      <c r="D300" s="122"/>
      <c r="E300" s="122"/>
      <c r="F300" s="122"/>
      <c r="G300" s="122"/>
      <c r="H300" s="123"/>
    </row>
    <row r="301" spans="1:20" s="35" customFormat="1" hidden="1" x14ac:dyDescent="0.25">
      <c r="A301" s="44" t="s">
        <v>153</v>
      </c>
      <c r="B301" s="118" t="s">
        <v>453</v>
      </c>
      <c r="C301" s="119"/>
      <c r="D301" s="119"/>
      <c r="E301" s="119"/>
      <c r="F301" s="119"/>
      <c r="G301" s="119"/>
      <c r="H301" s="120"/>
    </row>
    <row r="302" spans="1:20" s="35" customFormat="1" ht="31.15" hidden="1" customHeight="1" x14ac:dyDescent="0.25">
      <c r="A302" s="44" t="s">
        <v>153</v>
      </c>
      <c r="B302" s="118" t="s">
        <v>449</v>
      </c>
      <c r="C302" s="119"/>
      <c r="D302" s="119"/>
      <c r="E302" s="119"/>
      <c r="F302" s="119"/>
      <c r="G302" s="119"/>
      <c r="H302" s="120"/>
    </row>
    <row r="303" spans="1:20" s="35" customFormat="1" ht="30.75" hidden="1" customHeight="1" x14ac:dyDescent="0.25">
      <c r="A303" s="44" t="s">
        <v>153</v>
      </c>
      <c r="B303" s="118" t="s">
        <v>456</v>
      </c>
      <c r="C303" s="119"/>
      <c r="D303" s="119"/>
      <c r="E303" s="119"/>
      <c r="F303" s="119"/>
      <c r="G303" s="119"/>
      <c r="H303" s="120"/>
    </row>
    <row r="304" spans="1:20" s="35" customFormat="1" x14ac:dyDescent="0.25">
      <c r="A304" s="44" t="s">
        <v>153</v>
      </c>
      <c r="B304" s="118" t="s">
        <v>465</v>
      </c>
      <c r="C304" s="119"/>
      <c r="D304" s="119"/>
      <c r="E304" s="119"/>
      <c r="F304" s="119"/>
      <c r="G304" s="119"/>
      <c r="H304" s="120"/>
    </row>
    <row r="305" spans="1:20" x14ac:dyDescent="0.25">
      <c r="A305" s="201" t="s">
        <v>58</v>
      </c>
      <c r="B305" s="201"/>
      <c r="C305" s="201"/>
      <c r="D305" s="201"/>
      <c r="E305" s="201"/>
      <c r="F305" s="201"/>
      <c r="G305" s="201"/>
      <c r="H305" s="201"/>
      <c r="T305" s="35"/>
    </row>
    <row r="306" spans="1:20" x14ac:dyDescent="0.25">
      <c r="A306" s="168" t="s">
        <v>59</v>
      </c>
      <c r="B306" s="168"/>
      <c r="C306" s="168"/>
      <c r="D306" s="168"/>
      <c r="E306" s="168"/>
      <c r="F306" s="168"/>
      <c r="G306" s="168"/>
      <c r="H306" s="168"/>
      <c r="T306" s="35"/>
    </row>
    <row r="307" spans="1:20" ht="15.75" customHeight="1" x14ac:dyDescent="0.25">
      <c r="A307" s="182" t="s">
        <v>60</v>
      </c>
      <c r="B307" s="182"/>
      <c r="C307" s="182"/>
      <c r="D307" s="182"/>
      <c r="E307" s="182"/>
      <c r="F307" s="182"/>
      <c r="G307" s="182"/>
      <c r="H307" s="182"/>
      <c r="T307" s="35"/>
    </row>
    <row r="308" spans="1:20" x14ac:dyDescent="0.25">
      <c r="A308" s="181" t="s">
        <v>61</v>
      </c>
      <c r="B308" s="181"/>
      <c r="C308" s="181"/>
      <c r="D308" s="181"/>
      <c r="E308" s="181"/>
      <c r="F308" s="181"/>
      <c r="G308" s="181"/>
      <c r="H308" s="181"/>
      <c r="T308" s="35"/>
    </row>
    <row r="309" spans="1:20" x14ac:dyDescent="0.25">
      <c r="A309" s="181" t="s">
        <v>62</v>
      </c>
      <c r="B309" s="181"/>
      <c r="C309" s="181"/>
      <c r="D309" s="181"/>
      <c r="E309" s="181"/>
      <c r="F309" s="181"/>
      <c r="G309" s="181"/>
      <c r="H309" s="181"/>
      <c r="T309" s="35"/>
    </row>
    <row r="310" spans="1:20" x14ac:dyDescent="0.25">
      <c r="A310" s="181" t="s">
        <v>123</v>
      </c>
      <c r="B310" s="181"/>
      <c r="C310" s="181"/>
      <c r="D310" s="181"/>
      <c r="E310" s="181"/>
      <c r="F310" s="181"/>
      <c r="G310" s="181"/>
      <c r="H310" s="181"/>
      <c r="T310" s="35"/>
    </row>
    <row r="311" spans="1:20" ht="34.15" customHeight="1" x14ac:dyDescent="0.25">
      <c r="A311" s="209" t="s">
        <v>124</v>
      </c>
      <c r="B311" s="209"/>
      <c r="C311" s="209"/>
      <c r="D311" s="209"/>
      <c r="E311" s="209"/>
      <c r="F311" s="209"/>
      <c r="G311" s="209"/>
      <c r="H311" s="209"/>
    </row>
    <row r="312" spans="1:20" x14ac:dyDescent="0.25">
      <c r="A312" s="205" t="s">
        <v>74</v>
      </c>
      <c r="B312" s="205"/>
      <c r="C312" s="206" t="s">
        <v>410</v>
      </c>
      <c r="D312" s="206"/>
      <c r="E312" s="205" t="s">
        <v>103</v>
      </c>
      <c r="F312" s="205"/>
      <c r="G312" s="206" t="s">
        <v>464</v>
      </c>
      <c r="H312" s="206"/>
    </row>
    <row r="313" spans="1:20" x14ac:dyDescent="0.25">
      <c r="A313" s="204" t="s">
        <v>76</v>
      </c>
      <c r="B313" s="204"/>
      <c r="C313" s="204"/>
      <c r="D313" s="204"/>
      <c r="E313" s="204"/>
      <c r="F313" s="204"/>
      <c r="G313" s="204"/>
      <c r="H313" s="204"/>
    </row>
    <row r="314" spans="1:20" x14ac:dyDescent="0.25">
      <c r="A314" s="204"/>
      <c r="B314" s="204"/>
      <c r="C314" s="204"/>
      <c r="D314" s="204"/>
      <c r="E314" s="204"/>
      <c r="F314" s="204"/>
      <c r="G314" s="204"/>
      <c r="H314" s="204"/>
    </row>
    <row r="315" spans="1:20" x14ac:dyDescent="0.25">
      <c r="A315" s="204"/>
      <c r="B315" s="204"/>
      <c r="C315" s="204"/>
      <c r="D315" s="204"/>
      <c r="E315" s="204"/>
      <c r="F315" s="204"/>
      <c r="G315" s="204"/>
      <c r="H315" s="204"/>
    </row>
    <row r="316" spans="1:20" x14ac:dyDescent="0.25">
      <c r="A316" s="204"/>
      <c r="B316" s="204"/>
      <c r="C316" s="204"/>
      <c r="D316" s="204"/>
      <c r="E316" s="204"/>
      <c r="F316" s="204"/>
      <c r="G316" s="204"/>
      <c r="H316" s="204"/>
    </row>
    <row r="317" spans="1:20" x14ac:dyDescent="0.25">
      <c r="A317" s="38" t="s">
        <v>63</v>
      </c>
      <c r="B317" s="39"/>
      <c r="C317" s="39"/>
      <c r="D317" s="38" t="str">
        <f>E9</f>
        <v>Prestige Ocean Towers - North</v>
      </c>
      <c r="F317" s="39"/>
      <c r="G317" s="39"/>
      <c r="H317" s="39"/>
    </row>
    <row r="318" spans="1:20" x14ac:dyDescent="0.25">
      <c r="A318" s="39"/>
      <c r="B318" s="39"/>
      <c r="C318" s="39"/>
      <c r="D318" s="39"/>
      <c r="E318" s="39"/>
      <c r="F318" s="39"/>
      <c r="G318" s="39"/>
      <c r="H318" s="39"/>
    </row>
    <row r="319" spans="1:20" x14ac:dyDescent="0.25">
      <c r="A319" s="110"/>
      <c r="B319" s="39"/>
      <c r="C319" s="39"/>
      <c r="D319" s="39"/>
      <c r="E319" s="39"/>
      <c r="F319" s="39"/>
      <c r="G319" s="39"/>
      <c r="H319" s="39"/>
    </row>
    <row r="320" spans="1:20" ht="15" customHeight="1" x14ac:dyDescent="0.25"/>
    <row r="361" spans="1:1" x14ac:dyDescent="0.25">
      <c r="A361" s="41" t="s">
        <v>164</v>
      </c>
    </row>
    <row r="403" spans="1:1" x14ac:dyDescent="0.25">
      <c r="A403" s="41" t="s">
        <v>64</v>
      </c>
    </row>
  </sheetData>
  <mergeCells count="503">
    <mergeCell ref="B299:H299"/>
    <mergeCell ref="L259:M259"/>
    <mergeCell ref="A260:B260"/>
    <mergeCell ref="L260:M260"/>
    <mergeCell ref="A261:B261"/>
    <mergeCell ref="L261:M261"/>
    <mergeCell ref="A274:B274"/>
    <mergeCell ref="A250:H250"/>
    <mergeCell ref="A251:B251"/>
    <mergeCell ref="L251:M251"/>
    <mergeCell ref="A252:B252"/>
    <mergeCell ref="L252:M252"/>
    <mergeCell ref="A254:B254"/>
    <mergeCell ref="L254:M254"/>
    <mergeCell ref="L166:M166"/>
    <mergeCell ref="A167:B167"/>
    <mergeCell ref="L167:M167"/>
    <mergeCell ref="A193:H193"/>
    <mergeCell ref="A194:H194"/>
    <mergeCell ref="A195:H195"/>
    <mergeCell ref="L169:M169"/>
    <mergeCell ref="L171:M171"/>
    <mergeCell ref="L174:M174"/>
    <mergeCell ref="L175:M175"/>
    <mergeCell ref="L177:M177"/>
    <mergeCell ref="L178:M178"/>
    <mergeCell ref="L180:M180"/>
    <mergeCell ref="L182:M182"/>
    <mergeCell ref="A184:H184"/>
    <mergeCell ref="A185:B185"/>
    <mergeCell ref="A177:B177"/>
    <mergeCell ref="A178:B178"/>
    <mergeCell ref="A179:H179"/>
    <mergeCell ref="A180:B180"/>
    <mergeCell ref="A160:H160"/>
    <mergeCell ref="A161:H161"/>
    <mergeCell ref="A162:H162"/>
    <mergeCell ref="B154:B155"/>
    <mergeCell ref="C144:C145"/>
    <mergeCell ref="A170:H170"/>
    <mergeCell ref="A159:H159"/>
    <mergeCell ref="G144:G145"/>
    <mergeCell ref="A140:B140"/>
    <mergeCell ref="A156:H156"/>
    <mergeCell ref="A163:H163"/>
    <mergeCell ref="A164:H164"/>
    <mergeCell ref="A165:H165"/>
    <mergeCell ref="A166:B166"/>
    <mergeCell ref="E106:F115"/>
    <mergeCell ref="G106:H115"/>
    <mergeCell ref="A107:B107"/>
    <mergeCell ref="A108:B108"/>
    <mergeCell ref="A109:B109"/>
    <mergeCell ref="C154:C155"/>
    <mergeCell ref="G154:G155"/>
    <mergeCell ref="G141:H141"/>
    <mergeCell ref="A118:E118"/>
    <mergeCell ref="D144:D145"/>
    <mergeCell ref="A120:E120"/>
    <mergeCell ref="A114:B114"/>
    <mergeCell ref="E140:F140"/>
    <mergeCell ref="A126:E126"/>
    <mergeCell ref="G140:H140"/>
    <mergeCell ref="E132:F132"/>
    <mergeCell ref="G132:H132"/>
    <mergeCell ref="A133:B133"/>
    <mergeCell ref="C133:D133"/>
    <mergeCell ref="E133:F133"/>
    <mergeCell ref="G133:H133"/>
    <mergeCell ref="C137:D137"/>
    <mergeCell ref="A196:H196"/>
    <mergeCell ref="A197:H197"/>
    <mergeCell ref="A215:H215"/>
    <mergeCell ref="A246:B246"/>
    <mergeCell ref="A171:B171"/>
    <mergeCell ref="A173:H173"/>
    <mergeCell ref="A174:B174"/>
    <mergeCell ref="A175:B175"/>
    <mergeCell ref="A176:H176"/>
    <mergeCell ref="A200:H200"/>
    <mergeCell ref="A201:H201"/>
    <mergeCell ref="B216:H216"/>
    <mergeCell ref="B225:H227"/>
    <mergeCell ref="A241:H241"/>
    <mergeCell ref="A242:H242"/>
    <mergeCell ref="A243:B243"/>
    <mergeCell ref="A199:H199"/>
    <mergeCell ref="A181:H181"/>
    <mergeCell ref="A182:B182"/>
    <mergeCell ref="A192:H192"/>
    <mergeCell ref="A172:H172"/>
    <mergeCell ref="C40:H40"/>
    <mergeCell ref="F144:F145"/>
    <mergeCell ref="C131:D131"/>
    <mergeCell ref="E131:F131"/>
    <mergeCell ref="B144:B145"/>
    <mergeCell ref="A144:A145"/>
    <mergeCell ref="C55:H55"/>
    <mergeCell ref="A80:B80"/>
    <mergeCell ref="E78:F87"/>
    <mergeCell ref="G78:H87"/>
    <mergeCell ref="A115:B115"/>
    <mergeCell ref="A106:B106"/>
    <mergeCell ref="A73:C73"/>
    <mergeCell ref="D73:H73"/>
    <mergeCell ref="A72:C72"/>
    <mergeCell ref="D68:H68"/>
    <mergeCell ref="G52:H52"/>
    <mergeCell ref="A61:H61"/>
    <mergeCell ref="A62:C62"/>
    <mergeCell ref="A63:C63"/>
    <mergeCell ref="A137:A139"/>
    <mergeCell ref="E137:F137"/>
    <mergeCell ref="G137:H137"/>
    <mergeCell ref="A121:E121"/>
    <mergeCell ref="L152:M152"/>
    <mergeCell ref="L151:M151"/>
    <mergeCell ref="L150:M150"/>
    <mergeCell ref="L149:M149"/>
    <mergeCell ref="A85:B85"/>
    <mergeCell ref="C136:D136"/>
    <mergeCell ref="E136:F136"/>
    <mergeCell ref="G136:H136"/>
    <mergeCell ref="A117:E117"/>
    <mergeCell ref="A88:B88"/>
    <mergeCell ref="C88:H88"/>
    <mergeCell ref="A148:H148"/>
    <mergeCell ref="E144:E145"/>
    <mergeCell ref="A92:B92"/>
    <mergeCell ref="C90:H90"/>
    <mergeCell ref="A93:B93"/>
    <mergeCell ref="A94:B94"/>
    <mergeCell ref="G92:H101"/>
    <mergeCell ref="A95:B95"/>
    <mergeCell ref="F118:H118"/>
    <mergeCell ref="A110:B110"/>
    <mergeCell ref="A111:B111"/>
    <mergeCell ref="A112:B112"/>
    <mergeCell ref="A113:B113"/>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52:B53"/>
    <mergeCell ref="C52:E52"/>
    <mergeCell ref="C59:E59"/>
    <mergeCell ref="G59:H59"/>
    <mergeCell ref="A47:D47"/>
    <mergeCell ref="A39:B39"/>
    <mergeCell ref="C39:H39"/>
    <mergeCell ref="A46:D46"/>
    <mergeCell ref="A40:B40"/>
    <mergeCell ref="A70:C70"/>
    <mergeCell ref="D70:H70"/>
    <mergeCell ref="A65:C66"/>
    <mergeCell ref="D65:H65"/>
    <mergeCell ref="D66:H66"/>
    <mergeCell ref="C53:E53"/>
    <mergeCell ref="G53:H53"/>
    <mergeCell ref="A36:B36"/>
    <mergeCell ref="C36:E36"/>
    <mergeCell ref="C57:H57"/>
    <mergeCell ref="A48:H48"/>
    <mergeCell ref="D64:H64"/>
    <mergeCell ref="A64:C64"/>
    <mergeCell ref="A49:B49"/>
    <mergeCell ref="C49:H49"/>
    <mergeCell ref="A50:B50"/>
    <mergeCell ref="D63:H63"/>
    <mergeCell ref="G60:H60"/>
    <mergeCell ref="A54:B55"/>
    <mergeCell ref="C54:E54"/>
    <mergeCell ref="G54:H54"/>
    <mergeCell ref="A56:B57"/>
    <mergeCell ref="C56:E56"/>
    <mergeCell ref="A69:C69"/>
    <mergeCell ref="A31:D31"/>
    <mergeCell ref="E31:H31"/>
    <mergeCell ref="A32:D32"/>
    <mergeCell ref="E32:H32"/>
    <mergeCell ref="A44:D44"/>
    <mergeCell ref="E44:H44"/>
    <mergeCell ref="E45:H45"/>
    <mergeCell ref="E46:H46"/>
    <mergeCell ref="E47:H47"/>
    <mergeCell ref="A45:D45"/>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A26:D26"/>
    <mergeCell ref="E26:H26"/>
    <mergeCell ref="A25:D25"/>
    <mergeCell ref="E25:H25"/>
    <mergeCell ref="A30:D30"/>
    <mergeCell ref="E30:H30"/>
    <mergeCell ref="A27:D27"/>
    <mergeCell ref="A21:B21"/>
    <mergeCell ref="C21:D21"/>
    <mergeCell ref="E21:F21"/>
    <mergeCell ref="G21:H21"/>
    <mergeCell ref="A22:B22"/>
    <mergeCell ref="C22:D22"/>
    <mergeCell ref="E22:F22"/>
    <mergeCell ref="G22:H22"/>
    <mergeCell ref="E27:H27"/>
    <mergeCell ref="A28:D28"/>
    <mergeCell ref="E28:H28"/>
    <mergeCell ref="A29:D29"/>
    <mergeCell ref="E29:H29"/>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9:E119"/>
    <mergeCell ref="A116:E116"/>
    <mergeCell ref="F120:H120"/>
    <mergeCell ref="G91:H91"/>
    <mergeCell ref="A313:H316"/>
    <mergeCell ref="A312:B312"/>
    <mergeCell ref="E312:F312"/>
    <mergeCell ref="C312:D312"/>
    <mergeCell ref="G312:H312"/>
    <mergeCell ref="A129:H129"/>
    <mergeCell ref="A127:E127"/>
    <mergeCell ref="F127:H127"/>
    <mergeCell ref="A128:E128"/>
    <mergeCell ref="F128:H128"/>
    <mergeCell ref="A263:H263"/>
    <mergeCell ref="A136:B136"/>
    <mergeCell ref="A272:B272"/>
    <mergeCell ref="A131:B131"/>
    <mergeCell ref="A308:H308"/>
    <mergeCell ref="A134:H134"/>
    <mergeCell ref="A311:H311"/>
    <mergeCell ref="A309:H309"/>
    <mergeCell ref="A305:H305"/>
    <mergeCell ref="G135:H135"/>
    <mergeCell ref="A86:B86"/>
    <mergeCell ref="A87:B87"/>
    <mergeCell ref="A82:B82"/>
    <mergeCell ref="A79:B79"/>
    <mergeCell ref="A81:B81"/>
    <mergeCell ref="E77:F77"/>
    <mergeCell ref="A84:B84"/>
    <mergeCell ref="A99:B99"/>
    <mergeCell ref="A100:B100"/>
    <mergeCell ref="A97:B97"/>
    <mergeCell ref="A77:B77"/>
    <mergeCell ref="A90:B90"/>
    <mergeCell ref="A287:H287"/>
    <mergeCell ref="A279:B279"/>
    <mergeCell ref="A280:B280"/>
    <mergeCell ref="A275:H275"/>
    <mergeCell ref="A269:H269"/>
    <mergeCell ref="A284:B284"/>
    <mergeCell ref="A281:H281"/>
    <mergeCell ref="A168:H168"/>
    <mergeCell ref="A169:B169"/>
    <mergeCell ref="B298:H298"/>
    <mergeCell ref="A306:H306"/>
    <mergeCell ref="F116:H116"/>
    <mergeCell ref="F121:H121"/>
    <mergeCell ref="A259:B259"/>
    <mergeCell ref="A152:B152"/>
    <mergeCell ref="A151:B151"/>
    <mergeCell ref="A122:E122"/>
    <mergeCell ref="F122:H122"/>
    <mergeCell ref="A124:E124"/>
    <mergeCell ref="F119:H119"/>
    <mergeCell ref="A123:E123"/>
    <mergeCell ref="A153:H153"/>
    <mergeCell ref="E135:F135"/>
    <mergeCell ref="A142:H142"/>
    <mergeCell ref="A154:A155"/>
    <mergeCell ref="F154:F155"/>
    <mergeCell ref="A270:B270"/>
    <mergeCell ref="A149:B149"/>
    <mergeCell ref="B297:H297"/>
    <mergeCell ref="A141:B141"/>
    <mergeCell ref="C141:D141"/>
    <mergeCell ref="E141:F141"/>
    <mergeCell ref="B296:H296"/>
    <mergeCell ref="B294:H294"/>
    <mergeCell ref="A310:H310"/>
    <mergeCell ref="A307:H307"/>
    <mergeCell ref="A264:B264"/>
    <mergeCell ref="A135:B135"/>
    <mergeCell ref="D154:D155"/>
    <mergeCell ref="E154:E155"/>
    <mergeCell ref="A96:B96"/>
    <mergeCell ref="A98:B98"/>
    <mergeCell ref="F117:H117"/>
    <mergeCell ref="G131:H131"/>
    <mergeCell ref="A101:B101"/>
    <mergeCell ref="F123:H123"/>
    <mergeCell ref="C130:D130"/>
    <mergeCell ref="C140:D140"/>
    <mergeCell ref="A258:H258"/>
    <mergeCell ref="A273:B273"/>
    <mergeCell ref="B292:H292"/>
    <mergeCell ref="A282:B282"/>
    <mergeCell ref="A283:B283"/>
    <mergeCell ref="A286:B286"/>
    <mergeCell ref="A285:B285"/>
    <mergeCell ref="B288:H288"/>
    <mergeCell ref="B289:H289"/>
    <mergeCell ref="B291:H291"/>
    <mergeCell ref="I15:P15"/>
    <mergeCell ref="F126:H126"/>
    <mergeCell ref="F124:H124"/>
    <mergeCell ref="A271:B271"/>
    <mergeCell ref="A143:H143"/>
    <mergeCell ref="G130:H130"/>
    <mergeCell ref="A125:E125"/>
    <mergeCell ref="A150:B150"/>
    <mergeCell ref="A60:B60"/>
    <mergeCell ref="C60:E60"/>
    <mergeCell ref="D62:H62"/>
    <mergeCell ref="F125:H125"/>
    <mergeCell ref="E130:F130"/>
    <mergeCell ref="A130:B130"/>
    <mergeCell ref="A132:B132"/>
    <mergeCell ref="C135:D135"/>
    <mergeCell ref="D71:H71"/>
    <mergeCell ref="A157:H157"/>
    <mergeCell ref="A158:H158"/>
    <mergeCell ref="A146:H146"/>
    <mergeCell ref="A147:H147"/>
    <mergeCell ref="E43:H43"/>
    <mergeCell ref="A43:D43"/>
    <mergeCell ref="A83:B83"/>
    <mergeCell ref="A71:C71"/>
    <mergeCell ref="D72:H72"/>
    <mergeCell ref="A78:B78"/>
    <mergeCell ref="G77:H77"/>
    <mergeCell ref="C138:D138"/>
    <mergeCell ref="E138:F138"/>
    <mergeCell ref="G138:H138"/>
    <mergeCell ref="C139:D139"/>
    <mergeCell ref="E139:F139"/>
    <mergeCell ref="G139:H139"/>
    <mergeCell ref="A76:B76"/>
    <mergeCell ref="A74:B74"/>
    <mergeCell ref="C74:H74"/>
    <mergeCell ref="A91:B91"/>
    <mergeCell ref="E91:F91"/>
    <mergeCell ref="E92:F101"/>
    <mergeCell ref="A102:B102"/>
    <mergeCell ref="C102:H102"/>
    <mergeCell ref="A104:B104"/>
    <mergeCell ref="C104:H104"/>
    <mergeCell ref="A105:B105"/>
    <mergeCell ref="E105:F105"/>
    <mergeCell ref="G105:H105"/>
    <mergeCell ref="C132:D132"/>
    <mergeCell ref="D69:H69"/>
    <mergeCell ref="C76:H76"/>
    <mergeCell ref="L206:M206"/>
    <mergeCell ref="L207:M207"/>
    <mergeCell ref="L208:M208"/>
    <mergeCell ref="L209:M209"/>
    <mergeCell ref="L210:M210"/>
    <mergeCell ref="A191:B191"/>
    <mergeCell ref="L191:M191"/>
    <mergeCell ref="A183:H183"/>
    <mergeCell ref="A202:H202"/>
    <mergeCell ref="L203:M203"/>
    <mergeCell ref="L204:M204"/>
    <mergeCell ref="L205:M205"/>
    <mergeCell ref="L185:M185"/>
    <mergeCell ref="A186:B186"/>
    <mergeCell ref="L186:M186"/>
    <mergeCell ref="A187:H187"/>
    <mergeCell ref="A188:B188"/>
    <mergeCell ref="L188:M188"/>
    <mergeCell ref="A189:B189"/>
    <mergeCell ref="L189:M189"/>
    <mergeCell ref="A190:H190"/>
    <mergeCell ref="A198:H198"/>
    <mergeCell ref="L223:M223"/>
    <mergeCell ref="L224:M224"/>
    <mergeCell ref="L225:M225"/>
    <mergeCell ref="L216:M216"/>
    <mergeCell ref="L217:M217"/>
    <mergeCell ref="L218:M218"/>
    <mergeCell ref="L219:M219"/>
    <mergeCell ref="L220:M220"/>
    <mergeCell ref="L211:M211"/>
    <mergeCell ref="L212:M212"/>
    <mergeCell ref="L213:M213"/>
    <mergeCell ref="L214:M214"/>
    <mergeCell ref="L221:M221"/>
    <mergeCell ref="L222:M222"/>
    <mergeCell ref="B300:H300"/>
    <mergeCell ref="B303:H303"/>
    <mergeCell ref="L246:M246"/>
    <mergeCell ref="A245:H245"/>
    <mergeCell ref="L240:M240"/>
    <mergeCell ref="L263:M263"/>
    <mergeCell ref="A268:B268"/>
    <mergeCell ref="A265:B265"/>
    <mergeCell ref="A266:B266"/>
    <mergeCell ref="A276:B276"/>
    <mergeCell ref="A277:B277"/>
    <mergeCell ref="A262:B262"/>
    <mergeCell ref="B290:H290"/>
    <mergeCell ref="B295:H295"/>
    <mergeCell ref="B293:H293"/>
    <mergeCell ref="A278:B278"/>
    <mergeCell ref="A267:B267"/>
    <mergeCell ref="L243:M243"/>
    <mergeCell ref="A244:B244"/>
    <mergeCell ref="L244:M244"/>
    <mergeCell ref="L248:M248"/>
    <mergeCell ref="A249:H249"/>
    <mergeCell ref="A253:H253"/>
    <mergeCell ref="L262:M262"/>
    <mergeCell ref="L235:M235"/>
    <mergeCell ref="A247:H247"/>
    <mergeCell ref="A248:B248"/>
    <mergeCell ref="A255:B255"/>
    <mergeCell ref="L255:M255"/>
    <mergeCell ref="A256:H256"/>
    <mergeCell ref="B304:H304"/>
    <mergeCell ref="L226:M226"/>
    <mergeCell ref="L227:M227"/>
    <mergeCell ref="A228:H228"/>
    <mergeCell ref="L229:M229"/>
    <mergeCell ref="L236:M236"/>
    <mergeCell ref="L237:M237"/>
    <mergeCell ref="L238:M238"/>
    <mergeCell ref="L239:M239"/>
    <mergeCell ref="L230:M230"/>
    <mergeCell ref="L231:M231"/>
    <mergeCell ref="L232:M232"/>
    <mergeCell ref="L233:M233"/>
    <mergeCell ref="L234:M234"/>
    <mergeCell ref="A257:B257"/>
    <mergeCell ref="L257:M257"/>
    <mergeCell ref="B301:H301"/>
    <mergeCell ref="B302:H302"/>
  </mergeCells>
  <dataValidations count="16">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312:H312">
      <formula1>"Kunal Kadam,Pranita Mhatre,Shruti Fule,Pooja Kawale,Gaurav Panchal,Shruti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4:B145">
      <formula1>"Shop No. (Sale Plan),Sale / Rehab,Sale / Mhada"</formula1>
    </dataValidation>
    <dataValidation type="list" allowBlank="1" showInputMessage="1" showErrorMessage="1" sqref="B154:B15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4:E155">
      <formula1>"Deck area,Balcony Area,Chajja Area,Cornice Area,AP Area,WS Area"</formula1>
    </dataValidation>
    <dataValidation type="list" allowBlank="1" showInputMessage="1" showErrorMessage="1" sqref="H155 H145">
      <formula1>".45,.50,.55,.60"</formula1>
    </dataValidation>
    <dataValidation type="list" allowBlank="1" showInputMessage="1" showErrorMessage="1" sqref="C49:H49">
      <formula1>OFFSET($S$49,1,MATCH($G20,$S$49:$W$49,0)-1,15,1)</formula1>
    </dataValidation>
    <dataValidation type="whole" allowBlank="1" showInputMessage="1" showErrorMessage="1" sqref="C83 C97 C111">
      <formula1>0</formula1>
      <formula2>H75</formula2>
    </dataValidation>
    <dataValidation type="list" allowBlank="1" showInputMessage="1" showErrorMessage="1" sqref="H144 H154">
      <formula1>"Saleable area Loading :,Builder Saleable Area"</formula1>
    </dataValidation>
    <dataValidation type="list" allowBlank="1" showInputMessage="1" showErrorMessage="1" sqref="D154:D155 D144:D145">
      <formula1>"Carpet area,RERA Carpet area"</formula1>
    </dataValidation>
  </dataValidations>
  <hyperlinks>
    <hyperlink ref="C40" r:id="rId1"/>
    <hyperlink ref="I65"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3" manualBreakCount="3">
    <brk id="316" max="16383" man="1"/>
    <brk id="360" max="16383" man="1"/>
    <brk id="402"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G16" sqref="G16"/>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304" t="s">
        <v>104</v>
      </c>
      <c r="C3" s="304"/>
      <c r="D3" s="304"/>
      <c r="E3" s="304"/>
      <c r="F3" s="304"/>
      <c r="G3" s="304"/>
      <c r="H3" s="304"/>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7109375" bestFit="1" customWidth="1"/>
    <col min="5" max="5" width="10.42578125" bestFit="1" customWidth="1"/>
    <col min="6" max="6" width="12.42578125" bestFit="1" customWidth="1"/>
    <col min="7" max="7" width="18.28515625" customWidth="1"/>
    <col min="8" max="8" width="10.5703125" bestFit="1" customWidth="1"/>
  </cols>
  <sheetData>
    <row r="3" spans="2:11" x14ac:dyDescent="0.25">
      <c r="J3">
        <v>1</v>
      </c>
      <c r="K3">
        <v>2</v>
      </c>
    </row>
    <row r="4" spans="2:11" x14ac:dyDescent="0.25">
      <c r="B4" s="51"/>
      <c r="C4" s="51" t="s">
        <v>11</v>
      </c>
      <c r="D4" s="52" t="s">
        <v>180</v>
      </c>
      <c r="E4" s="52" t="s">
        <v>190</v>
      </c>
      <c r="F4" s="52" t="s">
        <v>173</v>
      </c>
      <c r="G4" s="52" t="s">
        <v>195</v>
      </c>
      <c r="H4" s="52" t="s">
        <v>213</v>
      </c>
      <c r="J4" t="s">
        <v>195</v>
      </c>
      <c r="K4" t="s">
        <v>211</v>
      </c>
    </row>
    <row r="5" spans="2:11" x14ac:dyDescent="0.25">
      <c r="B5" s="51"/>
      <c r="C5" s="51"/>
      <c r="D5" s="52" t="s">
        <v>181</v>
      </c>
      <c r="E5" s="52" t="s">
        <v>188</v>
      </c>
      <c r="F5" s="52" t="s">
        <v>210</v>
      </c>
      <c r="G5" s="52" t="s">
        <v>196</v>
      </c>
      <c r="H5" s="52" t="s">
        <v>214</v>
      </c>
    </row>
    <row r="6" spans="2:11" x14ac:dyDescent="0.25">
      <c r="B6" s="51"/>
      <c r="C6" s="51"/>
      <c r="D6" s="52" t="s">
        <v>182</v>
      </c>
      <c r="E6" s="52" t="s">
        <v>189</v>
      </c>
      <c r="F6" s="52" t="s">
        <v>211</v>
      </c>
      <c r="G6" s="52" t="s">
        <v>197</v>
      </c>
      <c r="H6" s="52" t="s">
        <v>227</v>
      </c>
    </row>
    <row r="7" spans="2:11" x14ac:dyDescent="0.25">
      <c r="B7" s="51"/>
      <c r="C7" s="51"/>
      <c r="D7" s="52" t="s">
        <v>183</v>
      </c>
      <c r="E7" s="52" t="s">
        <v>191</v>
      </c>
      <c r="F7" s="52" t="s">
        <v>212</v>
      </c>
      <c r="G7" s="52" t="s">
        <v>198</v>
      </c>
      <c r="H7" s="52" t="s">
        <v>215</v>
      </c>
    </row>
    <row r="8" spans="2:11" x14ac:dyDescent="0.25">
      <c r="B8" s="51"/>
      <c r="C8" s="51"/>
      <c r="D8" s="52" t="s">
        <v>184</v>
      </c>
      <c r="E8" s="52" t="s">
        <v>192</v>
      </c>
      <c r="F8" s="52"/>
      <c r="G8" s="52" t="s">
        <v>199</v>
      </c>
      <c r="H8" s="52" t="s">
        <v>216</v>
      </c>
    </row>
    <row r="9" spans="2:11" x14ac:dyDescent="0.25">
      <c r="B9" s="51"/>
      <c r="C9" s="51"/>
      <c r="D9" s="52" t="s">
        <v>185</v>
      </c>
      <c r="E9" s="52" t="s">
        <v>190</v>
      </c>
      <c r="F9" s="52"/>
      <c r="G9" s="52" t="s">
        <v>200</v>
      </c>
      <c r="H9" s="52" t="s">
        <v>217</v>
      </c>
    </row>
    <row r="10" spans="2:11" x14ac:dyDescent="0.25">
      <c r="B10" s="51"/>
      <c r="C10" s="51"/>
      <c r="D10" s="52" t="s">
        <v>186</v>
      </c>
      <c r="E10" s="52" t="s">
        <v>193</v>
      </c>
      <c r="F10" s="52"/>
      <c r="G10" s="52" t="s">
        <v>201</v>
      </c>
      <c r="H10" s="52" t="s">
        <v>218</v>
      </c>
    </row>
    <row r="11" spans="2:11" x14ac:dyDescent="0.25">
      <c r="B11" s="51"/>
      <c r="C11" s="51"/>
      <c r="D11" s="52" t="s">
        <v>187</v>
      </c>
      <c r="E11" s="52" t="s">
        <v>194</v>
      </c>
      <c r="F11" s="52"/>
      <c r="G11" s="52" t="s">
        <v>202</v>
      </c>
      <c r="H11" s="52" t="s">
        <v>219</v>
      </c>
    </row>
    <row r="12" spans="2:11" x14ac:dyDescent="0.25">
      <c r="B12" s="51"/>
      <c r="C12" s="51"/>
      <c r="D12" s="52"/>
      <c r="E12" s="52"/>
      <c r="F12" s="52"/>
      <c r="G12" s="52" t="s">
        <v>203</v>
      </c>
      <c r="H12" s="52" t="s">
        <v>220</v>
      </c>
    </row>
    <row r="13" spans="2:11" x14ac:dyDescent="0.25">
      <c r="B13" s="51"/>
      <c r="C13" s="51"/>
      <c r="D13" s="52"/>
      <c r="E13" s="52"/>
      <c r="F13" s="52"/>
      <c r="G13" s="52" t="s">
        <v>204</v>
      </c>
      <c r="H13" s="52" t="s">
        <v>221</v>
      </c>
    </row>
    <row r="14" spans="2:11" x14ac:dyDescent="0.25">
      <c r="B14" s="51"/>
      <c r="C14" s="51"/>
      <c r="D14" s="52"/>
      <c r="E14" s="52"/>
      <c r="F14" s="52"/>
      <c r="G14" s="52" t="s">
        <v>205</v>
      </c>
      <c r="H14" s="52" t="s">
        <v>222</v>
      </c>
    </row>
    <row r="15" spans="2:11" x14ac:dyDescent="0.25">
      <c r="B15" s="51"/>
      <c r="C15" s="51"/>
      <c r="D15" s="52"/>
      <c r="E15" s="52"/>
      <c r="F15" s="52"/>
      <c r="G15" s="52" t="s">
        <v>206</v>
      </c>
      <c r="H15" s="52" t="s">
        <v>223</v>
      </c>
    </row>
    <row r="16" spans="2:11" x14ac:dyDescent="0.25">
      <c r="B16" s="51"/>
      <c r="C16" s="51"/>
      <c r="D16" s="52"/>
      <c r="E16" s="52"/>
      <c r="F16" s="52"/>
      <c r="G16" s="52" t="s">
        <v>207</v>
      </c>
      <c r="H16" s="52" t="s">
        <v>224</v>
      </c>
    </row>
    <row r="17" spans="2:8" x14ac:dyDescent="0.25">
      <c r="B17" s="51"/>
      <c r="C17" s="51"/>
      <c r="D17" s="52"/>
      <c r="E17" s="52"/>
      <c r="F17" s="52"/>
      <c r="G17" s="52" t="s">
        <v>208</v>
      </c>
      <c r="H17" s="52" t="s">
        <v>225</v>
      </c>
    </row>
    <row r="18" spans="2:8" x14ac:dyDescent="0.25">
      <c r="B18" s="51"/>
      <c r="C18" s="51"/>
      <c r="D18" s="52"/>
      <c r="E18" s="52"/>
      <c r="F18" s="52"/>
      <c r="G18" s="52" t="s">
        <v>209</v>
      </c>
      <c r="H18" s="52" t="s">
        <v>226</v>
      </c>
    </row>
    <row r="24" spans="2:8" x14ac:dyDescent="0.25">
      <c r="C24" t="s">
        <v>170</v>
      </c>
    </row>
    <row r="25" spans="2:8" x14ac:dyDescent="0.25">
      <c r="C25" t="s">
        <v>228</v>
      </c>
    </row>
    <row r="26" spans="2:8" x14ac:dyDescent="0.25">
      <c r="C26" t="s">
        <v>229</v>
      </c>
    </row>
    <row r="27" spans="2:8" x14ac:dyDescent="0.25">
      <c r="C27" t="s">
        <v>230</v>
      </c>
    </row>
    <row r="28" spans="2:8" x14ac:dyDescent="0.25">
      <c r="C28" t="s">
        <v>231</v>
      </c>
    </row>
    <row r="29" spans="2:8" x14ac:dyDescent="0.25">
      <c r="C29" t="s">
        <v>232</v>
      </c>
    </row>
    <row r="30" spans="2:8" x14ac:dyDescent="0.25">
      <c r="C30" t="s">
        <v>170</v>
      </c>
    </row>
    <row r="33" spans="3:11" x14ac:dyDescent="0.25">
      <c r="J33">
        <v>1</v>
      </c>
      <c r="K33">
        <v>2</v>
      </c>
    </row>
    <row r="34" spans="3:11" x14ac:dyDescent="0.25">
      <c r="C34" s="53" t="s">
        <v>238</v>
      </c>
      <c r="D34" s="52" t="s">
        <v>236</v>
      </c>
      <c r="E34" s="52" t="s">
        <v>241</v>
      </c>
      <c r="F34" s="52" t="s">
        <v>239</v>
      </c>
      <c r="G34" s="52" t="s">
        <v>240</v>
      </c>
      <c r="H34" s="52" t="s">
        <v>242</v>
      </c>
      <c r="J34" t="s">
        <v>195</v>
      </c>
      <c r="K34" t="s">
        <v>211</v>
      </c>
    </row>
    <row r="35" spans="3:11" x14ac:dyDescent="0.25">
      <c r="C35" s="51" t="s">
        <v>237</v>
      </c>
      <c r="D35" s="52" t="s">
        <v>171</v>
      </c>
      <c r="E35" s="52" t="s">
        <v>246</v>
      </c>
      <c r="F35" s="52" t="s">
        <v>248</v>
      </c>
      <c r="G35" s="52" t="s">
        <v>250</v>
      </c>
      <c r="H35" s="52"/>
    </row>
    <row r="36" spans="3:11" x14ac:dyDescent="0.25">
      <c r="C36" s="51"/>
      <c r="D36" s="52" t="s">
        <v>243</v>
      </c>
      <c r="E36" s="52" t="s">
        <v>247</v>
      </c>
      <c r="F36" s="52" t="s">
        <v>249</v>
      </c>
      <c r="G36" s="52" t="s">
        <v>251</v>
      </c>
      <c r="H36" s="52"/>
    </row>
    <row r="37" spans="3:11" x14ac:dyDescent="0.25">
      <c r="C37" s="51"/>
      <c r="D37" s="52" t="s">
        <v>244</v>
      </c>
      <c r="E37" s="52"/>
      <c r="F37" s="52"/>
      <c r="G37" s="52" t="s">
        <v>252</v>
      </c>
      <c r="H37" s="52"/>
    </row>
    <row r="38" spans="3:11" x14ac:dyDescent="0.25">
      <c r="C38" s="51"/>
      <c r="D38" s="52" t="s">
        <v>245</v>
      </c>
      <c r="E38" s="52"/>
      <c r="F38" s="52"/>
      <c r="G38" s="52" t="s">
        <v>252</v>
      </c>
      <c r="H38" s="52"/>
    </row>
    <row r="39" spans="3:11" x14ac:dyDescent="0.25">
      <c r="C39" s="51"/>
      <c r="D39" s="52"/>
      <c r="E39" s="52"/>
      <c r="F39" s="52"/>
      <c r="G39" s="52" t="s">
        <v>253</v>
      </c>
      <c r="H39" s="52"/>
    </row>
    <row r="40" spans="3:11" x14ac:dyDescent="0.25">
      <c r="C40" s="51"/>
      <c r="D40" s="52"/>
      <c r="E40" s="52"/>
      <c r="F40" s="52"/>
      <c r="G40" s="52" t="s">
        <v>254</v>
      </c>
      <c r="H40" s="52"/>
    </row>
    <row r="41" spans="3:11" x14ac:dyDescent="0.25">
      <c r="C41" s="51"/>
      <c r="D41" s="52"/>
      <c r="E41" s="52"/>
      <c r="F41" s="52"/>
      <c r="G41" s="52"/>
      <c r="H41" s="52"/>
    </row>
    <row r="43" spans="3:11" x14ac:dyDescent="0.25">
      <c r="C43" t="s">
        <v>255</v>
      </c>
    </row>
    <row r="44" spans="3:11" x14ac:dyDescent="0.25">
      <c r="C44" t="s">
        <v>173</v>
      </c>
      <c r="D44" t="s">
        <v>256</v>
      </c>
    </row>
    <row r="45" spans="3:11" x14ac:dyDescent="0.25">
      <c r="D45" t="s">
        <v>257</v>
      </c>
    </row>
    <row r="46" spans="3:11" x14ac:dyDescent="0.25">
      <c r="D46" t="s">
        <v>258</v>
      </c>
    </row>
    <row r="47" spans="3:11" x14ac:dyDescent="0.25">
      <c r="D47" t="s">
        <v>259</v>
      </c>
    </row>
    <row r="48" spans="3:11" x14ac:dyDescent="0.25">
      <c r="D48" t="s">
        <v>260</v>
      </c>
    </row>
    <row r="49" spans="3:4" x14ac:dyDescent="0.25">
      <c r="C49" t="s">
        <v>180</v>
      </c>
      <c r="D49" t="s">
        <v>261</v>
      </c>
    </row>
    <row r="50" spans="3:4" x14ac:dyDescent="0.25">
      <c r="D50" t="s">
        <v>262</v>
      </c>
    </row>
    <row r="51" spans="3:4" x14ac:dyDescent="0.25">
      <c r="D51" t="s">
        <v>263</v>
      </c>
    </row>
    <row r="52" spans="3:4" x14ac:dyDescent="0.25">
      <c r="D52" t="s">
        <v>266</v>
      </c>
    </row>
    <row r="53" spans="3:4" x14ac:dyDescent="0.25">
      <c r="D53" t="s">
        <v>264</v>
      </c>
    </row>
    <row r="54" spans="3:4" x14ac:dyDescent="0.25">
      <c r="D54" t="s">
        <v>265</v>
      </c>
    </row>
    <row r="55" spans="3:4" x14ac:dyDescent="0.25">
      <c r="D55" t="s">
        <v>267</v>
      </c>
    </row>
    <row r="56" spans="3:4" x14ac:dyDescent="0.25">
      <c r="D56" t="s">
        <v>268</v>
      </c>
    </row>
    <row r="57" spans="3:4" x14ac:dyDescent="0.25">
      <c r="D57" t="s">
        <v>269</v>
      </c>
    </row>
    <row r="58" spans="3:4" x14ac:dyDescent="0.25">
      <c r="D58" t="s">
        <v>271</v>
      </c>
    </row>
    <row r="59" spans="3:4" x14ac:dyDescent="0.25">
      <c r="D59" t="s">
        <v>280</v>
      </c>
    </row>
    <row r="60" spans="3:4" x14ac:dyDescent="0.25">
      <c r="C60" t="s">
        <v>195</v>
      </c>
      <c r="D60" t="s">
        <v>272</v>
      </c>
    </row>
    <row r="61" spans="3:4" x14ac:dyDescent="0.25">
      <c r="D61" t="s">
        <v>270</v>
      </c>
    </row>
    <row r="62" spans="3:4" x14ac:dyDescent="0.25">
      <c r="D62" t="s">
        <v>260</v>
      </c>
    </row>
    <row r="63" spans="3:4" x14ac:dyDescent="0.25">
      <c r="D63" t="s">
        <v>273</v>
      </c>
    </row>
    <row r="64" spans="3:4" x14ac:dyDescent="0.25">
      <c r="D64" t="s">
        <v>274</v>
      </c>
    </row>
    <row r="65" spans="3:4" x14ac:dyDescent="0.25">
      <c r="D65" t="s">
        <v>275</v>
      </c>
    </row>
    <row r="66" spans="3:4" x14ac:dyDescent="0.25">
      <c r="D66" t="s">
        <v>276</v>
      </c>
    </row>
    <row r="67" spans="3:4" x14ac:dyDescent="0.25">
      <c r="C67" t="s">
        <v>190</v>
      </c>
      <c r="D67" t="s">
        <v>277</v>
      </c>
    </row>
    <row r="68" spans="3:4" x14ac:dyDescent="0.25">
      <c r="D68" t="s">
        <v>278</v>
      </c>
    </row>
    <row r="69" spans="3:4" x14ac:dyDescent="0.2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4">
        <v>1</v>
      </c>
      <c r="C2" s="56" t="s">
        <v>285</v>
      </c>
    </row>
    <row r="3" spans="2:3" x14ac:dyDescent="0.25">
      <c r="B3" s="54">
        <v>2</v>
      </c>
      <c r="C3" s="55" t="s">
        <v>286</v>
      </c>
    </row>
    <row r="4" spans="2:3" x14ac:dyDescent="0.25">
      <c r="B4" s="54">
        <v>3</v>
      </c>
      <c r="C4" s="54" t="s">
        <v>287</v>
      </c>
    </row>
    <row r="5" spans="2:3" x14ac:dyDescent="0.25">
      <c r="B5" s="54">
        <v>4</v>
      </c>
      <c r="C5" s="55" t="s">
        <v>288</v>
      </c>
    </row>
    <row r="6" spans="2:3" x14ac:dyDescent="0.25">
      <c r="B6" s="54">
        <v>5</v>
      </c>
      <c r="C6" s="54" t="s">
        <v>289</v>
      </c>
    </row>
    <row r="7" spans="2:3" ht="30" x14ac:dyDescent="0.25">
      <c r="B7" s="54">
        <v>6</v>
      </c>
      <c r="C7" s="55" t="s">
        <v>290</v>
      </c>
    </row>
    <row r="8" spans="2:3" ht="75" x14ac:dyDescent="0.25">
      <c r="B8" s="54">
        <v>7</v>
      </c>
      <c r="C8" s="55" t="s">
        <v>291</v>
      </c>
    </row>
    <row r="9" spans="2:3" x14ac:dyDescent="0.25">
      <c r="B9" s="54">
        <v>8</v>
      </c>
      <c r="C9" s="54" t="s">
        <v>292</v>
      </c>
    </row>
    <row r="10" spans="2:3" x14ac:dyDescent="0.25">
      <c r="B10" s="54">
        <v>9</v>
      </c>
      <c r="C10" s="54" t="s">
        <v>293</v>
      </c>
    </row>
    <row r="11" spans="2:3" x14ac:dyDescent="0.25">
      <c r="B11" s="54">
        <v>10</v>
      </c>
      <c r="C11" s="54" t="s">
        <v>294</v>
      </c>
    </row>
    <row r="12" spans="2:3" x14ac:dyDescent="0.25">
      <c r="B12" s="54">
        <v>11</v>
      </c>
      <c r="C12" s="54" t="s">
        <v>295</v>
      </c>
    </row>
    <row r="13" spans="2:3" x14ac:dyDescent="0.25">
      <c r="B13" s="54">
        <v>12</v>
      </c>
      <c r="C13" s="54" t="s">
        <v>296</v>
      </c>
    </row>
    <row r="14" spans="2:3" x14ac:dyDescent="0.25">
      <c r="B14" s="54">
        <v>13</v>
      </c>
      <c r="C14" s="54" t="s">
        <v>297</v>
      </c>
    </row>
    <row r="15" spans="2:3" x14ac:dyDescent="0.25">
      <c r="B15" s="54">
        <v>14</v>
      </c>
      <c r="C15" s="54" t="s">
        <v>287</v>
      </c>
    </row>
    <row r="16" spans="2:3" x14ac:dyDescent="0.25">
      <c r="B16" s="54">
        <v>15</v>
      </c>
      <c r="C16" s="54" t="s">
        <v>299</v>
      </c>
    </row>
    <row r="17" spans="2:3" ht="31.5" customHeight="1" x14ac:dyDescent="0.25">
      <c r="B17" s="74">
        <v>16</v>
      </c>
      <c r="C17" s="60" t="s">
        <v>300</v>
      </c>
    </row>
    <row r="18" spans="2:3" x14ac:dyDescent="0.25">
      <c r="B18" s="59">
        <v>17</v>
      </c>
      <c r="C18" s="60" t="s">
        <v>301</v>
      </c>
    </row>
    <row r="19" spans="2:3" x14ac:dyDescent="0.25">
      <c r="B19" s="58">
        <v>18</v>
      </c>
      <c r="C19" s="54" t="s">
        <v>302</v>
      </c>
    </row>
    <row r="20" spans="2:3" x14ac:dyDescent="0.25">
      <c r="B20" s="59">
        <v>19</v>
      </c>
      <c r="C20" s="54" t="s">
        <v>337</v>
      </c>
    </row>
    <row r="21" spans="2:3" x14ac:dyDescent="0.25">
      <c r="B21" s="54">
        <v>20</v>
      </c>
      <c r="C21" s="54" t="s">
        <v>303</v>
      </c>
    </row>
    <row r="22" spans="2:3" x14ac:dyDescent="0.25">
      <c r="B22" s="59">
        <v>21</v>
      </c>
      <c r="C22" s="54" t="s">
        <v>302</v>
      </c>
    </row>
    <row r="23" spans="2:3" s="67" customFormat="1" ht="29.25" customHeight="1" x14ac:dyDescent="0.25">
      <c r="B23" s="66">
        <v>22</v>
      </c>
      <c r="C23" s="56" t="s">
        <v>329</v>
      </c>
    </row>
    <row r="24" spans="2:3" s="67" customFormat="1" ht="30.75" customHeight="1" x14ac:dyDescent="0.25">
      <c r="B24" s="68">
        <v>23</v>
      </c>
      <c r="C24" s="56" t="s">
        <v>330</v>
      </c>
    </row>
    <row r="25" spans="2:3" x14ac:dyDescent="0.25">
      <c r="B25" s="54">
        <v>24</v>
      </c>
      <c r="C25" s="54" t="s">
        <v>333</v>
      </c>
    </row>
    <row r="26" spans="2:3" x14ac:dyDescent="0.25">
      <c r="B26" s="59">
        <v>25</v>
      </c>
      <c r="C26" s="54" t="s">
        <v>331</v>
      </c>
    </row>
    <row r="27" spans="2:3" x14ac:dyDescent="0.25">
      <c r="B27" s="68">
        <v>26</v>
      </c>
      <c r="C27" s="54" t="s">
        <v>332</v>
      </c>
    </row>
    <row r="28" spans="2:3" x14ac:dyDescent="0.25">
      <c r="B28" s="59">
        <v>27</v>
      </c>
      <c r="C28" s="54" t="s">
        <v>334</v>
      </c>
    </row>
    <row r="29" spans="2:3" ht="60" x14ac:dyDescent="0.25">
      <c r="B29" s="73">
        <v>28</v>
      </c>
      <c r="C29" s="55" t="s">
        <v>335</v>
      </c>
    </row>
    <row r="30" spans="2:3" x14ac:dyDescent="0.25">
      <c r="B30" s="68">
        <v>29</v>
      </c>
      <c r="C30" s="54" t="s">
        <v>336</v>
      </c>
    </row>
    <row r="31" spans="2:3" x14ac:dyDescent="0.25">
      <c r="B31" s="68">
        <v>30</v>
      </c>
      <c r="C31" s="54"/>
    </row>
    <row r="32" spans="2:3" x14ac:dyDescent="0.25">
      <c r="B32" s="68">
        <v>31</v>
      </c>
      <c r="C32" s="54"/>
    </row>
    <row r="33" spans="2:3" x14ac:dyDescent="0.25">
      <c r="B33" s="68">
        <v>32</v>
      </c>
      <c r="C33" s="54"/>
    </row>
    <row r="34" spans="2:3" x14ac:dyDescent="0.25">
      <c r="B34" s="68">
        <v>33</v>
      </c>
      <c r="C34" s="54"/>
    </row>
    <row r="35" spans="2:3" x14ac:dyDescent="0.25">
      <c r="B35" s="68">
        <v>34</v>
      </c>
      <c r="C35"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241"/>
  <sheetViews>
    <sheetView topLeftCell="A49" workbookViewId="0">
      <selection activeCell="C14" sqref="C14"/>
    </sheetView>
  </sheetViews>
  <sheetFormatPr defaultColWidth="9.28515625" defaultRowHeight="15" x14ac:dyDescent="0.25"/>
  <cols>
    <col min="1" max="1" width="9.28515625" style="51"/>
    <col min="2" max="2" width="12.28515625" style="51" customWidth="1"/>
    <col min="3" max="4" width="9.28515625" style="51"/>
    <col min="5" max="5" width="9.28515625" style="77"/>
    <col min="6" max="12" width="0" style="51" hidden="1" customWidth="1"/>
    <col min="13" max="16384" width="9.28515625" style="51"/>
  </cols>
  <sheetData>
    <row r="2" spans="1:22" ht="44.1" customHeight="1" x14ac:dyDescent="0.25">
      <c r="B2" s="61" t="s">
        <v>304</v>
      </c>
      <c r="C2" s="305" t="s">
        <v>373</v>
      </c>
      <c r="D2" s="305"/>
      <c r="N2" s="61" t="s">
        <v>304</v>
      </c>
      <c r="O2" s="305" t="s">
        <v>377</v>
      </c>
      <c r="P2" s="305"/>
      <c r="Q2" s="77"/>
      <c r="S2" s="61" t="s">
        <v>304</v>
      </c>
      <c r="T2" s="305" t="s">
        <v>381</v>
      </c>
      <c r="U2" s="305"/>
      <c r="V2" s="77"/>
    </row>
    <row r="3" spans="1:22" x14ac:dyDescent="0.25">
      <c r="D3" s="62"/>
      <c r="E3" s="78"/>
      <c r="F3" s="62"/>
      <c r="G3" s="62"/>
      <c r="H3" s="62"/>
      <c r="I3" s="62"/>
      <c r="P3" s="62"/>
      <c r="Q3" s="78"/>
      <c r="U3" s="62"/>
      <c r="V3" s="78"/>
    </row>
    <row r="4" spans="1:22" x14ac:dyDescent="0.25">
      <c r="A4" s="61" t="s">
        <v>66</v>
      </c>
      <c r="B4" s="63" t="s">
        <v>305</v>
      </c>
      <c r="C4" s="306" t="s">
        <v>306</v>
      </c>
      <c r="D4" s="306"/>
      <c r="E4" s="306"/>
      <c r="F4" s="63"/>
      <c r="G4" s="307" t="s">
        <v>307</v>
      </c>
      <c r="H4" s="307"/>
      <c r="I4" s="307"/>
      <c r="J4" s="308" t="s">
        <v>308</v>
      </c>
      <c r="K4" s="308"/>
      <c r="L4" s="308"/>
      <c r="M4" s="61" t="s">
        <v>66</v>
      </c>
      <c r="N4" s="63" t="s">
        <v>305</v>
      </c>
      <c r="O4" s="306" t="s">
        <v>306</v>
      </c>
      <c r="P4" s="306"/>
      <c r="Q4" s="306"/>
      <c r="R4" s="61" t="s">
        <v>66</v>
      </c>
      <c r="S4" s="63" t="s">
        <v>305</v>
      </c>
      <c r="T4" s="306" t="s">
        <v>306</v>
      </c>
      <c r="U4" s="306"/>
      <c r="V4" s="306"/>
    </row>
    <row r="5" spans="1:22" x14ac:dyDescent="0.25">
      <c r="A5" s="61" t="s">
        <v>376</v>
      </c>
      <c r="B5" s="63"/>
      <c r="C5" s="63" t="s">
        <v>309</v>
      </c>
      <c r="D5" s="63" t="s">
        <v>310</v>
      </c>
      <c r="E5" s="79" t="s">
        <v>311</v>
      </c>
      <c r="F5" s="63"/>
      <c r="G5" s="63" t="s">
        <v>309</v>
      </c>
      <c r="H5" s="63" t="s">
        <v>310</v>
      </c>
      <c r="I5" s="63" t="s">
        <v>311</v>
      </c>
      <c r="J5" s="63" t="s">
        <v>309</v>
      </c>
      <c r="K5" s="63" t="s">
        <v>310</v>
      </c>
      <c r="L5" s="63" t="s">
        <v>311</v>
      </c>
      <c r="M5" s="61">
        <v>1</v>
      </c>
      <c r="N5" s="63"/>
      <c r="O5" s="63" t="s">
        <v>309</v>
      </c>
      <c r="P5" s="63" t="s">
        <v>310</v>
      </c>
      <c r="Q5" s="79" t="s">
        <v>311</v>
      </c>
      <c r="R5" s="61">
        <v>1</v>
      </c>
      <c r="S5" s="63"/>
      <c r="T5" s="63" t="s">
        <v>309</v>
      </c>
      <c r="U5" s="63" t="s">
        <v>310</v>
      </c>
      <c r="V5" s="79" t="s">
        <v>311</v>
      </c>
    </row>
    <row r="6" spans="1:22" x14ac:dyDescent="0.25">
      <c r="B6" s="52" t="s">
        <v>312</v>
      </c>
      <c r="C6" s="52">
        <v>5.15</v>
      </c>
      <c r="D6" s="52">
        <v>4.5</v>
      </c>
      <c r="E6" s="80">
        <f>C6*D6</f>
        <v>23.175000000000001</v>
      </c>
      <c r="F6" s="52" t="s">
        <v>328</v>
      </c>
      <c r="G6" s="52"/>
      <c r="H6" s="52"/>
      <c r="I6" s="52">
        <f>G6*H6</f>
        <v>0</v>
      </c>
      <c r="J6" s="52"/>
      <c r="K6" s="52"/>
      <c r="L6" s="52">
        <f>J6*K6</f>
        <v>0</v>
      </c>
      <c r="N6" s="52" t="s">
        <v>312</v>
      </c>
      <c r="O6" s="52">
        <v>8.8000000000000007</v>
      </c>
      <c r="P6" s="52">
        <v>0.4</v>
      </c>
      <c r="Q6" s="80">
        <f>O6*P6</f>
        <v>3.5200000000000005</v>
      </c>
      <c r="S6" s="52" t="s">
        <v>312</v>
      </c>
      <c r="T6" s="52">
        <v>8.8000000000000007</v>
      </c>
      <c r="U6" s="52">
        <v>0.4</v>
      </c>
      <c r="V6" s="80">
        <f>T6*U6</f>
        <v>3.5200000000000005</v>
      </c>
    </row>
    <row r="7" spans="1:22" x14ac:dyDescent="0.25">
      <c r="B7" s="52"/>
      <c r="C7" s="52">
        <v>4.3</v>
      </c>
      <c r="D7" s="52">
        <v>0.4</v>
      </c>
      <c r="E7" s="80">
        <f t="shared" ref="E7:E58" si="0">C7*D7</f>
        <v>1.72</v>
      </c>
      <c r="F7" s="52" t="s">
        <v>328</v>
      </c>
      <c r="G7" s="52"/>
      <c r="H7" s="52"/>
      <c r="I7" s="52">
        <f t="shared" ref="I7:I51" si="1">G7*H7</f>
        <v>0</v>
      </c>
      <c r="J7" s="52"/>
      <c r="K7" s="52"/>
      <c r="L7" s="52">
        <f t="shared" ref="L7:L51" si="2">J7*K7</f>
        <v>0</v>
      </c>
      <c r="N7" s="52"/>
      <c r="O7" s="52">
        <v>10.5</v>
      </c>
      <c r="P7" s="52">
        <v>4.5</v>
      </c>
      <c r="Q7" s="80">
        <f t="shared" ref="Q7:Q58" si="3">O7*P7</f>
        <v>47.25</v>
      </c>
      <c r="S7" s="52"/>
      <c r="T7" s="52">
        <v>10.5</v>
      </c>
      <c r="U7" s="52">
        <v>4.5</v>
      </c>
      <c r="V7" s="80">
        <f t="shared" ref="V7:V58" si="4">T7*U7</f>
        <v>47.25</v>
      </c>
    </row>
    <row r="8" spans="1:22" x14ac:dyDescent="0.25">
      <c r="B8" s="52"/>
      <c r="C8" s="52">
        <v>5.75</v>
      </c>
      <c r="D8" s="52">
        <v>1.8</v>
      </c>
      <c r="E8" s="80">
        <f t="shared" si="0"/>
        <v>10.35</v>
      </c>
      <c r="F8" s="52"/>
      <c r="G8" s="52"/>
      <c r="H8" s="52"/>
      <c r="I8" s="52">
        <f t="shared" si="1"/>
        <v>0</v>
      </c>
      <c r="J8" s="52"/>
      <c r="K8" s="52"/>
      <c r="L8" s="52">
        <f t="shared" si="2"/>
        <v>0</v>
      </c>
      <c r="N8" s="52"/>
      <c r="O8" s="52">
        <v>11.1</v>
      </c>
      <c r="P8" s="52">
        <v>1.8</v>
      </c>
      <c r="Q8" s="80">
        <f t="shared" si="3"/>
        <v>19.98</v>
      </c>
      <c r="S8" s="52"/>
      <c r="T8" s="52">
        <v>11.1</v>
      </c>
      <c r="U8" s="52">
        <v>1.8</v>
      </c>
      <c r="V8" s="80">
        <f t="shared" si="4"/>
        <v>19.98</v>
      </c>
    </row>
    <row r="9" spans="1:22" x14ac:dyDescent="0.25">
      <c r="B9" s="52"/>
      <c r="C9" s="52"/>
      <c r="D9" s="52"/>
      <c r="E9" s="80">
        <f t="shared" si="0"/>
        <v>0</v>
      </c>
      <c r="F9" s="52" t="s">
        <v>313</v>
      </c>
      <c r="G9" s="52"/>
      <c r="H9" s="52"/>
      <c r="I9" s="52">
        <f t="shared" si="1"/>
        <v>0</v>
      </c>
      <c r="J9" s="52"/>
      <c r="K9" s="52"/>
      <c r="L9" s="52">
        <f t="shared" si="2"/>
        <v>0</v>
      </c>
      <c r="N9" s="52"/>
      <c r="O9" s="52"/>
      <c r="P9" s="52"/>
      <c r="Q9" s="80">
        <f t="shared" si="3"/>
        <v>0</v>
      </c>
      <c r="S9" s="52"/>
      <c r="T9" s="52"/>
      <c r="U9" s="52"/>
      <c r="V9" s="80">
        <f t="shared" si="4"/>
        <v>0</v>
      </c>
    </row>
    <row r="10" spans="1:22" x14ac:dyDescent="0.25">
      <c r="B10" s="52" t="s">
        <v>314</v>
      </c>
      <c r="C10" s="52">
        <v>3.2</v>
      </c>
      <c r="D10" s="52">
        <v>3.77</v>
      </c>
      <c r="E10" s="80">
        <f t="shared" si="0"/>
        <v>12.064</v>
      </c>
      <c r="F10" s="52" t="s">
        <v>313</v>
      </c>
      <c r="G10" s="52"/>
      <c r="H10" s="52"/>
      <c r="I10" s="52">
        <f t="shared" si="1"/>
        <v>0</v>
      </c>
      <c r="J10" s="52"/>
      <c r="K10" s="52"/>
      <c r="L10" s="52">
        <f t="shared" si="2"/>
        <v>0</v>
      </c>
      <c r="N10" s="52" t="s">
        <v>314</v>
      </c>
      <c r="O10" s="52">
        <v>3.2</v>
      </c>
      <c r="P10" s="52">
        <v>3.77</v>
      </c>
      <c r="Q10" s="80">
        <f t="shared" si="3"/>
        <v>12.064</v>
      </c>
      <c r="S10" s="52" t="s">
        <v>314</v>
      </c>
      <c r="T10" s="52">
        <v>3.2</v>
      </c>
      <c r="U10" s="52">
        <v>4.07</v>
      </c>
      <c r="V10" s="80">
        <f t="shared" si="4"/>
        <v>13.024000000000001</v>
      </c>
    </row>
    <row r="11" spans="1:22" x14ac:dyDescent="0.25">
      <c r="B11" s="52"/>
      <c r="C11" s="52">
        <v>2.35</v>
      </c>
      <c r="D11" s="52">
        <v>1.78</v>
      </c>
      <c r="E11" s="80">
        <f t="shared" si="0"/>
        <v>4.1829999999999998</v>
      </c>
      <c r="F11" s="52" t="s">
        <v>315</v>
      </c>
      <c r="G11" s="52"/>
      <c r="H11" s="52"/>
      <c r="I11" s="52">
        <f t="shared" si="1"/>
        <v>0</v>
      </c>
      <c r="J11" s="52"/>
      <c r="K11" s="52"/>
      <c r="L11" s="52">
        <f t="shared" si="2"/>
        <v>0</v>
      </c>
      <c r="N11" s="52"/>
      <c r="O11" s="52">
        <v>2.35</v>
      </c>
      <c r="P11" s="52">
        <v>1.78</v>
      </c>
      <c r="Q11" s="80">
        <f t="shared" si="3"/>
        <v>4.1829999999999998</v>
      </c>
      <c r="S11" s="52"/>
      <c r="T11" s="52">
        <v>2.35</v>
      </c>
      <c r="U11" s="52">
        <v>1.93</v>
      </c>
      <c r="V11" s="80">
        <f t="shared" si="4"/>
        <v>4.5354999999999999</v>
      </c>
    </row>
    <row r="12" spans="1:22" x14ac:dyDescent="0.25">
      <c r="B12" s="52"/>
      <c r="C12" s="52">
        <v>3.2</v>
      </c>
      <c r="D12" s="52">
        <v>1.85</v>
      </c>
      <c r="E12" s="80">
        <f t="shared" si="0"/>
        <v>5.9200000000000008</v>
      </c>
      <c r="F12" s="52"/>
      <c r="G12" s="52"/>
      <c r="H12" s="52"/>
      <c r="I12" s="52">
        <f t="shared" si="1"/>
        <v>0</v>
      </c>
      <c r="J12" s="52"/>
      <c r="K12" s="52"/>
      <c r="L12" s="52">
        <f t="shared" si="2"/>
        <v>0</v>
      </c>
      <c r="N12" s="52"/>
      <c r="O12" s="52"/>
      <c r="P12" s="52"/>
      <c r="Q12" s="80">
        <f t="shared" si="3"/>
        <v>0</v>
      </c>
      <c r="S12" s="52" t="s">
        <v>382</v>
      </c>
      <c r="T12" s="52">
        <v>3.2</v>
      </c>
      <c r="U12" s="52">
        <v>1.85</v>
      </c>
      <c r="V12" s="80">
        <f t="shared" si="4"/>
        <v>5.9200000000000008</v>
      </c>
    </row>
    <row r="13" spans="1:22" x14ac:dyDescent="0.25">
      <c r="B13" s="52"/>
      <c r="C13" s="52"/>
      <c r="D13" s="52"/>
      <c r="E13" s="80">
        <f t="shared" si="0"/>
        <v>0</v>
      </c>
      <c r="F13" s="52"/>
      <c r="G13" s="52"/>
      <c r="H13" s="52"/>
      <c r="I13" s="52">
        <f t="shared" si="1"/>
        <v>0</v>
      </c>
      <c r="J13" s="52"/>
      <c r="K13" s="52"/>
      <c r="L13" s="52">
        <f t="shared" si="2"/>
        <v>0</v>
      </c>
      <c r="N13" s="52"/>
      <c r="O13" s="52"/>
      <c r="P13" s="52"/>
      <c r="Q13" s="80">
        <f t="shared" si="3"/>
        <v>0</v>
      </c>
      <c r="S13" s="52"/>
      <c r="T13" s="52">
        <v>1.05</v>
      </c>
      <c r="U13" s="52">
        <v>0.5</v>
      </c>
      <c r="V13" s="80">
        <f t="shared" si="4"/>
        <v>0.52500000000000002</v>
      </c>
    </row>
    <row r="14" spans="1:22" x14ac:dyDescent="0.25">
      <c r="B14" s="52" t="s">
        <v>316</v>
      </c>
      <c r="C14" s="52">
        <v>3.65</v>
      </c>
      <c r="D14" s="52">
        <v>4.4000000000000004</v>
      </c>
      <c r="E14" s="80">
        <f t="shared" si="0"/>
        <v>16.060000000000002</v>
      </c>
      <c r="F14" s="52" t="s">
        <v>313</v>
      </c>
      <c r="G14" s="52"/>
      <c r="H14" s="52"/>
      <c r="I14" s="52">
        <f t="shared" si="1"/>
        <v>0</v>
      </c>
      <c r="J14" s="52"/>
      <c r="K14" s="52"/>
      <c r="L14" s="52">
        <f t="shared" si="2"/>
        <v>0</v>
      </c>
      <c r="N14" s="52" t="s">
        <v>316</v>
      </c>
      <c r="O14" s="52">
        <v>3.65</v>
      </c>
      <c r="P14" s="52">
        <v>4.4000000000000004</v>
      </c>
      <c r="Q14" s="80">
        <f t="shared" si="3"/>
        <v>16.060000000000002</v>
      </c>
      <c r="S14" s="52" t="s">
        <v>316</v>
      </c>
      <c r="T14" s="52">
        <v>3.65</v>
      </c>
      <c r="U14" s="52">
        <v>4.4000000000000004</v>
      </c>
      <c r="V14" s="80">
        <f t="shared" si="4"/>
        <v>16.060000000000002</v>
      </c>
    </row>
    <row r="15" spans="1:22" x14ac:dyDescent="0.25">
      <c r="B15" s="52"/>
      <c r="C15" s="52">
        <v>2.9</v>
      </c>
      <c r="D15" s="52">
        <v>0.6</v>
      </c>
      <c r="E15" s="80">
        <f t="shared" si="0"/>
        <v>1.74</v>
      </c>
      <c r="F15" s="52" t="s">
        <v>315</v>
      </c>
      <c r="G15" s="52"/>
      <c r="H15" s="52"/>
      <c r="I15" s="52">
        <f t="shared" si="1"/>
        <v>0</v>
      </c>
      <c r="J15" s="52"/>
      <c r="K15" s="52"/>
      <c r="L15" s="52">
        <f t="shared" si="2"/>
        <v>0</v>
      </c>
      <c r="N15" s="52"/>
      <c r="O15" s="52">
        <v>2.9</v>
      </c>
      <c r="P15" s="52">
        <v>0.6</v>
      </c>
      <c r="Q15" s="80">
        <f t="shared" si="3"/>
        <v>1.74</v>
      </c>
      <c r="S15" s="52"/>
      <c r="T15" s="52">
        <v>2.9</v>
      </c>
      <c r="U15" s="52">
        <v>0.35</v>
      </c>
      <c r="V15" s="80">
        <f t="shared" si="4"/>
        <v>1.0149999999999999</v>
      </c>
    </row>
    <row r="16" spans="1:22" x14ac:dyDescent="0.25">
      <c r="B16" s="52"/>
      <c r="C16" s="52"/>
      <c r="D16" s="52"/>
      <c r="E16" s="80">
        <f t="shared" si="0"/>
        <v>0</v>
      </c>
      <c r="F16" s="52"/>
      <c r="G16" s="52"/>
      <c r="H16" s="52"/>
      <c r="I16" s="52">
        <f t="shared" si="1"/>
        <v>0</v>
      </c>
      <c r="J16" s="52"/>
      <c r="K16" s="52"/>
      <c r="L16" s="52">
        <f t="shared" si="2"/>
        <v>0</v>
      </c>
      <c r="N16" s="52"/>
      <c r="O16" s="52"/>
      <c r="P16" s="52"/>
      <c r="Q16" s="80">
        <f t="shared" si="3"/>
        <v>0</v>
      </c>
      <c r="S16" s="52"/>
      <c r="T16" s="52"/>
      <c r="U16" s="52"/>
      <c r="V16" s="80">
        <f t="shared" si="4"/>
        <v>0</v>
      </c>
    </row>
    <row r="17" spans="2:22" x14ac:dyDescent="0.25">
      <c r="B17" s="52"/>
      <c r="C17" s="52"/>
      <c r="D17" s="52"/>
      <c r="E17" s="80">
        <f t="shared" si="0"/>
        <v>0</v>
      </c>
      <c r="F17" s="52"/>
      <c r="G17" s="52"/>
      <c r="H17" s="52"/>
      <c r="I17" s="52">
        <f t="shared" si="1"/>
        <v>0</v>
      </c>
      <c r="J17" s="52"/>
      <c r="K17" s="52"/>
      <c r="L17" s="52">
        <f t="shared" si="2"/>
        <v>0</v>
      </c>
      <c r="N17" s="52"/>
      <c r="O17" s="52"/>
      <c r="P17" s="52"/>
      <c r="Q17" s="80">
        <f t="shared" si="3"/>
        <v>0</v>
      </c>
      <c r="S17" s="52"/>
      <c r="T17" s="52"/>
      <c r="U17" s="52"/>
      <c r="V17" s="80">
        <f t="shared" si="4"/>
        <v>0</v>
      </c>
    </row>
    <row r="18" spans="2:22" x14ac:dyDescent="0.25">
      <c r="B18" s="52" t="s">
        <v>317</v>
      </c>
      <c r="C18" s="52">
        <v>3.85</v>
      </c>
      <c r="D18" s="52">
        <v>4.4000000000000004</v>
      </c>
      <c r="E18" s="80">
        <f t="shared" si="0"/>
        <v>16.940000000000001</v>
      </c>
      <c r="F18" s="52" t="s">
        <v>313</v>
      </c>
      <c r="G18" s="52"/>
      <c r="H18" s="52"/>
      <c r="I18" s="52">
        <f t="shared" si="1"/>
        <v>0</v>
      </c>
      <c r="J18" s="52"/>
      <c r="K18" s="52"/>
      <c r="L18" s="52">
        <f t="shared" si="2"/>
        <v>0</v>
      </c>
      <c r="N18" s="52" t="s">
        <v>317</v>
      </c>
      <c r="O18" s="52">
        <v>3.85</v>
      </c>
      <c r="P18" s="52">
        <v>4.4000000000000004</v>
      </c>
      <c r="Q18" s="80">
        <f t="shared" si="3"/>
        <v>16.940000000000001</v>
      </c>
      <c r="S18" s="52" t="s">
        <v>317</v>
      </c>
      <c r="T18" s="52">
        <v>3.85</v>
      </c>
      <c r="U18" s="52">
        <v>4.1500000000000004</v>
      </c>
      <c r="V18" s="80">
        <f t="shared" si="4"/>
        <v>15.977500000000001</v>
      </c>
    </row>
    <row r="19" spans="2:22" x14ac:dyDescent="0.25">
      <c r="B19" s="52"/>
      <c r="C19" s="52">
        <v>1.4</v>
      </c>
      <c r="D19" s="52">
        <v>0.6</v>
      </c>
      <c r="E19" s="80">
        <f t="shared" si="0"/>
        <v>0.84</v>
      </c>
      <c r="F19" s="52" t="s">
        <v>315</v>
      </c>
      <c r="G19" s="52"/>
      <c r="H19" s="52"/>
      <c r="I19" s="52">
        <f t="shared" si="1"/>
        <v>0</v>
      </c>
      <c r="J19" s="52"/>
      <c r="K19" s="52"/>
      <c r="L19" s="52">
        <f t="shared" si="2"/>
        <v>0</v>
      </c>
      <c r="N19" s="52"/>
      <c r="O19" s="52">
        <v>1.4</v>
      </c>
      <c r="P19" s="52">
        <v>0.6</v>
      </c>
      <c r="Q19" s="80">
        <f t="shared" si="3"/>
        <v>0.84</v>
      </c>
      <c r="S19" s="52"/>
      <c r="T19" s="52">
        <v>1.4</v>
      </c>
      <c r="U19" s="52">
        <v>0.6</v>
      </c>
      <c r="V19" s="80">
        <f t="shared" si="4"/>
        <v>0.84</v>
      </c>
    </row>
    <row r="20" spans="2:22" x14ac:dyDescent="0.25">
      <c r="B20" s="52"/>
      <c r="C20" s="52">
        <v>2.08</v>
      </c>
      <c r="D20" s="52">
        <v>0.9</v>
      </c>
      <c r="E20" s="80">
        <f t="shared" si="0"/>
        <v>1.8720000000000001</v>
      </c>
      <c r="F20" s="52"/>
      <c r="G20" s="52"/>
      <c r="H20" s="52"/>
      <c r="I20" s="52">
        <f t="shared" si="1"/>
        <v>0</v>
      </c>
      <c r="J20" s="52"/>
      <c r="K20" s="52"/>
      <c r="L20" s="52">
        <f t="shared" si="2"/>
        <v>0</v>
      </c>
      <c r="N20" s="52"/>
      <c r="O20" s="52">
        <v>2.08</v>
      </c>
      <c r="P20" s="52">
        <v>0.9</v>
      </c>
      <c r="Q20" s="80">
        <f t="shared" si="3"/>
        <v>1.8720000000000001</v>
      </c>
      <c r="S20" s="52"/>
      <c r="T20" s="52">
        <v>2.08</v>
      </c>
      <c r="U20" s="52">
        <v>0.9</v>
      </c>
      <c r="V20" s="80">
        <f t="shared" si="4"/>
        <v>1.8720000000000001</v>
      </c>
    </row>
    <row r="21" spans="2:22" x14ac:dyDescent="0.25">
      <c r="B21" s="52" t="s">
        <v>318</v>
      </c>
      <c r="C21" s="52">
        <v>3.85</v>
      </c>
      <c r="D21" s="52">
        <v>4.28</v>
      </c>
      <c r="E21" s="80">
        <f t="shared" si="0"/>
        <v>16.478000000000002</v>
      </c>
      <c r="F21" s="52" t="s">
        <v>313</v>
      </c>
      <c r="G21" s="52"/>
      <c r="H21" s="52"/>
      <c r="I21" s="52">
        <f t="shared" si="1"/>
        <v>0</v>
      </c>
      <c r="J21" s="52"/>
      <c r="K21" s="52"/>
      <c r="L21" s="52">
        <f t="shared" si="2"/>
        <v>0</v>
      </c>
      <c r="N21" s="52" t="s">
        <v>318</v>
      </c>
      <c r="O21" s="52">
        <v>3.85</v>
      </c>
      <c r="P21" s="52">
        <v>4.28</v>
      </c>
      <c r="Q21" s="80">
        <f t="shared" si="3"/>
        <v>16.478000000000002</v>
      </c>
      <c r="S21" s="52" t="s">
        <v>318</v>
      </c>
      <c r="T21" s="52">
        <v>3.85</v>
      </c>
      <c r="U21" s="52">
        <v>3.38</v>
      </c>
      <c r="V21" s="80">
        <f t="shared" si="4"/>
        <v>13.013</v>
      </c>
    </row>
    <row r="22" spans="2:22" x14ac:dyDescent="0.25">
      <c r="B22" s="52"/>
      <c r="C22" s="52">
        <v>1.4</v>
      </c>
      <c r="D22" s="52">
        <v>0.6</v>
      </c>
      <c r="E22" s="80">
        <f t="shared" si="0"/>
        <v>0.84</v>
      </c>
      <c r="F22" s="52" t="s">
        <v>315</v>
      </c>
      <c r="G22" s="52"/>
      <c r="H22" s="52"/>
      <c r="I22" s="52">
        <f t="shared" si="1"/>
        <v>0</v>
      </c>
      <c r="J22" s="52"/>
      <c r="K22" s="52"/>
      <c r="L22" s="52">
        <f t="shared" si="2"/>
        <v>0</v>
      </c>
      <c r="N22" s="52"/>
      <c r="O22" s="52">
        <v>1.4</v>
      </c>
      <c r="P22" s="52">
        <v>0.6</v>
      </c>
      <c r="Q22" s="80">
        <f t="shared" si="3"/>
        <v>0.84</v>
      </c>
      <c r="S22" s="52"/>
      <c r="T22" s="52">
        <v>1.4</v>
      </c>
      <c r="U22" s="52">
        <v>0.6</v>
      </c>
      <c r="V22" s="80">
        <f t="shared" si="4"/>
        <v>0.84</v>
      </c>
    </row>
    <row r="23" spans="2:22" x14ac:dyDescent="0.25">
      <c r="B23" s="52"/>
      <c r="C23" s="52">
        <v>2.08</v>
      </c>
      <c r="D23" s="52">
        <v>1</v>
      </c>
      <c r="E23" s="80">
        <f t="shared" si="0"/>
        <v>2.08</v>
      </c>
      <c r="F23" s="52"/>
      <c r="G23" s="52"/>
      <c r="H23" s="52"/>
      <c r="I23" s="52">
        <f t="shared" si="1"/>
        <v>0</v>
      </c>
      <c r="J23" s="52"/>
      <c r="K23" s="52"/>
      <c r="L23" s="52">
        <f t="shared" si="2"/>
        <v>0</v>
      </c>
      <c r="N23" s="52"/>
      <c r="O23" s="52">
        <v>2.08</v>
      </c>
      <c r="P23" s="52">
        <v>1</v>
      </c>
      <c r="Q23" s="80">
        <f t="shared" si="3"/>
        <v>2.08</v>
      </c>
      <c r="S23" s="52"/>
      <c r="T23" s="52"/>
      <c r="U23" s="52"/>
      <c r="V23" s="80">
        <f t="shared" si="4"/>
        <v>0</v>
      </c>
    </row>
    <row r="24" spans="2:22" x14ac:dyDescent="0.25">
      <c r="B24" s="52" t="s">
        <v>319</v>
      </c>
      <c r="C24" s="52">
        <v>3</v>
      </c>
      <c r="D24" s="52">
        <v>0.6</v>
      </c>
      <c r="E24" s="80">
        <f t="shared" si="0"/>
        <v>1.7999999999999998</v>
      </c>
      <c r="F24" s="52" t="s">
        <v>320</v>
      </c>
      <c r="G24" s="52"/>
      <c r="H24" s="52"/>
      <c r="I24" s="52">
        <f t="shared" si="1"/>
        <v>0</v>
      </c>
      <c r="J24" s="52"/>
      <c r="K24" s="52"/>
      <c r="L24" s="52">
        <f t="shared" si="2"/>
        <v>0</v>
      </c>
      <c r="N24" s="52" t="s">
        <v>319</v>
      </c>
      <c r="O24" s="52">
        <v>4.3499999999999996</v>
      </c>
      <c r="P24" s="52">
        <v>0.6</v>
      </c>
      <c r="Q24" s="80">
        <f t="shared" si="3"/>
        <v>2.61</v>
      </c>
      <c r="S24" s="52" t="s">
        <v>319</v>
      </c>
      <c r="T24" s="52">
        <v>4.3499999999999996</v>
      </c>
      <c r="U24" s="52">
        <v>0.35</v>
      </c>
      <c r="V24" s="80">
        <f t="shared" si="4"/>
        <v>1.5224999999999997</v>
      </c>
    </row>
    <row r="25" spans="2:22" x14ac:dyDescent="0.25">
      <c r="B25" s="52"/>
      <c r="C25" s="52">
        <v>3.75</v>
      </c>
      <c r="D25" s="52">
        <v>6.62</v>
      </c>
      <c r="E25" s="80">
        <f t="shared" si="0"/>
        <v>24.824999999999999</v>
      </c>
      <c r="F25" s="52" t="s">
        <v>320</v>
      </c>
      <c r="G25" s="52"/>
      <c r="H25" s="52"/>
      <c r="I25" s="52">
        <f t="shared" si="1"/>
        <v>0</v>
      </c>
      <c r="J25" s="52"/>
      <c r="K25" s="52"/>
      <c r="L25" s="52">
        <f t="shared" si="2"/>
        <v>0</v>
      </c>
      <c r="N25" s="52"/>
      <c r="O25" s="52">
        <v>5.0999999999999996</v>
      </c>
      <c r="P25" s="52">
        <v>5.63</v>
      </c>
      <c r="Q25" s="80">
        <f t="shared" si="3"/>
        <v>28.712999999999997</v>
      </c>
      <c r="S25" s="52"/>
      <c r="T25" s="52">
        <v>5.0999999999999996</v>
      </c>
      <c r="U25" s="52">
        <v>4.5</v>
      </c>
      <c r="V25" s="80">
        <f t="shared" si="4"/>
        <v>22.95</v>
      </c>
    </row>
    <row r="26" spans="2:22" x14ac:dyDescent="0.25">
      <c r="B26" s="52"/>
      <c r="C26" s="52">
        <v>1.75</v>
      </c>
      <c r="D26" s="52">
        <v>1.2</v>
      </c>
      <c r="E26" s="80">
        <f t="shared" si="0"/>
        <v>2.1</v>
      </c>
      <c r="F26" s="52" t="s">
        <v>320</v>
      </c>
      <c r="G26" s="52"/>
      <c r="H26" s="52"/>
      <c r="I26" s="52">
        <f t="shared" si="1"/>
        <v>0</v>
      </c>
      <c r="J26" s="52"/>
      <c r="K26" s="52"/>
      <c r="L26" s="52">
        <f t="shared" si="2"/>
        <v>0</v>
      </c>
      <c r="N26" s="52"/>
      <c r="O26" s="52">
        <v>3.92</v>
      </c>
      <c r="P26" s="52">
        <v>0.67</v>
      </c>
      <c r="Q26" s="80">
        <f t="shared" si="3"/>
        <v>2.6264000000000003</v>
      </c>
      <c r="S26" s="52"/>
      <c r="T26" s="52">
        <v>3.92</v>
      </c>
      <c r="U26" s="52">
        <v>1.8</v>
      </c>
      <c r="V26" s="80">
        <f t="shared" si="4"/>
        <v>7.056</v>
      </c>
    </row>
    <row r="27" spans="2:22" x14ac:dyDescent="0.25">
      <c r="B27" s="52"/>
      <c r="C27" s="52">
        <v>2.35</v>
      </c>
      <c r="D27" s="52">
        <v>2.4</v>
      </c>
      <c r="E27" s="80">
        <f t="shared" si="0"/>
        <v>5.64</v>
      </c>
      <c r="F27" s="52" t="s">
        <v>320</v>
      </c>
      <c r="G27" s="52"/>
      <c r="H27" s="52"/>
      <c r="I27" s="52">
        <f t="shared" si="1"/>
        <v>0</v>
      </c>
      <c r="J27" s="52"/>
      <c r="K27" s="52"/>
      <c r="L27" s="52">
        <f t="shared" si="2"/>
        <v>0</v>
      </c>
      <c r="N27" s="52"/>
      <c r="O27" s="52">
        <v>3.43</v>
      </c>
      <c r="P27" s="52">
        <v>2.58</v>
      </c>
      <c r="Q27" s="80">
        <f t="shared" si="3"/>
        <v>8.849400000000001</v>
      </c>
      <c r="S27" s="52"/>
      <c r="T27" s="52">
        <v>3.43</v>
      </c>
      <c r="U27" s="52">
        <v>1.68</v>
      </c>
      <c r="V27" s="80">
        <f t="shared" si="4"/>
        <v>5.7624000000000004</v>
      </c>
    </row>
    <row r="28" spans="2:22" x14ac:dyDescent="0.25">
      <c r="B28" s="52"/>
      <c r="C28" s="52"/>
      <c r="D28" s="52"/>
      <c r="E28" s="80">
        <f t="shared" si="0"/>
        <v>0</v>
      </c>
      <c r="F28" s="52" t="s">
        <v>320</v>
      </c>
      <c r="G28" s="52"/>
      <c r="H28" s="52"/>
      <c r="I28" s="52">
        <f t="shared" si="1"/>
        <v>0</v>
      </c>
      <c r="J28" s="52"/>
      <c r="K28" s="52"/>
      <c r="L28" s="52">
        <f t="shared" si="2"/>
        <v>0</v>
      </c>
      <c r="N28" s="52"/>
      <c r="O28" s="52">
        <v>0.6</v>
      </c>
      <c r="P28" s="52">
        <v>1.1299999999999999</v>
      </c>
      <c r="Q28" s="80">
        <f t="shared" si="3"/>
        <v>0.67799999999999994</v>
      </c>
      <c r="S28" s="52"/>
      <c r="T28" s="52">
        <v>1.78</v>
      </c>
      <c r="U28" s="52">
        <v>1.1299999999999999</v>
      </c>
      <c r="V28" s="80">
        <f t="shared" si="4"/>
        <v>2.0113999999999996</v>
      </c>
    </row>
    <row r="29" spans="2:22" x14ac:dyDescent="0.25">
      <c r="B29" s="52"/>
      <c r="C29" s="52"/>
      <c r="D29" s="52"/>
      <c r="E29" s="80">
        <f t="shared" si="0"/>
        <v>0</v>
      </c>
      <c r="F29" s="52" t="s">
        <v>320</v>
      </c>
      <c r="G29" s="52"/>
      <c r="H29" s="52"/>
      <c r="I29" s="52">
        <f t="shared" si="1"/>
        <v>0</v>
      </c>
      <c r="J29" s="52"/>
      <c r="K29" s="52"/>
      <c r="L29" s="52">
        <f t="shared" si="2"/>
        <v>0</v>
      </c>
      <c r="N29" s="52" t="s">
        <v>380</v>
      </c>
      <c r="O29" s="52">
        <v>3</v>
      </c>
      <c r="P29" s="52">
        <v>0.6</v>
      </c>
      <c r="Q29" s="80">
        <f t="shared" si="3"/>
        <v>1.7999999999999998</v>
      </c>
      <c r="S29" s="52" t="s">
        <v>380</v>
      </c>
      <c r="T29" s="52">
        <v>3</v>
      </c>
      <c r="U29" s="52">
        <v>0.35</v>
      </c>
      <c r="V29" s="80">
        <f t="shared" si="4"/>
        <v>1.0499999999999998</v>
      </c>
    </row>
    <row r="30" spans="2:22" x14ac:dyDescent="0.25">
      <c r="B30" s="52"/>
      <c r="C30" s="52"/>
      <c r="D30" s="52"/>
      <c r="E30" s="80">
        <f t="shared" si="0"/>
        <v>0</v>
      </c>
      <c r="F30" s="52" t="s">
        <v>320</v>
      </c>
      <c r="G30" s="52"/>
      <c r="H30" s="52"/>
      <c r="I30" s="52">
        <f t="shared" si="1"/>
        <v>0</v>
      </c>
      <c r="J30" s="52"/>
      <c r="K30" s="52"/>
      <c r="L30" s="52">
        <f t="shared" si="2"/>
        <v>0</v>
      </c>
      <c r="N30" s="52"/>
      <c r="O30" s="52">
        <v>3.75</v>
      </c>
      <c r="P30" s="52">
        <v>6.62</v>
      </c>
      <c r="Q30" s="80">
        <f t="shared" si="3"/>
        <v>24.824999999999999</v>
      </c>
      <c r="S30" s="52"/>
      <c r="T30" s="52">
        <v>3.75</v>
      </c>
      <c r="U30" s="52">
        <v>6.62</v>
      </c>
      <c r="V30" s="80">
        <f t="shared" si="4"/>
        <v>24.824999999999999</v>
      </c>
    </row>
    <row r="31" spans="2:22" x14ac:dyDescent="0.25">
      <c r="B31" s="52"/>
      <c r="C31" s="52"/>
      <c r="D31" s="52"/>
      <c r="E31" s="80">
        <f t="shared" si="0"/>
        <v>0</v>
      </c>
      <c r="F31" s="52" t="s">
        <v>320</v>
      </c>
      <c r="G31" s="52"/>
      <c r="H31" s="52"/>
      <c r="I31" s="52">
        <f t="shared" si="1"/>
        <v>0</v>
      </c>
      <c r="J31" s="52"/>
      <c r="K31" s="52"/>
      <c r="L31" s="52">
        <f t="shared" si="2"/>
        <v>0</v>
      </c>
      <c r="N31" s="52"/>
      <c r="O31" s="52">
        <v>2.35</v>
      </c>
      <c r="P31" s="52">
        <v>2.4</v>
      </c>
      <c r="Q31" s="80">
        <f t="shared" si="3"/>
        <v>5.64</v>
      </c>
      <c r="S31" s="52"/>
      <c r="T31" s="52">
        <v>2.35</v>
      </c>
      <c r="U31" s="52">
        <v>2.4</v>
      </c>
      <c r="V31" s="80">
        <f t="shared" si="4"/>
        <v>5.64</v>
      </c>
    </row>
    <row r="32" spans="2:22" x14ac:dyDescent="0.25">
      <c r="B32" s="52"/>
      <c r="C32" s="52"/>
      <c r="D32" s="52"/>
      <c r="E32" s="80">
        <f t="shared" si="0"/>
        <v>0</v>
      </c>
      <c r="F32" s="52" t="s">
        <v>320</v>
      </c>
      <c r="G32" s="52"/>
      <c r="H32" s="52"/>
      <c r="I32" s="52">
        <f t="shared" si="1"/>
        <v>0</v>
      </c>
      <c r="J32" s="52"/>
      <c r="K32" s="52"/>
      <c r="L32" s="52">
        <f t="shared" si="2"/>
        <v>0</v>
      </c>
      <c r="N32" s="52" t="s">
        <v>379</v>
      </c>
      <c r="O32" s="52">
        <v>3.2</v>
      </c>
      <c r="P32" s="52">
        <v>1.85</v>
      </c>
      <c r="Q32" s="80">
        <f t="shared" si="3"/>
        <v>5.9200000000000008</v>
      </c>
      <c r="S32" s="52"/>
      <c r="T32" s="52">
        <v>0.1</v>
      </c>
      <c r="U32" s="52">
        <v>0.9</v>
      </c>
      <c r="V32" s="80">
        <f t="shared" si="4"/>
        <v>9.0000000000000011E-2</v>
      </c>
    </row>
    <row r="33" spans="2:22" x14ac:dyDescent="0.25">
      <c r="B33" s="52" t="s">
        <v>321</v>
      </c>
      <c r="C33" s="52">
        <v>2.0499999999999998</v>
      </c>
      <c r="D33" s="52">
        <v>1.1499999999999999</v>
      </c>
      <c r="E33" s="80">
        <f t="shared" si="0"/>
        <v>2.3574999999999995</v>
      </c>
      <c r="F33" s="52" t="s">
        <v>320</v>
      </c>
      <c r="G33" s="52"/>
      <c r="H33" s="52"/>
      <c r="I33" s="52">
        <f t="shared" si="1"/>
        <v>0</v>
      </c>
      <c r="J33" s="52"/>
      <c r="K33" s="52"/>
      <c r="L33" s="52">
        <f t="shared" si="2"/>
        <v>0</v>
      </c>
      <c r="N33" s="52" t="s">
        <v>321</v>
      </c>
      <c r="O33" s="52">
        <v>2.0499999999999998</v>
      </c>
      <c r="P33" s="52">
        <v>1.1499999999999999</v>
      </c>
      <c r="Q33" s="80">
        <f t="shared" si="3"/>
        <v>2.3574999999999995</v>
      </c>
      <c r="S33" s="52" t="s">
        <v>321</v>
      </c>
      <c r="T33" s="52">
        <v>2.0499999999999998</v>
      </c>
      <c r="U33" s="52">
        <v>1.1499999999999999</v>
      </c>
      <c r="V33" s="80">
        <f t="shared" si="4"/>
        <v>2.3574999999999995</v>
      </c>
    </row>
    <row r="34" spans="2:22" x14ac:dyDescent="0.25">
      <c r="B34" s="52"/>
      <c r="C34" s="52">
        <v>1.05</v>
      </c>
      <c r="D34" s="52">
        <v>0.5</v>
      </c>
      <c r="E34" s="80">
        <f t="shared" si="0"/>
        <v>0.52500000000000002</v>
      </c>
      <c r="F34" s="52"/>
      <c r="G34" s="52"/>
      <c r="H34" s="52"/>
      <c r="I34" s="52">
        <f t="shared" si="1"/>
        <v>0</v>
      </c>
      <c r="J34" s="52"/>
      <c r="K34" s="52"/>
      <c r="L34" s="52">
        <f t="shared" si="2"/>
        <v>0</v>
      </c>
      <c r="N34" s="52"/>
      <c r="O34" s="52">
        <v>1.05</v>
      </c>
      <c r="P34" s="52">
        <v>0.5</v>
      </c>
      <c r="Q34" s="80">
        <f t="shared" si="3"/>
        <v>0.52500000000000002</v>
      </c>
      <c r="S34" s="52"/>
      <c r="T34" s="52"/>
      <c r="U34" s="52"/>
      <c r="V34" s="80">
        <f t="shared" si="4"/>
        <v>0</v>
      </c>
    </row>
    <row r="35" spans="2:22" x14ac:dyDescent="0.25">
      <c r="B35" s="52" t="s">
        <v>322</v>
      </c>
      <c r="C35" s="52">
        <v>1.83</v>
      </c>
      <c r="D35" s="52">
        <v>2.0299999999999998</v>
      </c>
      <c r="E35" s="80">
        <f t="shared" si="0"/>
        <v>3.7148999999999996</v>
      </c>
      <c r="F35" s="52" t="s">
        <v>320</v>
      </c>
      <c r="G35" s="52"/>
      <c r="H35" s="52"/>
      <c r="I35" s="52">
        <f t="shared" si="1"/>
        <v>0</v>
      </c>
      <c r="J35" s="52"/>
      <c r="K35" s="52"/>
      <c r="L35" s="52">
        <f t="shared" si="2"/>
        <v>0</v>
      </c>
      <c r="N35" s="52" t="s">
        <v>322</v>
      </c>
      <c r="O35" s="52">
        <v>1.83</v>
      </c>
      <c r="P35" s="52">
        <v>2.0299999999999998</v>
      </c>
      <c r="Q35" s="80">
        <f t="shared" si="3"/>
        <v>3.7148999999999996</v>
      </c>
      <c r="S35" s="52" t="s">
        <v>322</v>
      </c>
      <c r="T35" s="52">
        <v>1.83</v>
      </c>
      <c r="U35" s="52">
        <v>1.77</v>
      </c>
      <c r="V35" s="80">
        <f t="shared" si="4"/>
        <v>3.2391000000000001</v>
      </c>
    </row>
    <row r="36" spans="2:22" x14ac:dyDescent="0.25">
      <c r="B36" s="52" t="s">
        <v>326</v>
      </c>
      <c r="C36" s="52">
        <v>1.73</v>
      </c>
      <c r="D36" s="52">
        <v>1.07</v>
      </c>
      <c r="E36" s="80">
        <f t="shared" si="0"/>
        <v>1.8511000000000002</v>
      </c>
      <c r="F36" s="52"/>
      <c r="G36" s="52"/>
      <c r="H36" s="52"/>
      <c r="I36" s="52">
        <f t="shared" si="1"/>
        <v>0</v>
      </c>
      <c r="J36" s="52"/>
      <c r="K36" s="52"/>
      <c r="L36" s="52">
        <f t="shared" si="2"/>
        <v>0</v>
      </c>
      <c r="N36" s="52"/>
      <c r="O36" s="52">
        <v>1.73</v>
      </c>
      <c r="P36" s="52">
        <v>1.07</v>
      </c>
      <c r="Q36" s="80">
        <f t="shared" si="3"/>
        <v>1.8511000000000002</v>
      </c>
      <c r="S36" s="52" t="s">
        <v>326</v>
      </c>
      <c r="T36" s="52">
        <v>1.73</v>
      </c>
      <c r="U36" s="52">
        <v>1.07</v>
      </c>
      <c r="V36" s="80">
        <f t="shared" si="4"/>
        <v>1.8511000000000002</v>
      </c>
    </row>
    <row r="37" spans="2:22" x14ac:dyDescent="0.25">
      <c r="B37" s="52"/>
      <c r="C37" s="52">
        <v>1.35</v>
      </c>
      <c r="D37" s="52">
        <v>1.65</v>
      </c>
      <c r="E37" s="80">
        <f t="shared" si="0"/>
        <v>2.2275</v>
      </c>
      <c r="F37" s="52"/>
      <c r="G37" s="52"/>
      <c r="H37" s="52"/>
      <c r="I37" s="52">
        <f t="shared" si="1"/>
        <v>0</v>
      </c>
      <c r="J37" s="52"/>
      <c r="K37" s="52"/>
      <c r="L37" s="52">
        <f t="shared" si="2"/>
        <v>0</v>
      </c>
      <c r="N37" s="52"/>
      <c r="O37" s="52">
        <v>1.35</v>
      </c>
      <c r="P37" s="52">
        <v>1.65</v>
      </c>
      <c r="Q37" s="80">
        <f t="shared" si="3"/>
        <v>2.2275</v>
      </c>
      <c r="S37" s="52"/>
      <c r="T37" s="52">
        <v>1.35</v>
      </c>
      <c r="U37" s="52">
        <v>1.65</v>
      </c>
      <c r="V37" s="80">
        <f t="shared" si="4"/>
        <v>2.2275</v>
      </c>
    </row>
    <row r="38" spans="2:22" x14ac:dyDescent="0.25">
      <c r="B38" s="52"/>
      <c r="C38" s="52">
        <v>1.68</v>
      </c>
      <c r="D38" s="52">
        <v>1.1299999999999999</v>
      </c>
      <c r="E38" s="80">
        <f t="shared" si="0"/>
        <v>1.8983999999999996</v>
      </c>
      <c r="F38" s="52"/>
      <c r="G38" s="52"/>
      <c r="H38" s="52"/>
      <c r="I38" s="52">
        <f t="shared" si="1"/>
        <v>0</v>
      </c>
      <c r="J38" s="52"/>
      <c r="K38" s="52"/>
      <c r="L38" s="52">
        <f t="shared" si="2"/>
        <v>0</v>
      </c>
      <c r="N38" s="52" t="s">
        <v>447</v>
      </c>
      <c r="O38" s="52">
        <v>1.68</v>
      </c>
      <c r="P38" s="52">
        <v>1.1299999999999999</v>
      </c>
      <c r="Q38" s="80">
        <f t="shared" si="3"/>
        <v>1.8983999999999996</v>
      </c>
      <c r="S38" s="52"/>
      <c r="T38" s="52">
        <v>1.68</v>
      </c>
      <c r="U38" s="52">
        <v>1.1299999999999999</v>
      </c>
      <c r="V38" s="80">
        <f t="shared" si="4"/>
        <v>1.8983999999999996</v>
      </c>
    </row>
    <row r="39" spans="2:22" x14ac:dyDescent="0.25">
      <c r="B39" s="52"/>
      <c r="C39" s="52">
        <v>1.57</v>
      </c>
      <c r="D39" s="52">
        <v>1.07</v>
      </c>
      <c r="E39" s="80">
        <f t="shared" si="0"/>
        <v>1.6799000000000002</v>
      </c>
      <c r="F39" s="52"/>
      <c r="G39" s="52"/>
      <c r="H39" s="52"/>
      <c r="I39" s="52">
        <f t="shared" si="1"/>
        <v>0</v>
      </c>
      <c r="J39" s="52"/>
      <c r="K39" s="52"/>
      <c r="L39" s="52">
        <f t="shared" si="2"/>
        <v>0</v>
      </c>
      <c r="N39" s="52"/>
      <c r="O39" s="52">
        <v>1.57</v>
      </c>
      <c r="P39" s="52">
        <v>1.07</v>
      </c>
      <c r="Q39" s="80">
        <f t="shared" si="3"/>
        <v>1.6799000000000002</v>
      </c>
      <c r="S39" s="52"/>
      <c r="T39" s="52">
        <v>1.57</v>
      </c>
      <c r="U39" s="52">
        <v>1.07</v>
      </c>
      <c r="V39" s="80">
        <f t="shared" si="4"/>
        <v>1.6799000000000002</v>
      </c>
    </row>
    <row r="40" spans="2:22" x14ac:dyDescent="0.25">
      <c r="B40" s="52"/>
      <c r="C40" s="52">
        <v>1.2</v>
      </c>
      <c r="D40" s="52">
        <v>1.65</v>
      </c>
      <c r="E40" s="80">
        <f t="shared" si="0"/>
        <v>1.9799999999999998</v>
      </c>
      <c r="F40" s="52"/>
      <c r="G40" s="52"/>
      <c r="H40" s="52"/>
      <c r="I40" s="52">
        <f t="shared" si="1"/>
        <v>0</v>
      </c>
      <c r="J40" s="52"/>
      <c r="K40" s="52"/>
      <c r="L40" s="52">
        <f t="shared" si="2"/>
        <v>0</v>
      </c>
      <c r="N40" s="52"/>
      <c r="O40" s="52">
        <v>1.2</v>
      </c>
      <c r="P40" s="52">
        <v>1.65</v>
      </c>
      <c r="Q40" s="80">
        <f t="shared" si="3"/>
        <v>1.9799999999999998</v>
      </c>
      <c r="S40" s="52"/>
      <c r="T40" s="52">
        <v>1.2</v>
      </c>
      <c r="U40" s="52">
        <v>1.65</v>
      </c>
      <c r="V40" s="80">
        <f t="shared" si="4"/>
        <v>1.9799999999999998</v>
      </c>
    </row>
    <row r="41" spans="2:22" x14ac:dyDescent="0.25">
      <c r="B41" s="52"/>
      <c r="C41" s="52">
        <v>1.68</v>
      </c>
      <c r="D41" s="52">
        <v>1.45</v>
      </c>
      <c r="E41" s="80">
        <f t="shared" si="0"/>
        <v>2.4359999999999999</v>
      </c>
      <c r="F41" s="52"/>
      <c r="G41" s="52"/>
      <c r="H41" s="52"/>
      <c r="I41" s="52">
        <f t="shared" si="1"/>
        <v>0</v>
      </c>
      <c r="J41" s="52"/>
      <c r="K41" s="52"/>
      <c r="L41" s="52">
        <f t="shared" si="2"/>
        <v>0</v>
      </c>
      <c r="N41" s="52"/>
      <c r="O41" s="52">
        <v>1.68</v>
      </c>
      <c r="P41" s="52">
        <v>1.45</v>
      </c>
      <c r="Q41" s="80">
        <f t="shared" si="3"/>
        <v>2.4359999999999999</v>
      </c>
      <c r="S41" s="52"/>
      <c r="T41" s="52"/>
      <c r="U41" s="52"/>
      <c r="V41" s="80">
        <f t="shared" si="4"/>
        <v>0</v>
      </c>
    </row>
    <row r="42" spans="2:22" x14ac:dyDescent="0.25">
      <c r="B42" s="52"/>
      <c r="C42" s="52">
        <v>1.68</v>
      </c>
      <c r="D42" s="52">
        <v>1.45</v>
      </c>
      <c r="E42" s="80">
        <f t="shared" si="0"/>
        <v>2.4359999999999999</v>
      </c>
      <c r="F42" s="52"/>
      <c r="G42" s="52"/>
      <c r="H42" s="52"/>
      <c r="I42" s="52">
        <f t="shared" si="1"/>
        <v>0</v>
      </c>
      <c r="J42" s="52"/>
      <c r="K42" s="52"/>
      <c r="L42" s="52">
        <f t="shared" si="2"/>
        <v>0</v>
      </c>
      <c r="N42" s="52" t="s">
        <v>443</v>
      </c>
      <c r="O42" s="52">
        <v>2.15</v>
      </c>
      <c r="P42" s="52">
        <v>1.98</v>
      </c>
      <c r="Q42" s="80">
        <f t="shared" si="3"/>
        <v>4.2569999999999997</v>
      </c>
      <c r="S42" s="52"/>
      <c r="T42" s="52">
        <v>2.15</v>
      </c>
      <c r="U42" s="52">
        <v>1.78</v>
      </c>
      <c r="V42" s="80">
        <f t="shared" si="4"/>
        <v>3.827</v>
      </c>
    </row>
    <row r="43" spans="2:22" x14ac:dyDescent="0.25">
      <c r="B43" s="52"/>
      <c r="C43" s="52">
        <v>2</v>
      </c>
      <c r="D43" s="52">
        <v>2.65</v>
      </c>
      <c r="E43" s="80">
        <f t="shared" si="0"/>
        <v>5.3</v>
      </c>
      <c r="F43" s="52"/>
      <c r="G43" s="52"/>
      <c r="H43" s="52"/>
      <c r="I43" s="52">
        <f t="shared" si="1"/>
        <v>0</v>
      </c>
      <c r="J43" s="52"/>
      <c r="K43" s="52"/>
      <c r="L43" s="52">
        <f t="shared" si="2"/>
        <v>0</v>
      </c>
      <c r="N43" s="52"/>
      <c r="O43" s="52">
        <v>2.15</v>
      </c>
      <c r="P43" s="52">
        <v>1.07</v>
      </c>
      <c r="Q43" s="80">
        <f t="shared" si="3"/>
        <v>2.3005</v>
      </c>
      <c r="S43" s="52"/>
      <c r="T43" s="52">
        <v>2.15</v>
      </c>
      <c r="U43" s="52">
        <v>1.07</v>
      </c>
      <c r="V43" s="80">
        <f t="shared" si="4"/>
        <v>2.3005</v>
      </c>
    </row>
    <row r="44" spans="2:22" x14ac:dyDescent="0.25">
      <c r="B44" s="52"/>
      <c r="C44" s="52">
        <v>2</v>
      </c>
      <c r="D44" s="52">
        <v>1.1000000000000001</v>
      </c>
      <c r="E44" s="80">
        <f t="shared" si="0"/>
        <v>2.2000000000000002</v>
      </c>
      <c r="F44" s="52"/>
      <c r="G44" s="52"/>
      <c r="H44" s="52"/>
      <c r="I44" s="52">
        <f t="shared" si="1"/>
        <v>0</v>
      </c>
      <c r="J44" s="52"/>
      <c r="K44" s="52"/>
      <c r="L44" s="52">
        <f t="shared" si="2"/>
        <v>0</v>
      </c>
      <c r="N44" s="52"/>
      <c r="O44" s="52">
        <v>1.2</v>
      </c>
      <c r="P44" s="52">
        <v>1.5</v>
      </c>
      <c r="Q44" s="80">
        <f t="shared" si="3"/>
        <v>1.7999999999999998</v>
      </c>
      <c r="S44" s="52"/>
      <c r="T44" s="52">
        <v>1.2</v>
      </c>
      <c r="U44" s="52">
        <v>1.5</v>
      </c>
      <c r="V44" s="80">
        <f t="shared" si="4"/>
        <v>1.7999999999999998</v>
      </c>
    </row>
    <row r="45" spans="2:22" x14ac:dyDescent="0.25">
      <c r="B45" s="52"/>
      <c r="C45" s="52"/>
      <c r="D45" s="52"/>
      <c r="E45" s="80">
        <f t="shared" si="0"/>
        <v>0</v>
      </c>
      <c r="F45" s="52"/>
      <c r="G45" s="52"/>
      <c r="H45" s="52"/>
      <c r="I45" s="52">
        <f>G45*H45</f>
        <v>0</v>
      </c>
      <c r="J45" s="52"/>
      <c r="K45" s="52"/>
      <c r="L45" s="52">
        <f>J45*K45</f>
        <v>0</v>
      </c>
      <c r="N45" s="52" t="s">
        <v>448</v>
      </c>
      <c r="O45" s="52">
        <v>3.75</v>
      </c>
      <c r="P45" s="52">
        <v>1.2</v>
      </c>
      <c r="Q45" s="80">
        <f t="shared" si="3"/>
        <v>4.5</v>
      </c>
      <c r="S45" s="52"/>
      <c r="T45" s="52">
        <v>3.75</v>
      </c>
      <c r="U45" s="52">
        <v>1.2</v>
      </c>
      <c r="V45" s="80">
        <f t="shared" si="4"/>
        <v>4.5</v>
      </c>
    </row>
    <row r="46" spans="2:22" x14ac:dyDescent="0.25">
      <c r="B46" s="52"/>
      <c r="C46" s="52"/>
      <c r="D46" s="52"/>
      <c r="E46" s="80">
        <f t="shared" si="0"/>
        <v>0</v>
      </c>
      <c r="F46" s="52"/>
      <c r="G46" s="52"/>
      <c r="H46" s="52"/>
      <c r="I46" s="52">
        <f>G46*H46</f>
        <v>0</v>
      </c>
      <c r="J46" s="52"/>
      <c r="K46" s="52"/>
      <c r="L46" s="52">
        <f>J46*K46</f>
        <v>0</v>
      </c>
      <c r="N46" s="52"/>
      <c r="O46" s="52">
        <v>2</v>
      </c>
      <c r="P46" s="52">
        <v>1.45</v>
      </c>
      <c r="Q46" s="80">
        <f t="shared" si="3"/>
        <v>2.9</v>
      </c>
      <c r="S46" s="52"/>
      <c r="T46" s="52">
        <v>2</v>
      </c>
      <c r="U46" s="52">
        <v>0.55000000000000004</v>
      </c>
      <c r="V46" s="80">
        <f t="shared" si="4"/>
        <v>1.1000000000000001</v>
      </c>
    </row>
    <row r="47" spans="2:22" x14ac:dyDescent="0.25">
      <c r="B47" s="52"/>
      <c r="C47" s="52"/>
      <c r="D47" s="52"/>
      <c r="E47" s="80">
        <f t="shared" si="0"/>
        <v>0</v>
      </c>
      <c r="F47" s="52"/>
      <c r="G47" s="52"/>
      <c r="H47" s="52"/>
      <c r="I47" s="52">
        <f>G47*H47</f>
        <v>0</v>
      </c>
      <c r="J47" s="52"/>
      <c r="K47" s="52"/>
      <c r="L47" s="52">
        <f>J47*K47</f>
        <v>0</v>
      </c>
      <c r="N47" s="52"/>
      <c r="O47" s="52">
        <v>2</v>
      </c>
      <c r="P47" s="52">
        <v>1.1000000000000001</v>
      </c>
      <c r="Q47" s="80">
        <f t="shared" si="3"/>
        <v>2.2000000000000002</v>
      </c>
      <c r="S47" s="52"/>
      <c r="T47" s="52">
        <v>2</v>
      </c>
      <c r="U47" s="52">
        <v>1.1000000000000001</v>
      </c>
      <c r="V47" s="80">
        <f t="shared" si="4"/>
        <v>2.2000000000000002</v>
      </c>
    </row>
    <row r="48" spans="2:22" x14ac:dyDescent="0.25">
      <c r="B48" s="52"/>
      <c r="C48" s="52"/>
      <c r="D48" s="52"/>
      <c r="E48" s="80">
        <f t="shared" si="0"/>
        <v>0</v>
      </c>
      <c r="F48" s="52"/>
      <c r="G48" s="52"/>
      <c r="H48" s="52"/>
      <c r="I48" s="52">
        <f t="shared" si="1"/>
        <v>0</v>
      </c>
      <c r="J48" s="52"/>
      <c r="K48" s="52"/>
      <c r="L48" s="52">
        <f t="shared" si="2"/>
        <v>0</v>
      </c>
      <c r="N48" s="52" t="s">
        <v>446</v>
      </c>
      <c r="O48" s="52">
        <v>1.68</v>
      </c>
      <c r="P48" s="52">
        <v>1.48</v>
      </c>
      <c r="Q48" s="80">
        <f t="shared" si="3"/>
        <v>2.4863999999999997</v>
      </c>
      <c r="S48" s="52"/>
      <c r="T48" s="52"/>
      <c r="U48" s="52"/>
      <c r="V48" s="80">
        <f t="shared" si="4"/>
        <v>0</v>
      </c>
    </row>
    <row r="49" spans="2:22" x14ac:dyDescent="0.25">
      <c r="B49" s="52" t="s">
        <v>323</v>
      </c>
      <c r="C49" s="52">
        <v>5.08</v>
      </c>
      <c r="D49" s="52">
        <v>5.58</v>
      </c>
      <c r="E49" s="80">
        <f t="shared" si="0"/>
        <v>28.346399999999999</v>
      </c>
      <c r="F49" s="52"/>
      <c r="G49" s="52"/>
      <c r="H49" s="52"/>
      <c r="I49" s="52">
        <f t="shared" si="1"/>
        <v>0</v>
      </c>
      <c r="J49" s="52"/>
      <c r="K49" s="52"/>
      <c r="L49" s="52">
        <f t="shared" si="2"/>
        <v>0</v>
      </c>
      <c r="N49" s="52" t="s">
        <v>323</v>
      </c>
      <c r="O49" s="52">
        <v>5.08</v>
      </c>
      <c r="P49" s="52">
        <v>5.58</v>
      </c>
      <c r="Q49" s="80">
        <f t="shared" si="3"/>
        <v>28.346399999999999</v>
      </c>
      <c r="S49" s="52" t="s">
        <v>323</v>
      </c>
      <c r="T49" s="52">
        <v>5.07</v>
      </c>
      <c r="U49" s="52">
        <v>5.58</v>
      </c>
      <c r="V49" s="80">
        <f t="shared" si="4"/>
        <v>28.290600000000001</v>
      </c>
    </row>
    <row r="50" spans="2:22" x14ac:dyDescent="0.25">
      <c r="B50" s="52" t="s">
        <v>327</v>
      </c>
      <c r="C50" s="52">
        <v>1.73</v>
      </c>
      <c r="D50" s="52">
        <v>0.63</v>
      </c>
      <c r="E50" s="80">
        <f t="shared" si="0"/>
        <v>1.0899000000000001</v>
      </c>
      <c r="F50" s="52"/>
      <c r="G50" s="52"/>
      <c r="H50" s="52"/>
      <c r="I50" s="52">
        <f t="shared" si="1"/>
        <v>0</v>
      </c>
      <c r="J50" s="52"/>
      <c r="K50" s="52"/>
      <c r="L50" s="52">
        <f t="shared" si="2"/>
        <v>0</v>
      </c>
      <c r="N50" s="52" t="s">
        <v>327</v>
      </c>
      <c r="O50" s="52">
        <v>1.73</v>
      </c>
      <c r="P50" s="52">
        <v>0.63</v>
      </c>
      <c r="Q50" s="80">
        <f t="shared" si="3"/>
        <v>1.0899000000000001</v>
      </c>
      <c r="S50" s="52" t="s">
        <v>327</v>
      </c>
      <c r="T50" s="52">
        <v>1.68</v>
      </c>
      <c r="U50" s="52">
        <v>1.48</v>
      </c>
      <c r="V50" s="80">
        <f t="shared" si="4"/>
        <v>2.4863999999999997</v>
      </c>
    </row>
    <row r="51" spans="2:22" x14ac:dyDescent="0.25">
      <c r="B51" s="52" t="s">
        <v>324</v>
      </c>
      <c r="C51" s="52">
        <v>3.58</v>
      </c>
      <c r="D51" s="52">
        <v>1.2</v>
      </c>
      <c r="E51" s="80">
        <f t="shared" si="0"/>
        <v>4.2960000000000003</v>
      </c>
      <c r="F51" s="52"/>
      <c r="G51" s="52"/>
      <c r="H51" s="52"/>
      <c r="I51" s="52">
        <f t="shared" si="1"/>
        <v>0</v>
      </c>
      <c r="J51" s="52"/>
      <c r="K51" s="52"/>
      <c r="L51" s="52">
        <f t="shared" si="2"/>
        <v>0</v>
      </c>
      <c r="N51" s="52" t="s">
        <v>324</v>
      </c>
      <c r="O51" s="52">
        <v>3.23</v>
      </c>
      <c r="P51" s="52">
        <v>1.2</v>
      </c>
      <c r="Q51" s="80">
        <f t="shared" si="3"/>
        <v>3.8759999999999999</v>
      </c>
      <c r="S51" s="52" t="s">
        <v>324</v>
      </c>
      <c r="T51" s="52">
        <v>3.58</v>
      </c>
      <c r="U51" s="52">
        <v>1.2</v>
      </c>
      <c r="V51" s="80">
        <f t="shared" si="4"/>
        <v>4.2960000000000003</v>
      </c>
    </row>
    <row r="52" spans="2:22" x14ac:dyDescent="0.25">
      <c r="B52" s="52" t="s">
        <v>325</v>
      </c>
      <c r="C52" s="52"/>
      <c r="D52" s="52"/>
      <c r="E52" s="80">
        <f t="shared" si="0"/>
        <v>0</v>
      </c>
      <c r="F52" s="52"/>
      <c r="G52" s="52"/>
      <c r="H52" s="52"/>
      <c r="I52" s="52">
        <f>G52*H52</f>
        <v>0</v>
      </c>
      <c r="J52" s="52"/>
      <c r="K52" s="52"/>
      <c r="L52" s="52">
        <f>J52*K52</f>
        <v>0</v>
      </c>
      <c r="N52" s="52" t="s">
        <v>325</v>
      </c>
      <c r="O52" s="52"/>
      <c r="P52" s="52"/>
      <c r="Q52" s="80">
        <f t="shared" si="3"/>
        <v>0</v>
      </c>
      <c r="S52" s="52" t="s">
        <v>325</v>
      </c>
      <c r="T52" s="52"/>
      <c r="U52" s="52"/>
      <c r="V52" s="80">
        <f t="shared" si="4"/>
        <v>0</v>
      </c>
    </row>
    <row r="53" spans="2:22" x14ac:dyDescent="0.25">
      <c r="B53" s="52"/>
      <c r="C53" s="52"/>
      <c r="D53" s="52"/>
      <c r="E53" s="80">
        <f t="shared" si="0"/>
        <v>0</v>
      </c>
      <c r="F53" s="52"/>
      <c r="G53" s="52"/>
      <c r="H53" s="52"/>
      <c r="I53" s="52">
        <f t="shared" ref="I53:I55" si="5">G53*H53</f>
        <v>0</v>
      </c>
      <c r="J53" s="52"/>
      <c r="K53" s="52"/>
      <c r="L53" s="52">
        <f t="shared" ref="L53:L55" si="6">J53*K53</f>
        <v>0</v>
      </c>
      <c r="N53" s="52"/>
      <c r="O53" s="52"/>
      <c r="P53" s="52"/>
      <c r="Q53" s="80">
        <f t="shared" si="3"/>
        <v>0</v>
      </c>
      <c r="S53" s="52"/>
      <c r="T53" s="52"/>
      <c r="U53" s="52"/>
      <c r="V53" s="80">
        <f t="shared" si="4"/>
        <v>0</v>
      </c>
    </row>
    <row r="54" spans="2:22" x14ac:dyDescent="0.25">
      <c r="B54" s="52" t="s">
        <v>150</v>
      </c>
      <c r="C54" s="52"/>
      <c r="D54" s="52"/>
      <c r="E54" s="80">
        <f t="shared" ref="E54" si="7">C54*D54</f>
        <v>0</v>
      </c>
      <c r="F54" s="52"/>
      <c r="G54" s="52"/>
      <c r="H54" s="52"/>
      <c r="I54" s="52">
        <f t="shared" ref="I54" si="8">G54*H54</f>
        <v>0</v>
      </c>
      <c r="J54" s="52"/>
      <c r="K54" s="52"/>
      <c r="L54" s="52">
        <f t="shared" ref="L54" si="9">J54*K54</f>
        <v>0</v>
      </c>
      <c r="N54" s="52"/>
      <c r="O54" s="52"/>
      <c r="P54" s="52"/>
      <c r="Q54" s="80"/>
      <c r="S54" s="52" t="s">
        <v>375</v>
      </c>
      <c r="T54" s="52"/>
      <c r="U54" s="52"/>
      <c r="V54" s="80">
        <f t="shared" ref="V54" si="10">T54*U54</f>
        <v>0</v>
      </c>
    </row>
    <row r="55" spans="2:22" x14ac:dyDescent="0.25">
      <c r="B55" s="52"/>
      <c r="C55" s="52"/>
      <c r="D55" s="52"/>
      <c r="E55" s="80"/>
      <c r="F55" s="52"/>
      <c r="G55" s="52"/>
      <c r="H55" s="52"/>
      <c r="I55" s="52">
        <f t="shared" si="5"/>
        <v>0</v>
      </c>
      <c r="J55" s="52"/>
      <c r="K55" s="52"/>
      <c r="L55" s="52">
        <f t="shared" si="6"/>
        <v>0</v>
      </c>
      <c r="N55" s="52"/>
      <c r="O55" s="52"/>
      <c r="P55" s="52"/>
      <c r="Q55" s="80"/>
      <c r="S55" s="52" t="s">
        <v>375</v>
      </c>
      <c r="T55" s="52"/>
      <c r="U55" s="52"/>
      <c r="V55" s="80">
        <f t="shared" si="4"/>
        <v>0</v>
      </c>
    </row>
    <row r="56" spans="2:22" x14ac:dyDescent="0.25">
      <c r="B56" s="52"/>
      <c r="C56" s="52"/>
      <c r="D56" s="52"/>
      <c r="E56" s="80"/>
      <c r="F56" s="52"/>
      <c r="G56" s="52"/>
      <c r="H56" s="52"/>
      <c r="I56" s="52">
        <f>G56*H56</f>
        <v>0</v>
      </c>
      <c r="J56" s="52"/>
      <c r="K56" s="52"/>
      <c r="L56" s="52">
        <f>J56*K56</f>
        <v>0</v>
      </c>
      <c r="N56" s="52"/>
      <c r="O56" s="52"/>
      <c r="P56" s="52"/>
      <c r="Q56" s="80"/>
      <c r="S56" s="52"/>
      <c r="T56" s="52"/>
      <c r="U56" s="52"/>
      <c r="V56" s="80">
        <f t="shared" si="4"/>
        <v>0</v>
      </c>
    </row>
    <row r="57" spans="2:22" x14ac:dyDescent="0.25">
      <c r="B57" s="52"/>
      <c r="C57" s="52"/>
      <c r="D57" s="52"/>
      <c r="E57" s="80">
        <f t="shared" si="0"/>
        <v>0</v>
      </c>
      <c r="F57" s="52"/>
      <c r="G57" s="52"/>
      <c r="H57" s="52"/>
      <c r="I57" s="52">
        <f>G57*H57</f>
        <v>0</v>
      </c>
      <c r="J57" s="52"/>
      <c r="K57" s="52"/>
      <c r="L57" s="52">
        <f>J57*K57</f>
        <v>0</v>
      </c>
      <c r="N57" s="52"/>
      <c r="O57" s="52"/>
      <c r="P57" s="52"/>
      <c r="Q57" s="80">
        <f t="shared" si="3"/>
        <v>0</v>
      </c>
      <c r="S57" s="52"/>
      <c r="T57" s="52"/>
      <c r="U57" s="52"/>
      <c r="V57" s="80">
        <f t="shared" si="4"/>
        <v>0</v>
      </c>
    </row>
    <row r="58" spans="2:22" x14ac:dyDescent="0.25">
      <c r="B58" s="52"/>
      <c r="C58" s="52"/>
      <c r="D58" s="52"/>
      <c r="E58" s="80">
        <f t="shared" si="0"/>
        <v>0</v>
      </c>
      <c r="F58" s="52"/>
      <c r="G58" s="52"/>
      <c r="H58" s="52"/>
      <c r="I58" s="52">
        <f>G58*H58</f>
        <v>0</v>
      </c>
      <c r="J58" s="52"/>
      <c r="K58" s="52"/>
      <c r="L58" s="52">
        <f>J58*K58</f>
        <v>0</v>
      </c>
      <c r="N58" s="52"/>
      <c r="O58" s="52"/>
      <c r="P58" s="52"/>
      <c r="Q58" s="80">
        <f t="shared" si="3"/>
        <v>0</v>
      </c>
      <c r="S58" s="52"/>
      <c r="T58" s="52"/>
      <c r="U58" s="52"/>
      <c r="V58" s="80">
        <f t="shared" si="4"/>
        <v>0</v>
      </c>
    </row>
    <row r="59" spans="2:22" x14ac:dyDescent="0.25">
      <c r="B59" s="52" t="s">
        <v>150</v>
      </c>
      <c r="C59" s="52"/>
      <c r="D59" s="80">
        <f>E59*10.764</f>
        <v>2270.8337183999997</v>
      </c>
      <c r="E59" s="81">
        <f>SUM(E6:E58)</f>
        <v>210.96559999999997</v>
      </c>
      <c r="F59" s="52"/>
      <c r="G59" s="52"/>
      <c r="H59" s="52">
        <f>I59*10.764</f>
        <v>0</v>
      </c>
      <c r="I59" s="65">
        <f>SUM(I6:I58)</f>
        <v>0</v>
      </c>
      <c r="J59" s="52"/>
      <c r="K59" s="52">
        <f>L59*10.764</f>
        <v>0</v>
      </c>
      <c r="L59" s="64">
        <f>SUM(L6:L58)</f>
        <v>0</v>
      </c>
      <c r="N59" s="52" t="s">
        <v>150</v>
      </c>
      <c r="O59" s="52"/>
      <c r="P59" s="80">
        <f>Q59*10.764</f>
        <v>3206.9755691999994</v>
      </c>
      <c r="Q59" s="81">
        <f>SUM(Q6:Q58)</f>
        <v>297.93529999999998</v>
      </c>
      <c r="S59" s="52" t="s">
        <v>150</v>
      </c>
      <c r="T59" s="52"/>
      <c r="U59" s="80">
        <f>V59*10.764</f>
        <v>3028.0563612000001</v>
      </c>
      <c r="V59" s="81">
        <f>SUM(V6:V58)</f>
        <v>281.31330000000003</v>
      </c>
    </row>
    <row r="60" spans="2:22" x14ac:dyDescent="0.25">
      <c r="Q60" s="77"/>
      <c r="V60" s="77"/>
    </row>
    <row r="61" spans="2:22" x14ac:dyDescent="0.25">
      <c r="D61" s="51">
        <f>D59+H59</f>
        <v>2270.8337183999997</v>
      </c>
      <c r="E61" s="77">
        <f>E59+I59</f>
        <v>210.96559999999997</v>
      </c>
      <c r="P61" s="51">
        <f>P59+T59</f>
        <v>3206.9755691999994</v>
      </c>
      <c r="Q61" s="77">
        <f>Q59+U59</f>
        <v>3325.9916612000002</v>
      </c>
      <c r="U61" s="51">
        <f>U59+Y59</f>
        <v>3028.0563612000001</v>
      </c>
      <c r="V61" s="77">
        <f>V59+Z59</f>
        <v>281.31330000000003</v>
      </c>
    </row>
    <row r="63" spans="2:22" ht="57.6" customHeight="1" x14ac:dyDescent="0.25">
      <c r="B63" s="61" t="s">
        <v>304</v>
      </c>
      <c r="C63" s="305" t="s">
        <v>383</v>
      </c>
      <c r="D63" s="305"/>
      <c r="N63" s="61" t="s">
        <v>304</v>
      </c>
      <c r="O63" s="305" t="s">
        <v>384</v>
      </c>
      <c r="P63" s="305"/>
      <c r="Q63" s="77"/>
      <c r="S63" s="61" t="s">
        <v>304</v>
      </c>
      <c r="T63" s="305" t="s">
        <v>386</v>
      </c>
      <c r="U63" s="305"/>
      <c r="V63" s="77"/>
    </row>
    <row r="64" spans="2:22" x14ac:dyDescent="0.25">
      <c r="D64" s="62"/>
      <c r="E64" s="78"/>
      <c r="P64" s="62"/>
      <c r="Q64" s="78"/>
      <c r="U64" s="62"/>
      <c r="V64" s="78"/>
    </row>
    <row r="65" spans="1:22" x14ac:dyDescent="0.25">
      <c r="A65" s="61" t="s">
        <v>66</v>
      </c>
      <c r="B65" s="63" t="s">
        <v>305</v>
      </c>
      <c r="C65" s="306" t="s">
        <v>306</v>
      </c>
      <c r="D65" s="306"/>
      <c r="E65" s="306"/>
      <c r="M65" s="61" t="s">
        <v>66</v>
      </c>
      <c r="N65" s="63" t="s">
        <v>305</v>
      </c>
      <c r="O65" s="306" t="s">
        <v>306</v>
      </c>
      <c r="P65" s="306"/>
      <c r="Q65" s="306"/>
      <c r="R65" s="61" t="s">
        <v>66</v>
      </c>
      <c r="S65" s="63" t="s">
        <v>305</v>
      </c>
      <c r="T65" s="306" t="s">
        <v>306</v>
      </c>
      <c r="U65" s="306"/>
      <c r="V65" s="306"/>
    </row>
    <row r="66" spans="1:22" x14ac:dyDescent="0.25">
      <c r="A66" s="61">
        <v>1</v>
      </c>
      <c r="B66" s="63"/>
      <c r="C66" s="63" t="s">
        <v>309</v>
      </c>
      <c r="D66" s="63" t="s">
        <v>310</v>
      </c>
      <c r="E66" s="79" t="s">
        <v>311</v>
      </c>
      <c r="M66" s="61" t="s">
        <v>376</v>
      </c>
      <c r="N66" s="63"/>
      <c r="O66" s="63" t="s">
        <v>309</v>
      </c>
      <c r="P66" s="63" t="s">
        <v>310</v>
      </c>
      <c r="Q66" s="79" t="s">
        <v>311</v>
      </c>
      <c r="R66" s="61">
        <v>1</v>
      </c>
      <c r="S66" s="63"/>
      <c r="T66" s="63" t="s">
        <v>309</v>
      </c>
      <c r="U66" s="63" t="s">
        <v>310</v>
      </c>
      <c r="V66" s="79" t="s">
        <v>311</v>
      </c>
    </row>
    <row r="67" spans="1:22" x14ac:dyDescent="0.25">
      <c r="B67" s="52" t="s">
        <v>312</v>
      </c>
      <c r="C67" s="52">
        <v>5.15</v>
      </c>
      <c r="D67" s="52">
        <v>4.5</v>
      </c>
      <c r="E67" s="80">
        <f>C67*D67</f>
        <v>23.175000000000001</v>
      </c>
      <c r="N67" s="52" t="s">
        <v>312</v>
      </c>
      <c r="O67" s="52">
        <v>5.15</v>
      </c>
      <c r="P67" s="52">
        <v>4.5</v>
      </c>
      <c r="Q67" s="80">
        <f>O67*P67</f>
        <v>23.175000000000001</v>
      </c>
      <c r="S67" s="52" t="s">
        <v>312</v>
      </c>
      <c r="T67" s="52">
        <v>8.8000000000000007</v>
      </c>
      <c r="U67" s="52">
        <v>0.4</v>
      </c>
      <c r="V67" s="80">
        <f>T67*U67</f>
        <v>3.5200000000000005</v>
      </c>
    </row>
    <row r="68" spans="1:22" x14ac:dyDescent="0.25">
      <c r="B68" s="52"/>
      <c r="C68" s="52">
        <v>4.3</v>
      </c>
      <c r="D68" s="52">
        <v>0.4</v>
      </c>
      <c r="E68" s="80">
        <f t="shared" ref="E68:E118" si="11">C68*D68</f>
        <v>1.72</v>
      </c>
      <c r="N68" s="52"/>
      <c r="O68" s="52">
        <v>4.3</v>
      </c>
      <c r="P68" s="52">
        <v>0.4</v>
      </c>
      <c r="Q68" s="80">
        <f t="shared" ref="Q68:Q118" si="12">O68*P68</f>
        <v>1.72</v>
      </c>
      <c r="S68" s="52"/>
      <c r="T68" s="52">
        <v>10.5</v>
      </c>
      <c r="U68" s="52">
        <v>4.5</v>
      </c>
      <c r="V68" s="80">
        <f t="shared" ref="V68:V118" si="13">T68*U68</f>
        <v>47.25</v>
      </c>
    </row>
    <row r="69" spans="1:22" x14ac:dyDescent="0.25">
      <c r="B69" s="52"/>
      <c r="C69" s="52">
        <v>5.53</v>
      </c>
      <c r="D69" s="52">
        <v>1.8</v>
      </c>
      <c r="E69" s="80">
        <f t="shared" si="11"/>
        <v>9.9540000000000006</v>
      </c>
      <c r="N69" s="52"/>
      <c r="O69" s="52">
        <v>5.75</v>
      </c>
      <c r="P69" s="52">
        <v>1.8</v>
      </c>
      <c r="Q69" s="80">
        <f t="shared" si="12"/>
        <v>10.35</v>
      </c>
      <c r="S69" s="52"/>
      <c r="T69" s="52">
        <v>10.6</v>
      </c>
      <c r="U69" s="52">
        <v>2.2000000000000002</v>
      </c>
      <c r="V69" s="80">
        <f t="shared" si="13"/>
        <v>23.32</v>
      </c>
    </row>
    <row r="70" spans="1:22" x14ac:dyDescent="0.25">
      <c r="B70" s="52"/>
      <c r="C70" s="52"/>
      <c r="D70" s="52"/>
      <c r="E70" s="80">
        <f t="shared" si="11"/>
        <v>0</v>
      </c>
      <c r="N70" s="52"/>
      <c r="O70" s="52"/>
      <c r="P70" s="52"/>
      <c r="Q70" s="80">
        <f t="shared" si="12"/>
        <v>0</v>
      </c>
      <c r="S70" s="52"/>
      <c r="T70" s="52"/>
      <c r="U70" s="52"/>
      <c r="V70" s="80">
        <f t="shared" si="13"/>
        <v>0</v>
      </c>
    </row>
    <row r="71" spans="1:22" x14ac:dyDescent="0.25">
      <c r="B71" s="52" t="s">
        <v>314</v>
      </c>
      <c r="C71" s="52">
        <v>3.2</v>
      </c>
      <c r="D71" s="52">
        <v>4.07</v>
      </c>
      <c r="E71" s="80">
        <f t="shared" si="11"/>
        <v>13.024000000000001</v>
      </c>
      <c r="N71" s="52" t="s">
        <v>314</v>
      </c>
      <c r="O71" s="52">
        <v>3.7</v>
      </c>
      <c r="P71" s="52">
        <v>3.77</v>
      </c>
      <c r="Q71" s="80">
        <f t="shared" si="12"/>
        <v>13.949000000000002</v>
      </c>
      <c r="S71" s="52" t="s">
        <v>314</v>
      </c>
      <c r="T71" s="52">
        <v>3.7</v>
      </c>
      <c r="U71" s="52">
        <v>3.77</v>
      </c>
      <c r="V71" s="80">
        <f t="shared" si="13"/>
        <v>13.949000000000002</v>
      </c>
    </row>
    <row r="72" spans="1:22" x14ac:dyDescent="0.25">
      <c r="B72" s="52"/>
      <c r="C72" s="52">
        <v>2.35</v>
      </c>
      <c r="D72" s="52">
        <v>1.78</v>
      </c>
      <c r="E72" s="80">
        <f t="shared" si="11"/>
        <v>4.1829999999999998</v>
      </c>
      <c r="N72" s="52"/>
      <c r="O72" s="52">
        <v>2.85</v>
      </c>
      <c r="P72" s="52">
        <v>1.78</v>
      </c>
      <c r="Q72" s="80">
        <f t="shared" si="12"/>
        <v>5.0730000000000004</v>
      </c>
      <c r="S72" s="52"/>
      <c r="T72" s="52">
        <v>2.85</v>
      </c>
      <c r="U72" s="52">
        <v>1.78</v>
      </c>
      <c r="V72" s="80">
        <f t="shared" si="13"/>
        <v>5.0730000000000004</v>
      </c>
    </row>
    <row r="73" spans="1:22" x14ac:dyDescent="0.25">
      <c r="B73" s="52"/>
      <c r="C73" s="52">
        <v>3.2</v>
      </c>
      <c r="D73" s="52">
        <v>1.85</v>
      </c>
      <c r="E73" s="80">
        <f t="shared" si="11"/>
        <v>5.9200000000000008</v>
      </c>
      <c r="N73" s="52"/>
      <c r="O73" s="52">
        <v>3.2</v>
      </c>
      <c r="P73" s="52">
        <v>1.85</v>
      </c>
      <c r="Q73" s="80">
        <f t="shared" si="12"/>
        <v>5.9200000000000008</v>
      </c>
      <c r="S73" s="52" t="s">
        <v>388</v>
      </c>
      <c r="T73" s="52">
        <v>3.2</v>
      </c>
      <c r="U73" s="52">
        <v>1.85</v>
      </c>
      <c r="V73" s="80">
        <f t="shared" si="13"/>
        <v>5.9200000000000008</v>
      </c>
    </row>
    <row r="74" spans="1:22" x14ac:dyDescent="0.25">
      <c r="B74" s="52"/>
      <c r="C74" s="52">
        <v>1.05</v>
      </c>
      <c r="D74" s="52">
        <v>0.5</v>
      </c>
      <c r="E74" s="80">
        <f t="shared" si="11"/>
        <v>0.52500000000000002</v>
      </c>
      <c r="N74" s="52"/>
      <c r="O74" s="52">
        <v>1.05</v>
      </c>
      <c r="P74" s="52">
        <v>0.5</v>
      </c>
      <c r="Q74" s="80">
        <f t="shared" si="12"/>
        <v>0.52500000000000002</v>
      </c>
      <c r="S74" s="52"/>
      <c r="T74" s="52">
        <v>1.05</v>
      </c>
      <c r="U74" s="52">
        <v>0.5</v>
      </c>
      <c r="V74" s="80">
        <f t="shared" si="13"/>
        <v>0.52500000000000002</v>
      </c>
    </row>
    <row r="75" spans="1:22" x14ac:dyDescent="0.25">
      <c r="B75" s="52" t="s">
        <v>316</v>
      </c>
      <c r="C75" s="52">
        <v>3.65</v>
      </c>
      <c r="D75" s="52">
        <v>4.4000000000000004</v>
      </c>
      <c r="E75" s="80">
        <f t="shared" si="11"/>
        <v>16.060000000000002</v>
      </c>
      <c r="N75" s="52" t="s">
        <v>316</v>
      </c>
      <c r="O75" s="52">
        <v>3.65</v>
      </c>
      <c r="P75" s="52">
        <v>4.4000000000000004</v>
      </c>
      <c r="Q75" s="80">
        <f t="shared" si="12"/>
        <v>16.060000000000002</v>
      </c>
      <c r="S75" s="52" t="s">
        <v>316</v>
      </c>
      <c r="T75" s="52">
        <v>2.9</v>
      </c>
      <c r="U75" s="52">
        <v>0.6</v>
      </c>
      <c r="V75" s="80">
        <f t="shared" si="13"/>
        <v>1.74</v>
      </c>
    </row>
    <row r="76" spans="1:22" x14ac:dyDescent="0.25">
      <c r="B76" s="52"/>
      <c r="C76" s="52">
        <v>2.9</v>
      </c>
      <c r="D76" s="52">
        <v>0.35</v>
      </c>
      <c r="E76" s="80">
        <f t="shared" si="11"/>
        <v>1.0149999999999999</v>
      </c>
      <c r="N76" s="52"/>
      <c r="O76" s="52">
        <v>2.9</v>
      </c>
      <c r="P76" s="52">
        <v>0.35</v>
      </c>
      <c r="Q76" s="80">
        <f t="shared" si="12"/>
        <v>1.0149999999999999</v>
      </c>
      <c r="S76" s="52"/>
      <c r="T76" s="52">
        <v>3.65</v>
      </c>
      <c r="U76" s="52">
        <v>4.4000000000000004</v>
      </c>
      <c r="V76" s="80">
        <f t="shared" si="13"/>
        <v>16.060000000000002</v>
      </c>
    </row>
    <row r="77" spans="1:22" x14ac:dyDescent="0.25">
      <c r="B77" s="52"/>
      <c r="C77" s="52"/>
      <c r="D77" s="52"/>
      <c r="E77" s="80">
        <f t="shared" si="11"/>
        <v>0</v>
      </c>
      <c r="N77" s="52"/>
      <c r="O77" s="52"/>
      <c r="P77" s="52"/>
      <c r="Q77" s="80">
        <f t="shared" si="12"/>
        <v>0</v>
      </c>
      <c r="S77" s="52"/>
      <c r="T77" s="52"/>
      <c r="U77" s="52"/>
      <c r="V77" s="80">
        <f t="shared" si="13"/>
        <v>0</v>
      </c>
    </row>
    <row r="78" spans="1:22" x14ac:dyDescent="0.25">
      <c r="B78" s="52"/>
      <c r="C78" s="52"/>
      <c r="D78" s="52"/>
      <c r="E78" s="80">
        <f t="shared" si="11"/>
        <v>0</v>
      </c>
      <c r="N78" s="52"/>
      <c r="O78" s="52"/>
      <c r="P78" s="52"/>
      <c r="Q78" s="80">
        <f t="shared" si="12"/>
        <v>0</v>
      </c>
      <c r="S78" s="52"/>
      <c r="T78" s="52"/>
      <c r="U78" s="52"/>
      <c r="V78" s="80">
        <f t="shared" si="13"/>
        <v>0</v>
      </c>
    </row>
    <row r="79" spans="1:22" x14ac:dyDescent="0.25">
      <c r="B79" s="52" t="s">
        <v>317</v>
      </c>
      <c r="C79" s="52">
        <v>3.85</v>
      </c>
      <c r="D79" s="52">
        <v>4.75</v>
      </c>
      <c r="E79" s="80">
        <f t="shared" si="11"/>
        <v>18.287500000000001</v>
      </c>
      <c r="N79" s="52" t="s">
        <v>317</v>
      </c>
      <c r="O79" s="52">
        <v>3.85</v>
      </c>
      <c r="P79" s="52">
        <v>4.4000000000000004</v>
      </c>
      <c r="Q79" s="80">
        <f t="shared" si="12"/>
        <v>16.940000000000001</v>
      </c>
      <c r="S79" s="52" t="s">
        <v>317</v>
      </c>
      <c r="T79" s="52">
        <v>3.85</v>
      </c>
      <c r="U79" s="52">
        <v>4.4000000000000004</v>
      </c>
      <c r="V79" s="80">
        <f t="shared" si="13"/>
        <v>16.940000000000001</v>
      </c>
    </row>
    <row r="80" spans="1:22" x14ac:dyDescent="0.25">
      <c r="B80" s="52"/>
      <c r="C80" s="52">
        <v>1.4</v>
      </c>
      <c r="D80" s="52">
        <v>0.6</v>
      </c>
      <c r="E80" s="80">
        <f t="shared" si="11"/>
        <v>0.84</v>
      </c>
      <c r="N80" s="52"/>
      <c r="O80" s="52">
        <v>1.4</v>
      </c>
      <c r="P80" s="52">
        <v>0.6</v>
      </c>
      <c r="Q80" s="80">
        <f t="shared" si="12"/>
        <v>0.84</v>
      </c>
      <c r="S80" s="52"/>
      <c r="T80" s="52">
        <v>1.4</v>
      </c>
      <c r="U80" s="52">
        <v>0.6</v>
      </c>
      <c r="V80" s="80">
        <f t="shared" si="13"/>
        <v>0.84</v>
      </c>
    </row>
    <row r="81" spans="2:22" x14ac:dyDescent="0.25">
      <c r="B81" s="52"/>
      <c r="C81" s="52">
        <v>2.08</v>
      </c>
      <c r="D81" s="52">
        <v>0.9</v>
      </c>
      <c r="E81" s="80">
        <f t="shared" si="11"/>
        <v>1.8720000000000001</v>
      </c>
      <c r="N81" s="52"/>
      <c r="O81" s="52">
        <v>2.0699999999999998</v>
      </c>
      <c r="P81" s="52">
        <v>0.9</v>
      </c>
      <c r="Q81" s="80">
        <f t="shared" si="12"/>
        <v>1.863</v>
      </c>
      <c r="S81" s="52"/>
      <c r="T81" s="52">
        <v>2.08</v>
      </c>
      <c r="U81" s="52">
        <v>0.9</v>
      </c>
      <c r="V81" s="80">
        <f t="shared" si="13"/>
        <v>1.8720000000000001</v>
      </c>
    </row>
    <row r="82" spans="2:22" x14ac:dyDescent="0.25">
      <c r="B82" s="52" t="s">
        <v>318</v>
      </c>
      <c r="C82" s="52">
        <v>3.85</v>
      </c>
      <c r="D82" s="52">
        <v>3.98</v>
      </c>
      <c r="E82" s="80">
        <f t="shared" si="11"/>
        <v>15.323</v>
      </c>
      <c r="N82" s="52" t="s">
        <v>318</v>
      </c>
      <c r="O82" s="52">
        <v>3.85</v>
      </c>
      <c r="P82" s="52">
        <v>4.28</v>
      </c>
      <c r="Q82" s="80">
        <f t="shared" si="12"/>
        <v>16.478000000000002</v>
      </c>
      <c r="S82" s="52" t="s">
        <v>318</v>
      </c>
      <c r="T82" s="52">
        <v>3.85</v>
      </c>
      <c r="U82" s="52">
        <v>4.28</v>
      </c>
      <c r="V82" s="80">
        <f t="shared" si="13"/>
        <v>16.478000000000002</v>
      </c>
    </row>
    <row r="83" spans="2:22" x14ac:dyDescent="0.25">
      <c r="B83" s="52"/>
      <c r="C83" s="52">
        <v>1.4</v>
      </c>
      <c r="D83" s="52">
        <v>0.6</v>
      </c>
      <c r="E83" s="80">
        <f t="shared" si="11"/>
        <v>0.84</v>
      </c>
      <c r="N83" s="52"/>
      <c r="O83" s="52">
        <v>1.4</v>
      </c>
      <c r="P83" s="52">
        <v>0.6</v>
      </c>
      <c r="Q83" s="80">
        <f t="shared" si="12"/>
        <v>0.84</v>
      </c>
      <c r="S83" s="52"/>
      <c r="T83" s="52">
        <v>1.4</v>
      </c>
      <c r="U83" s="52">
        <v>0.6</v>
      </c>
      <c r="V83" s="80">
        <f t="shared" si="13"/>
        <v>0.84</v>
      </c>
    </row>
    <row r="84" spans="2:22" x14ac:dyDescent="0.25">
      <c r="B84" s="52"/>
      <c r="C84" s="52"/>
      <c r="D84" s="52"/>
      <c r="E84" s="80">
        <f t="shared" si="11"/>
        <v>0</v>
      </c>
      <c r="N84" s="52"/>
      <c r="O84" s="52">
        <v>2.0699999999999998</v>
      </c>
      <c r="P84" s="52">
        <v>1</v>
      </c>
      <c r="Q84" s="80">
        <f t="shared" si="12"/>
        <v>2.0699999999999998</v>
      </c>
      <c r="S84" s="52"/>
      <c r="T84" s="52">
        <v>2.08</v>
      </c>
      <c r="U84" s="52">
        <v>1</v>
      </c>
      <c r="V84" s="80">
        <f t="shared" si="13"/>
        <v>2.08</v>
      </c>
    </row>
    <row r="85" spans="2:22" x14ac:dyDescent="0.25">
      <c r="B85" s="52" t="s">
        <v>319</v>
      </c>
      <c r="C85" s="52">
        <v>3</v>
      </c>
      <c r="D85" s="52">
        <v>0.35</v>
      </c>
      <c r="E85" s="80">
        <f t="shared" si="11"/>
        <v>1.0499999999999998</v>
      </c>
      <c r="N85" s="52" t="s">
        <v>319</v>
      </c>
      <c r="O85" s="52">
        <v>3</v>
      </c>
      <c r="P85" s="52">
        <v>0.6</v>
      </c>
      <c r="Q85" s="80">
        <f t="shared" si="12"/>
        <v>1.7999999999999998</v>
      </c>
      <c r="S85" s="52" t="s">
        <v>319</v>
      </c>
      <c r="T85" s="52">
        <v>4.3499999999999996</v>
      </c>
      <c r="U85" s="52">
        <v>0.6</v>
      </c>
      <c r="V85" s="80">
        <f t="shared" si="13"/>
        <v>2.61</v>
      </c>
    </row>
    <row r="86" spans="2:22" x14ac:dyDescent="0.25">
      <c r="B86" s="52"/>
      <c r="C86" s="52">
        <v>3.75</v>
      </c>
      <c r="D86" s="52">
        <v>6.62</v>
      </c>
      <c r="E86" s="80">
        <f t="shared" si="11"/>
        <v>24.824999999999999</v>
      </c>
      <c r="N86" s="52"/>
      <c r="O86" s="52">
        <v>3.75</v>
      </c>
      <c r="P86" s="52">
        <v>6.62</v>
      </c>
      <c r="Q86" s="80">
        <f t="shared" si="12"/>
        <v>24.824999999999999</v>
      </c>
      <c r="S86" s="52"/>
      <c r="T86" s="52">
        <v>5.0999999999999996</v>
      </c>
      <c r="U86" s="52">
        <v>5.63</v>
      </c>
      <c r="V86" s="80">
        <f t="shared" si="13"/>
        <v>28.712999999999997</v>
      </c>
    </row>
    <row r="87" spans="2:22" x14ac:dyDescent="0.25">
      <c r="B87" s="52"/>
      <c r="C87" s="52"/>
      <c r="D87" s="52"/>
      <c r="E87" s="80">
        <f t="shared" si="11"/>
        <v>0</v>
      </c>
      <c r="N87" s="52"/>
      <c r="O87" s="52"/>
      <c r="P87" s="52"/>
      <c r="Q87" s="80">
        <f t="shared" si="12"/>
        <v>0</v>
      </c>
      <c r="S87" s="52"/>
      <c r="T87" s="52">
        <v>3.93</v>
      </c>
      <c r="U87" s="52">
        <v>3.25</v>
      </c>
      <c r="V87" s="80">
        <f t="shared" si="13"/>
        <v>12.772500000000001</v>
      </c>
    </row>
    <row r="88" spans="2:22" x14ac:dyDescent="0.25">
      <c r="B88" s="52"/>
      <c r="C88" s="52">
        <v>2.35</v>
      </c>
      <c r="D88" s="52">
        <v>2.4</v>
      </c>
      <c r="E88" s="80">
        <f t="shared" si="11"/>
        <v>5.64</v>
      </c>
      <c r="N88" s="52"/>
      <c r="O88" s="52">
        <v>2.35</v>
      </c>
      <c r="P88" s="52">
        <v>2.4</v>
      </c>
      <c r="Q88" s="80">
        <f t="shared" si="12"/>
        <v>5.64</v>
      </c>
      <c r="S88" s="52"/>
      <c r="T88" s="52">
        <v>0.6</v>
      </c>
      <c r="U88" s="52">
        <v>1.1299999999999999</v>
      </c>
      <c r="V88" s="80">
        <f t="shared" si="13"/>
        <v>0.67799999999999994</v>
      </c>
    </row>
    <row r="89" spans="2:22" x14ac:dyDescent="0.25">
      <c r="B89" s="52"/>
      <c r="C89" s="52"/>
      <c r="D89" s="52"/>
      <c r="E89" s="80">
        <f t="shared" si="11"/>
        <v>0</v>
      </c>
      <c r="N89" s="52"/>
      <c r="O89" s="52"/>
      <c r="P89" s="52"/>
      <c r="Q89" s="80">
        <f t="shared" si="12"/>
        <v>0</v>
      </c>
      <c r="S89" s="52" t="s">
        <v>389</v>
      </c>
      <c r="T89" s="52">
        <v>3</v>
      </c>
      <c r="U89" s="52">
        <v>0.6</v>
      </c>
      <c r="V89" s="80">
        <f t="shared" si="13"/>
        <v>1.7999999999999998</v>
      </c>
    </row>
    <row r="90" spans="2:22" x14ac:dyDescent="0.25">
      <c r="B90" s="52"/>
      <c r="C90" s="52"/>
      <c r="D90" s="52"/>
      <c r="E90" s="80">
        <f t="shared" si="11"/>
        <v>0</v>
      </c>
      <c r="N90" s="52"/>
      <c r="O90" s="52"/>
      <c r="P90" s="52"/>
      <c r="Q90" s="80">
        <f t="shared" si="12"/>
        <v>0</v>
      </c>
      <c r="S90" s="52"/>
      <c r="T90" s="52">
        <v>3.75</v>
      </c>
      <c r="U90" s="52">
        <v>6.62</v>
      </c>
      <c r="V90" s="80">
        <f t="shared" si="13"/>
        <v>24.824999999999999</v>
      </c>
    </row>
    <row r="91" spans="2:22" x14ac:dyDescent="0.25">
      <c r="B91" s="52"/>
      <c r="C91" s="52"/>
      <c r="D91" s="52"/>
      <c r="E91" s="80">
        <f t="shared" si="11"/>
        <v>0</v>
      </c>
      <c r="N91" s="52"/>
      <c r="O91" s="52"/>
      <c r="P91" s="52"/>
      <c r="Q91" s="80">
        <f t="shared" si="12"/>
        <v>0</v>
      </c>
      <c r="S91" s="52"/>
      <c r="T91" s="52">
        <v>2.35</v>
      </c>
      <c r="U91" s="52">
        <v>2.4</v>
      </c>
      <c r="V91" s="80">
        <f t="shared" si="13"/>
        <v>5.64</v>
      </c>
    </row>
    <row r="92" spans="2:22" x14ac:dyDescent="0.25">
      <c r="B92" s="52"/>
      <c r="C92" s="52"/>
      <c r="D92" s="52"/>
      <c r="E92" s="80">
        <f t="shared" si="11"/>
        <v>0</v>
      </c>
      <c r="N92" s="52"/>
      <c r="O92" s="52"/>
      <c r="P92" s="52"/>
      <c r="Q92" s="80">
        <f t="shared" si="12"/>
        <v>0</v>
      </c>
      <c r="S92" s="52"/>
      <c r="T92" s="52"/>
      <c r="U92" s="52"/>
      <c r="V92" s="80">
        <f t="shared" si="13"/>
        <v>0</v>
      </c>
    </row>
    <row r="93" spans="2:22" x14ac:dyDescent="0.25">
      <c r="B93" s="52"/>
      <c r="C93" s="52"/>
      <c r="D93" s="52"/>
      <c r="E93" s="80">
        <f t="shared" si="11"/>
        <v>0</v>
      </c>
      <c r="N93" s="52"/>
      <c r="O93" s="52"/>
      <c r="P93" s="52"/>
      <c r="Q93" s="80">
        <f t="shared" si="12"/>
        <v>0</v>
      </c>
      <c r="S93" s="52"/>
      <c r="T93" s="52"/>
      <c r="U93" s="52"/>
      <c r="V93" s="80">
        <f t="shared" si="13"/>
        <v>0</v>
      </c>
    </row>
    <row r="94" spans="2:22" x14ac:dyDescent="0.25">
      <c r="B94" s="52" t="s">
        <v>321</v>
      </c>
      <c r="C94" s="52">
        <v>2.0499999999999998</v>
      </c>
      <c r="D94" s="52">
        <v>1.1499999999999999</v>
      </c>
      <c r="E94" s="80">
        <f t="shared" si="11"/>
        <v>2.3574999999999995</v>
      </c>
      <c r="N94" s="52" t="s">
        <v>321</v>
      </c>
      <c r="O94" s="52">
        <v>2.0499999999999998</v>
      </c>
      <c r="P94" s="52">
        <v>1.1499999999999999</v>
      </c>
      <c r="Q94" s="80">
        <f t="shared" si="12"/>
        <v>2.3574999999999995</v>
      </c>
      <c r="S94" s="52" t="s">
        <v>321</v>
      </c>
      <c r="T94" s="52">
        <v>2.0499999999999998</v>
      </c>
      <c r="U94" s="52">
        <v>1.1499999999999999</v>
      </c>
      <c r="V94" s="80">
        <f t="shared" si="13"/>
        <v>2.3574999999999995</v>
      </c>
    </row>
    <row r="95" spans="2:22" x14ac:dyDescent="0.25">
      <c r="B95" s="52"/>
      <c r="C95" s="52"/>
      <c r="D95" s="52"/>
      <c r="E95" s="80">
        <f t="shared" si="11"/>
        <v>0</v>
      </c>
      <c r="N95" s="52"/>
      <c r="O95" s="52"/>
      <c r="P95" s="52"/>
      <c r="Q95" s="80">
        <f t="shared" si="12"/>
        <v>0</v>
      </c>
      <c r="S95" s="52"/>
      <c r="T95" s="52">
        <v>1.83</v>
      </c>
      <c r="U95" s="52">
        <v>2.0299999999999998</v>
      </c>
      <c r="V95" s="80">
        <f t="shared" si="13"/>
        <v>3.7148999999999996</v>
      </c>
    </row>
    <row r="96" spans="2:22" x14ac:dyDescent="0.25">
      <c r="B96" s="52" t="s">
        <v>322</v>
      </c>
      <c r="C96" s="52">
        <v>1.83</v>
      </c>
      <c r="D96" s="52">
        <v>1.77</v>
      </c>
      <c r="E96" s="80">
        <f t="shared" si="11"/>
        <v>3.2391000000000001</v>
      </c>
      <c r="N96" s="52" t="s">
        <v>322</v>
      </c>
      <c r="O96" s="52">
        <v>1.83</v>
      </c>
      <c r="P96" s="52">
        <v>2.0299999999999998</v>
      </c>
      <c r="Q96" s="80">
        <f t="shared" si="12"/>
        <v>3.7148999999999996</v>
      </c>
      <c r="S96" s="52" t="s">
        <v>322</v>
      </c>
      <c r="T96" s="52">
        <v>1.73</v>
      </c>
      <c r="U96" s="52">
        <v>1.07</v>
      </c>
      <c r="V96" s="80">
        <f t="shared" si="13"/>
        <v>1.8511000000000002</v>
      </c>
    </row>
    <row r="97" spans="2:22" x14ac:dyDescent="0.25">
      <c r="B97" s="52" t="s">
        <v>326</v>
      </c>
      <c r="C97" s="52">
        <v>1.73</v>
      </c>
      <c r="D97" s="52">
        <v>1.07</v>
      </c>
      <c r="E97" s="80">
        <f t="shared" si="11"/>
        <v>1.8511000000000002</v>
      </c>
      <c r="N97" s="52" t="s">
        <v>326</v>
      </c>
      <c r="O97" s="52">
        <v>1.72</v>
      </c>
      <c r="P97" s="52">
        <v>1.07</v>
      </c>
      <c r="Q97" s="80">
        <f t="shared" si="12"/>
        <v>1.8404</v>
      </c>
      <c r="S97" s="52" t="s">
        <v>326</v>
      </c>
      <c r="T97" s="52">
        <v>1.35</v>
      </c>
      <c r="U97" s="52">
        <v>1.65</v>
      </c>
      <c r="V97" s="80">
        <f t="shared" si="13"/>
        <v>2.2275</v>
      </c>
    </row>
    <row r="98" spans="2:22" x14ac:dyDescent="0.25">
      <c r="B98" s="52"/>
      <c r="C98" s="52">
        <v>1.35</v>
      </c>
      <c r="D98" s="52">
        <v>1.65</v>
      </c>
      <c r="E98" s="80">
        <f t="shared" si="11"/>
        <v>2.2275</v>
      </c>
      <c r="N98" s="52"/>
      <c r="O98" s="52">
        <v>1.35</v>
      </c>
      <c r="P98" s="52">
        <v>1.65</v>
      </c>
      <c r="Q98" s="80">
        <f t="shared" si="12"/>
        <v>2.2275</v>
      </c>
      <c r="S98" s="52"/>
      <c r="T98" s="52">
        <v>1.68</v>
      </c>
      <c r="U98" s="52">
        <v>1.1299999999999999</v>
      </c>
      <c r="V98" s="80">
        <f t="shared" si="13"/>
        <v>1.8983999999999996</v>
      </c>
    </row>
    <row r="99" spans="2:22" x14ac:dyDescent="0.25">
      <c r="B99" s="52"/>
      <c r="C99" s="52">
        <v>1.68</v>
      </c>
      <c r="D99" s="52">
        <v>0.88</v>
      </c>
      <c r="E99" s="80">
        <f t="shared" si="11"/>
        <v>1.4783999999999999</v>
      </c>
      <c r="N99" s="52"/>
      <c r="O99" s="52">
        <v>1.68</v>
      </c>
      <c r="P99" s="52">
        <v>1.1299999999999999</v>
      </c>
      <c r="Q99" s="80">
        <f t="shared" si="12"/>
        <v>1.8983999999999996</v>
      </c>
      <c r="S99" s="52"/>
      <c r="T99" s="52">
        <v>1.57</v>
      </c>
      <c r="U99" s="52">
        <v>1.07</v>
      </c>
      <c r="V99" s="80">
        <f t="shared" si="13"/>
        <v>1.6799000000000002</v>
      </c>
    </row>
    <row r="100" spans="2:22" x14ac:dyDescent="0.25">
      <c r="B100" s="52"/>
      <c r="C100" s="52">
        <v>1.57</v>
      </c>
      <c r="D100" s="52">
        <v>1.07</v>
      </c>
      <c r="E100" s="80">
        <f t="shared" si="11"/>
        <v>1.6799000000000002</v>
      </c>
      <c r="N100" s="52"/>
      <c r="O100" s="52">
        <v>1.57</v>
      </c>
      <c r="P100" s="52">
        <v>1.07</v>
      </c>
      <c r="Q100" s="80">
        <f t="shared" si="12"/>
        <v>1.6799000000000002</v>
      </c>
      <c r="S100" s="52"/>
      <c r="T100" s="52">
        <v>1.2</v>
      </c>
      <c r="U100" s="52">
        <v>1.65</v>
      </c>
      <c r="V100" s="80">
        <f t="shared" si="13"/>
        <v>1.9799999999999998</v>
      </c>
    </row>
    <row r="101" spans="2:22" x14ac:dyDescent="0.25">
      <c r="B101" s="52"/>
      <c r="C101" s="52">
        <v>1.2</v>
      </c>
      <c r="D101" s="52">
        <v>1.65</v>
      </c>
      <c r="E101" s="80">
        <f t="shared" si="11"/>
        <v>1.9799999999999998</v>
      </c>
      <c r="N101" s="52"/>
      <c r="O101" s="52">
        <v>1.2</v>
      </c>
      <c r="P101" s="52">
        <v>1.65</v>
      </c>
      <c r="Q101" s="80">
        <f t="shared" si="12"/>
        <v>1.9799999999999998</v>
      </c>
      <c r="S101" s="52"/>
      <c r="T101" s="52">
        <v>1.68</v>
      </c>
      <c r="U101" s="52">
        <v>1.45</v>
      </c>
      <c r="V101" s="80">
        <f t="shared" si="13"/>
        <v>2.4359999999999999</v>
      </c>
    </row>
    <row r="102" spans="2:22" x14ac:dyDescent="0.25">
      <c r="B102" s="52"/>
      <c r="C102" s="52">
        <v>3.75</v>
      </c>
      <c r="D102" s="52">
        <v>1.2</v>
      </c>
      <c r="E102" s="80">
        <f t="shared" si="11"/>
        <v>4.5</v>
      </c>
      <c r="N102" s="52"/>
      <c r="O102" s="52">
        <v>3.75</v>
      </c>
      <c r="P102" s="52">
        <v>1.2</v>
      </c>
      <c r="Q102" s="80">
        <f t="shared" si="12"/>
        <v>4.5</v>
      </c>
      <c r="S102" s="52"/>
      <c r="T102" s="52">
        <v>2.15</v>
      </c>
      <c r="U102" s="52">
        <v>1.98</v>
      </c>
      <c r="V102" s="80">
        <f t="shared" si="13"/>
        <v>4.2569999999999997</v>
      </c>
    </row>
    <row r="103" spans="2:22" x14ac:dyDescent="0.25">
      <c r="B103" s="52"/>
      <c r="C103" s="52">
        <v>2</v>
      </c>
      <c r="D103" s="52">
        <v>0.55000000000000004</v>
      </c>
      <c r="E103" s="80">
        <f t="shared" si="11"/>
        <v>1.1000000000000001</v>
      </c>
      <c r="N103" s="52"/>
      <c r="O103" s="52">
        <v>2</v>
      </c>
      <c r="P103" s="52">
        <v>1.45</v>
      </c>
      <c r="Q103" s="80">
        <f t="shared" si="12"/>
        <v>2.9</v>
      </c>
      <c r="S103" s="52"/>
      <c r="T103" s="52">
        <v>2.15</v>
      </c>
      <c r="U103" s="52">
        <v>1.07</v>
      </c>
      <c r="V103" s="80">
        <f t="shared" si="13"/>
        <v>2.3005</v>
      </c>
    </row>
    <row r="104" spans="2:22" x14ac:dyDescent="0.25">
      <c r="B104" s="52"/>
      <c r="C104" s="52">
        <v>2</v>
      </c>
      <c r="D104" s="52">
        <v>1.1000000000000001</v>
      </c>
      <c r="E104" s="80">
        <f t="shared" si="11"/>
        <v>2.2000000000000002</v>
      </c>
      <c r="N104" s="52"/>
      <c r="O104" s="52">
        <v>2</v>
      </c>
      <c r="P104" s="52">
        <v>1.1000000000000001</v>
      </c>
      <c r="Q104" s="80">
        <f t="shared" si="12"/>
        <v>2.2000000000000002</v>
      </c>
      <c r="S104" s="52"/>
      <c r="T104" s="52">
        <v>1.2</v>
      </c>
      <c r="U104" s="52">
        <v>1.5</v>
      </c>
      <c r="V104" s="80">
        <f t="shared" si="13"/>
        <v>1.7999999999999998</v>
      </c>
    </row>
    <row r="105" spans="2:22" x14ac:dyDescent="0.25">
      <c r="B105" s="52"/>
      <c r="C105" s="52">
        <v>1.68</v>
      </c>
      <c r="D105" s="52">
        <v>1.48</v>
      </c>
      <c r="E105" s="80">
        <f t="shared" si="11"/>
        <v>2.4863999999999997</v>
      </c>
      <c r="N105" s="52"/>
      <c r="O105" s="52">
        <v>1.68</v>
      </c>
      <c r="P105" s="52">
        <v>1.48</v>
      </c>
      <c r="Q105" s="80">
        <f t="shared" si="12"/>
        <v>2.4863999999999997</v>
      </c>
      <c r="S105" s="52"/>
      <c r="T105" s="52">
        <v>3.75</v>
      </c>
      <c r="U105" s="52">
        <v>1.2</v>
      </c>
      <c r="V105" s="80">
        <f t="shared" si="13"/>
        <v>4.5</v>
      </c>
    </row>
    <row r="106" spans="2:22" x14ac:dyDescent="0.25">
      <c r="B106" s="52"/>
      <c r="C106" s="52">
        <v>1.68</v>
      </c>
      <c r="D106" s="52">
        <v>1.55</v>
      </c>
      <c r="E106" s="80">
        <f t="shared" si="11"/>
        <v>2.6040000000000001</v>
      </c>
      <c r="N106" s="52"/>
      <c r="O106" s="52">
        <v>1.68</v>
      </c>
      <c r="P106" s="52">
        <v>1.45</v>
      </c>
      <c r="Q106" s="80">
        <f t="shared" si="12"/>
        <v>2.4359999999999999</v>
      </c>
      <c r="S106" s="52"/>
      <c r="T106" s="52">
        <v>2</v>
      </c>
      <c r="U106" s="52">
        <v>1.45</v>
      </c>
      <c r="V106" s="80">
        <f t="shared" si="13"/>
        <v>2.9</v>
      </c>
    </row>
    <row r="107" spans="2:22" x14ac:dyDescent="0.25">
      <c r="B107" s="52"/>
      <c r="C107" s="52"/>
      <c r="D107" s="52"/>
      <c r="E107" s="80">
        <f t="shared" si="11"/>
        <v>0</v>
      </c>
      <c r="N107" s="52"/>
      <c r="O107" s="52"/>
      <c r="P107" s="52"/>
      <c r="Q107" s="80">
        <f t="shared" si="12"/>
        <v>0</v>
      </c>
      <c r="S107" s="52"/>
      <c r="T107" s="52">
        <v>2</v>
      </c>
      <c r="U107" s="52">
        <v>1.1000000000000001</v>
      </c>
      <c r="V107" s="80">
        <f t="shared" si="13"/>
        <v>2.2000000000000002</v>
      </c>
    </row>
    <row r="108" spans="2:22" x14ac:dyDescent="0.25">
      <c r="B108" s="52"/>
      <c r="C108" s="52"/>
      <c r="D108" s="52"/>
      <c r="E108" s="80">
        <f t="shared" si="11"/>
        <v>0</v>
      </c>
      <c r="N108" s="52"/>
      <c r="O108" s="52"/>
      <c r="P108" s="52"/>
      <c r="Q108" s="80">
        <f t="shared" si="12"/>
        <v>0</v>
      </c>
      <c r="S108" s="52"/>
      <c r="T108" s="52">
        <v>1.68</v>
      </c>
      <c r="U108" s="52">
        <v>1.48</v>
      </c>
      <c r="V108" s="80">
        <f t="shared" si="13"/>
        <v>2.4863999999999997</v>
      </c>
    </row>
    <row r="109" spans="2:22" x14ac:dyDescent="0.25">
      <c r="B109" s="52"/>
      <c r="C109" s="52"/>
      <c r="D109" s="52"/>
      <c r="E109" s="80">
        <f t="shared" si="11"/>
        <v>0</v>
      </c>
      <c r="N109" s="52"/>
      <c r="O109" s="52"/>
      <c r="P109" s="52"/>
      <c r="Q109" s="80">
        <f t="shared" si="12"/>
        <v>0</v>
      </c>
      <c r="S109" s="52"/>
      <c r="T109" s="52"/>
      <c r="U109" s="52"/>
      <c r="V109" s="80">
        <f t="shared" si="13"/>
        <v>0</v>
      </c>
    </row>
    <row r="110" spans="2:22" x14ac:dyDescent="0.25">
      <c r="B110" s="52" t="s">
        <v>323</v>
      </c>
      <c r="C110" s="52">
        <v>5.07</v>
      </c>
      <c r="D110" s="52">
        <v>5.27</v>
      </c>
      <c r="E110" s="80">
        <f t="shared" si="11"/>
        <v>26.718899999999998</v>
      </c>
      <c r="N110" s="52" t="s">
        <v>323</v>
      </c>
      <c r="O110" s="52">
        <v>5.57</v>
      </c>
      <c r="P110" s="52">
        <v>5.27</v>
      </c>
      <c r="Q110" s="80">
        <f t="shared" si="12"/>
        <v>29.353899999999999</v>
      </c>
      <c r="S110" s="52" t="s">
        <v>323</v>
      </c>
      <c r="T110" s="52">
        <v>5.57</v>
      </c>
      <c r="U110" s="52">
        <v>5.58</v>
      </c>
      <c r="V110" s="80">
        <f t="shared" si="13"/>
        <v>31.0806</v>
      </c>
    </row>
    <row r="111" spans="2:22" x14ac:dyDescent="0.25">
      <c r="B111" s="52" t="s">
        <v>327</v>
      </c>
      <c r="C111" s="52"/>
      <c r="D111" s="52"/>
      <c r="E111" s="80">
        <f t="shared" si="11"/>
        <v>0</v>
      </c>
      <c r="N111" s="52" t="s">
        <v>327</v>
      </c>
      <c r="O111" s="52">
        <v>0.63</v>
      </c>
      <c r="P111" s="52">
        <v>1.73</v>
      </c>
      <c r="Q111" s="80">
        <f t="shared" si="12"/>
        <v>1.0899000000000001</v>
      </c>
      <c r="S111" s="52" t="s">
        <v>327</v>
      </c>
      <c r="T111" s="52">
        <v>1.73</v>
      </c>
      <c r="U111" s="52">
        <v>0.63</v>
      </c>
      <c r="V111" s="80">
        <f t="shared" si="13"/>
        <v>1.0899000000000001</v>
      </c>
    </row>
    <row r="112" spans="2:22" x14ac:dyDescent="0.25">
      <c r="B112" s="52" t="s">
        <v>324</v>
      </c>
      <c r="C112" s="52">
        <v>3.58</v>
      </c>
      <c r="D112" s="52">
        <v>1.2</v>
      </c>
      <c r="E112" s="80">
        <f t="shared" si="11"/>
        <v>4.2960000000000003</v>
      </c>
      <c r="N112" s="52" t="s">
        <v>324</v>
      </c>
      <c r="O112" s="52">
        <v>3.58</v>
      </c>
      <c r="P112" s="52">
        <v>1.2</v>
      </c>
      <c r="Q112" s="80">
        <f t="shared" si="12"/>
        <v>4.2960000000000003</v>
      </c>
      <c r="S112" s="52" t="s">
        <v>324</v>
      </c>
      <c r="T112" s="52">
        <v>3.58</v>
      </c>
      <c r="U112" s="52">
        <v>1.2</v>
      </c>
      <c r="V112" s="80">
        <f t="shared" si="13"/>
        <v>4.2960000000000003</v>
      </c>
    </row>
    <row r="113" spans="1:22" x14ac:dyDescent="0.25">
      <c r="B113" s="52" t="s">
        <v>325</v>
      </c>
      <c r="C113" s="52"/>
      <c r="D113" s="52"/>
      <c r="E113" s="80">
        <f t="shared" si="11"/>
        <v>0</v>
      </c>
      <c r="N113" s="52" t="s">
        <v>325</v>
      </c>
      <c r="O113" s="52"/>
      <c r="P113" s="52"/>
      <c r="Q113" s="80">
        <f t="shared" si="12"/>
        <v>0</v>
      </c>
      <c r="S113" s="52" t="s">
        <v>325</v>
      </c>
      <c r="T113" s="52"/>
      <c r="U113" s="52"/>
      <c r="V113" s="80">
        <f t="shared" si="13"/>
        <v>0</v>
      </c>
    </row>
    <row r="114" spans="1:22" x14ac:dyDescent="0.25">
      <c r="B114" s="52"/>
      <c r="C114" s="52"/>
      <c r="D114" s="52"/>
      <c r="E114" s="80">
        <f t="shared" si="11"/>
        <v>0</v>
      </c>
      <c r="N114" s="52"/>
      <c r="O114" s="52"/>
      <c r="P114" s="52"/>
      <c r="Q114" s="80">
        <f t="shared" si="12"/>
        <v>0</v>
      </c>
      <c r="S114" s="52"/>
      <c r="T114" s="52"/>
      <c r="U114" s="52"/>
      <c r="V114" s="80">
        <f t="shared" si="13"/>
        <v>0</v>
      </c>
    </row>
    <row r="115" spans="1:22" x14ac:dyDescent="0.25">
      <c r="B115" s="52" t="s">
        <v>375</v>
      </c>
      <c r="C115" s="52"/>
      <c r="D115" s="52"/>
      <c r="E115" s="80">
        <f t="shared" si="11"/>
        <v>0</v>
      </c>
      <c r="N115" s="52" t="s">
        <v>375</v>
      </c>
      <c r="O115" s="52"/>
      <c r="P115" s="52"/>
      <c r="Q115" s="80">
        <f t="shared" si="12"/>
        <v>0</v>
      </c>
      <c r="S115" s="52" t="s">
        <v>375</v>
      </c>
      <c r="T115" s="52"/>
      <c r="U115" s="52"/>
      <c r="V115" s="80">
        <f t="shared" si="13"/>
        <v>0</v>
      </c>
    </row>
    <row r="116" spans="1:22" x14ac:dyDescent="0.25">
      <c r="B116" s="52"/>
      <c r="C116" s="52"/>
      <c r="D116" s="52"/>
      <c r="E116" s="80">
        <f t="shared" si="11"/>
        <v>0</v>
      </c>
      <c r="N116" s="52"/>
      <c r="O116" s="52"/>
      <c r="P116" s="52"/>
      <c r="Q116" s="80">
        <f t="shared" si="12"/>
        <v>0</v>
      </c>
      <c r="S116" s="52"/>
      <c r="T116" s="52"/>
      <c r="U116" s="52"/>
      <c r="V116" s="80">
        <f t="shared" si="13"/>
        <v>0</v>
      </c>
    </row>
    <row r="117" spans="1:22" x14ac:dyDescent="0.25">
      <c r="B117" s="52"/>
      <c r="C117" s="52"/>
      <c r="D117" s="52"/>
      <c r="E117" s="80">
        <f t="shared" si="11"/>
        <v>0</v>
      </c>
      <c r="N117" s="52"/>
      <c r="O117" s="52"/>
      <c r="P117" s="52"/>
      <c r="Q117" s="80">
        <f t="shared" si="12"/>
        <v>0</v>
      </c>
      <c r="S117" s="52"/>
      <c r="T117" s="52"/>
      <c r="U117" s="52"/>
      <c r="V117" s="80">
        <f t="shared" si="13"/>
        <v>0</v>
      </c>
    </row>
    <row r="118" spans="1:22" x14ac:dyDescent="0.25">
      <c r="B118" s="52"/>
      <c r="C118" s="52"/>
      <c r="D118" s="52"/>
      <c r="E118" s="80">
        <f t="shared" si="11"/>
        <v>0</v>
      </c>
      <c r="N118" s="52"/>
      <c r="O118" s="52"/>
      <c r="P118" s="52"/>
      <c r="Q118" s="80">
        <f t="shared" si="12"/>
        <v>0</v>
      </c>
      <c r="S118" s="52"/>
      <c r="T118" s="52"/>
      <c r="U118" s="52"/>
      <c r="V118" s="80">
        <f t="shared" si="13"/>
        <v>0</v>
      </c>
    </row>
    <row r="119" spans="1:22" x14ac:dyDescent="0.25">
      <c r="B119" s="52" t="s">
        <v>150</v>
      </c>
      <c r="C119" s="52"/>
      <c r="D119" s="80">
        <f>E119*10.764</f>
        <v>2184.7938371999994</v>
      </c>
      <c r="E119" s="81">
        <f>SUM(E67:E118)</f>
        <v>202.97229999999996</v>
      </c>
      <c r="N119" s="52" t="s">
        <v>150</v>
      </c>
      <c r="O119" s="52"/>
      <c r="P119" s="80">
        <f>Q119*10.764</f>
        <v>2303.9674631999997</v>
      </c>
      <c r="Q119" s="81">
        <f>SUM(Q67:Q118)</f>
        <v>214.04379999999998</v>
      </c>
      <c r="S119" s="52" t="s">
        <v>150</v>
      </c>
      <c r="T119" s="52"/>
      <c r="U119" s="80">
        <f>V119*10.764</f>
        <v>3320.7069168000003</v>
      </c>
      <c r="V119" s="81">
        <f>SUM(V67:V118)</f>
        <v>308.50120000000004</v>
      </c>
    </row>
    <row r="120" spans="1:22" x14ac:dyDescent="0.25">
      <c r="Q120" s="77"/>
      <c r="V120" s="77"/>
    </row>
    <row r="121" spans="1:22" x14ac:dyDescent="0.25">
      <c r="D121" s="51">
        <f>D119+H119</f>
        <v>2184.7938371999994</v>
      </c>
      <c r="E121" s="77">
        <f>E119+I119</f>
        <v>202.97229999999996</v>
      </c>
      <c r="P121" s="51">
        <f>P119+T119</f>
        <v>2303.9674631999997</v>
      </c>
      <c r="Q121" s="77">
        <f>Q119+U119</f>
        <v>3534.7507168000002</v>
      </c>
      <c r="U121" s="51">
        <f>U119+Y119</f>
        <v>3320.7069168000003</v>
      </c>
      <c r="V121" s="77">
        <f>V119+Z119</f>
        <v>308.50120000000004</v>
      </c>
    </row>
    <row r="123" spans="1:22" ht="29.1" customHeight="1" x14ac:dyDescent="0.25">
      <c r="B123" s="61" t="s">
        <v>304</v>
      </c>
      <c r="C123" s="305" t="s">
        <v>391</v>
      </c>
      <c r="D123" s="305"/>
      <c r="N123" s="61" t="s">
        <v>304</v>
      </c>
      <c r="O123" s="305" t="s">
        <v>392</v>
      </c>
      <c r="P123" s="305"/>
      <c r="Q123" s="77"/>
      <c r="S123" s="61" t="s">
        <v>304</v>
      </c>
      <c r="T123" s="305" t="s">
        <v>393</v>
      </c>
      <c r="U123" s="305"/>
      <c r="V123" s="77"/>
    </row>
    <row r="124" spans="1:22" x14ac:dyDescent="0.25">
      <c r="D124" s="62"/>
      <c r="E124" s="78"/>
      <c r="P124" s="62"/>
      <c r="Q124" s="78"/>
      <c r="U124" s="62"/>
      <c r="V124" s="78"/>
    </row>
    <row r="125" spans="1:22" x14ac:dyDescent="0.25">
      <c r="A125" s="61" t="s">
        <v>66</v>
      </c>
      <c r="B125" s="63" t="s">
        <v>305</v>
      </c>
      <c r="C125" s="306" t="s">
        <v>306</v>
      </c>
      <c r="D125" s="306"/>
      <c r="E125" s="306"/>
      <c r="M125" s="61" t="s">
        <v>66</v>
      </c>
      <c r="N125" s="63" t="s">
        <v>305</v>
      </c>
      <c r="O125" s="306" t="s">
        <v>306</v>
      </c>
      <c r="P125" s="306"/>
      <c r="Q125" s="306"/>
      <c r="R125" s="61" t="s">
        <v>66</v>
      </c>
      <c r="S125" s="63" t="s">
        <v>305</v>
      </c>
      <c r="T125" s="306" t="s">
        <v>306</v>
      </c>
      <c r="U125" s="306"/>
      <c r="V125" s="306"/>
    </row>
    <row r="126" spans="1:22" x14ac:dyDescent="0.25">
      <c r="A126" s="61">
        <v>1</v>
      </c>
      <c r="B126" s="63"/>
      <c r="C126" s="63" t="s">
        <v>309</v>
      </c>
      <c r="D126" s="63" t="s">
        <v>310</v>
      </c>
      <c r="E126" s="79" t="s">
        <v>311</v>
      </c>
      <c r="M126" s="61" t="s">
        <v>376</v>
      </c>
      <c r="N126" s="63"/>
      <c r="O126" s="63" t="s">
        <v>309</v>
      </c>
      <c r="P126" s="63" t="s">
        <v>310</v>
      </c>
      <c r="Q126" s="79" t="s">
        <v>311</v>
      </c>
      <c r="R126" s="61" t="s">
        <v>376</v>
      </c>
      <c r="S126" s="63"/>
      <c r="T126" s="63" t="s">
        <v>309</v>
      </c>
      <c r="U126" s="63" t="s">
        <v>310</v>
      </c>
      <c r="V126" s="79" t="s">
        <v>311</v>
      </c>
    </row>
    <row r="127" spans="1:22" x14ac:dyDescent="0.25">
      <c r="B127" s="52" t="s">
        <v>312</v>
      </c>
      <c r="C127" s="52">
        <v>8.8000000000000007</v>
      </c>
      <c r="D127" s="52">
        <v>0.4</v>
      </c>
      <c r="E127" s="80">
        <f>C127*D127</f>
        <v>3.5200000000000005</v>
      </c>
      <c r="N127" s="52" t="s">
        <v>312</v>
      </c>
      <c r="O127" s="52">
        <v>5.15</v>
      </c>
      <c r="P127" s="52">
        <v>4.5</v>
      </c>
      <c r="Q127" s="80">
        <f>O127*P127</f>
        <v>23.175000000000001</v>
      </c>
      <c r="S127" s="52" t="s">
        <v>312</v>
      </c>
      <c r="T127" s="52">
        <v>5.15</v>
      </c>
      <c r="U127" s="52">
        <v>6.9</v>
      </c>
      <c r="V127" s="80">
        <f>T127*U127</f>
        <v>35.535000000000004</v>
      </c>
    </row>
    <row r="128" spans="1:22" x14ac:dyDescent="0.25">
      <c r="B128" s="52"/>
      <c r="C128" s="52">
        <v>10.5</v>
      </c>
      <c r="D128" s="52">
        <v>4.5</v>
      </c>
      <c r="E128" s="80">
        <f t="shared" ref="E128:E178" si="14">C128*D128</f>
        <v>47.25</v>
      </c>
      <c r="N128" s="52"/>
      <c r="O128" s="52">
        <v>4.3</v>
      </c>
      <c r="P128" s="52">
        <v>0.4</v>
      </c>
      <c r="Q128" s="80">
        <f t="shared" ref="Q128:Q178" si="15">O128*P128</f>
        <v>1.72</v>
      </c>
      <c r="S128" s="52"/>
      <c r="T128" s="52">
        <v>4.3</v>
      </c>
      <c r="U128" s="52">
        <v>0.4</v>
      </c>
      <c r="V128" s="80">
        <f t="shared" ref="V128:V178" si="16">T128*U128</f>
        <v>1.72</v>
      </c>
    </row>
    <row r="129" spans="2:22" x14ac:dyDescent="0.25">
      <c r="B129" s="52"/>
      <c r="C129" s="52">
        <v>10.6</v>
      </c>
      <c r="D129" s="52">
        <v>2.2000000000000002</v>
      </c>
      <c r="E129" s="80">
        <f t="shared" si="14"/>
        <v>23.32</v>
      </c>
      <c r="N129" s="52"/>
      <c r="O129" s="52">
        <v>5.25</v>
      </c>
      <c r="P129" s="52">
        <v>2.2000000000000002</v>
      </c>
      <c r="Q129" s="80">
        <f t="shared" si="15"/>
        <v>11.55</v>
      </c>
      <c r="S129" s="52"/>
      <c r="T129" s="52"/>
      <c r="U129" s="52"/>
      <c r="V129" s="80">
        <f t="shared" si="16"/>
        <v>0</v>
      </c>
    </row>
    <row r="130" spans="2:22" x14ac:dyDescent="0.25">
      <c r="B130" s="52"/>
      <c r="C130" s="52"/>
      <c r="D130" s="52"/>
      <c r="E130" s="80">
        <f t="shared" si="14"/>
        <v>0</v>
      </c>
      <c r="N130" s="52"/>
      <c r="O130" s="52"/>
      <c r="P130" s="52"/>
      <c r="Q130" s="80">
        <f t="shared" si="15"/>
        <v>0</v>
      </c>
      <c r="S130" s="52"/>
      <c r="T130" s="52"/>
      <c r="U130" s="52"/>
      <c r="V130" s="80">
        <f t="shared" si="16"/>
        <v>0</v>
      </c>
    </row>
    <row r="131" spans="2:22" x14ac:dyDescent="0.25">
      <c r="B131" s="52" t="s">
        <v>314</v>
      </c>
      <c r="C131" s="52">
        <v>3.7</v>
      </c>
      <c r="D131" s="52">
        <v>4.07</v>
      </c>
      <c r="E131" s="80">
        <f t="shared" si="14"/>
        <v>15.059000000000001</v>
      </c>
      <c r="N131" s="52" t="s">
        <v>314</v>
      </c>
      <c r="O131" s="52">
        <v>3.7</v>
      </c>
      <c r="P131" s="52">
        <v>4.07</v>
      </c>
      <c r="Q131" s="80">
        <f t="shared" si="15"/>
        <v>15.059000000000001</v>
      </c>
      <c r="S131" s="52" t="s">
        <v>314</v>
      </c>
      <c r="T131" s="52">
        <v>3.8</v>
      </c>
      <c r="U131" s="52">
        <v>3.77</v>
      </c>
      <c r="V131" s="80">
        <f t="shared" si="16"/>
        <v>14.325999999999999</v>
      </c>
    </row>
    <row r="132" spans="2:22" x14ac:dyDescent="0.25">
      <c r="B132" s="52"/>
      <c r="C132" s="52">
        <v>2.85</v>
      </c>
      <c r="D132" s="52">
        <v>1.78</v>
      </c>
      <c r="E132" s="80">
        <f t="shared" si="14"/>
        <v>5.0730000000000004</v>
      </c>
      <c r="N132" s="52"/>
      <c r="O132" s="52">
        <v>2.85</v>
      </c>
      <c r="P132" s="52">
        <v>1.78</v>
      </c>
      <c r="Q132" s="80">
        <f t="shared" si="15"/>
        <v>5.0730000000000004</v>
      </c>
      <c r="S132" s="52"/>
      <c r="T132" s="52">
        <v>2.95</v>
      </c>
      <c r="U132" s="52">
        <v>1.78</v>
      </c>
      <c r="V132" s="80">
        <f t="shared" si="16"/>
        <v>5.2510000000000003</v>
      </c>
    </row>
    <row r="133" spans="2:22" x14ac:dyDescent="0.25">
      <c r="B133" s="52" t="s">
        <v>388</v>
      </c>
      <c r="C133" s="52">
        <v>3.2</v>
      </c>
      <c r="D133" s="52">
        <v>1.85</v>
      </c>
      <c r="E133" s="80">
        <f t="shared" si="14"/>
        <v>5.9200000000000008</v>
      </c>
      <c r="N133" s="52"/>
      <c r="O133" s="52">
        <v>3.2</v>
      </c>
      <c r="P133" s="52">
        <v>1.85</v>
      </c>
      <c r="Q133" s="80">
        <f t="shared" si="15"/>
        <v>5.9200000000000008</v>
      </c>
      <c r="S133" s="52" t="s">
        <v>382</v>
      </c>
      <c r="T133" s="52">
        <v>3.2</v>
      </c>
      <c r="U133" s="52">
        <v>1.85</v>
      </c>
      <c r="V133" s="80">
        <f t="shared" si="16"/>
        <v>5.9200000000000008</v>
      </c>
    </row>
    <row r="134" spans="2:22" x14ac:dyDescent="0.25">
      <c r="B134" s="52"/>
      <c r="C134" s="52">
        <v>1.05</v>
      </c>
      <c r="D134" s="52">
        <v>0.5</v>
      </c>
      <c r="E134" s="80">
        <f t="shared" si="14"/>
        <v>0.52500000000000002</v>
      </c>
      <c r="N134" s="52"/>
      <c r="O134" s="52">
        <v>1.05</v>
      </c>
      <c r="P134" s="52">
        <v>0.5</v>
      </c>
      <c r="Q134" s="80">
        <f t="shared" si="15"/>
        <v>0.52500000000000002</v>
      </c>
      <c r="S134" s="52"/>
      <c r="T134" s="52">
        <v>1.05</v>
      </c>
      <c r="U134" s="52">
        <v>0.5</v>
      </c>
      <c r="V134" s="80">
        <f t="shared" si="16"/>
        <v>0.52500000000000002</v>
      </c>
    </row>
    <row r="135" spans="2:22" x14ac:dyDescent="0.25">
      <c r="B135" s="52" t="s">
        <v>316</v>
      </c>
      <c r="C135" s="52">
        <v>2.9</v>
      </c>
      <c r="D135" s="52">
        <v>0.35</v>
      </c>
      <c r="E135" s="80">
        <f t="shared" si="14"/>
        <v>1.0149999999999999</v>
      </c>
      <c r="N135" s="52" t="s">
        <v>316</v>
      </c>
      <c r="O135" s="52">
        <v>3.65</v>
      </c>
      <c r="P135" s="52">
        <v>4.4000000000000004</v>
      </c>
      <c r="Q135" s="80">
        <f t="shared" si="15"/>
        <v>16.060000000000002</v>
      </c>
      <c r="S135" s="52" t="s">
        <v>316</v>
      </c>
      <c r="T135" s="52">
        <v>3.65</v>
      </c>
      <c r="U135" s="52">
        <v>4.4000000000000004</v>
      </c>
      <c r="V135" s="80">
        <f t="shared" si="16"/>
        <v>16.060000000000002</v>
      </c>
    </row>
    <row r="136" spans="2:22" x14ac:dyDescent="0.25">
      <c r="B136" s="52"/>
      <c r="C136" s="52">
        <v>3.65</v>
      </c>
      <c r="D136" s="52">
        <v>4.4000000000000004</v>
      </c>
      <c r="E136" s="80">
        <f t="shared" si="14"/>
        <v>16.060000000000002</v>
      </c>
      <c r="N136" s="52"/>
      <c r="O136" s="52">
        <v>2.9</v>
      </c>
      <c r="P136" s="52">
        <v>0.35</v>
      </c>
      <c r="Q136" s="80">
        <f t="shared" si="15"/>
        <v>1.0149999999999999</v>
      </c>
      <c r="S136" s="52"/>
      <c r="T136" s="52">
        <v>2.9</v>
      </c>
      <c r="U136" s="52">
        <v>0.6</v>
      </c>
      <c r="V136" s="80">
        <f t="shared" si="16"/>
        <v>1.74</v>
      </c>
    </row>
    <row r="137" spans="2:22" x14ac:dyDescent="0.25">
      <c r="B137" s="52"/>
      <c r="C137" s="52"/>
      <c r="D137" s="52"/>
      <c r="E137" s="80">
        <f t="shared" si="14"/>
        <v>0</v>
      </c>
      <c r="N137" s="52"/>
      <c r="O137" s="52"/>
      <c r="P137" s="52"/>
      <c r="Q137" s="80">
        <f t="shared" si="15"/>
        <v>0</v>
      </c>
      <c r="S137" s="52"/>
      <c r="T137" s="52"/>
      <c r="U137" s="52"/>
      <c r="V137" s="80">
        <f t="shared" si="16"/>
        <v>0</v>
      </c>
    </row>
    <row r="138" spans="2:22" x14ac:dyDescent="0.25">
      <c r="B138" s="52"/>
      <c r="C138" s="52"/>
      <c r="D138" s="52"/>
      <c r="E138" s="80">
        <f t="shared" si="14"/>
        <v>0</v>
      </c>
      <c r="N138" s="52"/>
      <c r="O138" s="52"/>
      <c r="P138" s="52"/>
      <c r="Q138" s="80">
        <f t="shared" si="15"/>
        <v>0</v>
      </c>
      <c r="S138" s="52"/>
      <c r="T138" s="52"/>
      <c r="U138" s="52"/>
      <c r="V138" s="80">
        <f t="shared" si="16"/>
        <v>0</v>
      </c>
    </row>
    <row r="139" spans="2:22" x14ac:dyDescent="0.25">
      <c r="B139" s="52" t="s">
        <v>317</v>
      </c>
      <c r="C139" s="52">
        <v>3.85</v>
      </c>
      <c r="D139" s="52">
        <v>4.1500000000000004</v>
      </c>
      <c r="E139" s="80">
        <f t="shared" si="14"/>
        <v>15.977500000000001</v>
      </c>
      <c r="N139" s="52" t="s">
        <v>317</v>
      </c>
      <c r="O139" s="52">
        <v>3.85</v>
      </c>
      <c r="P139" s="52">
        <v>4.75</v>
      </c>
      <c r="Q139" s="80">
        <f t="shared" si="15"/>
        <v>18.287500000000001</v>
      </c>
      <c r="S139" s="52" t="s">
        <v>317</v>
      </c>
      <c r="T139" s="52">
        <v>3.85</v>
      </c>
      <c r="U139" s="52">
        <v>4.4000000000000004</v>
      </c>
      <c r="V139" s="80">
        <f t="shared" si="16"/>
        <v>16.940000000000001</v>
      </c>
    </row>
    <row r="140" spans="2:22" x14ac:dyDescent="0.25">
      <c r="B140" s="52"/>
      <c r="C140" s="52">
        <v>1.4</v>
      </c>
      <c r="D140" s="52">
        <v>0.6</v>
      </c>
      <c r="E140" s="80">
        <f t="shared" si="14"/>
        <v>0.84</v>
      </c>
      <c r="N140" s="52"/>
      <c r="O140" s="52">
        <v>1.4</v>
      </c>
      <c r="P140" s="52">
        <v>0.6</v>
      </c>
      <c r="Q140" s="80">
        <f t="shared" si="15"/>
        <v>0.84</v>
      </c>
      <c r="S140" s="52"/>
      <c r="T140" s="52">
        <v>1.4</v>
      </c>
      <c r="U140" s="52">
        <v>0.6</v>
      </c>
      <c r="V140" s="80">
        <f t="shared" si="16"/>
        <v>0.84</v>
      </c>
    </row>
    <row r="141" spans="2:22" x14ac:dyDescent="0.25">
      <c r="B141" s="52"/>
      <c r="C141" s="52">
        <v>2.08</v>
      </c>
      <c r="D141" s="52">
        <v>0.75</v>
      </c>
      <c r="E141" s="80">
        <f t="shared" si="14"/>
        <v>1.56</v>
      </c>
      <c r="N141" s="52"/>
      <c r="O141" s="52">
        <v>2.08</v>
      </c>
      <c r="P141" s="52">
        <v>0.9</v>
      </c>
      <c r="Q141" s="80">
        <f t="shared" si="15"/>
        <v>1.8720000000000001</v>
      </c>
      <c r="S141" s="52"/>
      <c r="T141" s="52">
        <v>2.08</v>
      </c>
      <c r="U141" s="52">
        <v>0.9</v>
      </c>
      <c r="V141" s="80">
        <f t="shared" si="16"/>
        <v>1.8720000000000001</v>
      </c>
    </row>
    <row r="142" spans="2:22" x14ac:dyDescent="0.25">
      <c r="B142" s="52" t="s">
        <v>318</v>
      </c>
      <c r="C142" s="52">
        <v>3.85</v>
      </c>
      <c r="D142" s="52">
        <v>3.38</v>
      </c>
      <c r="E142" s="80">
        <f t="shared" si="14"/>
        <v>13.013</v>
      </c>
      <c r="N142" s="52" t="s">
        <v>318</v>
      </c>
      <c r="O142" s="52">
        <v>3.85</v>
      </c>
      <c r="P142" s="52">
        <v>3.98</v>
      </c>
      <c r="Q142" s="80">
        <f t="shared" si="15"/>
        <v>15.323</v>
      </c>
      <c r="S142" s="52" t="s">
        <v>318</v>
      </c>
      <c r="T142" s="52">
        <v>3.85</v>
      </c>
      <c r="U142" s="52">
        <v>4.28</v>
      </c>
      <c r="V142" s="80">
        <f t="shared" si="16"/>
        <v>16.478000000000002</v>
      </c>
    </row>
    <row r="143" spans="2:22" x14ac:dyDescent="0.25">
      <c r="B143" s="52"/>
      <c r="C143" s="52">
        <v>1.4</v>
      </c>
      <c r="D143" s="52">
        <v>0.6</v>
      </c>
      <c r="E143" s="80">
        <f t="shared" si="14"/>
        <v>0.84</v>
      </c>
      <c r="N143" s="52"/>
      <c r="O143" s="52">
        <v>1.4</v>
      </c>
      <c r="P143" s="52">
        <v>0.6</v>
      </c>
      <c r="Q143" s="80">
        <f t="shared" si="15"/>
        <v>0.84</v>
      </c>
      <c r="S143" s="52"/>
      <c r="T143" s="52">
        <v>1.4</v>
      </c>
      <c r="U143" s="52">
        <v>0.6</v>
      </c>
      <c r="V143" s="80">
        <f t="shared" si="16"/>
        <v>0.84</v>
      </c>
    </row>
    <row r="144" spans="2:22" x14ac:dyDescent="0.25">
      <c r="B144" s="52"/>
      <c r="C144" s="52"/>
      <c r="D144" s="52"/>
      <c r="E144" s="80">
        <f t="shared" si="14"/>
        <v>0</v>
      </c>
      <c r="N144" s="52"/>
      <c r="O144" s="52"/>
      <c r="P144" s="52"/>
      <c r="Q144" s="80">
        <f t="shared" si="15"/>
        <v>0</v>
      </c>
      <c r="S144" s="52"/>
      <c r="T144" s="52"/>
      <c r="U144" s="52"/>
      <c r="V144" s="80">
        <f t="shared" si="16"/>
        <v>0</v>
      </c>
    </row>
    <row r="145" spans="2:22" x14ac:dyDescent="0.25">
      <c r="B145" s="52" t="s">
        <v>319</v>
      </c>
      <c r="C145" s="52">
        <v>4.3499999999999996</v>
      </c>
      <c r="D145" s="52">
        <v>0.35</v>
      </c>
      <c r="E145" s="80">
        <f t="shared" si="14"/>
        <v>1.5224999999999997</v>
      </c>
      <c r="N145" s="52" t="s">
        <v>319</v>
      </c>
      <c r="O145" s="52">
        <v>3</v>
      </c>
      <c r="P145" s="52">
        <v>0.35</v>
      </c>
      <c r="Q145" s="80">
        <f t="shared" si="15"/>
        <v>1.0499999999999998</v>
      </c>
      <c r="S145" s="52" t="s">
        <v>319</v>
      </c>
      <c r="T145" s="52">
        <v>3</v>
      </c>
      <c r="U145" s="52">
        <v>0.6</v>
      </c>
      <c r="V145" s="80">
        <f t="shared" si="16"/>
        <v>1.7999999999999998</v>
      </c>
    </row>
    <row r="146" spans="2:22" x14ac:dyDescent="0.25">
      <c r="B146" s="52"/>
      <c r="C146" s="52">
        <v>5.0999999999999996</v>
      </c>
      <c r="D146" s="52">
        <v>5.62</v>
      </c>
      <c r="E146" s="80">
        <f t="shared" si="14"/>
        <v>28.661999999999999</v>
      </c>
      <c r="N146" s="52"/>
      <c r="O146" s="52">
        <v>3.75</v>
      </c>
      <c r="P146" s="52">
        <v>6.62</v>
      </c>
      <c r="Q146" s="80">
        <f t="shared" si="15"/>
        <v>24.824999999999999</v>
      </c>
      <c r="S146" s="52"/>
      <c r="T146" s="52">
        <v>3.75</v>
      </c>
      <c r="U146" s="52">
        <v>6.62</v>
      </c>
      <c r="V146" s="80">
        <f t="shared" si="16"/>
        <v>24.824999999999999</v>
      </c>
    </row>
    <row r="147" spans="2:22" x14ac:dyDescent="0.25">
      <c r="B147" s="52"/>
      <c r="C147" s="52">
        <v>3.92</v>
      </c>
      <c r="D147" s="52">
        <v>2.35</v>
      </c>
      <c r="E147" s="80">
        <f t="shared" si="14"/>
        <v>9.2119999999999997</v>
      </c>
      <c r="N147" s="52"/>
      <c r="O147" s="52"/>
      <c r="P147" s="52"/>
      <c r="Q147" s="80">
        <f t="shared" si="15"/>
        <v>0</v>
      </c>
      <c r="S147" s="52"/>
      <c r="T147" s="52"/>
      <c r="U147" s="52"/>
      <c r="V147" s="80">
        <f t="shared" si="16"/>
        <v>0</v>
      </c>
    </row>
    <row r="148" spans="2:22" x14ac:dyDescent="0.25">
      <c r="B148" s="52"/>
      <c r="C148" s="52">
        <v>0.6</v>
      </c>
      <c r="D148" s="52">
        <v>1.1299999999999999</v>
      </c>
      <c r="E148" s="80">
        <f t="shared" si="14"/>
        <v>0.67799999999999994</v>
      </c>
      <c r="N148" s="52"/>
      <c r="O148" s="52">
        <v>2.35</v>
      </c>
      <c r="P148" s="52">
        <v>2.4</v>
      </c>
      <c r="Q148" s="80">
        <f t="shared" si="15"/>
        <v>5.64</v>
      </c>
      <c r="S148" s="52"/>
      <c r="T148" s="52">
        <v>2.35</v>
      </c>
      <c r="U148" s="52">
        <v>2.4</v>
      </c>
      <c r="V148" s="80">
        <f t="shared" si="16"/>
        <v>5.64</v>
      </c>
    </row>
    <row r="149" spans="2:22" x14ac:dyDescent="0.25">
      <c r="B149" s="52" t="s">
        <v>389</v>
      </c>
      <c r="C149" s="52">
        <v>3</v>
      </c>
      <c r="D149" s="52">
        <v>0.35</v>
      </c>
      <c r="E149" s="80">
        <f t="shared" si="14"/>
        <v>1.0499999999999998</v>
      </c>
      <c r="N149" s="52"/>
      <c r="O149" s="52"/>
      <c r="P149" s="52"/>
      <c r="Q149" s="80">
        <f t="shared" si="15"/>
        <v>0</v>
      </c>
      <c r="S149" s="52"/>
      <c r="T149" s="52"/>
      <c r="U149" s="52"/>
      <c r="V149" s="80">
        <f t="shared" si="16"/>
        <v>0</v>
      </c>
    </row>
    <row r="150" spans="2:22" x14ac:dyDescent="0.25">
      <c r="B150" s="52"/>
      <c r="C150" s="52">
        <v>3.75</v>
      </c>
      <c r="D150" s="52">
        <v>6.62</v>
      </c>
      <c r="E150" s="80">
        <f t="shared" si="14"/>
        <v>24.824999999999999</v>
      </c>
      <c r="N150" s="52"/>
      <c r="O150" s="52"/>
      <c r="P150" s="52"/>
      <c r="Q150" s="80">
        <f t="shared" si="15"/>
        <v>0</v>
      </c>
      <c r="S150" s="52"/>
      <c r="T150" s="52"/>
      <c r="U150" s="52"/>
      <c r="V150" s="80">
        <f t="shared" si="16"/>
        <v>0</v>
      </c>
    </row>
    <row r="151" spans="2:22" x14ac:dyDescent="0.25">
      <c r="B151" s="52"/>
      <c r="C151" s="52">
        <v>2.35</v>
      </c>
      <c r="D151" s="52">
        <v>2.4</v>
      </c>
      <c r="E151" s="80">
        <f t="shared" si="14"/>
        <v>5.64</v>
      </c>
      <c r="N151" s="52"/>
      <c r="O151" s="52"/>
      <c r="P151" s="52"/>
      <c r="Q151" s="80">
        <f t="shared" si="15"/>
        <v>0</v>
      </c>
      <c r="S151" s="52"/>
      <c r="T151" s="52"/>
      <c r="U151" s="52"/>
      <c r="V151" s="80">
        <f t="shared" si="16"/>
        <v>0</v>
      </c>
    </row>
    <row r="152" spans="2:22" x14ac:dyDescent="0.25">
      <c r="B152" s="52"/>
      <c r="C152" s="52"/>
      <c r="D152" s="52"/>
      <c r="E152" s="80">
        <f t="shared" si="14"/>
        <v>0</v>
      </c>
      <c r="N152" s="52"/>
      <c r="O152" s="52"/>
      <c r="P152" s="52"/>
      <c r="Q152" s="80">
        <f t="shared" si="15"/>
        <v>0</v>
      </c>
      <c r="S152" s="52"/>
      <c r="T152" s="52"/>
      <c r="U152" s="52"/>
      <c r="V152" s="80">
        <f t="shared" si="16"/>
        <v>0</v>
      </c>
    </row>
    <row r="153" spans="2:22" x14ac:dyDescent="0.25">
      <c r="B153" s="52"/>
      <c r="C153" s="52"/>
      <c r="D153" s="52"/>
      <c r="E153" s="80">
        <f t="shared" si="14"/>
        <v>0</v>
      </c>
      <c r="N153" s="52"/>
      <c r="O153" s="52"/>
      <c r="P153" s="52"/>
      <c r="Q153" s="80">
        <f t="shared" si="15"/>
        <v>0</v>
      </c>
      <c r="S153" s="52"/>
      <c r="T153" s="52"/>
      <c r="U153" s="52"/>
      <c r="V153" s="80">
        <f t="shared" si="16"/>
        <v>0</v>
      </c>
    </row>
    <row r="154" spans="2:22" x14ac:dyDescent="0.25">
      <c r="B154" s="52" t="s">
        <v>321</v>
      </c>
      <c r="C154" s="52">
        <v>2.0499999999999998</v>
      </c>
      <c r="D154" s="52">
        <v>1.1499999999999999</v>
      </c>
      <c r="E154" s="80">
        <f t="shared" si="14"/>
        <v>2.3574999999999995</v>
      </c>
      <c r="N154" s="52" t="s">
        <v>321</v>
      </c>
      <c r="O154" s="52">
        <v>2.0499999999999998</v>
      </c>
      <c r="P154" s="52">
        <v>1.1499999999999999</v>
      </c>
      <c r="Q154" s="80">
        <f t="shared" si="15"/>
        <v>2.3574999999999995</v>
      </c>
      <c r="S154" s="52" t="s">
        <v>321</v>
      </c>
      <c r="T154" s="52">
        <v>2.0499999999999998</v>
      </c>
      <c r="U154" s="52">
        <v>1.1499999999999999</v>
      </c>
      <c r="V154" s="80">
        <f t="shared" si="16"/>
        <v>2.3574999999999995</v>
      </c>
    </row>
    <row r="155" spans="2:22" x14ac:dyDescent="0.25">
      <c r="B155" s="52"/>
      <c r="C155" s="52">
        <v>1.83</v>
      </c>
      <c r="D155" s="52">
        <v>1.77</v>
      </c>
      <c r="E155" s="80">
        <f t="shared" si="14"/>
        <v>3.2391000000000001</v>
      </c>
      <c r="N155" s="52"/>
      <c r="O155" s="52"/>
      <c r="P155" s="52"/>
      <c r="Q155" s="80">
        <f t="shared" si="15"/>
        <v>0</v>
      </c>
      <c r="S155" s="52"/>
      <c r="T155" s="52"/>
      <c r="U155" s="52"/>
      <c r="V155" s="80">
        <f t="shared" si="16"/>
        <v>0</v>
      </c>
    </row>
    <row r="156" spans="2:22" x14ac:dyDescent="0.25">
      <c r="B156" s="52" t="s">
        <v>322</v>
      </c>
      <c r="C156" s="52">
        <v>1.73</v>
      </c>
      <c r="D156" s="52">
        <v>1.07</v>
      </c>
      <c r="E156" s="80">
        <f t="shared" si="14"/>
        <v>1.8511000000000002</v>
      </c>
      <c r="N156" s="52" t="s">
        <v>322</v>
      </c>
      <c r="O156" s="52">
        <v>1.83</v>
      </c>
      <c r="P156" s="52">
        <v>1.77</v>
      </c>
      <c r="Q156" s="80">
        <f t="shared" si="15"/>
        <v>3.2391000000000001</v>
      </c>
      <c r="S156" s="52" t="s">
        <v>322</v>
      </c>
      <c r="T156" s="52">
        <v>1.83</v>
      </c>
      <c r="U156" s="52">
        <v>2.0299999999999998</v>
      </c>
      <c r="V156" s="80">
        <f t="shared" si="16"/>
        <v>3.7148999999999996</v>
      </c>
    </row>
    <row r="157" spans="2:22" x14ac:dyDescent="0.25">
      <c r="B157" s="52" t="s">
        <v>326</v>
      </c>
      <c r="C157" s="52">
        <v>1.35</v>
      </c>
      <c r="D157" s="52">
        <v>1.65</v>
      </c>
      <c r="E157" s="80">
        <f t="shared" si="14"/>
        <v>2.2275</v>
      </c>
      <c r="N157" s="52" t="s">
        <v>326</v>
      </c>
      <c r="O157" s="52">
        <v>1.73</v>
      </c>
      <c r="P157" s="52">
        <v>1.07</v>
      </c>
      <c r="Q157" s="80">
        <f t="shared" si="15"/>
        <v>1.8511000000000002</v>
      </c>
      <c r="S157" s="52" t="s">
        <v>326</v>
      </c>
      <c r="T157" s="52">
        <v>1.73</v>
      </c>
      <c r="U157" s="52">
        <v>1.07</v>
      </c>
      <c r="V157" s="80">
        <f t="shared" si="16"/>
        <v>1.8511000000000002</v>
      </c>
    </row>
    <row r="158" spans="2:22" x14ac:dyDescent="0.25">
      <c r="B158" s="52"/>
      <c r="C158" s="52">
        <v>1.68</v>
      </c>
      <c r="D158" s="52">
        <v>1.02</v>
      </c>
      <c r="E158" s="80">
        <f t="shared" si="14"/>
        <v>1.7136</v>
      </c>
      <c r="N158" s="52"/>
      <c r="O158" s="52">
        <v>1.35</v>
      </c>
      <c r="P158" s="52">
        <v>1.65</v>
      </c>
      <c r="Q158" s="80">
        <f t="shared" si="15"/>
        <v>2.2275</v>
      </c>
      <c r="S158" s="52"/>
      <c r="T158" s="52">
        <v>1.35</v>
      </c>
      <c r="U158" s="52">
        <v>1.65</v>
      </c>
      <c r="V158" s="80">
        <f t="shared" si="16"/>
        <v>2.2275</v>
      </c>
    </row>
    <row r="159" spans="2:22" x14ac:dyDescent="0.25">
      <c r="B159" s="52"/>
      <c r="C159" s="52">
        <v>1.57</v>
      </c>
      <c r="D159" s="52">
        <v>1.07</v>
      </c>
      <c r="E159" s="80">
        <f t="shared" si="14"/>
        <v>1.6799000000000002</v>
      </c>
      <c r="N159" s="52"/>
      <c r="O159" s="52">
        <v>1.68</v>
      </c>
      <c r="P159" s="52">
        <v>0.88</v>
      </c>
      <c r="Q159" s="80">
        <f t="shared" si="15"/>
        <v>1.4783999999999999</v>
      </c>
      <c r="S159" s="52"/>
      <c r="T159" s="52">
        <v>1.68</v>
      </c>
      <c r="U159" s="52">
        <v>1.1299999999999999</v>
      </c>
      <c r="V159" s="80">
        <f t="shared" si="16"/>
        <v>1.8983999999999996</v>
      </c>
    </row>
    <row r="160" spans="2:22" x14ac:dyDescent="0.25">
      <c r="B160" s="52"/>
      <c r="C160" s="52">
        <v>1.2</v>
      </c>
      <c r="D160" s="52">
        <v>1.65</v>
      </c>
      <c r="E160" s="80">
        <f t="shared" si="14"/>
        <v>1.9799999999999998</v>
      </c>
      <c r="N160" s="52"/>
      <c r="O160" s="52">
        <v>1.57</v>
      </c>
      <c r="P160" s="52">
        <v>1.07</v>
      </c>
      <c r="Q160" s="80">
        <f t="shared" si="15"/>
        <v>1.6799000000000002</v>
      </c>
      <c r="S160" s="52"/>
      <c r="T160" s="52">
        <v>1.57</v>
      </c>
      <c r="U160" s="52">
        <v>1.07</v>
      </c>
      <c r="V160" s="80">
        <f t="shared" si="16"/>
        <v>1.6799000000000002</v>
      </c>
    </row>
    <row r="161" spans="2:22" x14ac:dyDescent="0.25">
      <c r="B161" s="52"/>
      <c r="C161" s="52"/>
      <c r="D161" s="52"/>
      <c r="E161" s="80">
        <f t="shared" si="14"/>
        <v>0</v>
      </c>
      <c r="N161" s="52"/>
      <c r="O161" s="52">
        <v>1.2</v>
      </c>
      <c r="P161" s="52">
        <v>1.65</v>
      </c>
      <c r="Q161" s="80">
        <f t="shared" si="15"/>
        <v>1.9799999999999998</v>
      </c>
      <c r="S161" s="52"/>
      <c r="T161" s="52">
        <v>1.2</v>
      </c>
      <c r="U161" s="52">
        <v>1.65</v>
      </c>
      <c r="V161" s="80">
        <f t="shared" si="16"/>
        <v>1.9799999999999998</v>
      </c>
    </row>
    <row r="162" spans="2:22" x14ac:dyDescent="0.25">
      <c r="B162" s="52"/>
      <c r="C162" s="52">
        <v>2.15</v>
      </c>
      <c r="D162" s="52">
        <v>1.77</v>
      </c>
      <c r="E162" s="80">
        <f t="shared" si="14"/>
        <v>3.8054999999999999</v>
      </c>
      <c r="N162" s="52"/>
      <c r="O162" s="52">
        <v>3.75</v>
      </c>
      <c r="P162" s="52">
        <v>1.2</v>
      </c>
      <c r="Q162" s="80">
        <f t="shared" si="15"/>
        <v>4.5</v>
      </c>
      <c r="S162" s="52"/>
      <c r="T162" s="52"/>
      <c r="U162" s="52"/>
      <c r="V162" s="80">
        <f t="shared" si="16"/>
        <v>0</v>
      </c>
    </row>
    <row r="163" spans="2:22" x14ac:dyDescent="0.25">
      <c r="B163" s="52"/>
      <c r="C163" s="52">
        <v>2.15</v>
      </c>
      <c r="D163" s="52">
        <v>1.07</v>
      </c>
      <c r="E163" s="80">
        <f t="shared" si="14"/>
        <v>2.3005</v>
      </c>
      <c r="N163" s="52"/>
      <c r="O163" s="52">
        <v>2</v>
      </c>
      <c r="P163" s="52">
        <v>0.55000000000000004</v>
      </c>
      <c r="Q163" s="80">
        <f t="shared" si="15"/>
        <v>1.1000000000000001</v>
      </c>
      <c r="S163" s="52"/>
      <c r="T163" s="52">
        <v>1.68</v>
      </c>
      <c r="U163" s="52">
        <v>1.45</v>
      </c>
      <c r="V163" s="80">
        <f t="shared" si="16"/>
        <v>2.4359999999999999</v>
      </c>
    </row>
    <row r="164" spans="2:22" x14ac:dyDescent="0.25">
      <c r="B164" s="52"/>
      <c r="C164" s="52">
        <v>1.2</v>
      </c>
      <c r="D164" s="52">
        <v>1.5</v>
      </c>
      <c r="E164" s="80">
        <f t="shared" si="14"/>
        <v>1.7999999999999998</v>
      </c>
      <c r="N164" s="52"/>
      <c r="O164" s="52">
        <v>2</v>
      </c>
      <c r="P164" s="52">
        <v>1.1000000000000001</v>
      </c>
      <c r="Q164" s="80">
        <f t="shared" si="15"/>
        <v>2.2000000000000002</v>
      </c>
      <c r="S164" s="52"/>
      <c r="T164" s="52">
        <v>2.08</v>
      </c>
      <c r="U164" s="52">
        <v>1</v>
      </c>
      <c r="V164" s="80">
        <f t="shared" si="16"/>
        <v>2.08</v>
      </c>
    </row>
    <row r="165" spans="2:22" x14ac:dyDescent="0.25">
      <c r="B165" s="52"/>
      <c r="C165" s="52">
        <v>3.75</v>
      </c>
      <c r="D165" s="52">
        <v>1.2</v>
      </c>
      <c r="E165" s="80">
        <f t="shared" si="14"/>
        <v>4.5</v>
      </c>
      <c r="N165" s="52"/>
      <c r="O165" s="52">
        <v>1.68</v>
      </c>
      <c r="P165" s="52">
        <v>1.48</v>
      </c>
      <c r="Q165" s="80">
        <f t="shared" si="15"/>
        <v>2.4863999999999997</v>
      </c>
      <c r="S165" s="52"/>
      <c r="T165" s="52">
        <v>3.75</v>
      </c>
      <c r="U165" s="52">
        <v>1.2</v>
      </c>
      <c r="V165" s="80">
        <f t="shared" si="16"/>
        <v>4.5</v>
      </c>
    </row>
    <row r="166" spans="2:22" x14ac:dyDescent="0.25">
      <c r="B166" s="52"/>
      <c r="C166" s="52">
        <v>2</v>
      </c>
      <c r="D166" s="52">
        <v>0.55000000000000004</v>
      </c>
      <c r="E166" s="80">
        <f t="shared" si="14"/>
        <v>1.1000000000000001</v>
      </c>
      <c r="N166" s="52"/>
      <c r="O166" s="52">
        <v>1.68</v>
      </c>
      <c r="P166" s="52">
        <v>1.55</v>
      </c>
      <c r="Q166" s="80">
        <f t="shared" si="15"/>
        <v>2.6040000000000001</v>
      </c>
      <c r="S166" s="52"/>
      <c r="T166" s="52">
        <v>2</v>
      </c>
      <c r="U166" s="52">
        <v>1.45</v>
      </c>
      <c r="V166" s="80">
        <f t="shared" si="16"/>
        <v>2.9</v>
      </c>
    </row>
    <row r="167" spans="2:22" x14ac:dyDescent="0.25">
      <c r="B167" s="52"/>
      <c r="C167" s="52">
        <v>2</v>
      </c>
      <c r="D167" s="52">
        <v>1.1000000000000001</v>
      </c>
      <c r="E167" s="80">
        <f t="shared" si="14"/>
        <v>2.2000000000000002</v>
      </c>
      <c r="N167" s="52"/>
      <c r="O167" s="52"/>
      <c r="P167" s="52"/>
      <c r="Q167" s="80">
        <f t="shared" si="15"/>
        <v>0</v>
      </c>
      <c r="S167" s="52"/>
      <c r="T167" s="52">
        <v>2</v>
      </c>
      <c r="U167" s="52">
        <v>1.1000000000000001</v>
      </c>
      <c r="V167" s="80">
        <f t="shared" si="16"/>
        <v>2.2000000000000002</v>
      </c>
    </row>
    <row r="168" spans="2:22" x14ac:dyDescent="0.25">
      <c r="B168" s="52"/>
      <c r="C168" s="52">
        <v>1.68</v>
      </c>
      <c r="D168" s="52">
        <v>1.48</v>
      </c>
      <c r="E168" s="80">
        <f t="shared" si="14"/>
        <v>2.4863999999999997</v>
      </c>
      <c r="N168" s="52"/>
      <c r="O168" s="52"/>
      <c r="P168" s="52"/>
      <c r="Q168" s="80">
        <f t="shared" si="15"/>
        <v>0</v>
      </c>
      <c r="S168" s="52"/>
      <c r="T168" s="52">
        <v>1.68</v>
      </c>
      <c r="U168" s="52">
        <v>1.48</v>
      </c>
      <c r="V168" s="80">
        <f t="shared" si="16"/>
        <v>2.4863999999999997</v>
      </c>
    </row>
    <row r="169" spans="2:22" x14ac:dyDescent="0.25">
      <c r="B169" s="52"/>
      <c r="C169" s="52">
        <v>1.68</v>
      </c>
      <c r="D169" s="52">
        <v>1.55</v>
      </c>
      <c r="E169" s="80">
        <f t="shared" si="14"/>
        <v>2.6040000000000001</v>
      </c>
      <c r="N169" s="52"/>
      <c r="O169" s="52"/>
      <c r="P169" s="52"/>
      <c r="Q169" s="80">
        <f t="shared" si="15"/>
        <v>0</v>
      </c>
      <c r="S169" s="52"/>
      <c r="T169" s="52"/>
      <c r="U169" s="52"/>
      <c r="V169" s="80">
        <f t="shared" si="16"/>
        <v>0</v>
      </c>
    </row>
    <row r="170" spans="2:22" x14ac:dyDescent="0.25">
      <c r="B170" s="52" t="s">
        <v>323</v>
      </c>
      <c r="C170" s="52">
        <v>5.57</v>
      </c>
      <c r="D170" s="52">
        <v>5.28</v>
      </c>
      <c r="E170" s="80">
        <f t="shared" si="14"/>
        <v>29.409600000000005</v>
      </c>
      <c r="N170" s="52" t="s">
        <v>323</v>
      </c>
      <c r="O170" s="52">
        <v>5.57</v>
      </c>
      <c r="P170" s="52">
        <v>5.27</v>
      </c>
      <c r="Q170" s="80">
        <f t="shared" si="15"/>
        <v>29.353899999999999</v>
      </c>
      <c r="S170" s="52" t="s">
        <v>323</v>
      </c>
      <c r="T170" s="52">
        <v>5.68</v>
      </c>
      <c r="U170" s="52">
        <v>5.58</v>
      </c>
      <c r="V170" s="80">
        <f t="shared" si="16"/>
        <v>31.694399999999998</v>
      </c>
    </row>
    <row r="171" spans="2:22" x14ac:dyDescent="0.25">
      <c r="B171" s="52" t="s">
        <v>327</v>
      </c>
      <c r="C171" s="52"/>
      <c r="D171" s="52"/>
      <c r="E171" s="80">
        <f t="shared" si="14"/>
        <v>0</v>
      </c>
      <c r="N171" s="52" t="s">
        <v>327</v>
      </c>
      <c r="O171" s="52"/>
      <c r="P171" s="52"/>
      <c r="Q171" s="80">
        <f t="shared" si="15"/>
        <v>0</v>
      </c>
      <c r="S171" s="52" t="s">
        <v>327</v>
      </c>
      <c r="T171" s="52">
        <v>1.73</v>
      </c>
      <c r="U171" s="52">
        <v>0.6</v>
      </c>
      <c r="V171" s="80">
        <f t="shared" si="16"/>
        <v>1.038</v>
      </c>
    </row>
    <row r="172" spans="2:22" x14ac:dyDescent="0.25">
      <c r="B172" s="52" t="s">
        <v>324</v>
      </c>
      <c r="C172" s="52">
        <v>3.23</v>
      </c>
      <c r="D172" s="52">
        <v>1.2</v>
      </c>
      <c r="E172" s="80">
        <f t="shared" si="14"/>
        <v>3.8759999999999999</v>
      </c>
      <c r="N172" s="52" t="s">
        <v>324</v>
      </c>
      <c r="O172" s="52">
        <v>3.58</v>
      </c>
      <c r="P172" s="52">
        <v>1.2</v>
      </c>
      <c r="Q172" s="80">
        <f t="shared" si="15"/>
        <v>4.2960000000000003</v>
      </c>
      <c r="S172" s="52" t="s">
        <v>324</v>
      </c>
      <c r="T172" s="52">
        <v>3.58</v>
      </c>
      <c r="U172" s="52">
        <v>1.2</v>
      </c>
      <c r="V172" s="80">
        <f t="shared" si="16"/>
        <v>4.2960000000000003</v>
      </c>
    </row>
    <row r="173" spans="2:22" x14ac:dyDescent="0.25">
      <c r="B173" s="52" t="s">
        <v>325</v>
      </c>
      <c r="C173" s="52"/>
      <c r="D173" s="52"/>
      <c r="E173" s="80">
        <f t="shared" si="14"/>
        <v>0</v>
      </c>
      <c r="N173" s="52" t="s">
        <v>325</v>
      </c>
      <c r="O173" s="52"/>
      <c r="P173" s="52"/>
      <c r="Q173" s="80">
        <f t="shared" si="15"/>
        <v>0</v>
      </c>
      <c r="S173" s="52" t="s">
        <v>325</v>
      </c>
      <c r="T173" s="52"/>
      <c r="U173" s="52"/>
      <c r="V173" s="80">
        <f t="shared" si="16"/>
        <v>0</v>
      </c>
    </row>
    <row r="174" spans="2:22" x14ac:dyDescent="0.25">
      <c r="B174" s="52"/>
      <c r="C174" s="52"/>
      <c r="D174" s="52"/>
      <c r="E174" s="80">
        <f t="shared" si="14"/>
        <v>0</v>
      </c>
      <c r="N174" s="52"/>
      <c r="O174" s="52"/>
      <c r="P174" s="52"/>
      <c r="Q174" s="80">
        <f t="shared" si="15"/>
        <v>0</v>
      </c>
      <c r="S174" s="52"/>
      <c r="T174" s="52"/>
      <c r="U174" s="52"/>
      <c r="V174" s="80">
        <f t="shared" si="16"/>
        <v>0</v>
      </c>
    </row>
    <row r="175" spans="2:22" x14ac:dyDescent="0.25">
      <c r="B175" s="52"/>
      <c r="C175" s="52"/>
      <c r="D175" s="52"/>
      <c r="E175" s="80">
        <f t="shared" si="14"/>
        <v>0</v>
      </c>
      <c r="N175" s="52"/>
      <c r="O175" s="52"/>
      <c r="P175" s="52"/>
      <c r="Q175" s="80">
        <f t="shared" si="15"/>
        <v>0</v>
      </c>
      <c r="S175" s="52"/>
      <c r="T175" s="52"/>
      <c r="U175" s="52"/>
      <c r="V175" s="80"/>
    </row>
    <row r="176" spans="2:22" x14ac:dyDescent="0.25">
      <c r="B176" s="52"/>
      <c r="C176" s="52"/>
      <c r="D176" s="52"/>
      <c r="E176" s="80">
        <f t="shared" si="14"/>
        <v>0</v>
      </c>
      <c r="N176" s="52"/>
      <c r="O176" s="52"/>
      <c r="P176" s="52"/>
      <c r="Q176" s="80">
        <f t="shared" si="15"/>
        <v>0</v>
      </c>
      <c r="S176" s="52"/>
      <c r="T176" s="52"/>
      <c r="U176" s="52"/>
      <c r="V176" s="80">
        <f t="shared" si="16"/>
        <v>0</v>
      </c>
    </row>
    <row r="177" spans="1:22" x14ac:dyDescent="0.25">
      <c r="B177" s="52"/>
      <c r="C177" s="52"/>
      <c r="D177" s="52"/>
      <c r="E177" s="80">
        <f t="shared" si="14"/>
        <v>0</v>
      </c>
      <c r="N177" s="52"/>
      <c r="O177" s="52"/>
      <c r="P177" s="52"/>
      <c r="Q177" s="80">
        <f t="shared" si="15"/>
        <v>0</v>
      </c>
      <c r="S177" s="52"/>
      <c r="T177" s="52"/>
      <c r="U177" s="52"/>
      <c r="V177" s="80">
        <f t="shared" si="16"/>
        <v>0</v>
      </c>
    </row>
    <row r="178" spans="1:22" x14ac:dyDescent="0.25">
      <c r="B178" s="52"/>
      <c r="C178" s="52"/>
      <c r="D178" s="52"/>
      <c r="E178" s="80">
        <f t="shared" si="14"/>
        <v>0</v>
      </c>
      <c r="N178" s="52"/>
      <c r="O178" s="52"/>
      <c r="P178" s="52"/>
      <c r="Q178" s="80">
        <f t="shared" si="15"/>
        <v>0</v>
      </c>
      <c r="S178" s="52"/>
      <c r="T178" s="52"/>
      <c r="U178" s="52"/>
      <c r="V178" s="80">
        <f t="shared" si="16"/>
        <v>0</v>
      </c>
    </row>
    <row r="179" spans="1:22" x14ac:dyDescent="0.25">
      <c r="B179" s="52" t="s">
        <v>150</v>
      </c>
      <c r="C179" s="52"/>
      <c r="D179" s="80">
        <f>E179*10.764</f>
        <v>3129.0162227999999</v>
      </c>
      <c r="E179" s="81">
        <f>SUM(E127:E178)</f>
        <v>290.6927</v>
      </c>
      <c r="N179" s="52" t="s">
        <v>150</v>
      </c>
      <c r="O179" s="52"/>
      <c r="P179" s="80">
        <f>Q179*10.764</f>
        <v>2261.8210211999994</v>
      </c>
      <c r="Q179" s="81">
        <f>SUM(Q127:Q178)</f>
        <v>210.12829999999997</v>
      </c>
      <c r="S179" s="52" t="s">
        <v>150</v>
      </c>
      <c r="T179" s="52"/>
      <c r="U179" s="80">
        <f>V179*10.764</f>
        <v>2364.3352043999998</v>
      </c>
      <c r="V179" s="81">
        <f>SUM(V127:V178)</f>
        <v>219.65209999999999</v>
      </c>
    </row>
    <row r="180" spans="1:22" x14ac:dyDescent="0.25">
      <c r="Q180" s="77"/>
      <c r="V180" s="77"/>
    </row>
    <row r="181" spans="1:22" x14ac:dyDescent="0.25">
      <c r="D181" s="51">
        <f>D179+H179</f>
        <v>3129.0162227999999</v>
      </c>
      <c r="E181" s="77">
        <f>E179+I179</f>
        <v>290.6927</v>
      </c>
      <c r="P181" s="51">
        <f>P179+T179</f>
        <v>2261.8210211999994</v>
      </c>
      <c r="Q181" s="77">
        <f>Q179+U179</f>
        <v>2574.4635043999997</v>
      </c>
      <c r="U181" s="51">
        <f>U179+Y179</f>
        <v>2364.3352043999998</v>
      </c>
      <c r="V181" s="77">
        <f>V179+Z179</f>
        <v>219.65209999999999</v>
      </c>
    </row>
    <row r="183" spans="1:22" ht="29.65" customHeight="1" x14ac:dyDescent="0.25">
      <c r="B183" s="61" t="s">
        <v>304</v>
      </c>
      <c r="C183" s="305" t="s">
        <v>394</v>
      </c>
      <c r="D183" s="305"/>
    </row>
    <row r="184" spans="1:22" x14ac:dyDescent="0.25">
      <c r="D184" s="62"/>
      <c r="E184" s="78"/>
    </row>
    <row r="185" spans="1:22" x14ac:dyDescent="0.25">
      <c r="A185" s="61" t="s">
        <v>66</v>
      </c>
      <c r="B185" s="63" t="s">
        <v>305</v>
      </c>
      <c r="C185" s="306" t="s">
        <v>306</v>
      </c>
      <c r="D185" s="306"/>
      <c r="E185" s="306"/>
    </row>
    <row r="186" spans="1:22" x14ac:dyDescent="0.25">
      <c r="A186" s="61">
        <v>1</v>
      </c>
      <c r="B186" s="63"/>
      <c r="C186" s="63" t="s">
        <v>309</v>
      </c>
      <c r="D186" s="63" t="s">
        <v>310</v>
      </c>
      <c r="E186" s="79" t="s">
        <v>311</v>
      </c>
    </row>
    <row r="187" spans="1:22" x14ac:dyDescent="0.25">
      <c r="B187" s="52" t="s">
        <v>312</v>
      </c>
      <c r="C187" s="52">
        <v>8.8000000000000007</v>
      </c>
      <c r="D187" s="52">
        <v>0.4</v>
      </c>
      <c r="E187" s="80">
        <f>C187*D187</f>
        <v>3.5200000000000005</v>
      </c>
    </row>
    <row r="188" spans="1:22" x14ac:dyDescent="0.25">
      <c r="B188" s="52"/>
      <c r="C188" s="52">
        <v>10.4</v>
      </c>
      <c r="D188" s="52">
        <v>4.9000000000000004</v>
      </c>
      <c r="E188" s="80">
        <f t="shared" ref="E188:E238" si="17">C188*D188</f>
        <v>50.960000000000008</v>
      </c>
    </row>
    <row r="189" spans="1:22" x14ac:dyDescent="0.25">
      <c r="B189" s="52"/>
      <c r="C189" s="52">
        <v>10.4</v>
      </c>
      <c r="D189" s="52">
        <v>2.4</v>
      </c>
      <c r="E189" s="80">
        <f t="shared" si="17"/>
        <v>24.96</v>
      </c>
    </row>
    <row r="190" spans="1:22" x14ac:dyDescent="0.25">
      <c r="B190" s="52"/>
      <c r="C190" s="52"/>
      <c r="D190" s="52"/>
      <c r="E190" s="80">
        <f t="shared" si="17"/>
        <v>0</v>
      </c>
    </row>
    <row r="191" spans="1:22" x14ac:dyDescent="0.25">
      <c r="B191" s="52" t="s">
        <v>314</v>
      </c>
      <c r="C191" s="52">
        <v>3.8</v>
      </c>
      <c r="D191" s="52">
        <v>3.77</v>
      </c>
      <c r="E191" s="80">
        <f t="shared" si="17"/>
        <v>14.325999999999999</v>
      </c>
    </row>
    <row r="192" spans="1:22" x14ac:dyDescent="0.25">
      <c r="B192" s="52"/>
      <c r="C192" s="52">
        <v>2.95</v>
      </c>
      <c r="D192" s="52">
        <v>1.78</v>
      </c>
      <c r="E192" s="80">
        <f t="shared" si="17"/>
        <v>5.2510000000000003</v>
      </c>
    </row>
    <row r="193" spans="2:5" x14ac:dyDescent="0.25">
      <c r="B193" s="52" t="s">
        <v>388</v>
      </c>
      <c r="C193" s="52">
        <v>3.2</v>
      </c>
      <c r="D193" s="52">
        <v>1.85</v>
      </c>
      <c r="E193" s="80">
        <f t="shared" si="17"/>
        <v>5.9200000000000008</v>
      </c>
    </row>
    <row r="194" spans="2:5" x14ac:dyDescent="0.25">
      <c r="B194" s="52"/>
      <c r="C194" s="52">
        <v>1.05</v>
      </c>
      <c r="D194" s="52">
        <v>0.5</v>
      </c>
      <c r="E194" s="80">
        <f t="shared" si="17"/>
        <v>0.52500000000000002</v>
      </c>
    </row>
    <row r="195" spans="2:5" x14ac:dyDescent="0.25">
      <c r="B195" s="52" t="s">
        <v>316</v>
      </c>
      <c r="C195" s="52">
        <v>2.9</v>
      </c>
      <c r="D195" s="52">
        <v>0.6</v>
      </c>
      <c r="E195" s="80">
        <f t="shared" si="17"/>
        <v>1.74</v>
      </c>
    </row>
    <row r="196" spans="2:5" x14ac:dyDescent="0.25">
      <c r="B196" s="52"/>
      <c r="C196" s="52">
        <v>3.65</v>
      </c>
      <c r="D196" s="52">
        <v>4.4000000000000004</v>
      </c>
      <c r="E196" s="80">
        <f t="shared" si="17"/>
        <v>16.060000000000002</v>
      </c>
    </row>
    <row r="197" spans="2:5" x14ac:dyDescent="0.25">
      <c r="B197" s="52"/>
      <c r="C197" s="52"/>
      <c r="D197" s="52"/>
      <c r="E197" s="80">
        <f t="shared" si="17"/>
        <v>0</v>
      </c>
    </row>
    <row r="198" spans="2:5" x14ac:dyDescent="0.25">
      <c r="B198" s="52"/>
      <c r="C198" s="52"/>
      <c r="D198" s="52"/>
      <c r="E198" s="80">
        <f t="shared" si="17"/>
        <v>0</v>
      </c>
    </row>
    <row r="199" spans="2:5" x14ac:dyDescent="0.25">
      <c r="B199" s="52" t="s">
        <v>317</v>
      </c>
      <c r="C199" s="52">
        <v>3.85</v>
      </c>
      <c r="D199" s="52">
        <v>4.4000000000000004</v>
      </c>
      <c r="E199" s="80">
        <f t="shared" si="17"/>
        <v>16.940000000000001</v>
      </c>
    </row>
    <row r="200" spans="2:5" x14ac:dyDescent="0.25">
      <c r="B200" s="52"/>
      <c r="C200" s="52">
        <v>1.4</v>
      </c>
      <c r="D200" s="52">
        <v>0.6</v>
      </c>
      <c r="E200" s="80">
        <f t="shared" si="17"/>
        <v>0.84</v>
      </c>
    </row>
    <row r="201" spans="2:5" x14ac:dyDescent="0.25">
      <c r="B201" s="52"/>
      <c r="C201" s="52">
        <v>2.08</v>
      </c>
      <c r="D201" s="52">
        <v>0.9</v>
      </c>
      <c r="E201" s="80">
        <f t="shared" si="17"/>
        <v>1.8720000000000001</v>
      </c>
    </row>
    <row r="202" spans="2:5" x14ac:dyDescent="0.25">
      <c r="B202" s="52" t="s">
        <v>318</v>
      </c>
      <c r="C202" s="52">
        <v>3.85</v>
      </c>
      <c r="D202" s="52">
        <v>4.28</v>
      </c>
      <c r="E202" s="80">
        <f t="shared" si="17"/>
        <v>16.478000000000002</v>
      </c>
    </row>
    <row r="203" spans="2:5" x14ac:dyDescent="0.25">
      <c r="B203" s="52"/>
      <c r="C203" s="52">
        <v>1.4</v>
      </c>
      <c r="D203" s="52">
        <v>0.6</v>
      </c>
      <c r="E203" s="80">
        <f t="shared" si="17"/>
        <v>0.84</v>
      </c>
    </row>
    <row r="204" spans="2:5" x14ac:dyDescent="0.25">
      <c r="B204" s="52"/>
      <c r="C204" s="52">
        <v>2.08</v>
      </c>
      <c r="D204" s="52">
        <v>1</v>
      </c>
      <c r="E204" s="80">
        <f t="shared" si="17"/>
        <v>2.08</v>
      </c>
    </row>
    <row r="205" spans="2:5" x14ac:dyDescent="0.25">
      <c r="B205" s="52" t="s">
        <v>319</v>
      </c>
      <c r="C205" s="52">
        <v>4.3499999999999996</v>
      </c>
      <c r="D205" s="52">
        <v>0.6</v>
      </c>
      <c r="E205" s="80">
        <f t="shared" si="17"/>
        <v>2.61</v>
      </c>
    </row>
    <row r="206" spans="2:5" x14ac:dyDescent="0.25">
      <c r="B206" s="52"/>
      <c r="C206" s="52">
        <v>5.2</v>
      </c>
      <c r="D206" s="52">
        <v>5.6230000000000002</v>
      </c>
      <c r="E206" s="80">
        <f t="shared" si="17"/>
        <v>29.239600000000003</v>
      </c>
    </row>
    <row r="207" spans="2:5" x14ac:dyDescent="0.25">
      <c r="B207" s="52"/>
      <c r="C207" s="52">
        <v>4.0199999999999996</v>
      </c>
      <c r="D207" s="52">
        <v>3.25</v>
      </c>
      <c r="E207" s="80">
        <f t="shared" si="17"/>
        <v>13.064999999999998</v>
      </c>
    </row>
    <row r="208" spans="2:5" x14ac:dyDescent="0.25">
      <c r="B208" s="52"/>
      <c r="C208" s="52">
        <v>0.6</v>
      </c>
      <c r="D208" s="52">
        <v>1.1299999999999999</v>
      </c>
      <c r="E208" s="80">
        <f t="shared" si="17"/>
        <v>0.67799999999999994</v>
      </c>
    </row>
    <row r="209" spans="2:5" x14ac:dyDescent="0.25">
      <c r="B209" s="52" t="s">
        <v>389</v>
      </c>
      <c r="C209" s="52">
        <v>3</v>
      </c>
      <c r="D209" s="52">
        <v>0.6</v>
      </c>
      <c r="E209" s="80">
        <f t="shared" si="17"/>
        <v>1.7999999999999998</v>
      </c>
    </row>
    <row r="210" spans="2:5" x14ac:dyDescent="0.25">
      <c r="B210" s="52"/>
      <c r="C210" s="52">
        <v>3.75</v>
      </c>
      <c r="D210" s="52">
        <v>6.62</v>
      </c>
      <c r="E210" s="80">
        <f t="shared" si="17"/>
        <v>24.824999999999999</v>
      </c>
    </row>
    <row r="211" spans="2:5" x14ac:dyDescent="0.25">
      <c r="B211" s="52"/>
      <c r="C211" s="52">
        <v>2.35</v>
      </c>
      <c r="D211" s="52">
        <v>2.4</v>
      </c>
      <c r="E211" s="80">
        <f t="shared" si="17"/>
        <v>5.64</v>
      </c>
    </row>
    <row r="212" spans="2:5" x14ac:dyDescent="0.25">
      <c r="B212" s="52"/>
      <c r="C212" s="52"/>
      <c r="D212" s="52"/>
      <c r="E212" s="80">
        <f t="shared" si="17"/>
        <v>0</v>
      </c>
    </row>
    <row r="213" spans="2:5" x14ac:dyDescent="0.25">
      <c r="B213" s="52"/>
      <c r="C213" s="52"/>
      <c r="D213" s="52"/>
      <c r="E213" s="80">
        <f t="shared" si="17"/>
        <v>0</v>
      </c>
    </row>
    <row r="214" spans="2:5" x14ac:dyDescent="0.25">
      <c r="B214" s="52" t="s">
        <v>321</v>
      </c>
      <c r="C214" s="52">
        <v>2.0499999999999998</v>
      </c>
      <c r="D214" s="52">
        <v>1.1499999999999999</v>
      </c>
      <c r="E214" s="80">
        <f t="shared" si="17"/>
        <v>2.3574999999999995</v>
      </c>
    </row>
    <row r="215" spans="2:5" x14ac:dyDescent="0.25">
      <c r="B215" s="52"/>
      <c r="C215" s="52">
        <v>1.83</v>
      </c>
      <c r="D215" s="52">
        <v>2.0299999999999998</v>
      </c>
      <c r="E215" s="80">
        <f t="shared" si="17"/>
        <v>3.7148999999999996</v>
      </c>
    </row>
    <row r="216" spans="2:5" x14ac:dyDescent="0.25">
      <c r="B216" s="52" t="s">
        <v>322</v>
      </c>
      <c r="C216" s="52">
        <v>1.73</v>
      </c>
      <c r="D216" s="52">
        <v>1.07</v>
      </c>
      <c r="E216" s="80">
        <f t="shared" si="17"/>
        <v>1.8511000000000002</v>
      </c>
    </row>
    <row r="217" spans="2:5" x14ac:dyDescent="0.25">
      <c r="B217" s="52" t="s">
        <v>326</v>
      </c>
      <c r="C217" s="52">
        <v>1.35</v>
      </c>
      <c r="D217" s="52">
        <v>1.65</v>
      </c>
      <c r="E217" s="80">
        <f t="shared" si="17"/>
        <v>2.2275</v>
      </c>
    </row>
    <row r="218" spans="2:5" x14ac:dyDescent="0.25">
      <c r="B218" s="52"/>
      <c r="C218" s="52">
        <v>1.68</v>
      </c>
      <c r="D218" s="52">
        <v>1.1299999999999999</v>
      </c>
      <c r="E218" s="80">
        <f t="shared" si="17"/>
        <v>1.8983999999999996</v>
      </c>
    </row>
    <row r="219" spans="2:5" x14ac:dyDescent="0.25">
      <c r="B219" s="52"/>
      <c r="C219" s="52">
        <v>1.57</v>
      </c>
      <c r="D219" s="52">
        <v>1.07</v>
      </c>
      <c r="E219" s="80">
        <f t="shared" si="17"/>
        <v>1.6799000000000002</v>
      </c>
    </row>
    <row r="220" spans="2:5" x14ac:dyDescent="0.25">
      <c r="B220" s="52"/>
      <c r="C220" s="52">
        <v>1.2</v>
      </c>
      <c r="D220" s="52">
        <v>1.65</v>
      </c>
      <c r="E220" s="80">
        <f t="shared" si="17"/>
        <v>1.9799999999999998</v>
      </c>
    </row>
    <row r="221" spans="2:5" x14ac:dyDescent="0.25">
      <c r="B221" s="52"/>
      <c r="C221" s="52">
        <v>1.68</v>
      </c>
      <c r="D221" s="52">
        <v>1.45</v>
      </c>
      <c r="E221" s="80">
        <f t="shared" si="17"/>
        <v>2.4359999999999999</v>
      </c>
    </row>
    <row r="222" spans="2:5" x14ac:dyDescent="0.25">
      <c r="B222" s="52"/>
      <c r="C222" s="52">
        <v>2.15</v>
      </c>
      <c r="D222" s="52">
        <v>3.15</v>
      </c>
      <c r="E222" s="80">
        <f t="shared" si="17"/>
        <v>6.7725</v>
      </c>
    </row>
    <row r="223" spans="2:5" x14ac:dyDescent="0.25">
      <c r="B223" s="52"/>
      <c r="C223" s="52">
        <v>1.2</v>
      </c>
      <c r="D223" s="52">
        <v>1.5</v>
      </c>
      <c r="E223" s="80">
        <f t="shared" si="17"/>
        <v>1.7999999999999998</v>
      </c>
    </row>
    <row r="224" spans="2:5" x14ac:dyDescent="0.25">
      <c r="B224" s="52"/>
      <c r="C224" s="52">
        <v>1.2</v>
      </c>
      <c r="D224" s="52">
        <v>1.5</v>
      </c>
      <c r="E224" s="80">
        <f t="shared" si="17"/>
        <v>1.7999999999999998</v>
      </c>
    </row>
    <row r="225" spans="2:5" x14ac:dyDescent="0.25">
      <c r="B225" s="52"/>
      <c r="C225" s="52">
        <v>3.75</v>
      </c>
      <c r="D225" s="52">
        <v>1.2</v>
      </c>
      <c r="E225" s="80">
        <f t="shared" si="17"/>
        <v>4.5</v>
      </c>
    </row>
    <row r="226" spans="2:5" x14ac:dyDescent="0.25">
      <c r="B226" s="52"/>
      <c r="C226" s="52">
        <v>2</v>
      </c>
      <c r="D226" s="52">
        <v>0.45</v>
      </c>
      <c r="E226" s="80">
        <f t="shared" si="17"/>
        <v>0.9</v>
      </c>
    </row>
    <row r="227" spans="2:5" x14ac:dyDescent="0.25">
      <c r="B227" s="52"/>
      <c r="C227" s="52">
        <v>2</v>
      </c>
      <c r="D227" s="52">
        <v>1.1000000000000001</v>
      </c>
      <c r="E227" s="80">
        <f t="shared" si="17"/>
        <v>2.2000000000000002</v>
      </c>
    </row>
    <row r="228" spans="2:5" x14ac:dyDescent="0.25">
      <c r="B228" s="52"/>
      <c r="C228" s="52">
        <v>1.68</v>
      </c>
      <c r="D228" s="52">
        <v>1.48</v>
      </c>
      <c r="E228" s="80">
        <f t="shared" si="17"/>
        <v>2.4863999999999997</v>
      </c>
    </row>
    <row r="229" spans="2:5" x14ac:dyDescent="0.25">
      <c r="B229" s="52"/>
      <c r="C229" s="52"/>
      <c r="D229" s="52"/>
      <c r="E229" s="80">
        <f t="shared" si="17"/>
        <v>0</v>
      </c>
    </row>
    <row r="230" spans="2:5" x14ac:dyDescent="0.25">
      <c r="B230" s="52" t="s">
        <v>323</v>
      </c>
      <c r="C230" s="52">
        <v>5.68</v>
      </c>
      <c r="D230" s="52">
        <v>5.258</v>
      </c>
      <c r="E230" s="80">
        <f t="shared" si="17"/>
        <v>29.86544</v>
      </c>
    </row>
    <row r="231" spans="2:5" x14ac:dyDescent="0.25">
      <c r="B231" s="52" t="s">
        <v>327</v>
      </c>
      <c r="C231" s="52">
        <v>1.73</v>
      </c>
      <c r="D231" s="52">
        <v>0.6</v>
      </c>
      <c r="E231" s="80">
        <f t="shared" si="17"/>
        <v>1.038</v>
      </c>
    </row>
    <row r="232" spans="2:5" x14ac:dyDescent="0.25">
      <c r="B232" s="52" t="s">
        <v>324</v>
      </c>
      <c r="C232" s="52">
        <v>3.58</v>
      </c>
      <c r="D232" s="52">
        <v>1.2</v>
      </c>
      <c r="E232" s="80">
        <f t="shared" si="17"/>
        <v>4.2960000000000003</v>
      </c>
    </row>
    <row r="233" spans="2:5" x14ac:dyDescent="0.25">
      <c r="B233" s="52" t="s">
        <v>325</v>
      </c>
      <c r="C233" s="52"/>
      <c r="D233" s="52"/>
      <c r="E233" s="80">
        <f t="shared" si="17"/>
        <v>0</v>
      </c>
    </row>
    <row r="234" spans="2:5" x14ac:dyDescent="0.25">
      <c r="B234" s="52"/>
      <c r="C234" s="52"/>
      <c r="D234" s="52"/>
      <c r="E234" s="80">
        <f t="shared" si="17"/>
        <v>0</v>
      </c>
    </row>
    <row r="235" spans="2:5" x14ac:dyDescent="0.25">
      <c r="B235" s="52"/>
      <c r="C235" s="52"/>
      <c r="D235" s="52"/>
      <c r="E235" s="80"/>
    </row>
    <row r="236" spans="2:5" x14ac:dyDescent="0.25">
      <c r="B236" s="52"/>
      <c r="C236" s="52"/>
      <c r="D236" s="52"/>
      <c r="E236" s="80">
        <f t="shared" si="17"/>
        <v>0</v>
      </c>
    </row>
    <row r="237" spans="2:5" x14ac:dyDescent="0.25">
      <c r="B237" s="52"/>
      <c r="C237" s="52"/>
      <c r="D237" s="52"/>
      <c r="E237" s="80">
        <f t="shared" si="17"/>
        <v>0</v>
      </c>
    </row>
    <row r="238" spans="2:5" x14ac:dyDescent="0.25">
      <c r="B238" s="52"/>
      <c r="C238" s="52"/>
      <c r="D238" s="52"/>
      <c r="E238" s="80">
        <f t="shared" si="17"/>
        <v>0</v>
      </c>
    </row>
    <row r="239" spans="2:5" x14ac:dyDescent="0.25">
      <c r="B239" s="52" t="s">
        <v>150</v>
      </c>
      <c r="C239" s="52"/>
      <c r="D239" s="80">
        <f>E239*10.764</f>
        <v>3379.6079553599993</v>
      </c>
      <c r="E239" s="81">
        <f>SUM(E187:E238)</f>
        <v>313.97323999999998</v>
      </c>
    </row>
    <row r="241" spans="4:5" x14ac:dyDescent="0.25">
      <c r="D241" s="51">
        <f>D239+H239</f>
        <v>3379.6079553599993</v>
      </c>
      <c r="E241" s="77">
        <f>E239+I239</f>
        <v>313.97323999999998</v>
      </c>
    </row>
  </sheetData>
  <mergeCells count="22">
    <mergeCell ref="C2:D2"/>
    <mergeCell ref="O2:P2"/>
    <mergeCell ref="T2:U2"/>
    <mergeCell ref="C4:E4"/>
    <mergeCell ref="G4:I4"/>
    <mergeCell ref="J4:L4"/>
    <mergeCell ref="O4:Q4"/>
    <mergeCell ref="T4:V4"/>
    <mergeCell ref="C63:D63"/>
    <mergeCell ref="O63:P63"/>
    <mergeCell ref="T63:U63"/>
    <mergeCell ref="C65:E65"/>
    <mergeCell ref="O65:Q65"/>
    <mergeCell ref="T65:V65"/>
    <mergeCell ref="C183:D183"/>
    <mergeCell ref="C185:E185"/>
    <mergeCell ref="C123:D123"/>
    <mergeCell ref="O123:P123"/>
    <mergeCell ref="T123:U123"/>
    <mergeCell ref="C125:E125"/>
    <mergeCell ref="O125:Q125"/>
    <mergeCell ref="T125:V1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50"/>
  <sheetViews>
    <sheetView workbookViewId="0">
      <selection activeCell="T16" sqref="T16"/>
    </sheetView>
  </sheetViews>
  <sheetFormatPr defaultColWidth="9.28515625" defaultRowHeight="15" x14ac:dyDescent="0.25"/>
  <cols>
    <col min="1" max="1" width="9.28515625" style="51"/>
    <col min="2" max="2" width="12.28515625" style="51" customWidth="1"/>
    <col min="3" max="4" width="9.28515625" style="51"/>
    <col min="5" max="5" width="9.28515625" style="77"/>
    <col min="6" max="12" width="0" style="51" hidden="1" customWidth="1"/>
    <col min="13" max="16384" width="9.28515625" style="51"/>
  </cols>
  <sheetData>
    <row r="2" spans="1:27" ht="44.1" customHeight="1" x14ac:dyDescent="0.25">
      <c r="B2" s="61" t="s">
        <v>304</v>
      </c>
      <c r="C2" s="310" t="str">
        <f>Report!A242</f>
        <v>25th to 28th, 30th to 35th, 37th to 42nd, 46th &amp; 47th Floor</v>
      </c>
      <c r="D2" s="305"/>
      <c r="N2" s="61" t="s">
        <v>304</v>
      </c>
      <c r="O2" s="305" t="s">
        <v>385</v>
      </c>
      <c r="P2" s="305"/>
      <c r="Q2" s="77"/>
      <c r="S2" s="61" t="s">
        <v>304</v>
      </c>
      <c r="T2" s="305" t="s">
        <v>403</v>
      </c>
      <c r="U2" s="305"/>
      <c r="V2" s="77"/>
      <c r="X2" s="61" t="s">
        <v>304</v>
      </c>
      <c r="Y2" s="310" t="str">
        <f>Report!A247</f>
        <v>43rd Floor (Part Refuge Area)</v>
      </c>
      <c r="Z2" s="311"/>
    </row>
    <row r="3" spans="1:27" x14ac:dyDescent="0.25">
      <c r="D3" s="62"/>
      <c r="E3" s="78"/>
      <c r="F3" s="62"/>
      <c r="G3" s="62"/>
      <c r="H3" s="62"/>
      <c r="I3" s="62"/>
      <c r="P3" s="62"/>
      <c r="Q3" s="78"/>
      <c r="U3" s="62"/>
      <c r="V3" s="78"/>
    </row>
    <row r="4" spans="1:27" x14ac:dyDescent="0.25">
      <c r="A4" s="61" t="s">
        <v>66</v>
      </c>
      <c r="B4" s="63" t="s">
        <v>305</v>
      </c>
      <c r="C4" s="306" t="s">
        <v>306</v>
      </c>
      <c r="D4" s="306"/>
      <c r="E4" s="306"/>
      <c r="F4" s="63"/>
      <c r="G4" s="307" t="s">
        <v>307</v>
      </c>
      <c r="H4" s="307"/>
      <c r="I4" s="307"/>
      <c r="J4" s="308" t="s">
        <v>308</v>
      </c>
      <c r="K4" s="308"/>
      <c r="L4" s="308"/>
      <c r="M4" s="61" t="s">
        <v>66</v>
      </c>
      <c r="N4" s="63" t="s">
        <v>305</v>
      </c>
      <c r="O4" s="306" t="s">
        <v>306</v>
      </c>
      <c r="P4" s="306"/>
      <c r="Q4" s="306"/>
      <c r="R4" s="61" t="s">
        <v>66</v>
      </c>
      <c r="S4" s="63" t="s">
        <v>305</v>
      </c>
      <c r="T4" s="306" t="s">
        <v>306</v>
      </c>
      <c r="U4" s="306"/>
      <c r="V4" s="306"/>
      <c r="W4" s="97" t="s">
        <v>66</v>
      </c>
      <c r="X4" s="100" t="s">
        <v>305</v>
      </c>
      <c r="Y4" s="312" t="s">
        <v>306</v>
      </c>
      <c r="Z4" s="312"/>
      <c r="AA4" s="312"/>
    </row>
    <row r="5" spans="1:27" x14ac:dyDescent="0.25">
      <c r="A5" s="61" t="s">
        <v>376</v>
      </c>
      <c r="B5" s="63"/>
      <c r="C5" s="63" t="s">
        <v>309</v>
      </c>
      <c r="D5" s="63" t="s">
        <v>310</v>
      </c>
      <c r="E5" s="79" t="s">
        <v>311</v>
      </c>
      <c r="F5" s="63"/>
      <c r="G5" s="63" t="s">
        <v>309</v>
      </c>
      <c r="H5" s="63" t="s">
        <v>310</v>
      </c>
      <c r="I5" s="63" t="s">
        <v>311</v>
      </c>
      <c r="J5" s="63" t="s">
        <v>309</v>
      </c>
      <c r="K5" s="63" t="s">
        <v>310</v>
      </c>
      <c r="L5" s="63" t="s">
        <v>311</v>
      </c>
      <c r="M5" s="61">
        <v>1</v>
      </c>
      <c r="N5" s="63"/>
      <c r="O5" s="63" t="s">
        <v>309</v>
      </c>
      <c r="P5" s="63" t="s">
        <v>310</v>
      </c>
      <c r="Q5" s="79" t="s">
        <v>311</v>
      </c>
      <c r="R5" s="61">
        <v>1</v>
      </c>
      <c r="S5" s="63"/>
      <c r="T5" s="63" t="s">
        <v>309</v>
      </c>
      <c r="U5" s="63" t="s">
        <v>310</v>
      </c>
      <c r="V5" s="79" t="s">
        <v>311</v>
      </c>
      <c r="W5" s="97">
        <v>1</v>
      </c>
      <c r="X5" s="52"/>
      <c r="Y5" s="52" t="s">
        <v>309</v>
      </c>
      <c r="Z5" s="52" t="s">
        <v>310</v>
      </c>
      <c r="AA5" s="52" t="s">
        <v>311</v>
      </c>
    </row>
    <row r="6" spans="1:27" x14ac:dyDescent="0.25">
      <c r="B6" s="52" t="s">
        <v>312</v>
      </c>
      <c r="C6" s="52">
        <v>5.15</v>
      </c>
      <c r="D6" s="52">
        <v>4.5</v>
      </c>
      <c r="E6" s="80">
        <f>C6*D6</f>
        <v>23.175000000000001</v>
      </c>
      <c r="F6" s="52" t="s">
        <v>328</v>
      </c>
      <c r="G6" s="52"/>
      <c r="H6" s="52"/>
      <c r="I6" s="52">
        <f>G6*H6</f>
        <v>0</v>
      </c>
      <c r="J6" s="52"/>
      <c r="K6" s="52"/>
      <c r="L6" s="52">
        <f>J6*K6</f>
        <v>0</v>
      </c>
      <c r="N6" s="52" t="s">
        <v>312</v>
      </c>
      <c r="O6" s="52">
        <v>8.8000000000000007</v>
      </c>
      <c r="P6" s="52">
        <v>0.4</v>
      </c>
      <c r="Q6" s="80">
        <f>O6*P6</f>
        <v>3.5200000000000005</v>
      </c>
      <c r="S6" s="52" t="s">
        <v>312</v>
      </c>
      <c r="T6" s="52">
        <v>4.3</v>
      </c>
      <c r="U6" s="52">
        <v>0.4</v>
      </c>
      <c r="V6" s="80">
        <f>T6*U6</f>
        <v>1.72</v>
      </c>
      <c r="W6" s="52"/>
      <c r="X6" s="52" t="s">
        <v>312</v>
      </c>
      <c r="Y6" s="52">
        <v>10.5</v>
      </c>
      <c r="Z6" s="52">
        <v>4.5</v>
      </c>
      <c r="AA6" s="52">
        <f>Y6*Z6</f>
        <v>47.25</v>
      </c>
    </row>
    <row r="7" spans="1:27" x14ac:dyDescent="0.25">
      <c r="B7" s="52"/>
      <c r="C7" s="52">
        <v>4.3</v>
      </c>
      <c r="D7" s="52">
        <v>0.4</v>
      </c>
      <c r="E7" s="80">
        <f t="shared" ref="E7:E58" si="0">C7*D7</f>
        <v>1.72</v>
      </c>
      <c r="F7" s="52" t="s">
        <v>328</v>
      </c>
      <c r="G7" s="52"/>
      <c r="H7" s="52"/>
      <c r="I7" s="52">
        <f t="shared" ref="I7:I52" si="1">G7*H7</f>
        <v>0</v>
      </c>
      <c r="J7" s="52"/>
      <c r="K7" s="52"/>
      <c r="L7" s="52">
        <f t="shared" ref="L7:L52" si="2">J7*K7</f>
        <v>0</v>
      </c>
      <c r="N7" s="52"/>
      <c r="O7" s="52">
        <v>10.5</v>
      </c>
      <c r="P7" s="52">
        <v>4.5</v>
      </c>
      <c r="Q7" s="80">
        <f t="shared" ref="Q7:Q58" si="3">O7*P7</f>
        <v>47.25</v>
      </c>
      <c r="S7" s="52"/>
      <c r="T7" s="52">
        <v>5.15</v>
      </c>
      <c r="U7" s="52">
        <v>4.5</v>
      </c>
      <c r="V7" s="80">
        <f t="shared" ref="V7:V58" si="4">T7*U7</f>
        <v>23.175000000000001</v>
      </c>
      <c r="W7" s="52"/>
      <c r="X7" s="52"/>
      <c r="Y7" s="52">
        <v>10.6</v>
      </c>
      <c r="Z7" s="52">
        <v>2.2000000000000002</v>
      </c>
      <c r="AA7" s="52">
        <f t="shared" ref="AA7:AA58" si="5">Y7*Z7</f>
        <v>23.32</v>
      </c>
    </row>
    <row r="8" spans="1:27" x14ac:dyDescent="0.25">
      <c r="B8" s="52"/>
      <c r="C8" s="52">
        <v>5.75</v>
      </c>
      <c r="D8" s="52">
        <v>1.8</v>
      </c>
      <c r="E8" s="80">
        <f t="shared" si="0"/>
        <v>10.35</v>
      </c>
      <c r="F8" s="52"/>
      <c r="G8" s="52"/>
      <c r="H8" s="52"/>
      <c r="I8" s="52">
        <f t="shared" si="1"/>
        <v>0</v>
      </c>
      <c r="J8" s="52"/>
      <c r="K8" s="52"/>
      <c r="L8" s="52">
        <f t="shared" si="2"/>
        <v>0</v>
      </c>
      <c r="N8" s="52"/>
      <c r="O8" s="52">
        <v>10.6</v>
      </c>
      <c r="P8" s="52">
        <v>2.2000000000000002</v>
      </c>
      <c r="Q8" s="80">
        <f t="shared" si="3"/>
        <v>23.32</v>
      </c>
      <c r="S8" s="52"/>
      <c r="T8" s="52">
        <v>5.75</v>
      </c>
      <c r="U8" s="52">
        <v>1.8</v>
      </c>
      <c r="V8" s="80">
        <f t="shared" si="4"/>
        <v>10.35</v>
      </c>
      <c r="W8" s="52"/>
      <c r="X8" s="52"/>
      <c r="Y8" s="52">
        <v>8.8000000000000007</v>
      </c>
      <c r="Z8" s="52">
        <v>0.4</v>
      </c>
      <c r="AA8" s="52">
        <f t="shared" si="5"/>
        <v>3.5200000000000005</v>
      </c>
    </row>
    <row r="9" spans="1:27" x14ac:dyDescent="0.25">
      <c r="B9" s="52"/>
      <c r="C9" s="52"/>
      <c r="D9" s="52"/>
      <c r="E9" s="80">
        <f t="shared" si="0"/>
        <v>0</v>
      </c>
      <c r="F9" s="52" t="s">
        <v>313</v>
      </c>
      <c r="G9" s="52"/>
      <c r="H9" s="52"/>
      <c r="I9" s="52">
        <f t="shared" si="1"/>
        <v>0</v>
      </c>
      <c r="J9" s="52"/>
      <c r="K9" s="52"/>
      <c r="L9" s="52">
        <f t="shared" si="2"/>
        <v>0</v>
      </c>
      <c r="N9" s="52"/>
      <c r="O9" s="52"/>
      <c r="P9" s="52"/>
      <c r="Q9" s="80">
        <f t="shared" si="3"/>
        <v>0</v>
      </c>
      <c r="S9" s="52"/>
      <c r="T9" s="52"/>
      <c r="U9" s="52"/>
      <c r="V9" s="80">
        <f t="shared" si="4"/>
        <v>0</v>
      </c>
      <c r="X9" s="52"/>
      <c r="Y9" s="52"/>
      <c r="Z9" s="52"/>
      <c r="AA9" s="52">
        <f t="shared" si="5"/>
        <v>0</v>
      </c>
    </row>
    <row r="10" spans="1:27" x14ac:dyDescent="0.25">
      <c r="B10" s="52" t="s">
        <v>314</v>
      </c>
      <c r="C10" s="52">
        <v>3.7</v>
      </c>
      <c r="D10" s="52">
        <v>3.77</v>
      </c>
      <c r="E10" s="80">
        <f t="shared" si="0"/>
        <v>13.949000000000002</v>
      </c>
      <c r="F10" s="52" t="s">
        <v>313</v>
      </c>
      <c r="G10" s="52"/>
      <c r="H10" s="52"/>
      <c r="I10" s="52">
        <f t="shared" si="1"/>
        <v>0</v>
      </c>
      <c r="J10" s="52"/>
      <c r="K10" s="52"/>
      <c r="L10" s="52">
        <f t="shared" si="2"/>
        <v>0</v>
      </c>
      <c r="N10" s="52" t="s">
        <v>314</v>
      </c>
      <c r="O10" s="52">
        <v>3.7</v>
      </c>
      <c r="P10" s="52">
        <v>3.77</v>
      </c>
      <c r="Q10" s="80">
        <f t="shared" si="3"/>
        <v>13.949000000000002</v>
      </c>
      <c r="S10" s="52" t="s">
        <v>314</v>
      </c>
      <c r="T10" s="52">
        <v>3.7</v>
      </c>
      <c r="U10" s="52">
        <v>3.77</v>
      </c>
      <c r="V10" s="80">
        <f t="shared" si="4"/>
        <v>13.949000000000002</v>
      </c>
      <c r="X10" s="52" t="s">
        <v>314</v>
      </c>
      <c r="Y10" s="52">
        <v>3.7</v>
      </c>
      <c r="Z10" s="52">
        <v>4.07</v>
      </c>
      <c r="AA10" s="52">
        <f t="shared" si="5"/>
        <v>15.059000000000001</v>
      </c>
    </row>
    <row r="11" spans="1:27" x14ac:dyDescent="0.25">
      <c r="B11" s="52"/>
      <c r="C11" s="52">
        <v>2.85</v>
      </c>
      <c r="D11" s="52">
        <v>1.78</v>
      </c>
      <c r="E11" s="80">
        <f t="shared" si="0"/>
        <v>5.0730000000000004</v>
      </c>
      <c r="F11" s="52" t="s">
        <v>315</v>
      </c>
      <c r="G11" s="52"/>
      <c r="H11" s="52"/>
      <c r="I11" s="52">
        <f t="shared" si="1"/>
        <v>0</v>
      </c>
      <c r="J11" s="52"/>
      <c r="K11" s="52"/>
      <c r="L11" s="52">
        <f t="shared" si="2"/>
        <v>0</v>
      </c>
      <c r="N11" s="52"/>
      <c r="O11" s="52">
        <v>2.95</v>
      </c>
      <c r="P11" s="52">
        <v>1.78</v>
      </c>
      <c r="Q11" s="80">
        <f t="shared" si="3"/>
        <v>5.2510000000000003</v>
      </c>
      <c r="S11" s="52"/>
      <c r="T11" s="52">
        <v>2.95</v>
      </c>
      <c r="U11" s="52">
        <v>1.78</v>
      </c>
      <c r="V11" s="80">
        <f t="shared" si="4"/>
        <v>5.2510000000000003</v>
      </c>
      <c r="X11" s="52"/>
      <c r="Y11" s="52">
        <v>2.85</v>
      </c>
      <c r="Z11" s="52">
        <v>1.83</v>
      </c>
      <c r="AA11" s="52">
        <f t="shared" si="5"/>
        <v>5.2155000000000005</v>
      </c>
    </row>
    <row r="12" spans="1:27" x14ac:dyDescent="0.25">
      <c r="B12" s="52" t="s">
        <v>388</v>
      </c>
      <c r="C12" s="52">
        <v>3.2</v>
      </c>
      <c r="D12" s="52">
        <v>1.85</v>
      </c>
      <c r="E12" s="80">
        <f t="shared" si="0"/>
        <v>5.9200000000000008</v>
      </c>
      <c r="F12" s="52"/>
      <c r="G12" s="52"/>
      <c r="H12" s="52"/>
      <c r="I12" s="52">
        <f t="shared" si="1"/>
        <v>0</v>
      </c>
      <c r="J12" s="52"/>
      <c r="K12" s="52"/>
      <c r="L12" s="52">
        <f t="shared" si="2"/>
        <v>0</v>
      </c>
      <c r="N12" s="52" t="s">
        <v>388</v>
      </c>
      <c r="O12" s="52">
        <v>3.2</v>
      </c>
      <c r="P12" s="52">
        <v>1.85</v>
      </c>
      <c r="Q12" s="80">
        <f t="shared" si="3"/>
        <v>5.9200000000000008</v>
      </c>
      <c r="S12" s="52" t="s">
        <v>382</v>
      </c>
      <c r="T12" s="52">
        <v>3.2</v>
      </c>
      <c r="U12" s="52">
        <v>1.85</v>
      </c>
      <c r="V12" s="80">
        <f t="shared" si="4"/>
        <v>5.9200000000000008</v>
      </c>
      <c r="X12" s="52" t="s">
        <v>382</v>
      </c>
      <c r="Y12" s="52">
        <v>3.2</v>
      </c>
      <c r="Z12" s="52">
        <v>1.85</v>
      </c>
      <c r="AA12" s="52">
        <f t="shared" si="5"/>
        <v>5.9200000000000008</v>
      </c>
    </row>
    <row r="13" spans="1:27" x14ac:dyDescent="0.25">
      <c r="B13" s="52"/>
      <c r="C13" s="52">
        <v>1.05</v>
      </c>
      <c r="D13" s="52">
        <v>0.5</v>
      </c>
      <c r="E13" s="80">
        <f t="shared" si="0"/>
        <v>0.52500000000000002</v>
      </c>
      <c r="F13" s="52"/>
      <c r="G13" s="52"/>
      <c r="H13" s="52"/>
      <c r="I13" s="52">
        <f t="shared" si="1"/>
        <v>0</v>
      </c>
      <c r="J13" s="52"/>
      <c r="K13" s="52"/>
      <c r="L13" s="52">
        <f t="shared" si="2"/>
        <v>0</v>
      </c>
      <c r="N13" s="52"/>
      <c r="O13" s="52">
        <v>1.05</v>
      </c>
      <c r="P13" s="52">
        <v>0.5</v>
      </c>
      <c r="Q13" s="80">
        <f t="shared" si="3"/>
        <v>0.52500000000000002</v>
      </c>
      <c r="S13" s="52"/>
      <c r="T13" s="52">
        <v>1.05</v>
      </c>
      <c r="U13" s="52">
        <v>0.5</v>
      </c>
      <c r="V13" s="80">
        <f t="shared" si="4"/>
        <v>0.52500000000000002</v>
      </c>
      <c r="X13" s="52"/>
      <c r="Y13" s="52">
        <v>1.05</v>
      </c>
      <c r="Z13" s="52">
        <v>0.5</v>
      </c>
      <c r="AA13" s="52">
        <f t="shared" si="5"/>
        <v>0.52500000000000002</v>
      </c>
    </row>
    <row r="14" spans="1:27" x14ac:dyDescent="0.25">
      <c r="B14" s="52" t="s">
        <v>316</v>
      </c>
      <c r="C14" s="52">
        <v>3.65</v>
      </c>
      <c r="D14" s="52">
        <v>4.4000000000000004</v>
      </c>
      <c r="E14" s="80">
        <f t="shared" si="0"/>
        <v>16.060000000000002</v>
      </c>
      <c r="F14" s="52" t="s">
        <v>313</v>
      </c>
      <c r="G14" s="52"/>
      <c r="H14" s="52"/>
      <c r="I14" s="52">
        <f t="shared" si="1"/>
        <v>0</v>
      </c>
      <c r="J14" s="52"/>
      <c r="K14" s="52"/>
      <c r="L14" s="52">
        <f t="shared" si="2"/>
        <v>0</v>
      </c>
      <c r="N14" s="52" t="s">
        <v>316</v>
      </c>
      <c r="O14" s="52">
        <v>2.9</v>
      </c>
      <c r="P14" s="52">
        <v>0.6</v>
      </c>
      <c r="Q14" s="80">
        <f t="shared" si="3"/>
        <v>1.74</v>
      </c>
      <c r="S14" s="52" t="s">
        <v>316</v>
      </c>
      <c r="T14" s="52">
        <v>3.65</v>
      </c>
      <c r="U14" s="52">
        <v>4.4000000000000004</v>
      </c>
      <c r="V14" s="80">
        <f t="shared" si="4"/>
        <v>16.060000000000002</v>
      </c>
      <c r="X14" s="52" t="s">
        <v>316</v>
      </c>
      <c r="Y14" s="52">
        <v>3.65</v>
      </c>
      <c r="Z14" s="52">
        <v>4.4000000000000004</v>
      </c>
      <c r="AA14" s="52">
        <f t="shared" si="5"/>
        <v>16.060000000000002</v>
      </c>
    </row>
    <row r="15" spans="1:27" x14ac:dyDescent="0.25">
      <c r="B15" s="52"/>
      <c r="C15" s="52">
        <v>2.9</v>
      </c>
      <c r="D15" s="52">
        <v>0.6</v>
      </c>
      <c r="E15" s="80">
        <f t="shared" si="0"/>
        <v>1.74</v>
      </c>
      <c r="F15" s="52" t="s">
        <v>315</v>
      </c>
      <c r="G15" s="52"/>
      <c r="H15" s="52"/>
      <c r="I15" s="52">
        <f t="shared" si="1"/>
        <v>0</v>
      </c>
      <c r="J15" s="52"/>
      <c r="K15" s="52"/>
      <c r="L15" s="52">
        <f t="shared" si="2"/>
        <v>0</v>
      </c>
      <c r="N15" s="52"/>
      <c r="O15" s="52">
        <v>3.65</v>
      </c>
      <c r="P15" s="52">
        <v>4.4000000000000004</v>
      </c>
      <c r="Q15" s="80">
        <f t="shared" si="3"/>
        <v>16.060000000000002</v>
      </c>
      <c r="S15" s="52"/>
      <c r="T15" s="52">
        <v>2.9</v>
      </c>
      <c r="U15" s="52">
        <v>0.6</v>
      </c>
      <c r="V15" s="80">
        <f t="shared" si="4"/>
        <v>1.74</v>
      </c>
      <c r="X15" s="52"/>
      <c r="Y15" s="52">
        <v>2.9</v>
      </c>
      <c r="Z15" s="52">
        <v>0.35</v>
      </c>
      <c r="AA15" s="52">
        <f t="shared" si="5"/>
        <v>1.0149999999999999</v>
      </c>
    </row>
    <row r="16" spans="1:27" x14ac:dyDescent="0.25">
      <c r="B16" s="52"/>
      <c r="C16" s="52"/>
      <c r="D16" s="52"/>
      <c r="E16" s="80">
        <f t="shared" si="0"/>
        <v>0</v>
      </c>
      <c r="F16" s="52"/>
      <c r="G16" s="52"/>
      <c r="H16" s="52"/>
      <c r="I16" s="52">
        <f t="shared" si="1"/>
        <v>0</v>
      </c>
      <c r="J16" s="52"/>
      <c r="K16" s="52"/>
      <c r="L16" s="52">
        <f t="shared" si="2"/>
        <v>0</v>
      </c>
      <c r="N16" s="52"/>
      <c r="O16" s="52"/>
      <c r="P16" s="52"/>
      <c r="Q16" s="80">
        <f t="shared" si="3"/>
        <v>0</v>
      </c>
      <c r="S16" s="52"/>
      <c r="T16" s="52"/>
      <c r="U16" s="52"/>
      <c r="V16" s="80">
        <f t="shared" si="4"/>
        <v>0</v>
      </c>
      <c r="X16" s="52"/>
      <c r="Y16" s="52"/>
      <c r="Z16" s="52"/>
      <c r="AA16" s="52">
        <f t="shared" si="5"/>
        <v>0</v>
      </c>
    </row>
    <row r="17" spans="2:27" x14ac:dyDescent="0.25">
      <c r="B17" s="52"/>
      <c r="C17" s="52"/>
      <c r="D17" s="52"/>
      <c r="E17" s="80">
        <f t="shared" si="0"/>
        <v>0</v>
      </c>
      <c r="F17" s="52"/>
      <c r="G17" s="52"/>
      <c r="H17" s="52"/>
      <c r="I17" s="52">
        <f t="shared" si="1"/>
        <v>0</v>
      </c>
      <c r="J17" s="52"/>
      <c r="K17" s="52"/>
      <c r="L17" s="52">
        <f t="shared" si="2"/>
        <v>0</v>
      </c>
      <c r="N17" s="52"/>
      <c r="O17" s="52"/>
      <c r="P17" s="52"/>
      <c r="Q17" s="80">
        <f t="shared" si="3"/>
        <v>0</v>
      </c>
      <c r="S17" s="52"/>
      <c r="T17" s="52"/>
      <c r="U17" s="52"/>
      <c r="V17" s="80">
        <f t="shared" si="4"/>
        <v>0</v>
      </c>
      <c r="X17" s="52"/>
      <c r="Y17" s="52"/>
      <c r="Z17" s="52"/>
      <c r="AA17" s="52">
        <f t="shared" si="5"/>
        <v>0</v>
      </c>
    </row>
    <row r="18" spans="2:27" x14ac:dyDescent="0.25">
      <c r="B18" s="52" t="s">
        <v>317</v>
      </c>
      <c r="C18" s="52">
        <v>3.85</v>
      </c>
      <c r="D18" s="52">
        <v>4.4000000000000004</v>
      </c>
      <c r="E18" s="80">
        <f t="shared" si="0"/>
        <v>16.940000000000001</v>
      </c>
      <c r="F18" s="52" t="s">
        <v>313</v>
      </c>
      <c r="G18" s="52"/>
      <c r="H18" s="52"/>
      <c r="I18" s="52">
        <f t="shared" si="1"/>
        <v>0</v>
      </c>
      <c r="J18" s="52"/>
      <c r="K18" s="52"/>
      <c r="L18" s="52">
        <f t="shared" si="2"/>
        <v>0</v>
      </c>
      <c r="N18" s="52" t="s">
        <v>317</v>
      </c>
      <c r="O18" s="52">
        <v>3.85</v>
      </c>
      <c r="P18" s="52">
        <v>4.4000000000000004</v>
      </c>
      <c r="Q18" s="80">
        <f t="shared" si="3"/>
        <v>16.940000000000001</v>
      </c>
      <c r="S18" s="52" t="s">
        <v>317</v>
      </c>
      <c r="T18" s="52">
        <v>3.85</v>
      </c>
      <c r="U18" s="52">
        <v>4.4000000000000004</v>
      </c>
      <c r="V18" s="80">
        <f t="shared" si="4"/>
        <v>16.940000000000001</v>
      </c>
      <c r="X18" s="52" t="s">
        <v>317</v>
      </c>
      <c r="Y18" s="52">
        <v>3.85</v>
      </c>
      <c r="Z18" s="52">
        <v>4.1500000000000004</v>
      </c>
      <c r="AA18" s="52">
        <f t="shared" si="5"/>
        <v>15.977500000000001</v>
      </c>
    </row>
    <row r="19" spans="2:27" x14ac:dyDescent="0.25">
      <c r="B19" s="52"/>
      <c r="C19" s="52">
        <v>1.4</v>
      </c>
      <c r="D19" s="52">
        <v>0.6</v>
      </c>
      <c r="E19" s="80">
        <f t="shared" si="0"/>
        <v>0.84</v>
      </c>
      <c r="F19" s="52" t="s">
        <v>315</v>
      </c>
      <c r="G19" s="52"/>
      <c r="H19" s="52"/>
      <c r="I19" s="52">
        <f t="shared" si="1"/>
        <v>0</v>
      </c>
      <c r="J19" s="52"/>
      <c r="K19" s="52"/>
      <c r="L19" s="52">
        <f t="shared" si="2"/>
        <v>0</v>
      </c>
      <c r="N19" s="52"/>
      <c r="O19" s="52">
        <v>1.4</v>
      </c>
      <c r="P19" s="52">
        <v>0.6</v>
      </c>
      <c r="Q19" s="80">
        <f t="shared" si="3"/>
        <v>0.84</v>
      </c>
      <c r="S19" s="52"/>
      <c r="T19" s="52">
        <v>1.4</v>
      </c>
      <c r="U19" s="52">
        <v>0.6</v>
      </c>
      <c r="V19" s="80">
        <f t="shared" si="4"/>
        <v>0.84</v>
      </c>
      <c r="X19" s="52"/>
      <c r="Y19" s="52">
        <v>1.4</v>
      </c>
      <c r="Z19" s="52">
        <v>0.6</v>
      </c>
      <c r="AA19" s="52">
        <f t="shared" si="5"/>
        <v>0.84</v>
      </c>
    </row>
    <row r="20" spans="2:27" x14ac:dyDescent="0.25">
      <c r="B20" s="52"/>
      <c r="C20" s="52">
        <v>2.0699999999999998</v>
      </c>
      <c r="D20" s="52">
        <v>0.9</v>
      </c>
      <c r="E20" s="80">
        <f t="shared" si="0"/>
        <v>1.863</v>
      </c>
      <c r="F20" s="52"/>
      <c r="G20" s="52"/>
      <c r="H20" s="52"/>
      <c r="I20" s="52">
        <f t="shared" si="1"/>
        <v>0</v>
      </c>
      <c r="J20" s="52"/>
      <c r="K20" s="52"/>
      <c r="L20" s="52">
        <f t="shared" si="2"/>
        <v>0</v>
      </c>
      <c r="N20" s="52"/>
      <c r="O20" s="52">
        <v>2.0699999999999998</v>
      </c>
      <c r="P20" s="52">
        <v>0.9</v>
      </c>
      <c r="Q20" s="80">
        <f t="shared" si="3"/>
        <v>1.863</v>
      </c>
      <c r="S20" s="52"/>
      <c r="T20" s="52">
        <v>2.0699999999999998</v>
      </c>
      <c r="U20" s="52">
        <v>0.9</v>
      </c>
      <c r="V20" s="80">
        <f t="shared" si="4"/>
        <v>1.863</v>
      </c>
      <c r="X20" s="52"/>
      <c r="Y20" s="52">
        <v>2.08</v>
      </c>
      <c r="Z20" s="52">
        <v>0.9</v>
      </c>
      <c r="AA20" s="52">
        <f t="shared" si="5"/>
        <v>1.8720000000000001</v>
      </c>
    </row>
    <row r="21" spans="2:27" x14ac:dyDescent="0.25">
      <c r="B21" s="52" t="s">
        <v>318</v>
      </c>
      <c r="C21" s="52">
        <v>3.85</v>
      </c>
      <c r="D21" s="52">
        <v>4.28</v>
      </c>
      <c r="E21" s="80">
        <f t="shared" si="0"/>
        <v>16.478000000000002</v>
      </c>
      <c r="F21" s="52" t="s">
        <v>313</v>
      </c>
      <c r="G21" s="52"/>
      <c r="H21" s="52"/>
      <c r="I21" s="52">
        <f t="shared" si="1"/>
        <v>0</v>
      </c>
      <c r="J21" s="52"/>
      <c r="K21" s="52"/>
      <c r="L21" s="52">
        <f t="shared" si="2"/>
        <v>0</v>
      </c>
      <c r="N21" s="52" t="s">
        <v>318</v>
      </c>
      <c r="O21" s="52">
        <v>3.85</v>
      </c>
      <c r="P21" s="52">
        <v>4.28</v>
      </c>
      <c r="Q21" s="80">
        <f t="shared" si="3"/>
        <v>16.478000000000002</v>
      </c>
      <c r="S21" s="52" t="s">
        <v>318</v>
      </c>
      <c r="T21" s="52">
        <v>3.85</v>
      </c>
      <c r="U21" s="52">
        <v>4.28</v>
      </c>
      <c r="V21" s="80">
        <f t="shared" si="4"/>
        <v>16.478000000000002</v>
      </c>
      <c r="X21" s="52" t="s">
        <v>318</v>
      </c>
      <c r="Y21" s="52">
        <v>3.85</v>
      </c>
      <c r="Z21" s="52">
        <v>3.38</v>
      </c>
      <c r="AA21" s="52">
        <f t="shared" si="5"/>
        <v>13.013</v>
      </c>
    </row>
    <row r="22" spans="2:27" x14ac:dyDescent="0.25">
      <c r="B22" s="52"/>
      <c r="C22" s="52">
        <v>1.4</v>
      </c>
      <c r="D22" s="52">
        <v>0.6</v>
      </c>
      <c r="E22" s="80">
        <f t="shared" si="0"/>
        <v>0.84</v>
      </c>
      <c r="F22" s="52" t="s">
        <v>315</v>
      </c>
      <c r="G22" s="52"/>
      <c r="H22" s="52"/>
      <c r="I22" s="52">
        <f t="shared" si="1"/>
        <v>0</v>
      </c>
      <c r="J22" s="52"/>
      <c r="K22" s="52"/>
      <c r="L22" s="52">
        <f t="shared" si="2"/>
        <v>0</v>
      </c>
      <c r="N22" s="52"/>
      <c r="O22" s="52">
        <v>1.4</v>
      </c>
      <c r="P22" s="52">
        <v>0.6</v>
      </c>
      <c r="Q22" s="80">
        <f t="shared" si="3"/>
        <v>0.84</v>
      </c>
      <c r="S22" s="52"/>
      <c r="T22" s="52">
        <v>1.4</v>
      </c>
      <c r="U22" s="52">
        <v>0.6</v>
      </c>
      <c r="V22" s="80">
        <f t="shared" si="4"/>
        <v>0.84</v>
      </c>
      <c r="X22" s="52"/>
      <c r="Y22" s="52">
        <v>1.4</v>
      </c>
      <c r="Z22" s="52">
        <v>0.6</v>
      </c>
      <c r="AA22" s="52">
        <f t="shared" si="5"/>
        <v>0.84</v>
      </c>
    </row>
    <row r="23" spans="2:27" x14ac:dyDescent="0.25">
      <c r="B23" s="52"/>
      <c r="C23" s="52">
        <v>2.0699999999999998</v>
      </c>
      <c r="D23" s="52">
        <v>1</v>
      </c>
      <c r="E23" s="80">
        <f t="shared" si="0"/>
        <v>2.0699999999999998</v>
      </c>
      <c r="F23" s="52"/>
      <c r="G23" s="52"/>
      <c r="H23" s="52"/>
      <c r="I23" s="52">
        <f t="shared" si="1"/>
        <v>0</v>
      </c>
      <c r="J23" s="52"/>
      <c r="K23" s="52"/>
      <c r="L23" s="52">
        <f t="shared" si="2"/>
        <v>0</v>
      </c>
      <c r="N23" s="52"/>
      <c r="O23" s="52">
        <v>2.08</v>
      </c>
      <c r="P23" s="52">
        <v>1</v>
      </c>
      <c r="Q23" s="80">
        <f t="shared" si="3"/>
        <v>2.08</v>
      </c>
      <c r="S23" s="52"/>
      <c r="T23" s="52"/>
      <c r="U23" s="52"/>
      <c r="V23" s="80">
        <f t="shared" si="4"/>
        <v>0</v>
      </c>
      <c r="X23" s="52"/>
      <c r="Y23" s="52"/>
      <c r="Z23" s="52"/>
      <c r="AA23" s="52">
        <f t="shared" si="5"/>
        <v>0</v>
      </c>
    </row>
    <row r="24" spans="2:27" x14ac:dyDescent="0.25">
      <c r="B24" s="52" t="s">
        <v>319</v>
      </c>
      <c r="C24" s="52">
        <v>3</v>
      </c>
      <c r="D24" s="52">
        <v>0.6</v>
      </c>
      <c r="E24" s="80">
        <f t="shared" si="0"/>
        <v>1.7999999999999998</v>
      </c>
      <c r="F24" s="52" t="s">
        <v>320</v>
      </c>
      <c r="G24" s="52"/>
      <c r="H24" s="52"/>
      <c r="I24" s="52">
        <f t="shared" si="1"/>
        <v>0</v>
      </c>
      <c r="J24" s="52"/>
      <c r="K24" s="52"/>
      <c r="L24" s="52">
        <f t="shared" si="2"/>
        <v>0</v>
      </c>
      <c r="N24" s="52" t="s">
        <v>319</v>
      </c>
      <c r="O24" s="52">
        <v>4.3499999999999996</v>
      </c>
      <c r="P24" s="52">
        <v>0.6</v>
      </c>
      <c r="Q24" s="80">
        <f t="shared" si="3"/>
        <v>2.61</v>
      </c>
      <c r="S24" s="52" t="s">
        <v>319</v>
      </c>
      <c r="T24" s="52">
        <v>3</v>
      </c>
      <c r="U24" s="52">
        <v>0.6</v>
      </c>
      <c r="V24" s="80">
        <f t="shared" si="4"/>
        <v>1.7999999999999998</v>
      </c>
      <c r="X24" s="52" t="s">
        <v>319</v>
      </c>
      <c r="Y24" s="52">
        <v>5.0999999999999996</v>
      </c>
      <c r="Z24" s="52">
        <v>5.62</v>
      </c>
      <c r="AA24" s="52">
        <f t="shared" si="5"/>
        <v>28.661999999999999</v>
      </c>
    </row>
    <row r="25" spans="2:27" x14ac:dyDescent="0.25">
      <c r="B25" s="52"/>
      <c r="C25" s="52">
        <v>3.75</v>
      </c>
      <c r="D25" s="52">
        <v>6.62</v>
      </c>
      <c r="E25" s="80">
        <f t="shared" ref="E25:E29" si="6">C25*D25</f>
        <v>24.824999999999999</v>
      </c>
      <c r="F25" s="52" t="s">
        <v>320</v>
      </c>
      <c r="G25" s="52"/>
      <c r="H25" s="52"/>
      <c r="I25" s="52">
        <f t="shared" ref="I25:I29" si="7">G25*H25</f>
        <v>0</v>
      </c>
      <c r="J25" s="52"/>
      <c r="K25" s="52"/>
      <c r="L25" s="52">
        <f t="shared" ref="L25:L29" si="8">J25*K25</f>
        <v>0</v>
      </c>
      <c r="N25" s="52"/>
      <c r="O25" s="52">
        <v>5.0999999999999996</v>
      </c>
      <c r="P25" s="52">
        <v>4.5</v>
      </c>
      <c r="Q25" s="80">
        <f t="shared" si="3"/>
        <v>22.95</v>
      </c>
      <c r="S25" s="52"/>
      <c r="T25" s="52">
        <v>3.75</v>
      </c>
      <c r="U25" s="52">
        <v>6.62</v>
      </c>
      <c r="V25" s="80">
        <f t="shared" si="4"/>
        <v>24.824999999999999</v>
      </c>
      <c r="X25" s="52"/>
      <c r="Y25" s="52">
        <v>3.92</v>
      </c>
      <c r="Z25" s="52">
        <v>2.35</v>
      </c>
      <c r="AA25" s="52">
        <f t="shared" si="5"/>
        <v>9.2119999999999997</v>
      </c>
    </row>
    <row r="26" spans="2:27" x14ac:dyDescent="0.25">
      <c r="B26" s="52"/>
      <c r="C26" s="52"/>
      <c r="D26" s="52"/>
      <c r="E26" s="80">
        <f t="shared" si="6"/>
        <v>0</v>
      </c>
      <c r="F26" s="52" t="s">
        <v>320</v>
      </c>
      <c r="G26" s="52"/>
      <c r="H26" s="52"/>
      <c r="I26" s="52">
        <f t="shared" si="7"/>
        <v>0</v>
      </c>
      <c r="J26" s="52"/>
      <c r="K26" s="52"/>
      <c r="L26" s="52">
        <f t="shared" si="8"/>
        <v>0</v>
      </c>
      <c r="N26" s="52"/>
      <c r="O26" s="52">
        <v>5.7</v>
      </c>
      <c r="P26" s="52">
        <v>1.1299999999999999</v>
      </c>
      <c r="Q26" s="80">
        <f t="shared" si="3"/>
        <v>6.4409999999999998</v>
      </c>
      <c r="S26" s="52"/>
      <c r="T26" s="52">
        <v>2.35</v>
      </c>
      <c r="U26" s="52">
        <v>2.4</v>
      </c>
      <c r="V26" s="80">
        <f t="shared" si="4"/>
        <v>5.64</v>
      </c>
      <c r="X26" s="52"/>
      <c r="Y26" s="52">
        <v>4.3499999999999996</v>
      </c>
      <c r="Z26" s="52">
        <v>0.35</v>
      </c>
      <c r="AA26" s="52">
        <f t="shared" si="5"/>
        <v>1.5224999999999997</v>
      </c>
    </row>
    <row r="27" spans="2:27" x14ac:dyDescent="0.25">
      <c r="B27" s="52"/>
      <c r="C27" s="52">
        <v>2.35</v>
      </c>
      <c r="D27" s="52">
        <v>2.4</v>
      </c>
      <c r="E27" s="80">
        <f t="shared" si="6"/>
        <v>5.64</v>
      </c>
      <c r="F27" s="52" t="s">
        <v>320</v>
      </c>
      <c r="G27" s="52"/>
      <c r="H27" s="52"/>
      <c r="I27" s="52">
        <f t="shared" si="7"/>
        <v>0</v>
      </c>
      <c r="J27" s="52"/>
      <c r="K27" s="52"/>
      <c r="L27" s="52">
        <f t="shared" si="8"/>
        <v>0</v>
      </c>
      <c r="N27" s="52"/>
      <c r="O27" s="52">
        <v>3.93</v>
      </c>
      <c r="P27" s="52">
        <v>3.25</v>
      </c>
      <c r="Q27" s="80">
        <f t="shared" si="3"/>
        <v>12.772500000000001</v>
      </c>
      <c r="S27" s="52"/>
      <c r="T27" s="52"/>
      <c r="U27" s="52"/>
      <c r="V27" s="80">
        <f t="shared" si="4"/>
        <v>0</v>
      </c>
      <c r="X27" s="52"/>
      <c r="Y27" s="52">
        <v>2.15</v>
      </c>
      <c r="Z27" s="52">
        <v>1.07</v>
      </c>
      <c r="AA27" s="52">
        <f t="shared" si="5"/>
        <v>2.3005</v>
      </c>
    </row>
    <row r="28" spans="2:27" x14ac:dyDescent="0.25">
      <c r="B28" s="52"/>
      <c r="C28" s="52"/>
      <c r="D28" s="52"/>
      <c r="E28" s="80">
        <f t="shared" ref="E28" si="9">C28*D28</f>
        <v>0</v>
      </c>
      <c r="F28" s="52" t="s">
        <v>320</v>
      </c>
      <c r="G28" s="52"/>
      <c r="H28" s="52"/>
      <c r="I28" s="52">
        <f t="shared" ref="I28" si="10">G28*H28</f>
        <v>0</v>
      </c>
      <c r="J28" s="52"/>
      <c r="K28" s="52"/>
      <c r="L28" s="52">
        <f t="shared" ref="L28" si="11">J28*K28</f>
        <v>0</v>
      </c>
      <c r="N28" s="52" t="s">
        <v>389</v>
      </c>
      <c r="O28" s="52">
        <v>3</v>
      </c>
      <c r="P28" s="52">
        <v>0.6</v>
      </c>
      <c r="Q28" s="80">
        <f t="shared" si="3"/>
        <v>1.7999999999999998</v>
      </c>
      <c r="S28" s="52"/>
      <c r="T28" s="52"/>
      <c r="U28" s="52"/>
      <c r="V28" s="80">
        <f t="shared" si="4"/>
        <v>0</v>
      </c>
      <c r="X28" s="52"/>
      <c r="Y28" s="52">
        <v>1.2</v>
      </c>
      <c r="Z28" s="52">
        <v>1.5</v>
      </c>
      <c r="AA28" s="52">
        <f t="shared" si="5"/>
        <v>1.7999999999999998</v>
      </c>
    </row>
    <row r="29" spans="2:27" x14ac:dyDescent="0.25">
      <c r="B29" s="52"/>
      <c r="C29" s="52"/>
      <c r="D29" s="52"/>
      <c r="E29" s="80">
        <f t="shared" si="6"/>
        <v>0</v>
      </c>
      <c r="F29" s="52" t="s">
        <v>320</v>
      </c>
      <c r="G29" s="52"/>
      <c r="H29" s="52"/>
      <c r="I29" s="52">
        <f t="shared" si="7"/>
        <v>0</v>
      </c>
      <c r="J29" s="52"/>
      <c r="K29" s="52"/>
      <c r="L29" s="52">
        <f t="shared" si="8"/>
        <v>0</v>
      </c>
      <c r="N29" s="52"/>
      <c r="O29" s="52">
        <v>3.75</v>
      </c>
      <c r="P29" s="52">
        <v>6.62</v>
      </c>
      <c r="Q29" s="80">
        <f t="shared" si="3"/>
        <v>24.824999999999999</v>
      </c>
      <c r="S29" s="52" t="s">
        <v>380</v>
      </c>
      <c r="T29" s="52"/>
      <c r="U29" s="52"/>
      <c r="V29" s="80">
        <f t="shared" si="4"/>
        <v>0</v>
      </c>
      <c r="X29" s="52"/>
      <c r="Y29" s="52">
        <v>0.6</v>
      </c>
      <c r="Z29" s="52">
        <v>1.1200000000000001</v>
      </c>
      <c r="AA29" s="52">
        <f t="shared" si="5"/>
        <v>0.67200000000000004</v>
      </c>
    </row>
    <row r="30" spans="2:27" x14ac:dyDescent="0.25">
      <c r="B30" s="52"/>
      <c r="C30" s="52"/>
      <c r="D30" s="52"/>
      <c r="E30" s="80">
        <f t="shared" ref="E30:E33" si="12">C30*D30</f>
        <v>0</v>
      </c>
      <c r="F30" s="52" t="s">
        <v>320</v>
      </c>
      <c r="G30" s="52"/>
      <c r="H30" s="52"/>
      <c r="I30" s="52">
        <f t="shared" ref="I30:I33" si="13">G30*H30</f>
        <v>0</v>
      </c>
      <c r="J30" s="52"/>
      <c r="K30" s="52"/>
      <c r="L30" s="52">
        <f t="shared" ref="L30:L33" si="14">J30*K30</f>
        <v>0</v>
      </c>
      <c r="N30" s="52"/>
      <c r="O30" s="52">
        <v>2.35</v>
      </c>
      <c r="P30" s="52">
        <v>2.4</v>
      </c>
      <c r="Q30" s="80">
        <f t="shared" si="3"/>
        <v>5.64</v>
      </c>
      <c r="S30" s="52"/>
      <c r="T30" s="52"/>
      <c r="U30" s="52"/>
      <c r="V30" s="80">
        <f t="shared" si="4"/>
        <v>0</v>
      </c>
      <c r="X30" s="52" t="s">
        <v>380</v>
      </c>
      <c r="Y30" s="52">
        <v>3.75</v>
      </c>
      <c r="Z30" s="52">
        <v>6.62</v>
      </c>
      <c r="AA30" s="52">
        <f t="shared" si="5"/>
        <v>24.824999999999999</v>
      </c>
    </row>
    <row r="31" spans="2:27" x14ac:dyDescent="0.25">
      <c r="B31" s="52"/>
      <c r="C31" s="52"/>
      <c r="D31" s="52"/>
      <c r="E31" s="80">
        <f t="shared" si="12"/>
        <v>0</v>
      </c>
      <c r="F31" s="52" t="s">
        <v>320</v>
      </c>
      <c r="G31" s="52"/>
      <c r="H31" s="52"/>
      <c r="I31" s="52">
        <f t="shared" si="13"/>
        <v>0</v>
      </c>
      <c r="J31" s="52"/>
      <c r="K31" s="52"/>
      <c r="L31" s="52">
        <f t="shared" si="14"/>
        <v>0</v>
      </c>
      <c r="N31" s="52"/>
      <c r="O31" s="52"/>
      <c r="P31" s="52"/>
      <c r="Q31" s="80">
        <f t="shared" si="3"/>
        <v>0</v>
      </c>
      <c r="S31" s="52"/>
      <c r="T31" s="52"/>
      <c r="U31" s="52"/>
      <c r="V31" s="80">
        <f t="shared" si="4"/>
        <v>0</v>
      </c>
      <c r="X31" s="52"/>
      <c r="Y31" s="52">
        <v>2.35</v>
      </c>
      <c r="Z31" s="52">
        <v>2.4</v>
      </c>
      <c r="AA31" s="52">
        <f t="shared" si="5"/>
        <v>5.64</v>
      </c>
    </row>
    <row r="32" spans="2:27" x14ac:dyDescent="0.25">
      <c r="B32" s="52"/>
      <c r="C32" s="52"/>
      <c r="D32" s="52"/>
      <c r="E32" s="80"/>
      <c r="F32" s="52"/>
      <c r="G32" s="52"/>
      <c r="H32" s="52"/>
      <c r="I32" s="52"/>
      <c r="J32" s="52"/>
      <c r="K32" s="52"/>
      <c r="L32" s="52"/>
      <c r="N32" s="52"/>
      <c r="O32" s="52"/>
      <c r="P32" s="52"/>
      <c r="Q32" s="80"/>
      <c r="S32" s="52"/>
      <c r="T32" s="52"/>
      <c r="U32" s="52"/>
      <c r="V32" s="80"/>
      <c r="X32" s="52"/>
      <c r="Y32" s="52">
        <v>3</v>
      </c>
      <c r="Z32" s="52">
        <v>0.35</v>
      </c>
      <c r="AA32" s="52">
        <f t="shared" si="5"/>
        <v>1.0499999999999998</v>
      </c>
    </row>
    <row r="33" spans="2:27" x14ac:dyDescent="0.25">
      <c r="B33" s="52"/>
      <c r="C33" s="52"/>
      <c r="D33" s="52"/>
      <c r="E33" s="80">
        <f t="shared" si="12"/>
        <v>0</v>
      </c>
      <c r="F33" s="52" t="s">
        <v>320</v>
      </c>
      <c r="G33" s="52"/>
      <c r="H33" s="52"/>
      <c r="I33" s="52">
        <f t="shared" si="13"/>
        <v>0</v>
      </c>
      <c r="J33" s="52"/>
      <c r="K33" s="52"/>
      <c r="L33" s="52">
        <f t="shared" si="14"/>
        <v>0</v>
      </c>
      <c r="N33" s="52"/>
      <c r="O33" s="52"/>
      <c r="P33" s="52"/>
      <c r="Q33" s="80">
        <f t="shared" si="3"/>
        <v>0</v>
      </c>
      <c r="S33" s="52"/>
      <c r="T33" s="52"/>
      <c r="U33" s="52"/>
      <c r="V33" s="80">
        <f t="shared" si="4"/>
        <v>0</v>
      </c>
      <c r="X33" s="52" t="s">
        <v>434</v>
      </c>
      <c r="Y33" s="52">
        <v>1.68</v>
      </c>
      <c r="Z33" s="52">
        <v>1.47</v>
      </c>
      <c r="AA33" s="52">
        <f t="shared" si="5"/>
        <v>2.4695999999999998</v>
      </c>
    </row>
    <row r="34" spans="2:27" x14ac:dyDescent="0.25">
      <c r="B34" s="52" t="s">
        <v>321</v>
      </c>
      <c r="C34" s="52">
        <v>2.0499999999999998</v>
      </c>
      <c r="D34" s="52">
        <v>1.1499999999999999</v>
      </c>
      <c r="E34" s="80">
        <f t="shared" si="0"/>
        <v>2.3574999999999995</v>
      </c>
      <c r="F34" s="52" t="s">
        <v>320</v>
      </c>
      <c r="G34" s="52"/>
      <c r="H34" s="52"/>
      <c r="I34" s="52">
        <f t="shared" si="1"/>
        <v>0</v>
      </c>
      <c r="J34" s="52"/>
      <c r="K34" s="52"/>
      <c r="L34" s="52">
        <f t="shared" si="2"/>
        <v>0</v>
      </c>
      <c r="N34" s="52" t="s">
        <v>321</v>
      </c>
      <c r="O34" s="52">
        <v>2.0499999999999998</v>
      </c>
      <c r="P34" s="52">
        <v>1.1499999999999999</v>
      </c>
      <c r="Q34" s="80">
        <f t="shared" si="3"/>
        <v>2.3574999999999995</v>
      </c>
      <c r="S34" s="52" t="s">
        <v>321</v>
      </c>
      <c r="T34" s="52">
        <v>2.0499999999999998</v>
      </c>
      <c r="U34" s="52">
        <v>1.1499999999999999</v>
      </c>
      <c r="V34" s="80">
        <f t="shared" si="4"/>
        <v>2.3574999999999995</v>
      </c>
      <c r="X34" s="52" t="s">
        <v>321</v>
      </c>
      <c r="Y34" s="52">
        <v>2.0499999999999998</v>
      </c>
      <c r="Z34" s="52">
        <v>1.1499999999999999</v>
      </c>
      <c r="AA34" s="52">
        <f t="shared" si="5"/>
        <v>2.3574999999999995</v>
      </c>
    </row>
    <row r="35" spans="2:27" x14ac:dyDescent="0.25">
      <c r="B35" s="52"/>
      <c r="C35" s="52"/>
      <c r="D35" s="52"/>
      <c r="E35" s="80">
        <f t="shared" si="0"/>
        <v>0</v>
      </c>
      <c r="F35" s="52"/>
      <c r="G35" s="52"/>
      <c r="H35" s="52"/>
      <c r="I35" s="52">
        <f t="shared" si="1"/>
        <v>0</v>
      </c>
      <c r="J35" s="52"/>
      <c r="K35" s="52"/>
      <c r="L35" s="52">
        <f t="shared" si="2"/>
        <v>0</v>
      </c>
      <c r="N35" s="52"/>
      <c r="O35" s="52">
        <v>1.83</v>
      </c>
      <c r="P35" s="52">
        <v>2.0299999999999998</v>
      </c>
      <c r="Q35" s="80">
        <f t="shared" si="3"/>
        <v>3.7148999999999996</v>
      </c>
      <c r="S35" s="52"/>
      <c r="T35" s="52">
        <v>1.83</v>
      </c>
      <c r="U35" s="52">
        <v>2.0299999999999998</v>
      </c>
      <c r="V35" s="80">
        <f t="shared" si="4"/>
        <v>3.7148999999999996</v>
      </c>
      <c r="X35" s="52" t="s">
        <v>322</v>
      </c>
      <c r="Y35" s="52">
        <v>1.83</v>
      </c>
      <c r="Z35" s="52">
        <v>1.77</v>
      </c>
      <c r="AA35" s="52">
        <f t="shared" ref="AA35:AA40" si="15">Y35*Z35</f>
        <v>3.2391000000000001</v>
      </c>
    </row>
    <row r="36" spans="2:27" x14ac:dyDescent="0.25">
      <c r="B36" s="52" t="s">
        <v>322</v>
      </c>
      <c r="C36" s="52">
        <v>1.83</v>
      </c>
      <c r="D36" s="52">
        <v>2.0299999999999998</v>
      </c>
      <c r="E36" s="80">
        <f t="shared" si="0"/>
        <v>3.7148999999999996</v>
      </c>
      <c r="F36" s="52" t="s">
        <v>320</v>
      </c>
      <c r="G36" s="52"/>
      <c r="H36" s="52"/>
      <c r="I36" s="52">
        <f t="shared" si="1"/>
        <v>0</v>
      </c>
      <c r="J36" s="52"/>
      <c r="K36" s="52"/>
      <c r="L36" s="52">
        <f t="shared" si="2"/>
        <v>0</v>
      </c>
      <c r="N36" s="52" t="s">
        <v>322</v>
      </c>
      <c r="O36" s="52">
        <v>1.72</v>
      </c>
      <c r="P36" s="52">
        <v>1.07</v>
      </c>
      <c r="Q36" s="80">
        <f t="shared" si="3"/>
        <v>1.8404</v>
      </c>
      <c r="S36" s="52" t="s">
        <v>322</v>
      </c>
      <c r="T36" s="52">
        <v>1.72</v>
      </c>
      <c r="U36" s="52">
        <v>1.07</v>
      </c>
      <c r="V36" s="80">
        <f t="shared" si="4"/>
        <v>1.8404</v>
      </c>
      <c r="X36" s="52"/>
      <c r="Y36" s="52">
        <v>1.73</v>
      </c>
      <c r="Z36" s="52">
        <v>1.07</v>
      </c>
      <c r="AA36" s="52">
        <f t="shared" si="15"/>
        <v>1.8511000000000002</v>
      </c>
    </row>
    <row r="37" spans="2:27" x14ac:dyDescent="0.25">
      <c r="B37" s="52" t="s">
        <v>326</v>
      </c>
      <c r="C37" s="52">
        <v>1.72</v>
      </c>
      <c r="D37" s="52">
        <v>1.07</v>
      </c>
      <c r="E37" s="80">
        <f t="shared" si="0"/>
        <v>1.8404</v>
      </c>
      <c r="F37" s="52"/>
      <c r="G37" s="52"/>
      <c r="H37" s="52"/>
      <c r="I37" s="52">
        <f t="shared" si="1"/>
        <v>0</v>
      </c>
      <c r="J37" s="52"/>
      <c r="K37" s="52"/>
      <c r="L37" s="52">
        <f t="shared" si="2"/>
        <v>0</v>
      </c>
      <c r="N37" s="52" t="s">
        <v>326</v>
      </c>
      <c r="O37" s="52">
        <v>1.35</v>
      </c>
      <c r="P37" s="52">
        <v>1.65</v>
      </c>
      <c r="Q37" s="80">
        <f t="shared" si="3"/>
        <v>2.2275</v>
      </c>
      <c r="S37" s="52" t="s">
        <v>326</v>
      </c>
      <c r="T37" s="52">
        <v>1.35</v>
      </c>
      <c r="U37" s="52">
        <v>1.65</v>
      </c>
      <c r="V37" s="80">
        <f t="shared" si="4"/>
        <v>2.2275</v>
      </c>
      <c r="X37" s="52"/>
      <c r="Y37" s="52">
        <v>1.35</v>
      </c>
      <c r="Z37" s="52">
        <v>1.65</v>
      </c>
      <c r="AA37" s="52">
        <f t="shared" si="15"/>
        <v>2.2275</v>
      </c>
    </row>
    <row r="38" spans="2:27" x14ac:dyDescent="0.25">
      <c r="B38" s="52"/>
      <c r="C38" s="52">
        <v>1.35</v>
      </c>
      <c r="D38" s="52">
        <v>1.65</v>
      </c>
      <c r="E38" s="80">
        <f t="shared" ref="E38:E49" si="16">C38*D38</f>
        <v>2.2275</v>
      </c>
      <c r="F38" s="52"/>
      <c r="G38" s="52"/>
      <c r="H38" s="52"/>
      <c r="I38" s="52">
        <f t="shared" ref="I38:I49" si="17">G38*H38</f>
        <v>0</v>
      </c>
      <c r="J38" s="52"/>
      <c r="K38" s="52"/>
      <c r="L38" s="52">
        <f t="shared" ref="L38:L49" si="18">J38*K38</f>
        <v>0</v>
      </c>
      <c r="N38" s="52"/>
      <c r="O38" s="52">
        <v>1.68</v>
      </c>
      <c r="P38" s="52">
        <v>1.1299999999999999</v>
      </c>
      <c r="Q38" s="80">
        <f t="shared" si="3"/>
        <v>1.8983999999999996</v>
      </c>
      <c r="S38" s="52"/>
      <c r="T38" s="52">
        <v>1.68</v>
      </c>
      <c r="U38" s="52">
        <v>1.1299999999999999</v>
      </c>
      <c r="V38" s="80">
        <f t="shared" si="4"/>
        <v>1.8983999999999996</v>
      </c>
      <c r="X38" s="52" t="s">
        <v>326</v>
      </c>
      <c r="Y38" s="52">
        <v>1.68</v>
      </c>
      <c r="Z38" s="52">
        <v>0.88</v>
      </c>
      <c r="AA38" s="52">
        <f t="shared" si="15"/>
        <v>1.4783999999999999</v>
      </c>
    </row>
    <row r="39" spans="2:27" x14ac:dyDescent="0.25">
      <c r="B39" s="52"/>
      <c r="C39" s="52">
        <v>1.68</v>
      </c>
      <c r="D39" s="52">
        <v>1.1299999999999999</v>
      </c>
      <c r="E39" s="80">
        <f t="shared" si="16"/>
        <v>1.8983999999999996</v>
      </c>
      <c r="F39" s="52"/>
      <c r="G39" s="52"/>
      <c r="H39" s="52"/>
      <c r="I39" s="52">
        <f t="shared" si="17"/>
        <v>0</v>
      </c>
      <c r="J39" s="52"/>
      <c r="K39" s="52"/>
      <c r="L39" s="52">
        <f t="shared" si="18"/>
        <v>0</v>
      </c>
      <c r="N39" s="52"/>
      <c r="O39" s="52">
        <v>1.57</v>
      </c>
      <c r="P39" s="52">
        <v>1.07</v>
      </c>
      <c r="Q39" s="80">
        <f t="shared" si="3"/>
        <v>1.6799000000000002</v>
      </c>
      <c r="S39" s="52"/>
      <c r="T39" s="52">
        <v>1.57</v>
      </c>
      <c r="U39" s="52">
        <v>1.07</v>
      </c>
      <c r="V39" s="80">
        <f t="shared" si="4"/>
        <v>1.6799000000000002</v>
      </c>
      <c r="X39" s="52"/>
      <c r="Y39" s="52">
        <v>1.57</v>
      </c>
      <c r="Z39" s="52">
        <v>1.07</v>
      </c>
      <c r="AA39" s="52">
        <f t="shared" si="15"/>
        <v>1.6799000000000002</v>
      </c>
    </row>
    <row r="40" spans="2:27" x14ac:dyDescent="0.25">
      <c r="B40" s="52"/>
      <c r="C40" s="52">
        <v>1.57</v>
      </c>
      <c r="D40" s="52">
        <v>1.07</v>
      </c>
      <c r="E40" s="80">
        <f t="shared" ref="E40" si="19">C40*D40</f>
        <v>1.6799000000000002</v>
      </c>
      <c r="F40" s="52"/>
      <c r="G40" s="52"/>
      <c r="H40" s="52"/>
      <c r="I40" s="52">
        <f t="shared" ref="I40" si="20">G40*H40</f>
        <v>0</v>
      </c>
      <c r="J40" s="52"/>
      <c r="K40" s="52"/>
      <c r="L40" s="52">
        <f t="shared" ref="L40" si="21">J40*K40</f>
        <v>0</v>
      </c>
      <c r="N40" s="52"/>
      <c r="O40" s="52">
        <v>1.2</v>
      </c>
      <c r="P40" s="52">
        <v>1.65</v>
      </c>
      <c r="Q40" s="80">
        <f t="shared" si="3"/>
        <v>1.9799999999999998</v>
      </c>
      <c r="S40" s="52"/>
      <c r="T40" s="52">
        <v>1.2</v>
      </c>
      <c r="U40" s="52">
        <v>1.65</v>
      </c>
      <c r="V40" s="80">
        <f t="shared" si="4"/>
        <v>1.9799999999999998</v>
      </c>
      <c r="X40" s="52"/>
      <c r="Y40" s="52">
        <v>1.2</v>
      </c>
      <c r="Z40" s="52">
        <v>1.65</v>
      </c>
      <c r="AA40" s="52">
        <f t="shared" si="15"/>
        <v>1.9799999999999998</v>
      </c>
    </row>
    <row r="41" spans="2:27" x14ac:dyDescent="0.25">
      <c r="B41" s="52"/>
      <c r="C41" s="52">
        <v>1.2</v>
      </c>
      <c r="D41" s="52">
        <v>1.65</v>
      </c>
      <c r="E41" s="80">
        <f t="shared" ref="E41:E48" si="22">C41*D41</f>
        <v>1.9799999999999998</v>
      </c>
      <c r="F41" s="52"/>
      <c r="G41" s="52"/>
      <c r="H41" s="52"/>
      <c r="I41" s="52">
        <f t="shared" ref="I41:I45" si="23">G41*H41</f>
        <v>0</v>
      </c>
      <c r="J41" s="52"/>
      <c r="K41" s="52"/>
      <c r="L41" s="52">
        <f t="shared" ref="L41:L45" si="24">J41*K41</f>
        <v>0</v>
      </c>
      <c r="N41" s="52"/>
      <c r="O41" s="52">
        <v>1.67</v>
      </c>
      <c r="P41" s="52">
        <v>1.45</v>
      </c>
      <c r="Q41" s="80">
        <f t="shared" si="3"/>
        <v>2.4215</v>
      </c>
      <c r="S41" s="52"/>
      <c r="T41" s="52">
        <v>1.68</v>
      </c>
      <c r="U41" s="52">
        <v>1.45</v>
      </c>
      <c r="V41" s="80">
        <f t="shared" si="4"/>
        <v>2.4359999999999999</v>
      </c>
      <c r="X41" s="52" t="s">
        <v>435</v>
      </c>
      <c r="Y41" s="52">
        <v>3.75</v>
      </c>
      <c r="Z41" s="52">
        <v>1.2</v>
      </c>
      <c r="AA41" s="52">
        <f t="shared" si="5"/>
        <v>4.5</v>
      </c>
    </row>
    <row r="42" spans="2:27" x14ac:dyDescent="0.25">
      <c r="B42" s="52"/>
      <c r="C42" s="52">
        <v>1.68</v>
      </c>
      <c r="D42" s="52">
        <v>1.45</v>
      </c>
      <c r="E42" s="80">
        <f t="shared" ref="E42:E44" si="25">C42*D42</f>
        <v>2.4359999999999999</v>
      </c>
      <c r="F42" s="52"/>
      <c r="G42" s="52"/>
      <c r="H42" s="52"/>
      <c r="I42" s="52">
        <f t="shared" ref="I42:I44" si="26">G42*H42</f>
        <v>0</v>
      </c>
      <c r="J42" s="52"/>
      <c r="K42" s="52"/>
      <c r="L42" s="52">
        <f t="shared" ref="L42:L44" si="27">J42*K42</f>
        <v>0</v>
      </c>
      <c r="N42" s="52"/>
      <c r="O42" s="52">
        <v>2.15</v>
      </c>
      <c r="P42" s="52">
        <v>1.98</v>
      </c>
      <c r="Q42" s="80">
        <f t="shared" si="3"/>
        <v>4.2569999999999997</v>
      </c>
      <c r="S42" s="52"/>
      <c r="T42" s="52">
        <v>3.75</v>
      </c>
      <c r="U42" s="52">
        <v>1.2</v>
      </c>
      <c r="V42" s="80">
        <f t="shared" si="4"/>
        <v>4.5</v>
      </c>
      <c r="X42" s="52"/>
      <c r="Y42" s="52">
        <v>2</v>
      </c>
      <c r="Z42" s="52">
        <v>0.55000000000000004</v>
      </c>
      <c r="AA42" s="52">
        <f t="shared" si="5"/>
        <v>1.1000000000000001</v>
      </c>
    </row>
    <row r="43" spans="2:27" x14ac:dyDescent="0.25">
      <c r="B43" s="52"/>
      <c r="C43" s="52">
        <v>2.0699999999999998</v>
      </c>
      <c r="D43" s="52">
        <v>1</v>
      </c>
      <c r="E43" s="80">
        <f t="shared" si="25"/>
        <v>2.0699999999999998</v>
      </c>
      <c r="F43" s="52"/>
      <c r="G43" s="52"/>
      <c r="H43" s="52"/>
      <c r="I43" s="52">
        <f t="shared" si="26"/>
        <v>0</v>
      </c>
      <c r="J43" s="52"/>
      <c r="K43" s="52"/>
      <c r="L43" s="52">
        <f t="shared" si="27"/>
        <v>0</v>
      </c>
      <c r="N43" s="52"/>
      <c r="O43" s="52">
        <v>2.15</v>
      </c>
      <c r="P43" s="52">
        <v>1.07</v>
      </c>
      <c r="Q43" s="80">
        <f t="shared" si="3"/>
        <v>2.3005</v>
      </c>
      <c r="S43" s="52"/>
      <c r="T43" s="52">
        <v>2</v>
      </c>
      <c r="U43" s="52">
        <v>1.45</v>
      </c>
      <c r="V43" s="80">
        <f t="shared" si="4"/>
        <v>2.9</v>
      </c>
      <c r="X43" s="52"/>
      <c r="Y43" s="52">
        <v>2</v>
      </c>
      <c r="Z43" s="52">
        <v>1.1000000000000001</v>
      </c>
      <c r="AA43" s="52">
        <f t="shared" si="5"/>
        <v>2.2000000000000002</v>
      </c>
    </row>
    <row r="44" spans="2:27" x14ac:dyDescent="0.25">
      <c r="B44" s="52"/>
      <c r="C44" s="52">
        <v>3.75</v>
      </c>
      <c r="D44" s="52">
        <v>1.2</v>
      </c>
      <c r="E44" s="80">
        <f t="shared" si="25"/>
        <v>4.5</v>
      </c>
      <c r="F44" s="52"/>
      <c r="G44" s="52"/>
      <c r="H44" s="52"/>
      <c r="I44" s="52">
        <f t="shared" si="26"/>
        <v>0</v>
      </c>
      <c r="J44" s="52"/>
      <c r="K44" s="52"/>
      <c r="L44" s="52">
        <f t="shared" si="27"/>
        <v>0</v>
      </c>
      <c r="N44" s="52"/>
      <c r="O44" s="52">
        <v>1.2</v>
      </c>
      <c r="P44" s="52">
        <v>1.5</v>
      </c>
      <c r="Q44" s="80">
        <f t="shared" si="3"/>
        <v>1.7999999999999998</v>
      </c>
      <c r="S44" s="52"/>
      <c r="T44" s="52">
        <v>2</v>
      </c>
      <c r="U44" s="52">
        <v>1.1000000000000001</v>
      </c>
      <c r="V44" s="80">
        <f t="shared" si="4"/>
        <v>2.2000000000000002</v>
      </c>
      <c r="X44" s="52" t="s">
        <v>436</v>
      </c>
      <c r="Y44" s="52">
        <v>2.15</v>
      </c>
      <c r="Z44" s="52">
        <v>1.78</v>
      </c>
      <c r="AA44" s="52">
        <f t="shared" si="5"/>
        <v>3.827</v>
      </c>
    </row>
    <row r="45" spans="2:27" x14ac:dyDescent="0.25">
      <c r="B45" s="52"/>
      <c r="C45" s="52">
        <v>2</v>
      </c>
      <c r="D45" s="52">
        <v>1.45</v>
      </c>
      <c r="E45" s="80">
        <f t="shared" si="22"/>
        <v>2.9</v>
      </c>
      <c r="F45" s="52"/>
      <c r="G45" s="52"/>
      <c r="H45" s="52"/>
      <c r="I45" s="52">
        <f t="shared" si="23"/>
        <v>0</v>
      </c>
      <c r="J45" s="52"/>
      <c r="K45" s="52"/>
      <c r="L45" s="52">
        <f t="shared" si="24"/>
        <v>0</v>
      </c>
      <c r="N45" s="52"/>
      <c r="O45" s="52">
        <v>3.75</v>
      </c>
      <c r="P45" s="52">
        <v>1.2</v>
      </c>
      <c r="Q45" s="80">
        <f t="shared" si="3"/>
        <v>4.5</v>
      </c>
      <c r="S45" s="52"/>
      <c r="T45" s="52"/>
      <c r="U45" s="52"/>
      <c r="V45" s="80">
        <f t="shared" si="4"/>
        <v>0</v>
      </c>
      <c r="X45" s="52"/>
      <c r="Y45" s="52">
        <v>2.15</v>
      </c>
      <c r="Z45" s="52">
        <v>1.07</v>
      </c>
      <c r="AA45" s="52">
        <f t="shared" si="5"/>
        <v>2.3005</v>
      </c>
    </row>
    <row r="46" spans="2:27" x14ac:dyDescent="0.25">
      <c r="B46" s="52"/>
      <c r="C46" s="52">
        <v>2</v>
      </c>
      <c r="D46" s="52">
        <v>1.1000000000000001</v>
      </c>
      <c r="E46" s="80">
        <f t="shared" si="22"/>
        <v>2.2000000000000002</v>
      </c>
      <c r="F46" s="52"/>
      <c r="G46" s="52"/>
      <c r="H46" s="52"/>
      <c r="I46" s="52">
        <f>G46*H46</f>
        <v>0</v>
      </c>
      <c r="J46" s="52"/>
      <c r="K46" s="52"/>
      <c r="L46" s="52">
        <f>J46*K46</f>
        <v>0</v>
      </c>
      <c r="N46" s="52"/>
      <c r="O46" s="52">
        <v>2</v>
      </c>
      <c r="P46" s="52">
        <v>1.45</v>
      </c>
      <c r="Q46" s="80">
        <f t="shared" si="3"/>
        <v>2.9</v>
      </c>
      <c r="S46" s="52"/>
      <c r="T46" s="52"/>
      <c r="U46" s="52"/>
      <c r="V46" s="80">
        <f t="shared" si="4"/>
        <v>0</v>
      </c>
      <c r="X46" s="52"/>
      <c r="Y46" s="52">
        <v>1.2</v>
      </c>
      <c r="Z46" s="52">
        <v>1.5</v>
      </c>
      <c r="AA46" s="52">
        <f t="shared" si="5"/>
        <v>1.7999999999999998</v>
      </c>
    </row>
    <row r="47" spans="2:27" x14ac:dyDescent="0.25">
      <c r="B47" s="52"/>
      <c r="C47" s="52"/>
      <c r="D47" s="52"/>
      <c r="E47" s="80">
        <f t="shared" si="22"/>
        <v>0</v>
      </c>
      <c r="F47" s="52"/>
      <c r="G47" s="52"/>
      <c r="H47" s="52"/>
      <c r="I47" s="52">
        <f>G47*H47</f>
        <v>0</v>
      </c>
      <c r="J47" s="52"/>
      <c r="K47" s="52"/>
      <c r="L47" s="52">
        <f>J47*K47</f>
        <v>0</v>
      </c>
      <c r="N47" s="52"/>
      <c r="O47" s="52">
        <v>2</v>
      </c>
      <c r="P47" s="52">
        <v>1.1000000000000001</v>
      </c>
      <c r="Q47" s="80">
        <f t="shared" si="3"/>
        <v>2.2000000000000002</v>
      </c>
      <c r="S47" s="52"/>
      <c r="T47" s="52"/>
      <c r="U47" s="52"/>
      <c r="V47" s="80">
        <f t="shared" si="4"/>
        <v>0</v>
      </c>
      <c r="X47" s="52"/>
      <c r="Y47" s="52"/>
      <c r="Z47" s="52"/>
      <c r="AA47" s="52">
        <f t="shared" si="5"/>
        <v>0</v>
      </c>
    </row>
    <row r="48" spans="2:27" x14ac:dyDescent="0.25">
      <c r="B48" s="52"/>
      <c r="C48" s="52"/>
      <c r="D48" s="52"/>
      <c r="E48" s="80">
        <f t="shared" si="22"/>
        <v>0</v>
      </c>
      <c r="F48" s="52"/>
      <c r="G48" s="52"/>
      <c r="H48" s="52"/>
      <c r="I48" s="52">
        <f>G48*H48</f>
        <v>0</v>
      </c>
      <c r="J48" s="52"/>
      <c r="K48" s="52"/>
      <c r="L48" s="52">
        <f>J48*K48</f>
        <v>0</v>
      </c>
      <c r="N48" s="52"/>
      <c r="O48" s="52">
        <v>1.68</v>
      </c>
      <c r="P48" s="52">
        <v>1.48</v>
      </c>
      <c r="Q48" s="80">
        <f t="shared" si="3"/>
        <v>2.4863999999999997</v>
      </c>
      <c r="S48" s="52"/>
      <c r="T48" s="52"/>
      <c r="U48" s="52"/>
      <c r="V48" s="80">
        <f t="shared" si="4"/>
        <v>0</v>
      </c>
      <c r="X48" s="52"/>
      <c r="Y48" s="52"/>
      <c r="Z48" s="52"/>
      <c r="AA48" s="52">
        <f t="shared" si="5"/>
        <v>0</v>
      </c>
    </row>
    <row r="49" spans="1:27" x14ac:dyDescent="0.25">
      <c r="B49" s="52"/>
      <c r="C49" s="52"/>
      <c r="D49" s="52"/>
      <c r="E49" s="80">
        <f t="shared" si="16"/>
        <v>0</v>
      </c>
      <c r="F49" s="52"/>
      <c r="G49" s="52"/>
      <c r="H49" s="52"/>
      <c r="I49" s="52">
        <f t="shared" si="17"/>
        <v>0</v>
      </c>
      <c r="J49" s="52"/>
      <c r="K49" s="52"/>
      <c r="L49" s="52">
        <f t="shared" si="18"/>
        <v>0</v>
      </c>
      <c r="N49" s="52"/>
      <c r="O49" s="52"/>
      <c r="P49" s="52"/>
      <c r="Q49" s="80">
        <f t="shared" si="3"/>
        <v>0</v>
      </c>
      <c r="S49" s="52"/>
      <c r="T49" s="52"/>
      <c r="U49" s="52"/>
      <c r="V49" s="80">
        <f t="shared" si="4"/>
        <v>0</v>
      </c>
      <c r="X49" s="52"/>
      <c r="Y49" s="52"/>
      <c r="Z49" s="52"/>
      <c r="AA49" s="52">
        <f t="shared" si="5"/>
        <v>0</v>
      </c>
    </row>
    <row r="50" spans="1:27" x14ac:dyDescent="0.25">
      <c r="B50" s="52" t="s">
        <v>323</v>
      </c>
      <c r="C50" s="52">
        <v>5.57</v>
      </c>
      <c r="D50" s="52">
        <v>5.57</v>
      </c>
      <c r="E50" s="80">
        <f t="shared" si="0"/>
        <v>31.024900000000002</v>
      </c>
      <c r="F50" s="52"/>
      <c r="G50" s="52"/>
      <c r="H50" s="52"/>
      <c r="I50" s="52">
        <f t="shared" si="1"/>
        <v>0</v>
      </c>
      <c r="J50" s="52"/>
      <c r="K50" s="52"/>
      <c r="L50" s="52">
        <f t="shared" si="2"/>
        <v>0</v>
      </c>
      <c r="N50" s="52" t="s">
        <v>323</v>
      </c>
      <c r="O50" s="52">
        <v>5.58</v>
      </c>
      <c r="P50" s="52">
        <v>5.57</v>
      </c>
      <c r="Q50" s="80">
        <f t="shared" si="3"/>
        <v>31.0806</v>
      </c>
      <c r="S50" s="52" t="s">
        <v>323</v>
      </c>
      <c r="T50" s="52">
        <v>5.58</v>
      </c>
      <c r="U50" s="52">
        <v>5.57</v>
      </c>
      <c r="V50" s="80">
        <f t="shared" si="4"/>
        <v>31.0806</v>
      </c>
      <c r="X50" s="52" t="s">
        <v>323</v>
      </c>
      <c r="Y50" s="52">
        <v>3.58</v>
      </c>
      <c r="Z50" s="52">
        <v>1.2</v>
      </c>
      <c r="AA50" s="52">
        <f t="shared" si="5"/>
        <v>4.2960000000000003</v>
      </c>
    </row>
    <row r="51" spans="1:27" x14ac:dyDescent="0.25">
      <c r="B51" s="52" t="s">
        <v>327</v>
      </c>
      <c r="C51" s="52">
        <v>1.73</v>
      </c>
      <c r="D51" s="52">
        <v>0.63</v>
      </c>
      <c r="E51" s="80">
        <f t="shared" si="0"/>
        <v>1.0899000000000001</v>
      </c>
      <c r="F51" s="52"/>
      <c r="G51" s="52"/>
      <c r="H51" s="52"/>
      <c r="I51" s="52">
        <f t="shared" si="1"/>
        <v>0</v>
      </c>
      <c r="J51" s="52"/>
      <c r="K51" s="52"/>
      <c r="L51" s="52">
        <f t="shared" si="2"/>
        <v>0</v>
      </c>
      <c r="N51" s="52" t="s">
        <v>327</v>
      </c>
      <c r="O51" s="52">
        <v>1.73</v>
      </c>
      <c r="P51" s="52">
        <v>0.63</v>
      </c>
      <c r="Q51" s="80">
        <f t="shared" si="3"/>
        <v>1.0899000000000001</v>
      </c>
      <c r="S51" s="52" t="s">
        <v>327</v>
      </c>
      <c r="T51" s="52">
        <v>3.58</v>
      </c>
      <c r="U51" s="52">
        <v>1.2</v>
      </c>
      <c r="V51" s="80">
        <f t="shared" si="4"/>
        <v>4.2960000000000003</v>
      </c>
      <c r="X51" s="52" t="s">
        <v>437</v>
      </c>
      <c r="Y51" s="52">
        <v>5.58</v>
      </c>
      <c r="Z51" s="52">
        <v>5.27</v>
      </c>
      <c r="AA51" s="52">
        <f t="shared" si="5"/>
        <v>29.406599999999997</v>
      </c>
    </row>
    <row r="52" spans="1:27" x14ac:dyDescent="0.25">
      <c r="B52" s="52" t="s">
        <v>324</v>
      </c>
      <c r="C52" s="52">
        <v>3.58</v>
      </c>
      <c r="D52" s="52">
        <v>1.2</v>
      </c>
      <c r="E52" s="80">
        <f t="shared" si="0"/>
        <v>4.2960000000000003</v>
      </c>
      <c r="F52" s="52"/>
      <c r="G52" s="52"/>
      <c r="H52" s="52"/>
      <c r="I52" s="52">
        <f t="shared" si="1"/>
        <v>0</v>
      </c>
      <c r="J52" s="52"/>
      <c r="K52" s="52"/>
      <c r="L52" s="52">
        <f t="shared" si="2"/>
        <v>0</v>
      </c>
      <c r="N52" s="52" t="s">
        <v>324</v>
      </c>
      <c r="O52" s="52">
        <v>3.58</v>
      </c>
      <c r="P52" s="52">
        <v>1.2</v>
      </c>
      <c r="Q52" s="80">
        <f t="shared" si="3"/>
        <v>4.2960000000000003</v>
      </c>
      <c r="S52" s="52" t="s">
        <v>324</v>
      </c>
      <c r="T52" s="52">
        <v>1.73</v>
      </c>
      <c r="U52" s="52">
        <v>0.63</v>
      </c>
      <c r="V52" s="80">
        <f t="shared" si="4"/>
        <v>1.0899000000000001</v>
      </c>
      <c r="X52" s="52" t="s">
        <v>324</v>
      </c>
      <c r="Y52" s="52">
        <v>0</v>
      </c>
      <c r="Z52" s="52">
        <v>0</v>
      </c>
      <c r="AA52" s="52">
        <f t="shared" si="5"/>
        <v>0</v>
      </c>
    </row>
    <row r="53" spans="1:27" x14ac:dyDescent="0.25">
      <c r="B53" s="52" t="s">
        <v>325</v>
      </c>
      <c r="C53" s="52"/>
      <c r="D53" s="52"/>
      <c r="E53" s="80">
        <f t="shared" si="0"/>
        <v>0</v>
      </c>
      <c r="F53" s="52"/>
      <c r="G53" s="52"/>
      <c r="H53" s="52"/>
      <c r="I53" s="52">
        <f>G53*H53</f>
        <v>0</v>
      </c>
      <c r="J53" s="52"/>
      <c r="K53" s="52"/>
      <c r="L53" s="52">
        <f>J53*K53</f>
        <v>0</v>
      </c>
      <c r="N53" s="52" t="s">
        <v>325</v>
      </c>
      <c r="O53" s="52"/>
      <c r="P53" s="52"/>
      <c r="Q53" s="80">
        <f t="shared" si="3"/>
        <v>0</v>
      </c>
      <c r="S53" s="52" t="s">
        <v>325</v>
      </c>
      <c r="T53" s="52"/>
      <c r="U53" s="52"/>
      <c r="V53" s="80">
        <f t="shared" si="4"/>
        <v>0</v>
      </c>
      <c r="X53" s="52" t="s">
        <v>325</v>
      </c>
      <c r="Y53" s="52"/>
      <c r="Z53" s="52"/>
      <c r="AA53" s="52">
        <f t="shared" si="5"/>
        <v>0</v>
      </c>
    </row>
    <row r="54" spans="1:27" x14ac:dyDescent="0.25">
      <c r="B54" s="52"/>
      <c r="C54" s="52"/>
      <c r="D54" s="52"/>
      <c r="E54" s="80">
        <f t="shared" ref="E54:E55" si="28">C54*D54</f>
        <v>0</v>
      </c>
      <c r="F54" s="52"/>
      <c r="G54" s="52"/>
      <c r="H54" s="52"/>
      <c r="I54" s="52">
        <f t="shared" ref="I54:I55" si="29">G54*H54</f>
        <v>0</v>
      </c>
      <c r="J54" s="52"/>
      <c r="K54" s="52"/>
      <c r="L54" s="52">
        <f t="shared" ref="L54:L55" si="30">J54*K54</f>
        <v>0</v>
      </c>
      <c r="N54" s="52"/>
      <c r="O54" s="52"/>
      <c r="P54" s="52"/>
      <c r="Q54" s="80">
        <f t="shared" si="3"/>
        <v>0</v>
      </c>
      <c r="S54" s="52"/>
      <c r="T54" s="52"/>
      <c r="U54" s="52"/>
      <c r="V54" s="80">
        <f t="shared" si="4"/>
        <v>0</v>
      </c>
      <c r="X54" s="52"/>
      <c r="Y54" s="52"/>
      <c r="Z54" s="52"/>
      <c r="AA54" s="52">
        <f t="shared" si="5"/>
        <v>0</v>
      </c>
    </row>
    <row r="55" spans="1:27" x14ac:dyDescent="0.25">
      <c r="B55" s="52"/>
      <c r="C55" s="52"/>
      <c r="D55" s="52"/>
      <c r="E55" s="80">
        <f t="shared" si="28"/>
        <v>0</v>
      </c>
      <c r="F55" s="52"/>
      <c r="G55" s="52"/>
      <c r="H55" s="52"/>
      <c r="I55" s="52">
        <f t="shared" si="29"/>
        <v>0</v>
      </c>
      <c r="J55" s="52"/>
      <c r="K55" s="52"/>
      <c r="L55" s="52">
        <f t="shared" si="30"/>
        <v>0</v>
      </c>
      <c r="N55" s="52"/>
      <c r="O55" s="52"/>
      <c r="P55" s="52"/>
      <c r="Q55" s="80">
        <f t="shared" si="3"/>
        <v>0</v>
      </c>
      <c r="S55" s="52" t="s">
        <v>375</v>
      </c>
      <c r="T55" s="52"/>
      <c r="U55" s="52"/>
      <c r="V55" s="80">
        <f t="shared" si="4"/>
        <v>0</v>
      </c>
      <c r="X55" s="52" t="s">
        <v>375</v>
      </c>
      <c r="Y55" s="52"/>
      <c r="Z55" s="52"/>
      <c r="AA55" s="52">
        <f t="shared" si="5"/>
        <v>0</v>
      </c>
    </row>
    <row r="56" spans="1:27" x14ac:dyDescent="0.25">
      <c r="B56" s="52"/>
      <c r="C56" s="52"/>
      <c r="D56" s="52"/>
      <c r="E56" s="80">
        <f t="shared" si="0"/>
        <v>0</v>
      </c>
      <c r="F56" s="52"/>
      <c r="G56" s="52"/>
      <c r="H56" s="52"/>
      <c r="I56" s="52">
        <f>G56*H56</f>
        <v>0</v>
      </c>
      <c r="J56" s="52"/>
      <c r="K56" s="52"/>
      <c r="L56" s="52">
        <f>J56*K56</f>
        <v>0</v>
      </c>
      <c r="N56" s="52"/>
      <c r="O56" s="52"/>
      <c r="P56" s="52"/>
      <c r="Q56" s="80">
        <f t="shared" si="3"/>
        <v>0</v>
      </c>
      <c r="S56" s="52"/>
      <c r="T56" s="52"/>
      <c r="U56" s="52"/>
      <c r="V56" s="80">
        <f t="shared" si="4"/>
        <v>0</v>
      </c>
      <c r="X56" s="52"/>
      <c r="Y56" s="52"/>
      <c r="Z56" s="52"/>
      <c r="AA56" s="52">
        <f t="shared" si="5"/>
        <v>0</v>
      </c>
    </row>
    <row r="57" spans="1:27" x14ac:dyDescent="0.25">
      <c r="B57" s="52"/>
      <c r="C57" s="52"/>
      <c r="D57" s="52"/>
      <c r="E57" s="80">
        <f t="shared" si="0"/>
        <v>0</v>
      </c>
      <c r="F57" s="52"/>
      <c r="G57" s="52"/>
      <c r="H57" s="52"/>
      <c r="I57" s="52">
        <f>G57*H57</f>
        <v>0</v>
      </c>
      <c r="J57" s="52"/>
      <c r="K57" s="52"/>
      <c r="L57" s="52">
        <f>J57*K57</f>
        <v>0</v>
      </c>
      <c r="N57" s="52"/>
      <c r="O57" s="52"/>
      <c r="P57" s="52"/>
      <c r="Q57" s="80">
        <f t="shared" si="3"/>
        <v>0</v>
      </c>
      <c r="S57" s="52"/>
      <c r="T57" s="52"/>
      <c r="U57" s="52"/>
      <c r="V57" s="80">
        <f t="shared" si="4"/>
        <v>0</v>
      </c>
      <c r="X57" s="52"/>
      <c r="Y57" s="52"/>
      <c r="Z57" s="52"/>
      <c r="AA57" s="52">
        <f t="shared" si="5"/>
        <v>0</v>
      </c>
    </row>
    <row r="58" spans="1:27" x14ac:dyDescent="0.25">
      <c r="B58" s="52"/>
      <c r="C58" s="52"/>
      <c r="D58" s="52"/>
      <c r="E58" s="80">
        <f t="shared" si="0"/>
        <v>0</v>
      </c>
      <c r="F58" s="52"/>
      <c r="G58" s="52"/>
      <c r="H58" s="52"/>
      <c r="I58" s="52">
        <f>G58*H58</f>
        <v>0</v>
      </c>
      <c r="J58" s="52"/>
      <c r="K58" s="52"/>
      <c r="L58" s="52">
        <f>J58*K58</f>
        <v>0</v>
      </c>
      <c r="N58" s="52"/>
      <c r="O58" s="52"/>
      <c r="P58" s="52"/>
      <c r="Q58" s="80">
        <f t="shared" si="3"/>
        <v>0</v>
      </c>
      <c r="S58" s="52"/>
      <c r="T58" s="52"/>
      <c r="U58" s="52"/>
      <c r="V58" s="80">
        <f t="shared" si="4"/>
        <v>0</v>
      </c>
      <c r="X58" s="52"/>
      <c r="Y58" s="52"/>
      <c r="Z58" s="52"/>
      <c r="AA58" s="52">
        <f t="shared" si="5"/>
        <v>0</v>
      </c>
    </row>
    <row r="59" spans="1:27" x14ac:dyDescent="0.25">
      <c r="B59" s="52" t="s">
        <v>150</v>
      </c>
      <c r="C59" s="52"/>
      <c r="D59" s="80">
        <f>E59*10.764</f>
        <v>2325.2758775999991</v>
      </c>
      <c r="E59" s="81">
        <f>SUM(E6:E58)</f>
        <v>216.02339999999995</v>
      </c>
      <c r="F59" s="52"/>
      <c r="G59" s="52"/>
      <c r="H59" s="52">
        <f>I59*10.764</f>
        <v>0</v>
      </c>
      <c r="I59" s="65">
        <f>SUM(I6:I58)</f>
        <v>0</v>
      </c>
      <c r="J59" s="52"/>
      <c r="K59" s="52">
        <f>L59*10.764</f>
        <v>0</v>
      </c>
      <c r="L59" s="64">
        <f>SUM(L6:L58)</f>
        <v>0</v>
      </c>
      <c r="N59" s="52" t="s">
        <v>150</v>
      </c>
      <c r="O59" s="52"/>
      <c r="P59" s="80">
        <f>Q59*10.764</f>
        <v>3322.2547800000002</v>
      </c>
      <c r="Q59" s="81">
        <f>SUM(Q6:Q58)</f>
        <v>308.64500000000004</v>
      </c>
      <c r="S59" s="52" t="s">
        <v>150</v>
      </c>
      <c r="T59" s="52"/>
      <c r="U59" s="80">
        <f>V59*10.764</f>
        <v>2283.2284643999997</v>
      </c>
      <c r="V59" s="81">
        <f>SUM(V6:V58)</f>
        <v>212.11709999999997</v>
      </c>
      <c r="X59" s="52" t="s">
        <v>150</v>
      </c>
      <c r="Y59" s="52"/>
      <c r="Z59" s="98">
        <f>AA59*10.764</f>
        <v>3151.9596888000001</v>
      </c>
      <c r="AA59" s="99">
        <f>SUM(AA6:AA58)</f>
        <v>292.82420000000002</v>
      </c>
    </row>
    <row r="60" spans="1:27" x14ac:dyDescent="0.25">
      <c r="Q60" s="77"/>
      <c r="V60" s="77"/>
    </row>
    <row r="61" spans="1:27" x14ac:dyDescent="0.25">
      <c r="D61" s="51">
        <f>D59+H59</f>
        <v>2325.2758775999991</v>
      </c>
      <c r="E61" s="77">
        <f>E59+I59</f>
        <v>216.02339999999995</v>
      </c>
      <c r="P61" s="51">
        <f>P59+T59</f>
        <v>3322.2547800000002</v>
      </c>
      <c r="Q61" s="77">
        <f>Q59+U59</f>
        <v>2591.8734643999996</v>
      </c>
      <c r="U61" s="51">
        <f>U59+Y59</f>
        <v>2283.2284643999997</v>
      </c>
      <c r="V61" s="77">
        <f>V59+Z59</f>
        <v>3364.0767888</v>
      </c>
    </row>
    <row r="62" spans="1:27"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row>
    <row r="63" spans="1:27" ht="57.6" customHeight="1"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row>
    <row r="64" spans="1:27" ht="15" customHeight="1" x14ac:dyDescent="0.25">
      <c r="A64" s="82"/>
      <c r="B64" s="61" t="s">
        <v>304</v>
      </c>
      <c r="C64" s="310" t="str">
        <f>Report!A250</f>
        <v>45th Floor</v>
      </c>
      <c r="D64" s="305"/>
      <c r="E64" s="82"/>
      <c r="F64" s="82"/>
      <c r="G64" s="82"/>
      <c r="H64" s="82"/>
      <c r="I64" s="82"/>
      <c r="J64" s="82"/>
      <c r="K64" s="82"/>
      <c r="L64" s="82"/>
      <c r="M64" s="82"/>
      <c r="N64" s="82"/>
      <c r="O64" s="102" t="s">
        <v>304</v>
      </c>
      <c r="P64" s="103" t="str">
        <f>Report!A256</f>
        <v>51st Floor (Part Refuge Area)</v>
      </c>
      <c r="Q64" s="102"/>
      <c r="R64" s="102"/>
      <c r="S64" s="82"/>
      <c r="T64" s="82"/>
      <c r="U64" s="61" t="s">
        <v>304</v>
      </c>
      <c r="V64" s="313" t="str">
        <f>Report!A253</f>
        <v>48th, 49th, 50th &amp; 52nd Floor</v>
      </c>
      <c r="W64" s="314"/>
      <c r="X64" s="314"/>
      <c r="Y64" s="314"/>
    </row>
    <row r="65" spans="1:24"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row>
    <row r="66" spans="1:24" x14ac:dyDescent="0.25">
      <c r="A66" s="61" t="s">
        <v>66</v>
      </c>
      <c r="B66" s="63" t="s">
        <v>305</v>
      </c>
      <c r="C66" s="306" t="s">
        <v>306</v>
      </c>
      <c r="D66" s="306"/>
      <c r="E66" s="306"/>
      <c r="F66" s="82"/>
      <c r="G66" s="82"/>
      <c r="H66" s="82"/>
      <c r="I66" s="82"/>
      <c r="J66" s="82"/>
      <c r="K66" s="82"/>
      <c r="L66" s="82"/>
      <c r="M66" s="82"/>
      <c r="N66" s="61" t="s">
        <v>66</v>
      </c>
      <c r="O66" s="104" t="s">
        <v>305</v>
      </c>
      <c r="P66" s="312" t="s">
        <v>306</v>
      </c>
      <c r="Q66" s="312"/>
      <c r="R66" s="312"/>
      <c r="S66" s="82"/>
      <c r="T66" s="61" t="s">
        <v>66</v>
      </c>
      <c r="U66" s="63" t="s">
        <v>305</v>
      </c>
      <c r="V66" s="306" t="s">
        <v>306</v>
      </c>
      <c r="W66" s="306"/>
      <c r="X66" s="306"/>
    </row>
    <row r="67" spans="1:24" x14ac:dyDescent="0.25">
      <c r="A67" s="61" t="s">
        <v>376</v>
      </c>
      <c r="B67" s="63"/>
      <c r="C67" s="63" t="s">
        <v>309</v>
      </c>
      <c r="D67" s="63" t="s">
        <v>310</v>
      </c>
      <c r="E67" s="79" t="s">
        <v>311</v>
      </c>
      <c r="F67" s="82"/>
      <c r="G67" s="82"/>
      <c r="H67" s="82"/>
      <c r="I67" s="82"/>
      <c r="J67" s="82"/>
      <c r="K67" s="82"/>
      <c r="L67" s="82"/>
      <c r="M67" s="82"/>
      <c r="N67" s="61">
        <v>1</v>
      </c>
      <c r="O67" s="104"/>
      <c r="P67" s="104" t="s">
        <v>309</v>
      </c>
      <c r="Q67" s="104" t="s">
        <v>310</v>
      </c>
      <c r="R67" s="104" t="s">
        <v>311</v>
      </c>
      <c r="S67" s="82"/>
      <c r="T67" s="61" t="s">
        <v>376</v>
      </c>
      <c r="U67" s="63"/>
      <c r="V67" s="63" t="s">
        <v>309</v>
      </c>
      <c r="W67" s="63" t="s">
        <v>310</v>
      </c>
      <c r="X67" s="79" t="s">
        <v>311</v>
      </c>
    </row>
    <row r="68" spans="1:24" x14ac:dyDescent="0.25">
      <c r="B68" s="52" t="s">
        <v>312</v>
      </c>
      <c r="C68" s="52">
        <v>5.15</v>
      </c>
      <c r="D68" s="52">
        <v>4.5</v>
      </c>
      <c r="E68" s="80">
        <f>C68*D68</f>
        <v>23.175000000000001</v>
      </c>
      <c r="F68" s="82"/>
      <c r="G68" s="82"/>
      <c r="H68" s="82"/>
      <c r="I68" s="82"/>
      <c r="J68" s="82"/>
      <c r="K68" s="82"/>
      <c r="L68" s="82"/>
      <c r="M68" s="82"/>
      <c r="N68" s="104"/>
      <c r="O68" s="104" t="s">
        <v>312</v>
      </c>
      <c r="P68" s="104">
        <v>10.5</v>
      </c>
      <c r="Q68" s="104">
        <v>6.9</v>
      </c>
      <c r="R68" s="104">
        <f>P68*Q68</f>
        <v>72.45</v>
      </c>
      <c r="S68" s="82"/>
      <c r="U68" s="52" t="s">
        <v>312</v>
      </c>
      <c r="V68" s="52">
        <v>5.15</v>
      </c>
      <c r="W68" s="52">
        <v>6.9</v>
      </c>
      <c r="X68" s="80">
        <f>V68*W68</f>
        <v>35.535000000000004</v>
      </c>
    </row>
    <row r="69" spans="1:24" x14ac:dyDescent="0.25">
      <c r="B69" s="52"/>
      <c r="C69" s="52">
        <v>5.25</v>
      </c>
      <c r="D69" s="52">
        <v>2.2000000000000002</v>
      </c>
      <c r="E69" s="80">
        <f t="shared" ref="E69:E94" si="31">C69*D69</f>
        <v>11.55</v>
      </c>
      <c r="F69" s="82"/>
      <c r="G69" s="82"/>
      <c r="H69" s="82"/>
      <c r="I69" s="82"/>
      <c r="J69" s="82"/>
      <c r="K69" s="82"/>
      <c r="L69" s="82"/>
      <c r="M69" s="82"/>
      <c r="N69" s="104"/>
      <c r="O69" s="104"/>
      <c r="P69" s="104">
        <v>8.8000000000000007</v>
      </c>
      <c r="Q69" s="104">
        <v>0.4</v>
      </c>
      <c r="R69" s="104">
        <f t="shared" ref="R69:R98" si="32">P69*Q69</f>
        <v>3.5200000000000005</v>
      </c>
      <c r="S69" s="82"/>
      <c r="U69" s="52"/>
      <c r="V69" s="52">
        <v>4.3</v>
      </c>
      <c r="W69" s="52">
        <v>0.4</v>
      </c>
      <c r="X69" s="80">
        <f t="shared" ref="X69:X94" si="33">V69*W69</f>
        <v>1.72</v>
      </c>
    </row>
    <row r="70" spans="1:24" x14ac:dyDescent="0.25">
      <c r="B70" s="52"/>
      <c r="C70" s="52">
        <v>4.3</v>
      </c>
      <c r="D70" s="52">
        <v>0.4</v>
      </c>
      <c r="E70" s="80">
        <f t="shared" si="31"/>
        <v>1.72</v>
      </c>
      <c r="F70" s="82"/>
      <c r="G70" s="82"/>
      <c r="H70" s="82"/>
      <c r="I70" s="82"/>
      <c r="J70" s="82"/>
      <c r="K70" s="82"/>
      <c r="L70" s="82"/>
      <c r="M70" s="82"/>
      <c r="N70" s="104"/>
      <c r="O70" s="104"/>
      <c r="P70" s="104">
        <v>0</v>
      </c>
      <c r="Q70" s="104">
        <v>0</v>
      </c>
      <c r="R70" s="104">
        <f t="shared" si="32"/>
        <v>0</v>
      </c>
      <c r="S70" s="82"/>
      <c r="U70" s="52"/>
      <c r="V70" s="52">
        <v>0</v>
      </c>
      <c r="W70" s="52">
        <v>0</v>
      </c>
      <c r="X70" s="80">
        <f t="shared" si="33"/>
        <v>0</v>
      </c>
    </row>
    <row r="71" spans="1:24" x14ac:dyDescent="0.25">
      <c r="B71" s="52"/>
      <c r="C71" s="52"/>
      <c r="D71" s="52"/>
      <c r="E71" s="80">
        <f t="shared" si="31"/>
        <v>0</v>
      </c>
      <c r="F71" s="82"/>
      <c r="G71" s="82"/>
      <c r="H71" s="82"/>
      <c r="I71" s="82"/>
      <c r="J71" s="82"/>
      <c r="K71" s="82"/>
      <c r="L71" s="82"/>
      <c r="M71" s="82"/>
      <c r="N71" s="104"/>
      <c r="O71" s="104"/>
      <c r="P71" s="104"/>
      <c r="Q71" s="104"/>
      <c r="R71" s="104">
        <f t="shared" si="32"/>
        <v>0</v>
      </c>
      <c r="S71" s="82"/>
      <c r="U71" s="52"/>
      <c r="V71" s="52"/>
      <c r="W71" s="52"/>
      <c r="X71" s="80">
        <f t="shared" si="33"/>
        <v>0</v>
      </c>
    </row>
    <row r="72" spans="1:24" x14ac:dyDescent="0.25">
      <c r="B72" s="52" t="s">
        <v>314</v>
      </c>
      <c r="C72" s="52">
        <v>3.8</v>
      </c>
      <c r="D72" s="52">
        <v>3.77</v>
      </c>
      <c r="E72" s="80">
        <f t="shared" si="31"/>
        <v>14.325999999999999</v>
      </c>
      <c r="F72" s="82"/>
      <c r="G72" s="82"/>
      <c r="H72" s="82"/>
      <c r="I72" s="82"/>
      <c r="J72" s="82"/>
      <c r="K72" s="82"/>
      <c r="L72" s="82"/>
      <c r="M72" s="82"/>
      <c r="N72" s="104"/>
      <c r="O72" s="104" t="s">
        <v>314</v>
      </c>
      <c r="P72" s="104">
        <v>3.7</v>
      </c>
      <c r="Q72" s="104">
        <v>3.77</v>
      </c>
      <c r="R72" s="104">
        <f t="shared" si="32"/>
        <v>13.949000000000002</v>
      </c>
      <c r="S72" s="82"/>
      <c r="U72" s="52" t="s">
        <v>314</v>
      </c>
      <c r="V72" s="52">
        <v>3.8</v>
      </c>
      <c r="W72" s="52">
        <v>3.77</v>
      </c>
      <c r="X72" s="80">
        <f t="shared" si="33"/>
        <v>14.325999999999999</v>
      </c>
    </row>
    <row r="73" spans="1:24" x14ac:dyDescent="0.25">
      <c r="B73" s="52"/>
      <c r="C73" s="52">
        <v>2.85</v>
      </c>
      <c r="D73" s="52">
        <v>1.78</v>
      </c>
      <c r="E73" s="80">
        <f t="shared" si="31"/>
        <v>5.0730000000000004</v>
      </c>
      <c r="F73" s="82"/>
      <c r="G73" s="82"/>
      <c r="H73" s="82"/>
      <c r="I73" s="82"/>
      <c r="J73" s="82"/>
      <c r="K73" s="82"/>
      <c r="L73" s="82"/>
      <c r="M73" s="82"/>
      <c r="N73" s="104"/>
      <c r="O73" s="104"/>
      <c r="P73" s="104">
        <v>2.95</v>
      </c>
      <c r="Q73" s="104">
        <v>1.78</v>
      </c>
      <c r="R73" s="104">
        <f t="shared" si="32"/>
        <v>5.2510000000000003</v>
      </c>
      <c r="S73" s="82"/>
      <c r="U73" s="52"/>
      <c r="V73" s="52">
        <v>2.95</v>
      </c>
      <c r="W73" s="52">
        <v>1.78</v>
      </c>
      <c r="X73" s="80">
        <f t="shared" si="33"/>
        <v>5.2510000000000003</v>
      </c>
    </row>
    <row r="74" spans="1:24" x14ac:dyDescent="0.25">
      <c r="B74" s="52" t="s">
        <v>388</v>
      </c>
      <c r="C74" s="52">
        <v>3.2</v>
      </c>
      <c r="D74" s="52">
        <v>1.85</v>
      </c>
      <c r="E74" s="80">
        <f t="shared" si="31"/>
        <v>5.9200000000000008</v>
      </c>
      <c r="F74" s="82"/>
      <c r="G74" s="82"/>
      <c r="H74" s="82"/>
      <c r="I74" s="82"/>
      <c r="J74" s="82"/>
      <c r="K74" s="82"/>
      <c r="L74" s="82"/>
      <c r="M74" s="82"/>
      <c r="N74" s="104"/>
      <c r="O74" s="104" t="s">
        <v>382</v>
      </c>
      <c r="P74" s="104">
        <v>3.2</v>
      </c>
      <c r="Q74" s="104">
        <v>1.85</v>
      </c>
      <c r="R74" s="104">
        <f t="shared" si="32"/>
        <v>5.9200000000000008</v>
      </c>
      <c r="S74" s="82"/>
      <c r="U74" s="52" t="s">
        <v>388</v>
      </c>
      <c r="V74" s="52">
        <v>3.2</v>
      </c>
      <c r="W74" s="52">
        <v>1.85</v>
      </c>
      <c r="X74" s="80">
        <f t="shared" si="33"/>
        <v>5.9200000000000008</v>
      </c>
    </row>
    <row r="75" spans="1:24" x14ac:dyDescent="0.25">
      <c r="B75" s="52"/>
      <c r="C75" s="52">
        <v>1.05</v>
      </c>
      <c r="D75" s="52">
        <v>0.5</v>
      </c>
      <c r="E75" s="80">
        <f t="shared" si="31"/>
        <v>0.52500000000000002</v>
      </c>
      <c r="F75" s="82"/>
      <c r="G75" s="82"/>
      <c r="H75" s="82"/>
      <c r="I75" s="82"/>
      <c r="J75" s="82"/>
      <c r="K75" s="82"/>
      <c r="L75" s="82"/>
      <c r="M75" s="82"/>
      <c r="N75" s="104"/>
      <c r="O75" s="104"/>
      <c r="P75" s="104">
        <v>1.05</v>
      </c>
      <c r="Q75" s="104">
        <v>0.5</v>
      </c>
      <c r="R75" s="104">
        <f t="shared" si="32"/>
        <v>0.52500000000000002</v>
      </c>
      <c r="S75" s="82"/>
      <c r="U75" s="52"/>
      <c r="V75" s="52">
        <v>1.05</v>
      </c>
      <c r="W75" s="52">
        <v>0.5</v>
      </c>
      <c r="X75" s="80">
        <f t="shared" si="33"/>
        <v>0.52500000000000002</v>
      </c>
    </row>
    <row r="76" spans="1:24" x14ac:dyDescent="0.25">
      <c r="B76" s="52" t="s">
        <v>316</v>
      </c>
      <c r="C76" s="52">
        <v>3.65</v>
      </c>
      <c r="D76" s="52">
        <v>4.4000000000000004</v>
      </c>
      <c r="E76" s="80">
        <f t="shared" si="31"/>
        <v>16.060000000000002</v>
      </c>
      <c r="F76" s="82"/>
      <c r="G76" s="82"/>
      <c r="H76" s="82"/>
      <c r="I76" s="82"/>
      <c r="J76" s="82"/>
      <c r="K76" s="82"/>
      <c r="L76" s="82"/>
      <c r="M76" s="82"/>
      <c r="N76" s="104"/>
      <c r="O76" s="104" t="s">
        <v>316</v>
      </c>
      <c r="P76" s="104">
        <v>3.65</v>
      </c>
      <c r="Q76" s="104">
        <v>4.4000000000000004</v>
      </c>
      <c r="R76" s="104">
        <f t="shared" si="32"/>
        <v>16.060000000000002</v>
      </c>
      <c r="S76" s="82"/>
      <c r="U76" s="52" t="s">
        <v>316</v>
      </c>
      <c r="V76" s="52">
        <v>3.65</v>
      </c>
      <c r="W76" s="52">
        <v>4.4000000000000004</v>
      </c>
      <c r="X76" s="80">
        <f t="shared" si="33"/>
        <v>16.060000000000002</v>
      </c>
    </row>
    <row r="77" spans="1:24" x14ac:dyDescent="0.25">
      <c r="B77" s="52"/>
      <c r="C77" s="52">
        <v>2.9</v>
      </c>
      <c r="D77" s="52">
        <v>0.6</v>
      </c>
      <c r="E77" s="80">
        <f t="shared" si="31"/>
        <v>1.74</v>
      </c>
      <c r="F77" s="82"/>
      <c r="G77" s="82"/>
      <c r="H77" s="82"/>
      <c r="I77" s="82"/>
      <c r="J77" s="82"/>
      <c r="K77" s="82"/>
      <c r="L77" s="82"/>
      <c r="M77" s="82"/>
      <c r="N77" s="104"/>
      <c r="O77" s="104"/>
      <c r="P77" s="104">
        <v>2.9</v>
      </c>
      <c r="Q77" s="104">
        <v>0.6</v>
      </c>
      <c r="R77" s="104">
        <f t="shared" si="32"/>
        <v>1.74</v>
      </c>
      <c r="S77" s="82"/>
      <c r="U77" s="52"/>
      <c r="V77" s="52">
        <v>2.9</v>
      </c>
      <c r="W77" s="52">
        <v>0.6</v>
      </c>
      <c r="X77" s="80">
        <f t="shared" si="33"/>
        <v>1.74</v>
      </c>
    </row>
    <row r="78" spans="1:24" x14ac:dyDescent="0.25">
      <c r="B78" s="52"/>
      <c r="C78" s="52"/>
      <c r="D78" s="52"/>
      <c r="E78" s="80">
        <f t="shared" si="31"/>
        <v>0</v>
      </c>
      <c r="F78" s="82"/>
      <c r="G78" s="82"/>
      <c r="H78" s="82"/>
      <c r="I78" s="82"/>
      <c r="J78" s="82"/>
      <c r="K78" s="82"/>
      <c r="L78" s="82"/>
      <c r="M78" s="82"/>
      <c r="N78" s="104"/>
      <c r="O78" s="104"/>
      <c r="P78" s="104"/>
      <c r="Q78" s="104"/>
      <c r="R78" s="104">
        <f t="shared" si="32"/>
        <v>0</v>
      </c>
      <c r="S78" s="82"/>
      <c r="U78" s="52"/>
      <c r="V78" s="52"/>
      <c r="W78" s="52"/>
      <c r="X78" s="80">
        <f t="shared" si="33"/>
        <v>0</v>
      </c>
    </row>
    <row r="79" spans="1:24" x14ac:dyDescent="0.25">
      <c r="B79" s="52"/>
      <c r="C79" s="52"/>
      <c r="D79" s="52"/>
      <c r="E79" s="80">
        <f t="shared" si="31"/>
        <v>0</v>
      </c>
      <c r="F79" s="82"/>
      <c r="G79" s="82"/>
      <c r="H79" s="82"/>
      <c r="I79" s="82"/>
      <c r="J79" s="82"/>
      <c r="K79" s="82"/>
      <c r="L79" s="82"/>
      <c r="M79" s="82"/>
      <c r="N79" s="104"/>
      <c r="O79" s="104"/>
      <c r="P79" s="104"/>
      <c r="Q79" s="104"/>
      <c r="R79" s="104">
        <f t="shared" si="32"/>
        <v>0</v>
      </c>
      <c r="S79" s="82"/>
      <c r="U79" s="52"/>
      <c r="V79" s="52"/>
      <c r="W79" s="52"/>
      <c r="X79" s="80">
        <f t="shared" si="33"/>
        <v>0</v>
      </c>
    </row>
    <row r="80" spans="1:24" x14ac:dyDescent="0.25">
      <c r="B80" s="52" t="s">
        <v>317</v>
      </c>
      <c r="C80" s="52">
        <v>3.85</v>
      </c>
      <c r="D80" s="52">
        <v>4.75</v>
      </c>
      <c r="E80" s="80">
        <f t="shared" si="31"/>
        <v>18.287500000000001</v>
      </c>
      <c r="F80" s="82"/>
      <c r="G80" s="82"/>
      <c r="H80" s="82"/>
      <c r="I80" s="82"/>
      <c r="J80" s="82"/>
      <c r="K80" s="82"/>
      <c r="L80" s="82"/>
      <c r="M80" s="82"/>
      <c r="N80" s="104"/>
      <c r="O80" s="104" t="s">
        <v>317</v>
      </c>
      <c r="P80" s="104">
        <v>3.85</v>
      </c>
      <c r="Q80" s="104">
        <v>4.4000000000000004</v>
      </c>
      <c r="R80" s="104">
        <f t="shared" si="32"/>
        <v>16.940000000000001</v>
      </c>
      <c r="S80" s="82"/>
      <c r="U80" s="52" t="s">
        <v>317</v>
      </c>
      <c r="V80" s="52">
        <v>3.85</v>
      </c>
      <c r="W80" s="52">
        <v>4.4000000000000004</v>
      </c>
      <c r="X80" s="80">
        <f t="shared" si="33"/>
        <v>16.940000000000001</v>
      </c>
    </row>
    <row r="81" spans="2:24" x14ac:dyDescent="0.25">
      <c r="B81" s="52"/>
      <c r="C81" s="52">
        <v>1.4</v>
      </c>
      <c r="D81" s="52">
        <v>0.6</v>
      </c>
      <c r="E81" s="80">
        <f t="shared" si="31"/>
        <v>0.84</v>
      </c>
      <c r="F81" s="82"/>
      <c r="G81" s="82"/>
      <c r="H81" s="82"/>
      <c r="I81" s="82"/>
      <c r="J81" s="82"/>
      <c r="K81" s="82"/>
      <c r="L81" s="82"/>
      <c r="M81" s="82"/>
      <c r="N81" s="104"/>
      <c r="O81" s="104"/>
      <c r="P81" s="104">
        <v>1.4</v>
      </c>
      <c r="Q81" s="104">
        <v>0.6</v>
      </c>
      <c r="R81" s="104">
        <f t="shared" si="32"/>
        <v>0.84</v>
      </c>
      <c r="S81" s="82"/>
      <c r="U81" s="52"/>
      <c r="V81" s="52">
        <v>1.4</v>
      </c>
      <c r="W81" s="52">
        <v>0.6</v>
      </c>
      <c r="X81" s="80">
        <f t="shared" si="33"/>
        <v>0.84</v>
      </c>
    </row>
    <row r="82" spans="2:24" x14ac:dyDescent="0.25">
      <c r="B82" s="52"/>
      <c r="C82" s="52">
        <v>2.08</v>
      </c>
      <c r="D82" s="52">
        <v>0.9</v>
      </c>
      <c r="E82" s="80">
        <f t="shared" si="31"/>
        <v>1.8720000000000001</v>
      </c>
      <c r="F82" s="82"/>
      <c r="G82" s="82"/>
      <c r="H82" s="82"/>
      <c r="I82" s="82"/>
      <c r="J82" s="82"/>
      <c r="K82" s="82"/>
      <c r="L82" s="82"/>
      <c r="M82" s="82"/>
      <c r="N82" s="104"/>
      <c r="O82" s="104"/>
      <c r="P82" s="104">
        <v>2.08</v>
      </c>
      <c r="Q82" s="104">
        <v>0.9</v>
      </c>
      <c r="R82" s="104">
        <f t="shared" si="32"/>
        <v>1.8720000000000001</v>
      </c>
      <c r="S82" s="82"/>
      <c r="U82" s="52"/>
      <c r="V82" s="52">
        <v>2.08</v>
      </c>
      <c r="W82" s="52">
        <v>0.9</v>
      </c>
      <c r="X82" s="80">
        <f t="shared" si="33"/>
        <v>1.8720000000000001</v>
      </c>
    </row>
    <row r="83" spans="2:24" x14ac:dyDescent="0.25">
      <c r="B83" s="52" t="s">
        <v>318</v>
      </c>
      <c r="C83" s="52">
        <v>3.85</v>
      </c>
      <c r="D83" s="52">
        <v>3.98</v>
      </c>
      <c r="E83" s="80">
        <f t="shared" si="31"/>
        <v>15.323</v>
      </c>
      <c r="F83" s="82"/>
      <c r="G83" s="82"/>
      <c r="H83" s="82"/>
      <c r="I83" s="82"/>
      <c r="J83" s="82"/>
      <c r="K83" s="82"/>
      <c r="L83" s="82"/>
      <c r="M83" s="82"/>
      <c r="N83" s="104"/>
      <c r="O83" s="104" t="s">
        <v>318</v>
      </c>
      <c r="P83" s="104">
        <v>3.85</v>
      </c>
      <c r="Q83" s="104">
        <v>4.28</v>
      </c>
      <c r="R83" s="104">
        <f t="shared" si="32"/>
        <v>16.478000000000002</v>
      </c>
      <c r="S83" s="82"/>
      <c r="U83" s="52" t="s">
        <v>318</v>
      </c>
      <c r="V83" s="52">
        <v>3.85</v>
      </c>
      <c r="W83" s="52">
        <v>4.28</v>
      </c>
      <c r="X83" s="80">
        <f t="shared" si="33"/>
        <v>16.478000000000002</v>
      </c>
    </row>
    <row r="84" spans="2:24" x14ac:dyDescent="0.25">
      <c r="B84" s="52"/>
      <c r="C84" s="52">
        <v>1.4</v>
      </c>
      <c r="D84" s="52">
        <v>0.6</v>
      </c>
      <c r="E84" s="80">
        <f t="shared" si="31"/>
        <v>0.84</v>
      </c>
      <c r="F84" s="82"/>
      <c r="G84" s="82"/>
      <c r="H84" s="82"/>
      <c r="I84" s="82"/>
      <c r="J84" s="82"/>
      <c r="K84" s="82"/>
      <c r="L84" s="82"/>
      <c r="M84" s="82"/>
      <c r="N84" s="104"/>
      <c r="O84" s="104"/>
      <c r="P84" s="104">
        <v>1.4</v>
      </c>
      <c r="Q84" s="104">
        <v>0.6</v>
      </c>
      <c r="R84" s="104">
        <f t="shared" si="32"/>
        <v>0.84</v>
      </c>
      <c r="S84" s="82"/>
      <c r="U84" s="52"/>
      <c r="V84" s="52">
        <v>1.4</v>
      </c>
      <c r="W84" s="52">
        <v>0.6</v>
      </c>
      <c r="X84" s="80">
        <f t="shared" si="33"/>
        <v>0.84</v>
      </c>
    </row>
    <row r="85" spans="2:24" x14ac:dyDescent="0.25">
      <c r="B85" s="52"/>
      <c r="C85" s="52"/>
      <c r="D85" s="52"/>
      <c r="E85" s="80"/>
      <c r="F85" s="82"/>
      <c r="G85" s="82"/>
      <c r="H85" s="82"/>
      <c r="I85" s="82"/>
      <c r="J85" s="82"/>
      <c r="K85" s="82"/>
      <c r="L85" s="82"/>
      <c r="M85" s="82"/>
      <c r="N85" s="104"/>
      <c r="O85" s="104"/>
      <c r="P85" s="104"/>
      <c r="Q85" s="104"/>
      <c r="R85" s="104"/>
      <c r="S85" s="82"/>
      <c r="U85" s="52"/>
      <c r="V85" s="52">
        <v>2.08</v>
      </c>
      <c r="W85" s="52">
        <v>1</v>
      </c>
      <c r="X85" s="80">
        <f t="shared" si="33"/>
        <v>2.08</v>
      </c>
    </row>
    <row r="86" spans="2:24" x14ac:dyDescent="0.25">
      <c r="B86" s="52"/>
      <c r="C86" s="52">
        <v>2</v>
      </c>
      <c r="D86" s="52">
        <v>1.1000000000000001</v>
      </c>
      <c r="E86" s="80">
        <f t="shared" si="31"/>
        <v>2.2000000000000002</v>
      </c>
      <c r="F86" s="82"/>
      <c r="G86" s="82"/>
      <c r="H86" s="82"/>
      <c r="I86" s="82"/>
      <c r="J86" s="82"/>
      <c r="K86" s="82"/>
      <c r="L86" s="82"/>
      <c r="M86" s="82"/>
      <c r="N86" s="104"/>
      <c r="O86" s="104"/>
      <c r="P86" s="104">
        <v>2.8</v>
      </c>
      <c r="Q86" s="104">
        <v>1.1000000000000001</v>
      </c>
      <c r="R86" s="104">
        <f t="shared" si="32"/>
        <v>3.08</v>
      </c>
      <c r="S86" s="82"/>
      <c r="U86" s="52"/>
      <c r="V86" s="52">
        <v>2</v>
      </c>
      <c r="W86" s="52">
        <v>1.1000000000000001</v>
      </c>
      <c r="X86" s="80">
        <f t="shared" si="33"/>
        <v>2.2000000000000002</v>
      </c>
    </row>
    <row r="87" spans="2:24" x14ac:dyDescent="0.25">
      <c r="B87" s="52" t="s">
        <v>319</v>
      </c>
      <c r="C87" s="52">
        <v>3</v>
      </c>
      <c r="D87" s="52">
        <v>0.35</v>
      </c>
      <c r="E87" s="80">
        <f t="shared" si="31"/>
        <v>1.0499999999999998</v>
      </c>
      <c r="F87" s="82"/>
      <c r="G87" s="82"/>
      <c r="H87" s="82"/>
      <c r="I87" s="82"/>
      <c r="J87" s="82"/>
      <c r="K87" s="82"/>
      <c r="L87" s="82"/>
      <c r="M87" s="82"/>
      <c r="N87" s="104"/>
      <c r="O87" s="104" t="s">
        <v>319</v>
      </c>
      <c r="P87" s="104">
        <v>5.0999999999999996</v>
      </c>
      <c r="Q87" s="104">
        <v>5.63</v>
      </c>
      <c r="R87" s="104">
        <f t="shared" si="32"/>
        <v>28.712999999999997</v>
      </c>
      <c r="S87" s="82"/>
      <c r="U87" s="52" t="s">
        <v>319</v>
      </c>
      <c r="V87" s="52">
        <v>3</v>
      </c>
      <c r="W87" s="52">
        <v>0.6</v>
      </c>
      <c r="X87" s="80">
        <f t="shared" si="33"/>
        <v>1.7999999999999998</v>
      </c>
    </row>
    <row r="88" spans="2:24" x14ac:dyDescent="0.25">
      <c r="B88" s="52"/>
      <c r="C88" s="52">
        <v>3.75</v>
      </c>
      <c r="D88" s="52">
        <v>6.62</v>
      </c>
      <c r="E88" s="80">
        <f t="shared" si="31"/>
        <v>24.824999999999999</v>
      </c>
      <c r="F88" s="82"/>
      <c r="G88" s="82"/>
      <c r="H88" s="82"/>
      <c r="I88" s="82"/>
      <c r="J88" s="82"/>
      <c r="K88" s="82"/>
      <c r="L88" s="82"/>
      <c r="M88" s="82"/>
      <c r="N88" s="104"/>
      <c r="O88" s="104"/>
      <c r="P88" s="104">
        <v>3.93</v>
      </c>
      <c r="Q88" s="104">
        <v>3.25</v>
      </c>
      <c r="R88" s="104">
        <f t="shared" si="32"/>
        <v>12.772500000000001</v>
      </c>
      <c r="S88" s="82"/>
      <c r="U88" s="52"/>
      <c r="V88" s="52">
        <v>3.75</v>
      </c>
      <c r="W88" s="52">
        <v>6.62</v>
      </c>
      <c r="X88" s="80">
        <f t="shared" si="33"/>
        <v>24.824999999999999</v>
      </c>
    </row>
    <row r="89" spans="2:24" x14ac:dyDescent="0.25">
      <c r="B89" s="52"/>
      <c r="C89" s="52"/>
      <c r="D89" s="52"/>
      <c r="E89" s="80">
        <f t="shared" si="31"/>
        <v>0</v>
      </c>
      <c r="F89" s="82"/>
      <c r="G89" s="82"/>
      <c r="H89" s="82"/>
      <c r="I89" s="82"/>
      <c r="J89" s="82"/>
      <c r="K89" s="82"/>
      <c r="L89" s="82"/>
      <c r="M89" s="82"/>
      <c r="N89" s="104"/>
      <c r="O89" s="104"/>
      <c r="P89" s="104">
        <v>4.3499999999999996</v>
      </c>
      <c r="Q89" s="104">
        <v>0.6</v>
      </c>
      <c r="R89" s="104">
        <f t="shared" si="32"/>
        <v>2.61</v>
      </c>
      <c r="S89" s="82"/>
      <c r="U89" s="52"/>
      <c r="V89" s="52"/>
      <c r="W89" s="52"/>
      <c r="X89" s="80">
        <f t="shared" si="33"/>
        <v>0</v>
      </c>
    </row>
    <row r="90" spans="2:24" x14ac:dyDescent="0.25">
      <c r="B90" s="52"/>
      <c r="C90" s="52">
        <v>2.35</v>
      </c>
      <c r="D90" s="52">
        <v>2.4</v>
      </c>
      <c r="E90" s="80">
        <f t="shared" si="31"/>
        <v>5.64</v>
      </c>
      <c r="F90" s="82"/>
      <c r="G90" s="82"/>
      <c r="H90" s="82"/>
      <c r="I90" s="82"/>
      <c r="J90" s="82"/>
      <c r="K90" s="82"/>
      <c r="L90" s="82"/>
      <c r="M90" s="82"/>
      <c r="N90" s="104"/>
      <c r="O90" s="104"/>
      <c r="P90" s="104">
        <v>2.15</v>
      </c>
      <c r="Q90" s="104">
        <v>1.07</v>
      </c>
      <c r="R90" s="104">
        <f t="shared" si="32"/>
        <v>2.3005</v>
      </c>
      <c r="S90" s="82"/>
      <c r="U90" s="52"/>
      <c r="V90" s="52">
        <v>2.35</v>
      </c>
      <c r="W90" s="52">
        <v>2.4</v>
      </c>
      <c r="X90" s="80">
        <f t="shared" si="33"/>
        <v>5.64</v>
      </c>
    </row>
    <row r="91" spans="2:24" x14ac:dyDescent="0.25">
      <c r="B91" s="52"/>
      <c r="C91" s="52"/>
      <c r="D91" s="52"/>
      <c r="E91" s="80">
        <f t="shared" si="31"/>
        <v>0</v>
      </c>
      <c r="F91" s="82"/>
      <c r="G91" s="82"/>
      <c r="H91" s="82"/>
      <c r="I91" s="82"/>
      <c r="J91" s="82"/>
      <c r="K91" s="82"/>
      <c r="L91" s="82"/>
      <c r="M91" s="82"/>
      <c r="N91" s="104"/>
      <c r="O91" s="104"/>
      <c r="P91" s="104">
        <v>1.2</v>
      </c>
      <c r="Q91" s="104">
        <v>1.5</v>
      </c>
      <c r="R91" s="104">
        <f t="shared" si="32"/>
        <v>1.7999999999999998</v>
      </c>
      <c r="S91" s="82"/>
      <c r="U91" s="52"/>
      <c r="V91" s="52"/>
      <c r="W91" s="52"/>
      <c r="X91" s="80">
        <f t="shared" si="33"/>
        <v>0</v>
      </c>
    </row>
    <row r="92" spans="2:24" x14ac:dyDescent="0.25">
      <c r="B92" s="52"/>
      <c r="C92" s="52">
        <v>1.68</v>
      </c>
      <c r="D92" s="52">
        <v>1.55</v>
      </c>
      <c r="E92" s="80">
        <f t="shared" si="31"/>
        <v>2.6040000000000001</v>
      </c>
      <c r="F92" s="82"/>
      <c r="G92" s="82"/>
      <c r="H92" s="82"/>
      <c r="I92" s="82"/>
      <c r="J92" s="82"/>
      <c r="K92" s="82"/>
      <c r="L92" s="82"/>
      <c r="M92" s="82"/>
      <c r="N92" s="104"/>
      <c r="O92" s="104"/>
      <c r="P92" s="104">
        <v>0.6</v>
      </c>
      <c r="Q92" s="104">
        <v>1.1299999999999999</v>
      </c>
      <c r="R92" s="104">
        <f t="shared" si="32"/>
        <v>0.67799999999999994</v>
      </c>
      <c r="S92" s="82"/>
      <c r="U92" s="52"/>
      <c r="V92" s="52">
        <v>0</v>
      </c>
      <c r="W92" s="52">
        <v>0</v>
      </c>
      <c r="X92" s="80">
        <f t="shared" si="33"/>
        <v>0</v>
      </c>
    </row>
    <row r="93" spans="2:24" x14ac:dyDescent="0.25">
      <c r="B93" s="52"/>
      <c r="C93" s="52"/>
      <c r="D93" s="52"/>
      <c r="E93" s="80">
        <f t="shared" si="31"/>
        <v>0</v>
      </c>
      <c r="F93" s="82"/>
      <c r="G93" s="82"/>
      <c r="H93" s="82"/>
      <c r="I93" s="82"/>
      <c r="J93" s="82"/>
      <c r="K93" s="82"/>
      <c r="L93" s="82"/>
      <c r="M93" s="82"/>
      <c r="N93" s="104"/>
      <c r="O93" s="104" t="s">
        <v>380</v>
      </c>
      <c r="P93" s="104">
        <v>3.75</v>
      </c>
      <c r="Q93" s="104">
        <v>6.62</v>
      </c>
      <c r="R93" s="104">
        <f t="shared" si="32"/>
        <v>24.824999999999999</v>
      </c>
      <c r="S93" s="82"/>
      <c r="U93" s="52"/>
      <c r="V93" s="52"/>
      <c r="W93" s="52"/>
      <c r="X93" s="80">
        <f t="shared" si="33"/>
        <v>0</v>
      </c>
    </row>
    <row r="94" spans="2:24" x14ac:dyDescent="0.25">
      <c r="B94" s="52"/>
      <c r="C94" s="52"/>
      <c r="D94" s="52"/>
      <c r="E94" s="80">
        <f t="shared" si="31"/>
        <v>0</v>
      </c>
      <c r="F94" s="82"/>
      <c r="G94" s="82"/>
      <c r="H94" s="82"/>
      <c r="I94" s="82"/>
      <c r="J94" s="82"/>
      <c r="K94" s="82"/>
      <c r="L94" s="82"/>
      <c r="M94" s="82"/>
      <c r="N94" s="104"/>
      <c r="O94" s="104"/>
      <c r="P94" s="104">
        <v>2.35</v>
      </c>
      <c r="Q94" s="104">
        <v>2.4</v>
      </c>
      <c r="R94" s="104">
        <f t="shared" si="32"/>
        <v>5.64</v>
      </c>
      <c r="S94" s="82"/>
      <c r="U94" s="52"/>
      <c r="V94" s="52"/>
      <c r="W94" s="52"/>
      <c r="X94" s="80">
        <f t="shared" si="33"/>
        <v>0</v>
      </c>
    </row>
    <row r="95" spans="2:24" x14ac:dyDescent="0.25">
      <c r="B95" s="52"/>
      <c r="C95" s="52"/>
      <c r="D95" s="52"/>
      <c r="E95" s="80"/>
      <c r="F95" s="82"/>
      <c r="G95" s="82"/>
      <c r="H95" s="82"/>
      <c r="I95" s="82"/>
      <c r="J95" s="82"/>
      <c r="K95" s="82"/>
      <c r="L95" s="82"/>
      <c r="M95" s="82"/>
      <c r="N95" s="104"/>
      <c r="O95" s="104"/>
      <c r="P95" s="104">
        <v>3</v>
      </c>
      <c r="Q95" s="104">
        <v>0.6</v>
      </c>
      <c r="R95" s="104">
        <f t="shared" si="32"/>
        <v>1.7999999999999998</v>
      </c>
      <c r="S95" s="82"/>
      <c r="U95" s="52"/>
      <c r="V95" s="52"/>
      <c r="W95" s="52"/>
      <c r="X95" s="80"/>
    </row>
    <row r="96" spans="2:24" x14ac:dyDescent="0.25">
      <c r="B96" s="52" t="s">
        <v>438</v>
      </c>
      <c r="C96" s="52">
        <v>1.68</v>
      </c>
      <c r="D96" s="52">
        <v>1.48</v>
      </c>
      <c r="E96" s="80">
        <f t="shared" ref="E96:E128" si="34">C96*D96</f>
        <v>2.4863999999999997</v>
      </c>
      <c r="F96" s="82"/>
      <c r="G96" s="82"/>
      <c r="H96" s="82"/>
      <c r="I96" s="82"/>
      <c r="J96" s="82"/>
      <c r="K96" s="82"/>
      <c r="L96" s="82"/>
      <c r="M96" s="82"/>
      <c r="N96" s="104"/>
      <c r="O96" s="104" t="s">
        <v>434</v>
      </c>
      <c r="P96" s="104">
        <v>1.68</v>
      </c>
      <c r="Q96" s="104">
        <v>1.48</v>
      </c>
      <c r="R96" s="104">
        <f t="shared" si="32"/>
        <v>2.4863999999999997</v>
      </c>
      <c r="S96" s="82"/>
      <c r="U96" s="52" t="s">
        <v>438</v>
      </c>
      <c r="V96" s="52">
        <v>1.68</v>
      </c>
      <c r="W96" s="52">
        <v>1.48</v>
      </c>
      <c r="X96" s="80">
        <f t="shared" ref="X96" si="35">V96*W96</f>
        <v>2.4863999999999997</v>
      </c>
    </row>
    <row r="97" spans="2:24" x14ac:dyDescent="0.25">
      <c r="B97" s="52"/>
      <c r="C97" s="52"/>
      <c r="D97" s="52"/>
      <c r="E97" s="80"/>
      <c r="F97" s="82"/>
      <c r="G97" s="82"/>
      <c r="H97" s="82"/>
      <c r="I97" s="82"/>
      <c r="J97" s="82"/>
      <c r="K97" s="82"/>
      <c r="L97" s="82"/>
      <c r="M97" s="82"/>
      <c r="N97" s="104"/>
      <c r="O97" s="104" t="s">
        <v>442</v>
      </c>
      <c r="P97" s="104">
        <v>1.67</v>
      </c>
      <c r="Q97" s="104">
        <v>1.45</v>
      </c>
      <c r="R97" s="104">
        <f t="shared" si="32"/>
        <v>2.4215</v>
      </c>
      <c r="S97" s="82"/>
      <c r="U97" s="52"/>
      <c r="V97" s="52"/>
      <c r="W97" s="52"/>
      <c r="X97" s="80"/>
    </row>
    <row r="98" spans="2:24" x14ac:dyDescent="0.25">
      <c r="B98" s="52" t="s">
        <v>439</v>
      </c>
      <c r="C98" s="52">
        <v>2.0499999999999998</v>
      </c>
      <c r="D98" s="52">
        <v>1.1499999999999999</v>
      </c>
      <c r="E98" s="80">
        <f t="shared" si="34"/>
        <v>2.3574999999999995</v>
      </c>
      <c r="F98" s="82"/>
      <c r="G98" s="82"/>
      <c r="H98" s="82"/>
      <c r="I98" s="82"/>
      <c r="J98" s="82"/>
      <c r="K98" s="82"/>
      <c r="L98" s="82"/>
      <c r="M98" s="82"/>
      <c r="N98" s="104"/>
      <c r="O98" s="104" t="s">
        <v>321</v>
      </c>
      <c r="P98" s="104">
        <v>2.0499999999999998</v>
      </c>
      <c r="Q98" s="104">
        <v>1.1499999999999999</v>
      </c>
      <c r="R98" s="104">
        <f t="shared" si="32"/>
        <v>2.3574999999999995</v>
      </c>
      <c r="S98" s="82"/>
      <c r="U98" s="52" t="s">
        <v>439</v>
      </c>
      <c r="V98" s="52">
        <v>2.0499999999999998</v>
      </c>
      <c r="W98" s="52">
        <v>1.1499999999999999</v>
      </c>
      <c r="X98" s="80">
        <f t="shared" ref="X98:X128" si="36">V98*W98</f>
        <v>2.3574999999999995</v>
      </c>
    </row>
    <row r="99" spans="2:24" x14ac:dyDescent="0.25">
      <c r="B99" s="52"/>
      <c r="C99" s="52"/>
      <c r="D99" s="52"/>
      <c r="E99" s="80">
        <f t="shared" si="34"/>
        <v>0</v>
      </c>
      <c r="F99" s="82"/>
      <c r="G99" s="82"/>
      <c r="H99" s="82"/>
      <c r="I99" s="82"/>
      <c r="J99" s="82"/>
      <c r="K99" s="82"/>
      <c r="L99" s="82"/>
      <c r="M99" s="82"/>
      <c r="N99" s="104"/>
      <c r="O99" s="104" t="s">
        <v>322</v>
      </c>
      <c r="P99" s="104">
        <v>1.83</v>
      </c>
      <c r="Q99" s="104">
        <v>2.0299999999999998</v>
      </c>
      <c r="R99" s="104">
        <f t="shared" ref="R99:R104" si="37">P99*Q99</f>
        <v>3.7148999999999996</v>
      </c>
      <c r="S99" s="82"/>
      <c r="U99" s="52"/>
      <c r="V99" s="52"/>
      <c r="W99" s="52"/>
      <c r="X99" s="80">
        <f t="shared" si="36"/>
        <v>0</v>
      </c>
    </row>
    <row r="100" spans="2:24" x14ac:dyDescent="0.25">
      <c r="B100" s="52" t="s">
        <v>322</v>
      </c>
      <c r="C100" s="52">
        <v>1.83</v>
      </c>
      <c r="D100" s="52">
        <v>1.77</v>
      </c>
      <c r="E100" s="80">
        <f t="shared" si="34"/>
        <v>3.2391000000000001</v>
      </c>
      <c r="F100" s="82"/>
      <c r="G100" s="82"/>
      <c r="H100" s="82"/>
      <c r="I100" s="82"/>
      <c r="J100" s="82"/>
      <c r="K100" s="82"/>
      <c r="L100" s="82"/>
      <c r="M100" s="82"/>
      <c r="N100" s="104"/>
      <c r="O100" s="104"/>
      <c r="P100" s="104">
        <v>1.72</v>
      </c>
      <c r="Q100" s="104">
        <v>1.07</v>
      </c>
      <c r="R100" s="104">
        <f t="shared" si="37"/>
        <v>1.8404</v>
      </c>
      <c r="S100" s="82"/>
      <c r="U100" s="52" t="s">
        <v>322</v>
      </c>
      <c r="V100" s="52">
        <v>1.83</v>
      </c>
      <c r="W100" s="52">
        <v>2.0299999999999998</v>
      </c>
      <c r="X100" s="80">
        <f t="shared" si="36"/>
        <v>3.7148999999999996</v>
      </c>
    </row>
    <row r="101" spans="2:24" x14ac:dyDescent="0.25">
      <c r="B101" s="52"/>
      <c r="C101" s="52">
        <v>1.73</v>
      </c>
      <c r="D101" s="52">
        <v>1.07</v>
      </c>
      <c r="E101" s="80">
        <f t="shared" si="34"/>
        <v>1.8511000000000002</v>
      </c>
      <c r="F101" s="82"/>
      <c r="G101" s="82"/>
      <c r="H101" s="82"/>
      <c r="I101" s="82"/>
      <c r="J101" s="82"/>
      <c r="K101" s="82"/>
      <c r="L101" s="82"/>
      <c r="M101" s="82"/>
      <c r="N101" s="104"/>
      <c r="O101" s="104"/>
      <c r="P101" s="104">
        <v>1.35</v>
      </c>
      <c r="Q101" s="104">
        <v>1.65</v>
      </c>
      <c r="R101" s="104">
        <f t="shared" si="37"/>
        <v>2.2275</v>
      </c>
      <c r="S101" s="82"/>
      <c r="U101" s="52"/>
      <c r="V101" s="52">
        <v>1.73</v>
      </c>
      <c r="W101" s="52">
        <v>1.07</v>
      </c>
      <c r="X101" s="80">
        <f t="shared" si="36"/>
        <v>1.8511000000000002</v>
      </c>
    </row>
    <row r="102" spans="2:24" x14ac:dyDescent="0.25">
      <c r="B102" s="52"/>
      <c r="C102" s="52">
        <v>1.35</v>
      </c>
      <c r="D102" s="52">
        <v>1.65</v>
      </c>
      <c r="E102" s="80">
        <f t="shared" si="34"/>
        <v>2.2275</v>
      </c>
      <c r="F102" s="82"/>
      <c r="G102" s="82"/>
      <c r="H102" s="82"/>
      <c r="I102" s="82"/>
      <c r="J102" s="82"/>
      <c r="K102" s="82"/>
      <c r="L102" s="82"/>
      <c r="M102" s="82"/>
      <c r="N102" s="104"/>
      <c r="O102" s="104" t="s">
        <v>326</v>
      </c>
      <c r="P102" s="104">
        <v>1.68</v>
      </c>
      <c r="Q102" s="104">
        <v>1.1299999999999999</v>
      </c>
      <c r="R102" s="104">
        <f t="shared" si="37"/>
        <v>1.8983999999999996</v>
      </c>
      <c r="S102" s="82"/>
      <c r="U102" s="52"/>
      <c r="V102" s="52">
        <v>1.35</v>
      </c>
      <c r="W102" s="52">
        <v>1.65</v>
      </c>
      <c r="X102" s="80">
        <f t="shared" si="36"/>
        <v>2.2275</v>
      </c>
    </row>
    <row r="103" spans="2:24" x14ac:dyDescent="0.25">
      <c r="B103" s="52" t="s">
        <v>440</v>
      </c>
      <c r="C103" s="52">
        <v>1.68</v>
      </c>
      <c r="D103" s="52">
        <v>0.88</v>
      </c>
      <c r="E103" s="80">
        <f t="shared" si="34"/>
        <v>1.4783999999999999</v>
      </c>
      <c r="F103" s="82"/>
      <c r="G103" s="82"/>
      <c r="H103" s="82"/>
      <c r="I103" s="82"/>
      <c r="J103" s="82"/>
      <c r="K103" s="82"/>
      <c r="L103" s="82"/>
      <c r="M103" s="82"/>
      <c r="N103" s="104"/>
      <c r="O103" s="104"/>
      <c r="P103" s="104">
        <v>1.57</v>
      </c>
      <c r="Q103" s="104">
        <v>1.07</v>
      </c>
      <c r="R103" s="104">
        <f t="shared" si="37"/>
        <v>1.6799000000000002</v>
      </c>
      <c r="S103" s="82"/>
      <c r="U103" s="52" t="s">
        <v>440</v>
      </c>
      <c r="V103" s="52">
        <v>1.68</v>
      </c>
      <c r="W103" s="52">
        <v>1.1299999999999999</v>
      </c>
      <c r="X103" s="80">
        <f t="shared" si="36"/>
        <v>1.8983999999999996</v>
      </c>
    </row>
    <row r="104" spans="2:24" x14ac:dyDescent="0.25">
      <c r="B104" s="52"/>
      <c r="C104" s="52">
        <v>1.57</v>
      </c>
      <c r="D104" s="52">
        <v>1.07</v>
      </c>
      <c r="E104" s="80">
        <f t="shared" si="34"/>
        <v>1.6799000000000002</v>
      </c>
      <c r="F104" s="82"/>
      <c r="G104" s="82"/>
      <c r="H104" s="82"/>
      <c r="I104" s="82"/>
      <c r="J104" s="82"/>
      <c r="K104" s="82"/>
      <c r="L104" s="82"/>
      <c r="M104" s="82"/>
      <c r="N104" s="104"/>
      <c r="O104" s="104"/>
      <c r="P104" s="104">
        <v>1.2</v>
      </c>
      <c r="Q104" s="104">
        <v>1.65</v>
      </c>
      <c r="R104" s="104">
        <f t="shared" si="37"/>
        <v>1.9799999999999998</v>
      </c>
      <c r="S104" s="82"/>
      <c r="U104" s="52"/>
      <c r="V104" s="52">
        <v>1.57</v>
      </c>
      <c r="W104" s="52">
        <v>1.07</v>
      </c>
      <c r="X104" s="80">
        <f t="shared" si="36"/>
        <v>1.6799000000000002</v>
      </c>
    </row>
    <row r="105" spans="2:24" x14ac:dyDescent="0.25">
      <c r="B105" s="52"/>
      <c r="C105" s="52">
        <v>1.2</v>
      </c>
      <c r="D105" s="52">
        <v>1.65</v>
      </c>
      <c r="E105" s="80">
        <f t="shared" si="34"/>
        <v>1.9799999999999998</v>
      </c>
      <c r="F105" s="82"/>
      <c r="G105" s="82"/>
      <c r="H105" s="82"/>
      <c r="I105" s="82"/>
      <c r="J105" s="82"/>
      <c r="K105" s="82"/>
      <c r="L105" s="82"/>
      <c r="M105" s="82"/>
      <c r="N105" s="104"/>
      <c r="O105" s="104" t="s">
        <v>435</v>
      </c>
      <c r="P105" s="104">
        <v>3.75</v>
      </c>
      <c r="Q105" s="104">
        <v>1.2</v>
      </c>
      <c r="R105" s="104">
        <f t="shared" ref="R105:R123" si="38">P105*Q105</f>
        <v>4.5</v>
      </c>
      <c r="S105" s="82"/>
      <c r="U105" s="52"/>
      <c r="V105" s="52">
        <v>1.2</v>
      </c>
      <c r="W105" s="52">
        <v>1.65</v>
      </c>
      <c r="X105" s="80">
        <f t="shared" si="36"/>
        <v>1.9799999999999998</v>
      </c>
    </row>
    <row r="106" spans="2:24" x14ac:dyDescent="0.25">
      <c r="B106" s="52"/>
      <c r="C106" s="52"/>
      <c r="D106" s="52"/>
      <c r="E106" s="80"/>
      <c r="F106" s="82"/>
      <c r="G106" s="82"/>
      <c r="H106" s="82"/>
      <c r="I106" s="82"/>
      <c r="J106" s="82"/>
      <c r="K106" s="82"/>
      <c r="L106" s="82"/>
      <c r="M106" s="82"/>
      <c r="N106" s="104"/>
      <c r="O106" s="104"/>
      <c r="P106" s="104"/>
      <c r="Q106" s="104"/>
      <c r="R106" s="104"/>
      <c r="S106" s="82"/>
      <c r="U106" s="52" t="s">
        <v>443</v>
      </c>
      <c r="V106" s="52">
        <v>1.68</v>
      </c>
      <c r="W106" s="52">
        <v>1.45</v>
      </c>
      <c r="X106" s="80">
        <f t="shared" si="36"/>
        <v>2.4359999999999999</v>
      </c>
    </row>
    <row r="107" spans="2:24" x14ac:dyDescent="0.25">
      <c r="B107" s="52" t="s">
        <v>435</v>
      </c>
      <c r="C107" s="52">
        <v>3.75</v>
      </c>
      <c r="D107" s="52">
        <v>1.2</v>
      </c>
      <c r="E107" s="80">
        <f t="shared" si="34"/>
        <v>4.5</v>
      </c>
      <c r="F107" s="82"/>
      <c r="G107" s="82"/>
      <c r="H107" s="82"/>
      <c r="I107" s="82"/>
      <c r="J107" s="82"/>
      <c r="K107" s="82"/>
      <c r="L107" s="82"/>
      <c r="M107" s="82"/>
      <c r="N107" s="104"/>
      <c r="O107" s="104"/>
      <c r="P107" s="104">
        <v>2</v>
      </c>
      <c r="Q107" s="104">
        <v>0.55000000000000004</v>
      </c>
      <c r="R107" s="104">
        <f t="shared" si="38"/>
        <v>1.1000000000000001</v>
      </c>
      <c r="S107" s="82"/>
      <c r="U107" s="52" t="s">
        <v>436</v>
      </c>
      <c r="V107" s="52">
        <v>3.75</v>
      </c>
      <c r="W107" s="52">
        <v>1.2</v>
      </c>
      <c r="X107" s="80">
        <f t="shared" si="36"/>
        <v>4.5</v>
      </c>
    </row>
    <row r="108" spans="2:24" x14ac:dyDescent="0.25">
      <c r="B108" s="52"/>
      <c r="C108" s="52">
        <v>2</v>
      </c>
      <c r="D108" s="52">
        <v>0.55000000000000004</v>
      </c>
      <c r="E108" s="80">
        <f t="shared" si="34"/>
        <v>1.1000000000000001</v>
      </c>
      <c r="F108" s="82"/>
      <c r="G108" s="82"/>
      <c r="H108" s="82"/>
      <c r="I108" s="82"/>
      <c r="J108" s="82"/>
      <c r="K108" s="82"/>
      <c r="L108" s="82"/>
      <c r="M108" s="82"/>
      <c r="N108" s="104"/>
      <c r="O108" s="104"/>
      <c r="P108" s="104">
        <v>2</v>
      </c>
      <c r="Q108" s="104">
        <v>1.1000000000000001</v>
      </c>
      <c r="R108" s="104">
        <f t="shared" si="38"/>
        <v>2.2000000000000002</v>
      </c>
      <c r="S108" s="82"/>
      <c r="U108" s="52"/>
      <c r="V108" s="52">
        <v>2</v>
      </c>
      <c r="W108" s="52">
        <v>1.45</v>
      </c>
      <c r="X108" s="80">
        <f t="shared" si="36"/>
        <v>2.9</v>
      </c>
    </row>
    <row r="109" spans="2:24" x14ac:dyDescent="0.25">
      <c r="B109" s="52"/>
      <c r="C109" s="52"/>
      <c r="D109" s="52"/>
      <c r="E109" s="80">
        <f t="shared" si="34"/>
        <v>0</v>
      </c>
      <c r="F109" s="82"/>
      <c r="G109" s="82"/>
      <c r="H109" s="82"/>
      <c r="I109" s="82"/>
      <c r="J109" s="82"/>
      <c r="K109" s="82"/>
      <c r="L109" s="82"/>
      <c r="M109" s="82"/>
      <c r="N109" s="104"/>
      <c r="O109" s="104" t="s">
        <v>436</v>
      </c>
      <c r="P109" s="104">
        <v>2.15</v>
      </c>
      <c r="Q109" s="104">
        <v>1.98</v>
      </c>
      <c r="R109" s="104">
        <f t="shared" si="38"/>
        <v>4.2569999999999997</v>
      </c>
      <c r="S109" s="82"/>
      <c r="U109" s="52"/>
      <c r="V109" s="52">
        <v>2</v>
      </c>
      <c r="W109" s="52">
        <v>1.1000000000000001</v>
      </c>
      <c r="X109" s="80">
        <f t="shared" si="36"/>
        <v>2.2000000000000002</v>
      </c>
    </row>
    <row r="110" spans="2:24" x14ac:dyDescent="0.25">
      <c r="B110" s="52"/>
      <c r="C110" s="52"/>
      <c r="D110" s="52"/>
      <c r="E110" s="80">
        <f t="shared" si="34"/>
        <v>0</v>
      </c>
      <c r="F110" s="82"/>
      <c r="G110" s="82"/>
      <c r="H110" s="82"/>
      <c r="I110" s="82"/>
      <c r="J110" s="82"/>
      <c r="K110" s="82"/>
      <c r="L110" s="82"/>
      <c r="M110" s="82"/>
      <c r="N110" s="104"/>
      <c r="O110" s="104"/>
      <c r="P110" s="104">
        <v>2.15</v>
      </c>
      <c r="Q110" s="104">
        <v>1.07</v>
      </c>
      <c r="R110" s="104">
        <f t="shared" si="38"/>
        <v>2.3005</v>
      </c>
      <c r="S110" s="82"/>
      <c r="U110" s="52"/>
      <c r="V110" s="52"/>
      <c r="W110" s="52"/>
      <c r="X110" s="80">
        <f t="shared" si="36"/>
        <v>0</v>
      </c>
    </row>
    <row r="111" spans="2:24" x14ac:dyDescent="0.25">
      <c r="B111" s="52"/>
      <c r="C111" s="52"/>
      <c r="D111" s="52"/>
      <c r="E111" s="80">
        <f t="shared" si="34"/>
        <v>0</v>
      </c>
      <c r="F111" s="82"/>
      <c r="G111" s="82"/>
      <c r="H111" s="82"/>
      <c r="I111" s="82"/>
      <c r="J111" s="82"/>
      <c r="K111" s="82"/>
      <c r="L111" s="82"/>
      <c r="M111" s="82"/>
      <c r="N111" s="104"/>
      <c r="O111" s="104"/>
      <c r="P111" s="104">
        <v>1.2</v>
      </c>
      <c r="Q111" s="104">
        <v>1.5</v>
      </c>
      <c r="R111" s="104">
        <f t="shared" si="38"/>
        <v>1.7999999999999998</v>
      </c>
      <c r="S111" s="82"/>
      <c r="U111" s="52"/>
      <c r="V111" s="52"/>
      <c r="W111" s="52"/>
      <c r="X111" s="80">
        <f t="shared" si="36"/>
        <v>0</v>
      </c>
    </row>
    <row r="112" spans="2:24" x14ac:dyDescent="0.25">
      <c r="B112" s="52"/>
      <c r="C112" s="52"/>
      <c r="D112" s="52"/>
      <c r="E112" s="80">
        <f t="shared" si="34"/>
        <v>0</v>
      </c>
      <c r="F112" s="82"/>
      <c r="G112" s="82"/>
      <c r="H112" s="82"/>
      <c r="I112" s="82"/>
      <c r="J112" s="82"/>
      <c r="K112" s="82"/>
      <c r="L112" s="82"/>
      <c r="M112" s="82"/>
      <c r="N112" s="104"/>
      <c r="O112" s="104"/>
      <c r="P112" s="104"/>
      <c r="Q112" s="104"/>
      <c r="R112" s="104">
        <f t="shared" si="38"/>
        <v>0</v>
      </c>
      <c r="S112" s="82"/>
      <c r="U112" s="52"/>
      <c r="V112" s="52"/>
      <c r="W112" s="52"/>
      <c r="X112" s="80">
        <f t="shared" si="36"/>
        <v>0</v>
      </c>
    </row>
    <row r="113" spans="2:24" x14ac:dyDescent="0.25">
      <c r="B113" s="52"/>
      <c r="C113" s="52"/>
      <c r="D113" s="52"/>
      <c r="E113" s="80">
        <f t="shared" si="34"/>
        <v>0</v>
      </c>
      <c r="F113" s="82"/>
      <c r="G113" s="82"/>
      <c r="H113" s="82"/>
      <c r="I113" s="82"/>
      <c r="J113" s="82"/>
      <c r="K113" s="82"/>
      <c r="L113" s="82"/>
      <c r="M113" s="82"/>
      <c r="N113" s="104"/>
      <c r="O113" s="104"/>
      <c r="P113" s="104"/>
      <c r="Q113" s="104"/>
      <c r="R113" s="104">
        <f t="shared" si="38"/>
        <v>0</v>
      </c>
      <c r="S113" s="82"/>
      <c r="U113" s="52"/>
      <c r="V113" s="52"/>
      <c r="W113" s="52"/>
      <c r="X113" s="80">
        <f t="shared" si="36"/>
        <v>0</v>
      </c>
    </row>
    <row r="114" spans="2:24" x14ac:dyDescent="0.25">
      <c r="B114" s="52"/>
      <c r="C114" s="52"/>
      <c r="D114" s="52"/>
      <c r="E114" s="80">
        <f t="shared" si="34"/>
        <v>0</v>
      </c>
      <c r="F114" s="82"/>
      <c r="G114" s="82"/>
      <c r="H114" s="82"/>
      <c r="I114" s="82"/>
      <c r="J114" s="82"/>
      <c r="K114" s="82"/>
      <c r="L114" s="82"/>
      <c r="M114" s="82"/>
      <c r="N114" s="104"/>
      <c r="O114" s="104"/>
      <c r="P114" s="104"/>
      <c r="Q114" s="104"/>
      <c r="R114" s="104">
        <f t="shared" si="38"/>
        <v>0</v>
      </c>
      <c r="S114" s="82"/>
      <c r="U114" s="52"/>
      <c r="V114" s="52"/>
      <c r="W114" s="52"/>
      <c r="X114" s="80">
        <f t="shared" si="36"/>
        <v>0</v>
      </c>
    </row>
    <row r="115" spans="2:24" x14ac:dyDescent="0.25">
      <c r="B115" s="52"/>
      <c r="C115" s="52"/>
      <c r="D115" s="52"/>
      <c r="E115" s="80">
        <f t="shared" si="34"/>
        <v>0</v>
      </c>
      <c r="F115" s="82"/>
      <c r="G115" s="82"/>
      <c r="H115" s="82"/>
      <c r="I115" s="82"/>
      <c r="J115" s="82"/>
      <c r="K115" s="82"/>
      <c r="L115" s="82"/>
      <c r="M115" s="82"/>
      <c r="N115" s="104"/>
      <c r="O115" s="104" t="s">
        <v>323</v>
      </c>
      <c r="P115" s="104">
        <v>3.58</v>
      </c>
      <c r="Q115" s="104">
        <v>1.2</v>
      </c>
      <c r="R115" s="104">
        <f t="shared" si="38"/>
        <v>4.2960000000000003</v>
      </c>
      <c r="S115" s="82"/>
      <c r="U115" s="52"/>
      <c r="V115" s="52"/>
      <c r="W115" s="52"/>
      <c r="X115" s="80">
        <f t="shared" si="36"/>
        <v>0</v>
      </c>
    </row>
    <row r="116" spans="2:24" x14ac:dyDescent="0.25">
      <c r="B116" s="52"/>
      <c r="C116" s="52"/>
      <c r="D116" s="52"/>
      <c r="E116" s="80">
        <f t="shared" si="34"/>
        <v>0</v>
      </c>
      <c r="F116" s="82"/>
      <c r="G116" s="82"/>
      <c r="H116" s="82"/>
      <c r="I116" s="82"/>
      <c r="J116" s="82"/>
      <c r="K116" s="82"/>
      <c r="L116" s="82"/>
      <c r="M116" s="82"/>
      <c r="N116" s="104"/>
      <c r="O116" s="104" t="s">
        <v>437</v>
      </c>
      <c r="P116" s="104">
        <v>5.68</v>
      </c>
      <c r="Q116" s="104">
        <v>5.58</v>
      </c>
      <c r="R116" s="104">
        <f t="shared" si="38"/>
        <v>31.694399999999998</v>
      </c>
      <c r="S116" s="82"/>
      <c r="U116" s="52"/>
      <c r="V116" s="52"/>
      <c r="W116" s="52"/>
      <c r="X116" s="80">
        <f t="shared" si="36"/>
        <v>0</v>
      </c>
    </row>
    <row r="117" spans="2:24" x14ac:dyDescent="0.25">
      <c r="B117" s="52"/>
      <c r="C117" s="52"/>
      <c r="D117" s="52"/>
      <c r="E117" s="80">
        <f t="shared" si="34"/>
        <v>0</v>
      </c>
      <c r="F117" s="82"/>
      <c r="G117" s="82"/>
      <c r="H117" s="82"/>
      <c r="I117" s="82"/>
      <c r="J117" s="82"/>
      <c r="K117" s="82"/>
      <c r="L117" s="82"/>
      <c r="M117" s="82"/>
      <c r="N117" s="104"/>
      <c r="O117" s="104"/>
      <c r="P117" s="104">
        <v>1.73</v>
      </c>
      <c r="Q117" s="104">
        <v>0.6</v>
      </c>
      <c r="R117" s="104">
        <f t="shared" si="38"/>
        <v>1.038</v>
      </c>
      <c r="S117" s="82"/>
      <c r="U117" s="52"/>
      <c r="V117" s="52"/>
      <c r="W117" s="52"/>
      <c r="X117" s="80">
        <f t="shared" si="36"/>
        <v>0</v>
      </c>
    </row>
    <row r="118" spans="2:24" x14ac:dyDescent="0.25">
      <c r="B118" s="52"/>
      <c r="C118" s="52"/>
      <c r="D118" s="52"/>
      <c r="E118" s="80">
        <f t="shared" si="34"/>
        <v>0</v>
      </c>
      <c r="F118" s="82"/>
      <c r="G118" s="82"/>
      <c r="H118" s="82"/>
      <c r="I118" s="82"/>
      <c r="J118" s="82"/>
      <c r="K118" s="82"/>
      <c r="L118" s="82"/>
      <c r="M118" s="82"/>
      <c r="N118" s="104"/>
      <c r="O118" s="104" t="s">
        <v>325</v>
      </c>
      <c r="P118" s="104"/>
      <c r="Q118" s="104"/>
      <c r="R118" s="104">
        <f t="shared" si="38"/>
        <v>0</v>
      </c>
      <c r="S118" s="82"/>
      <c r="U118" s="52"/>
      <c r="V118" s="52"/>
      <c r="W118" s="52"/>
      <c r="X118" s="80">
        <f t="shared" si="36"/>
        <v>0</v>
      </c>
    </row>
    <row r="119" spans="2:24" x14ac:dyDescent="0.25">
      <c r="B119" s="52"/>
      <c r="C119" s="52"/>
      <c r="D119" s="52"/>
      <c r="E119" s="80">
        <f t="shared" si="34"/>
        <v>0</v>
      </c>
      <c r="F119" s="82"/>
      <c r="G119" s="82"/>
      <c r="H119" s="82"/>
      <c r="I119" s="82"/>
      <c r="J119" s="82"/>
      <c r="K119" s="82"/>
      <c r="L119" s="82"/>
      <c r="M119" s="82"/>
      <c r="N119" s="104"/>
      <c r="O119" s="104"/>
      <c r="P119" s="104"/>
      <c r="Q119" s="104"/>
      <c r="R119" s="104">
        <f t="shared" si="38"/>
        <v>0</v>
      </c>
      <c r="S119" s="82"/>
      <c r="U119" s="52"/>
      <c r="V119" s="52"/>
      <c r="W119" s="52"/>
      <c r="X119" s="80">
        <f t="shared" si="36"/>
        <v>0</v>
      </c>
    </row>
    <row r="120" spans="2:24" x14ac:dyDescent="0.25">
      <c r="B120" s="52" t="s">
        <v>323</v>
      </c>
      <c r="C120" s="52">
        <v>3.58</v>
      </c>
      <c r="D120" s="52">
        <v>1.2</v>
      </c>
      <c r="E120" s="80">
        <f t="shared" si="34"/>
        <v>4.2960000000000003</v>
      </c>
      <c r="F120" s="82"/>
      <c r="G120" s="82"/>
      <c r="H120" s="82"/>
      <c r="I120" s="82"/>
      <c r="J120" s="82"/>
      <c r="K120" s="82"/>
      <c r="L120" s="82"/>
      <c r="M120" s="82"/>
      <c r="N120" s="104"/>
      <c r="O120" s="104" t="s">
        <v>375</v>
      </c>
      <c r="P120" s="104">
        <v>7.76</v>
      </c>
      <c r="Q120" s="104">
        <v>2.1</v>
      </c>
      <c r="R120" s="104">
        <f t="shared" si="38"/>
        <v>16.295999999999999</v>
      </c>
      <c r="S120" s="82"/>
      <c r="U120" s="52" t="s">
        <v>323</v>
      </c>
      <c r="V120" s="52">
        <v>3.58</v>
      </c>
      <c r="W120" s="52">
        <v>1.2</v>
      </c>
      <c r="X120" s="80">
        <f t="shared" si="36"/>
        <v>4.2960000000000003</v>
      </c>
    </row>
    <row r="121" spans="2:24" x14ac:dyDescent="0.25">
      <c r="B121" s="52" t="s">
        <v>441</v>
      </c>
      <c r="C121" s="52">
        <v>5.57</v>
      </c>
      <c r="D121" s="52">
        <v>5.27</v>
      </c>
      <c r="E121" s="80">
        <f t="shared" si="34"/>
        <v>29.353899999999999</v>
      </c>
      <c r="F121" s="82"/>
      <c r="G121" s="82"/>
      <c r="H121" s="82"/>
      <c r="I121" s="82"/>
      <c r="J121" s="82"/>
      <c r="K121" s="82"/>
      <c r="L121" s="82"/>
      <c r="M121" s="82"/>
      <c r="N121" s="104"/>
      <c r="O121" s="104"/>
      <c r="P121" s="104"/>
      <c r="Q121" s="104"/>
      <c r="R121" s="104">
        <f t="shared" si="38"/>
        <v>0</v>
      </c>
      <c r="S121" s="82"/>
      <c r="U121" s="52" t="s">
        <v>441</v>
      </c>
      <c r="V121" s="52">
        <v>5.68</v>
      </c>
      <c r="W121" s="52">
        <v>5.58</v>
      </c>
      <c r="X121" s="80">
        <f t="shared" si="36"/>
        <v>31.694399999999998</v>
      </c>
    </row>
    <row r="122" spans="2:24" x14ac:dyDescent="0.25">
      <c r="B122" s="52" t="s">
        <v>324</v>
      </c>
      <c r="C122" s="52">
        <v>0</v>
      </c>
      <c r="D122" s="52">
        <v>0</v>
      </c>
      <c r="E122" s="80">
        <f t="shared" si="34"/>
        <v>0</v>
      </c>
      <c r="F122" s="82"/>
      <c r="G122" s="82"/>
      <c r="H122" s="82"/>
      <c r="I122" s="82"/>
      <c r="J122" s="82"/>
      <c r="K122" s="82"/>
      <c r="L122" s="82"/>
      <c r="M122" s="82"/>
      <c r="N122" s="104"/>
      <c r="O122" s="104"/>
      <c r="P122" s="104"/>
      <c r="Q122" s="104"/>
      <c r="R122" s="104">
        <f t="shared" si="38"/>
        <v>0</v>
      </c>
      <c r="S122" s="82"/>
      <c r="U122" s="52"/>
      <c r="V122" s="52">
        <v>1.73</v>
      </c>
      <c r="W122" s="52">
        <v>0.6</v>
      </c>
      <c r="X122" s="80">
        <f t="shared" si="36"/>
        <v>1.038</v>
      </c>
    </row>
    <row r="123" spans="2:24" x14ac:dyDescent="0.25">
      <c r="B123" s="52" t="s">
        <v>325</v>
      </c>
      <c r="C123" s="52"/>
      <c r="D123" s="52"/>
      <c r="E123" s="80">
        <f t="shared" si="34"/>
        <v>0</v>
      </c>
      <c r="F123" s="82"/>
      <c r="G123" s="82"/>
      <c r="H123" s="82"/>
      <c r="I123" s="82"/>
      <c r="J123" s="82"/>
      <c r="K123" s="82"/>
      <c r="L123" s="82"/>
      <c r="M123" s="82"/>
      <c r="N123" s="104"/>
      <c r="O123" s="104"/>
      <c r="P123" s="104"/>
      <c r="Q123" s="104"/>
      <c r="R123" s="104">
        <f t="shared" si="38"/>
        <v>0</v>
      </c>
      <c r="S123" s="82"/>
      <c r="U123" s="52"/>
      <c r="V123" s="52"/>
      <c r="W123" s="52"/>
      <c r="X123" s="80">
        <f t="shared" si="36"/>
        <v>0</v>
      </c>
    </row>
    <row r="124" spans="2:24" x14ac:dyDescent="0.25">
      <c r="B124" s="52"/>
      <c r="C124" s="52"/>
      <c r="D124" s="52"/>
      <c r="E124" s="80">
        <f t="shared" si="34"/>
        <v>0</v>
      </c>
      <c r="F124" s="82"/>
      <c r="G124" s="82"/>
      <c r="H124" s="82"/>
      <c r="I124" s="82"/>
      <c r="J124" s="82"/>
      <c r="K124" s="82"/>
      <c r="L124" s="82"/>
      <c r="M124" s="82"/>
      <c r="N124" s="104"/>
      <c r="O124" s="104" t="s">
        <v>150</v>
      </c>
      <c r="P124" s="104"/>
      <c r="Q124" s="104">
        <f>R124*10.764</f>
        <v>3559.5729935999998</v>
      </c>
      <c r="R124" s="105">
        <f>SUM(R68:R123)</f>
        <v>330.69240000000002</v>
      </c>
      <c r="S124" s="82"/>
      <c r="U124" s="52"/>
      <c r="V124" s="52"/>
      <c r="W124" s="52"/>
      <c r="X124" s="80">
        <f t="shared" si="36"/>
        <v>0</v>
      </c>
    </row>
    <row r="125" spans="2:24" x14ac:dyDescent="0.25">
      <c r="B125" s="52"/>
      <c r="C125" s="52"/>
      <c r="D125" s="52"/>
      <c r="E125" s="80">
        <f t="shared" si="34"/>
        <v>0</v>
      </c>
      <c r="F125" s="82"/>
      <c r="G125" s="82"/>
      <c r="H125" s="82"/>
      <c r="I125" s="82"/>
      <c r="J125" s="82"/>
      <c r="K125" s="82"/>
      <c r="L125" s="82"/>
      <c r="M125" s="82"/>
      <c r="N125" s="82"/>
      <c r="O125" s="82"/>
      <c r="P125" s="82"/>
      <c r="Q125" s="82"/>
      <c r="R125" s="82"/>
      <c r="S125" s="82"/>
      <c r="U125" s="52" t="s">
        <v>444</v>
      </c>
      <c r="V125" s="52">
        <v>3.78</v>
      </c>
      <c r="W125" s="52">
        <v>2.1</v>
      </c>
      <c r="X125" s="80">
        <f t="shared" si="36"/>
        <v>7.9379999999999997</v>
      </c>
    </row>
    <row r="126" spans="2:24" x14ac:dyDescent="0.25">
      <c r="B126" s="52"/>
      <c r="C126" s="52"/>
      <c r="D126" s="52"/>
      <c r="E126" s="80">
        <f t="shared" si="34"/>
        <v>0</v>
      </c>
      <c r="F126" s="82"/>
      <c r="G126" s="82"/>
      <c r="H126" s="82"/>
      <c r="I126" s="82"/>
      <c r="J126" s="82"/>
      <c r="K126" s="82"/>
      <c r="L126" s="82"/>
      <c r="M126" s="82"/>
      <c r="N126" s="82"/>
      <c r="O126" s="82"/>
      <c r="P126" s="82"/>
      <c r="Q126" s="82"/>
      <c r="R126" s="82"/>
      <c r="S126" s="82"/>
      <c r="U126" s="52"/>
      <c r="V126" s="52"/>
      <c r="W126" s="52"/>
      <c r="X126" s="80">
        <f t="shared" si="36"/>
        <v>0</v>
      </c>
    </row>
    <row r="127" spans="2:24" x14ac:dyDescent="0.25">
      <c r="B127" s="52"/>
      <c r="C127" s="52"/>
      <c r="D127" s="52"/>
      <c r="E127" s="80">
        <f t="shared" si="34"/>
        <v>0</v>
      </c>
      <c r="F127" s="82"/>
      <c r="G127" s="82"/>
      <c r="H127" s="82"/>
      <c r="I127" s="82"/>
      <c r="J127" s="82"/>
      <c r="K127" s="82"/>
      <c r="L127" s="82"/>
      <c r="M127" s="82"/>
      <c r="N127" s="82"/>
      <c r="O127" s="82"/>
      <c r="P127" s="101">
        <f>Q127*10.764</f>
        <v>3384.1628496000003</v>
      </c>
      <c r="Q127" s="106">
        <f>SUM(R68:R117)</f>
        <v>314.39640000000003</v>
      </c>
      <c r="R127" s="82"/>
      <c r="S127" s="82"/>
      <c r="U127" s="52"/>
      <c r="V127" s="52"/>
      <c r="W127" s="52"/>
      <c r="X127" s="80">
        <f t="shared" si="36"/>
        <v>0</v>
      </c>
    </row>
    <row r="128" spans="2:24" x14ac:dyDescent="0.25">
      <c r="B128" s="52"/>
      <c r="C128" s="52"/>
      <c r="D128" s="52"/>
      <c r="E128" s="80">
        <f t="shared" si="34"/>
        <v>0</v>
      </c>
      <c r="F128" s="82"/>
      <c r="G128" s="82"/>
      <c r="H128" s="82"/>
      <c r="I128" s="82"/>
      <c r="J128" s="82"/>
      <c r="K128" s="82"/>
      <c r="L128" s="82"/>
      <c r="M128" s="82"/>
      <c r="N128" s="82"/>
      <c r="O128" s="82"/>
      <c r="P128" s="82"/>
      <c r="Q128" s="82"/>
      <c r="R128" s="82"/>
      <c r="S128" s="82"/>
      <c r="U128" s="52"/>
      <c r="V128" s="52"/>
      <c r="W128" s="52"/>
      <c r="X128" s="80">
        <f t="shared" si="36"/>
        <v>0</v>
      </c>
    </row>
    <row r="129" spans="1:24" x14ac:dyDescent="0.25">
      <c r="B129" s="52" t="s">
        <v>150</v>
      </c>
      <c r="C129" s="52"/>
      <c r="D129" s="80">
        <f>E129*10.764</f>
        <v>2261.7349091999995</v>
      </c>
      <c r="E129" s="81">
        <f>SUM(E68:E128)</f>
        <v>210.12029999999996</v>
      </c>
      <c r="F129" s="82"/>
      <c r="G129" s="82"/>
      <c r="H129" s="82"/>
      <c r="I129" s="82"/>
      <c r="J129" s="82"/>
      <c r="K129" s="82"/>
      <c r="L129" s="82"/>
      <c r="M129" s="82"/>
      <c r="N129" s="82"/>
      <c r="O129" s="82"/>
      <c r="P129" s="82"/>
      <c r="Q129" s="82"/>
      <c r="R129" s="82"/>
      <c r="S129" s="82"/>
      <c r="U129" s="52" t="s">
        <v>150</v>
      </c>
      <c r="V129" s="52"/>
      <c r="W129" s="80">
        <f>X129*10.764</f>
        <v>2473.4606363999997</v>
      </c>
      <c r="X129" s="81">
        <f>SUM(X68:X128)</f>
        <v>229.79009999999997</v>
      </c>
    </row>
    <row r="130" spans="1:24" x14ac:dyDescent="0.25">
      <c r="F130" s="82"/>
      <c r="G130" s="82"/>
      <c r="H130" s="82"/>
      <c r="I130" s="82"/>
      <c r="J130" s="82"/>
      <c r="K130" s="82"/>
      <c r="L130" s="82"/>
      <c r="M130" s="82"/>
      <c r="N130" s="82"/>
      <c r="O130" s="82"/>
      <c r="P130" s="82"/>
      <c r="Q130" s="82"/>
      <c r="R130" s="82"/>
      <c r="S130" s="82"/>
      <c r="X130" s="77"/>
    </row>
    <row r="131" spans="1:24" ht="29.1" customHeight="1" x14ac:dyDescent="0.25">
      <c r="D131" s="51">
        <f>D129+H129</f>
        <v>2261.7349091999995</v>
      </c>
      <c r="E131" s="77">
        <f>E129+I129</f>
        <v>210.12029999999996</v>
      </c>
      <c r="F131" s="82"/>
      <c r="G131" s="82"/>
      <c r="H131" s="82"/>
      <c r="I131" s="82"/>
      <c r="J131" s="82"/>
      <c r="K131" s="82"/>
      <c r="L131" s="82"/>
      <c r="M131" s="82"/>
      <c r="N131" s="82"/>
      <c r="O131" s="82"/>
      <c r="P131" s="82"/>
      <c r="Q131" s="82"/>
      <c r="R131" s="82"/>
      <c r="S131" s="82"/>
      <c r="T131" s="309" t="s">
        <v>445</v>
      </c>
      <c r="U131" s="309"/>
      <c r="V131" s="309"/>
      <c r="W131" s="107">
        <f>W129+AA129</f>
        <v>2473.4606363999997</v>
      </c>
      <c r="X131" s="77">
        <f>X129+AB129</f>
        <v>229.79009999999997</v>
      </c>
    </row>
    <row r="132" spans="1:24"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row>
    <row r="133" spans="1:24"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row>
    <row r="134" spans="1:24"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row>
    <row r="135" spans="1:24"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row>
    <row r="136" spans="1:24"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row>
    <row r="137" spans="1:24"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row>
    <row r="138" spans="1:24"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row>
    <row r="139" spans="1:24"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row>
    <row r="140" spans="1:24"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row>
    <row r="141" spans="1:24"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row>
    <row r="142" spans="1:24"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row>
    <row r="143" spans="1:24"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row>
    <row r="144" spans="1:24"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row>
    <row r="145" spans="1:23"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row>
    <row r="146" spans="1:23"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row>
    <row r="147" spans="1:23"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row>
    <row r="148" spans="1:23"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row>
    <row r="149" spans="1:23"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row>
    <row r="150" spans="1:23"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row>
    <row r="151" spans="1:23"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row>
    <row r="152" spans="1:23"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row>
    <row r="153" spans="1:23"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row>
    <row r="154" spans="1:23"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row>
    <row r="155" spans="1:23"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row>
    <row r="156" spans="1:23"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row>
    <row r="157" spans="1:23"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row>
    <row r="158" spans="1:23"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row>
    <row r="159" spans="1:23"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row>
    <row r="160" spans="1:23"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row>
    <row r="161" spans="1:23"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row>
    <row r="162" spans="1:23"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row>
    <row r="163" spans="1:23"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row>
    <row r="164" spans="1:23"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row>
    <row r="165" spans="1:23"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row>
    <row r="166" spans="1:23"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row>
    <row r="167" spans="1:23"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row>
    <row r="168" spans="1:23"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row>
    <row r="169" spans="1:23"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row>
    <row r="170" spans="1:23"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row>
    <row r="171" spans="1:23"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row>
    <row r="172" spans="1:23"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row>
    <row r="173" spans="1:23"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row>
    <row r="174" spans="1:23"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row>
    <row r="175" spans="1:23"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row>
    <row r="176" spans="1:23"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row>
    <row r="177" spans="1:23"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row>
    <row r="178" spans="1:23"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row>
    <row r="179" spans="1:23"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row>
    <row r="180" spans="1:23"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row>
    <row r="181" spans="1:23"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row>
    <row r="182" spans="1:23"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row>
    <row r="183" spans="1:23"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row>
    <row r="184" spans="1:23"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row>
    <row r="185" spans="1:23"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row>
    <row r="186" spans="1:23"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row>
    <row r="187" spans="1:23"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row>
    <row r="188" spans="1:23"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row>
    <row r="189" spans="1:23"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row>
    <row r="190" spans="1:23"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row>
    <row r="191" spans="1:23" ht="29.65" customHeight="1" x14ac:dyDescent="0.25">
      <c r="A191" s="82"/>
      <c r="B191" s="82"/>
      <c r="C191" s="82"/>
      <c r="D191" s="82"/>
      <c r="E191" s="82"/>
      <c r="F191" s="82"/>
      <c r="G191" s="82"/>
      <c r="H191" s="82"/>
      <c r="I191" s="82"/>
      <c r="J191" s="82"/>
      <c r="K191" s="82"/>
      <c r="L191" s="82"/>
      <c r="M191" s="82"/>
      <c r="N191" s="82"/>
      <c r="O191" s="82"/>
      <c r="P191" s="82"/>
      <c r="Q191" s="82"/>
      <c r="R191" s="82"/>
      <c r="S191" s="82"/>
      <c r="T191" s="82"/>
      <c r="U191" s="82"/>
      <c r="V191" s="82"/>
      <c r="W191" s="82"/>
    </row>
    <row r="192" spans="1:23" x14ac:dyDescent="0.25">
      <c r="A192" s="82"/>
      <c r="B192" s="82"/>
      <c r="C192" s="82"/>
      <c r="D192" s="82"/>
      <c r="E192" s="82"/>
      <c r="F192" s="82"/>
      <c r="G192" s="82"/>
      <c r="H192" s="82"/>
      <c r="I192" s="82"/>
      <c r="J192" s="82"/>
      <c r="K192" s="82"/>
      <c r="L192" s="82"/>
      <c r="M192" s="82"/>
      <c r="N192" s="82"/>
      <c r="O192" s="82"/>
      <c r="P192" s="82"/>
      <c r="Q192" s="82"/>
      <c r="R192" s="82"/>
      <c r="S192" s="82"/>
      <c r="T192" s="82"/>
      <c r="U192" s="82"/>
      <c r="V192" s="82"/>
      <c r="W192" s="82"/>
    </row>
    <row r="193" spans="1:23" x14ac:dyDescent="0.25">
      <c r="A193" s="82"/>
      <c r="B193" s="82"/>
      <c r="C193" s="82"/>
      <c r="D193" s="82"/>
      <c r="E193" s="82"/>
      <c r="F193" s="82"/>
      <c r="G193" s="82"/>
      <c r="H193" s="82"/>
      <c r="I193" s="82"/>
      <c r="J193" s="82"/>
      <c r="K193" s="82"/>
      <c r="L193" s="82"/>
      <c r="M193" s="82"/>
      <c r="N193" s="82"/>
      <c r="O193" s="82"/>
      <c r="P193" s="82"/>
      <c r="Q193" s="82"/>
      <c r="R193" s="82"/>
      <c r="S193" s="82"/>
      <c r="T193" s="82"/>
      <c r="U193" s="82"/>
      <c r="V193" s="82"/>
      <c r="W193" s="82"/>
    </row>
    <row r="194" spans="1:23" x14ac:dyDescent="0.25">
      <c r="A194" s="82"/>
      <c r="B194" s="82"/>
      <c r="C194" s="82"/>
      <c r="D194" s="82"/>
      <c r="E194" s="82"/>
      <c r="F194" s="82"/>
      <c r="G194" s="82"/>
      <c r="H194" s="82"/>
      <c r="I194" s="82"/>
      <c r="J194" s="82"/>
      <c r="K194" s="82"/>
      <c r="L194" s="82"/>
      <c r="M194" s="82"/>
      <c r="N194" s="82"/>
      <c r="O194" s="82"/>
      <c r="P194" s="82"/>
      <c r="Q194" s="82"/>
      <c r="R194" s="82"/>
      <c r="S194" s="82"/>
      <c r="T194" s="82"/>
      <c r="U194" s="82"/>
      <c r="V194" s="82"/>
      <c r="W194" s="82"/>
    </row>
    <row r="195" spans="1:23" x14ac:dyDescent="0.25">
      <c r="A195" s="82"/>
      <c r="B195" s="82"/>
      <c r="C195" s="82"/>
      <c r="D195" s="82"/>
      <c r="E195" s="82"/>
      <c r="F195" s="82"/>
      <c r="G195" s="82"/>
      <c r="H195" s="82"/>
      <c r="I195" s="82"/>
      <c r="J195" s="82"/>
      <c r="K195" s="82"/>
      <c r="L195" s="82"/>
      <c r="M195" s="82"/>
      <c r="N195" s="82"/>
      <c r="O195" s="82"/>
      <c r="P195" s="82"/>
      <c r="Q195" s="82"/>
      <c r="R195" s="82"/>
      <c r="S195" s="82"/>
      <c r="T195" s="82"/>
      <c r="U195" s="82"/>
      <c r="V195" s="82"/>
      <c r="W195" s="82"/>
    </row>
    <row r="196" spans="1:23" x14ac:dyDescent="0.25">
      <c r="A196" s="82"/>
      <c r="B196" s="82"/>
      <c r="C196" s="82"/>
      <c r="D196" s="82"/>
      <c r="E196" s="82"/>
      <c r="F196" s="82"/>
      <c r="G196" s="82"/>
      <c r="H196" s="82"/>
      <c r="I196" s="82"/>
      <c r="J196" s="82"/>
      <c r="K196" s="82"/>
      <c r="L196" s="82"/>
      <c r="M196" s="82"/>
      <c r="N196" s="82"/>
      <c r="O196" s="82"/>
      <c r="P196" s="82"/>
      <c r="Q196" s="82"/>
      <c r="R196" s="82"/>
      <c r="S196" s="82"/>
      <c r="T196" s="82"/>
      <c r="U196" s="82"/>
      <c r="V196" s="82"/>
      <c r="W196" s="82"/>
    </row>
    <row r="197" spans="1:23" x14ac:dyDescent="0.25">
      <c r="A197" s="82"/>
      <c r="B197" s="82"/>
      <c r="C197" s="82"/>
      <c r="D197" s="82"/>
      <c r="E197" s="82"/>
      <c r="F197" s="82"/>
      <c r="G197" s="82"/>
      <c r="H197" s="82"/>
      <c r="I197" s="82"/>
      <c r="J197" s="82"/>
      <c r="K197" s="82"/>
      <c r="L197" s="82"/>
      <c r="M197" s="82"/>
      <c r="N197" s="82"/>
      <c r="O197" s="82"/>
      <c r="P197" s="82"/>
      <c r="Q197" s="82"/>
      <c r="R197" s="82"/>
      <c r="S197" s="82"/>
      <c r="T197" s="82"/>
      <c r="U197" s="82"/>
      <c r="V197" s="82"/>
      <c r="W197" s="82"/>
    </row>
    <row r="198" spans="1:23" x14ac:dyDescent="0.25">
      <c r="A198" s="82"/>
      <c r="B198" s="82"/>
      <c r="C198" s="82"/>
      <c r="D198" s="82"/>
      <c r="E198" s="82"/>
      <c r="F198" s="82"/>
      <c r="G198" s="82"/>
      <c r="H198" s="82"/>
      <c r="I198" s="82"/>
      <c r="J198" s="82"/>
      <c r="K198" s="82"/>
      <c r="L198" s="82"/>
      <c r="M198" s="82"/>
      <c r="N198" s="82"/>
      <c r="O198" s="82"/>
      <c r="P198" s="82"/>
      <c r="Q198" s="82"/>
      <c r="R198" s="82"/>
      <c r="S198" s="82"/>
      <c r="T198" s="82"/>
      <c r="U198" s="82"/>
      <c r="V198" s="82"/>
      <c r="W198" s="82"/>
    </row>
    <row r="199" spans="1:23" x14ac:dyDescent="0.25">
      <c r="A199" s="82"/>
      <c r="B199" s="82"/>
      <c r="C199" s="82"/>
      <c r="D199" s="82"/>
      <c r="E199" s="82"/>
      <c r="F199" s="82"/>
      <c r="G199" s="82"/>
      <c r="H199" s="82"/>
      <c r="I199" s="82"/>
      <c r="J199" s="82"/>
      <c r="K199" s="82"/>
      <c r="L199" s="82"/>
      <c r="M199" s="82"/>
      <c r="N199" s="82"/>
      <c r="O199" s="82"/>
      <c r="P199" s="82"/>
      <c r="Q199" s="82"/>
      <c r="R199" s="82"/>
      <c r="S199" s="82"/>
      <c r="T199" s="82"/>
      <c r="U199" s="82"/>
      <c r="V199" s="82"/>
      <c r="W199" s="82"/>
    </row>
    <row r="200" spans="1:23" x14ac:dyDescent="0.25">
      <c r="A200" s="82"/>
      <c r="B200" s="82"/>
      <c r="C200" s="82"/>
      <c r="D200" s="82"/>
      <c r="E200" s="82"/>
      <c r="F200" s="82"/>
      <c r="G200" s="82"/>
      <c r="H200" s="82"/>
      <c r="I200" s="82"/>
      <c r="J200" s="82"/>
      <c r="K200" s="82"/>
      <c r="L200" s="82"/>
      <c r="M200" s="82"/>
      <c r="N200" s="82"/>
      <c r="O200" s="82"/>
      <c r="P200" s="82"/>
      <c r="Q200" s="82"/>
      <c r="R200" s="82"/>
      <c r="S200" s="82"/>
      <c r="T200" s="82"/>
      <c r="U200" s="82"/>
      <c r="V200" s="82"/>
      <c r="W200" s="82"/>
    </row>
    <row r="201" spans="1:23" x14ac:dyDescent="0.25">
      <c r="A201" s="82"/>
      <c r="B201" s="82"/>
      <c r="C201" s="82"/>
      <c r="D201" s="82"/>
      <c r="E201" s="82"/>
      <c r="F201" s="82"/>
      <c r="G201" s="82"/>
      <c r="H201" s="82"/>
      <c r="I201" s="82"/>
      <c r="J201" s="82"/>
      <c r="K201" s="82"/>
      <c r="L201" s="82"/>
      <c r="M201" s="82"/>
      <c r="N201" s="82"/>
      <c r="O201" s="82"/>
      <c r="P201" s="82"/>
      <c r="Q201" s="82"/>
      <c r="R201" s="82"/>
      <c r="S201" s="82"/>
      <c r="T201" s="82"/>
      <c r="U201" s="82"/>
      <c r="V201" s="82"/>
      <c r="W201" s="82"/>
    </row>
    <row r="202" spans="1:23" x14ac:dyDescent="0.25">
      <c r="A202" s="82"/>
      <c r="B202" s="82"/>
      <c r="C202" s="82"/>
      <c r="D202" s="82"/>
      <c r="E202" s="82"/>
      <c r="F202" s="82"/>
      <c r="G202" s="82"/>
      <c r="H202" s="82"/>
      <c r="I202" s="82"/>
      <c r="J202" s="82"/>
      <c r="K202" s="82"/>
      <c r="L202" s="82"/>
      <c r="M202" s="82"/>
      <c r="N202" s="82"/>
      <c r="O202" s="82"/>
      <c r="P202" s="82"/>
      <c r="Q202" s="82"/>
      <c r="R202" s="82"/>
      <c r="S202" s="82"/>
      <c r="T202" s="82"/>
      <c r="U202" s="82"/>
      <c r="V202" s="82"/>
      <c r="W202" s="82"/>
    </row>
    <row r="203" spans="1:23" x14ac:dyDescent="0.25">
      <c r="A203" s="82"/>
      <c r="B203" s="82"/>
      <c r="C203" s="82"/>
      <c r="D203" s="82"/>
      <c r="E203" s="82"/>
      <c r="F203" s="82"/>
      <c r="G203" s="82"/>
      <c r="H203" s="82"/>
      <c r="I203" s="82"/>
      <c r="J203" s="82"/>
      <c r="K203" s="82"/>
      <c r="L203" s="82"/>
      <c r="M203" s="82"/>
      <c r="N203" s="82"/>
      <c r="O203" s="82"/>
      <c r="P203" s="82"/>
      <c r="Q203" s="82"/>
      <c r="R203" s="82"/>
      <c r="S203" s="82"/>
      <c r="T203" s="82"/>
      <c r="U203" s="82"/>
      <c r="V203" s="82"/>
      <c r="W203" s="82"/>
    </row>
    <row r="204" spans="1:23" x14ac:dyDescent="0.25">
      <c r="A204" s="82"/>
      <c r="B204" s="82"/>
      <c r="C204" s="82"/>
      <c r="D204" s="82"/>
      <c r="E204" s="82"/>
      <c r="F204" s="82"/>
      <c r="G204" s="82"/>
      <c r="H204" s="82"/>
      <c r="I204" s="82"/>
      <c r="J204" s="82"/>
      <c r="K204" s="82"/>
      <c r="L204" s="82"/>
      <c r="M204" s="82"/>
      <c r="N204" s="82"/>
      <c r="O204" s="82"/>
      <c r="P204" s="82"/>
      <c r="Q204" s="82"/>
      <c r="R204" s="82"/>
      <c r="S204" s="82"/>
      <c r="T204" s="82"/>
      <c r="U204" s="82"/>
      <c r="V204" s="82"/>
      <c r="W204" s="82"/>
    </row>
    <row r="205" spans="1:23" x14ac:dyDescent="0.25">
      <c r="A205" s="82"/>
      <c r="B205" s="82"/>
      <c r="C205" s="82"/>
      <c r="D205" s="82"/>
      <c r="E205" s="82"/>
      <c r="F205" s="82"/>
      <c r="G205" s="82"/>
      <c r="H205" s="82"/>
      <c r="I205" s="82"/>
      <c r="J205" s="82"/>
      <c r="K205" s="82"/>
      <c r="L205" s="82"/>
      <c r="M205" s="82"/>
      <c r="N205" s="82"/>
      <c r="O205" s="82"/>
      <c r="P205" s="82"/>
      <c r="Q205" s="82"/>
      <c r="R205" s="82"/>
      <c r="S205" s="82"/>
      <c r="T205" s="82"/>
      <c r="U205" s="82"/>
      <c r="V205" s="82"/>
      <c r="W205" s="82"/>
    </row>
    <row r="206" spans="1:23" x14ac:dyDescent="0.25">
      <c r="A206" s="82"/>
      <c r="B206" s="82"/>
      <c r="C206" s="82"/>
      <c r="D206" s="82"/>
      <c r="E206" s="82"/>
      <c r="F206" s="82"/>
      <c r="G206" s="82"/>
      <c r="H206" s="82"/>
      <c r="I206" s="82"/>
      <c r="J206" s="82"/>
      <c r="K206" s="82"/>
      <c r="L206" s="82"/>
      <c r="M206" s="82"/>
      <c r="N206" s="82"/>
      <c r="O206" s="82"/>
      <c r="P206" s="82"/>
      <c r="Q206" s="82"/>
      <c r="R206" s="82"/>
      <c r="S206" s="82"/>
      <c r="T206" s="82"/>
      <c r="U206" s="82"/>
      <c r="V206" s="82"/>
      <c r="W206" s="82"/>
    </row>
    <row r="207" spans="1:23" x14ac:dyDescent="0.25">
      <c r="A207" s="82"/>
      <c r="B207" s="82"/>
      <c r="C207" s="82"/>
      <c r="D207" s="82"/>
      <c r="E207" s="82"/>
      <c r="F207" s="82"/>
      <c r="G207" s="82"/>
      <c r="H207" s="82"/>
      <c r="I207" s="82"/>
      <c r="J207" s="82"/>
      <c r="K207" s="82"/>
      <c r="L207" s="82"/>
      <c r="M207" s="82"/>
      <c r="N207" s="82"/>
      <c r="O207" s="82"/>
      <c r="P207" s="82"/>
      <c r="Q207" s="82"/>
      <c r="R207" s="82"/>
      <c r="S207" s="82"/>
      <c r="T207" s="82"/>
      <c r="U207" s="82"/>
      <c r="V207" s="82"/>
      <c r="W207" s="82"/>
    </row>
    <row r="208" spans="1:23" x14ac:dyDescent="0.25">
      <c r="A208" s="82"/>
      <c r="B208" s="82"/>
      <c r="C208" s="82"/>
      <c r="D208" s="82"/>
      <c r="E208" s="82"/>
      <c r="F208" s="82"/>
      <c r="G208" s="82"/>
      <c r="H208" s="82"/>
      <c r="I208" s="82"/>
      <c r="J208" s="82"/>
      <c r="K208" s="82"/>
      <c r="L208" s="82"/>
      <c r="M208" s="82"/>
      <c r="N208" s="82"/>
      <c r="O208" s="82"/>
      <c r="P208" s="82"/>
      <c r="Q208" s="82"/>
      <c r="R208" s="82"/>
      <c r="S208" s="82"/>
      <c r="T208" s="82"/>
      <c r="U208" s="82"/>
      <c r="V208" s="82"/>
      <c r="W208" s="82"/>
    </row>
    <row r="209" spans="1:23" x14ac:dyDescent="0.25">
      <c r="A209" s="82"/>
      <c r="B209" s="82"/>
      <c r="C209" s="82"/>
      <c r="D209" s="82"/>
      <c r="E209" s="82"/>
      <c r="F209" s="82"/>
      <c r="G209" s="82"/>
      <c r="H209" s="82"/>
      <c r="I209" s="82"/>
      <c r="J209" s="82"/>
      <c r="K209" s="82"/>
      <c r="L209" s="82"/>
      <c r="M209" s="82"/>
      <c r="N209" s="82"/>
      <c r="O209" s="82"/>
      <c r="P209" s="82"/>
      <c r="Q209" s="82"/>
      <c r="R209" s="82"/>
      <c r="S209" s="82"/>
      <c r="T209" s="82"/>
      <c r="U209" s="82"/>
      <c r="V209" s="82"/>
      <c r="W209" s="82"/>
    </row>
    <row r="210" spans="1:23" x14ac:dyDescent="0.25">
      <c r="A210" s="82"/>
      <c r="B210" s="82"/>
      <c r="C210" s="82"/>
      <c r="D210" s="82"/>
      <c r="E210" s="82"/>
      <c r="F210" s="82"/>
      <c r="G210" s="82"/>
      <c r="H210" s="82"/>
      <c r="I210" s="82"/>
      <c r="J210" s="82"/>
      <c r="K210" s="82"/>
      <c r="L210" s="82"/>
      <c r="M210" s="82"/>
      <c r="N210" s="82"/>
      <c r="O210" s="82"/>
      <c r="P210" s="82"/>
      <c r="Q210" s="82"/>
      <c r="R210" s="82"/>
      <c r="S210" s="82"/>
      <c r="T210" s="82"/>
      <c r="U210" s="82"/>
      <c r="V210" s="82"/>
      <c r="W210" s="82"/>
    </row>
    <row r="211" spans="1:23" x14ac:dyDescent="0.25">
      <c r="A211" s="82"/>
      <c r="B211" s="82"/>
      <c r="C211" s="82"/>
      <c r="D211" s="82"/>
      <c r="E211" s="82"/>
      <c r="F211" s="82"/>
      <c r="G211" s="82"/>
      <c r="H211" s="82"/>
      <c r="I211" s="82"/>
      <c r="J211" s="82"/>
      <c r="K211" s="82"/>
      <c r="L211" s="82"/>
      <c r="M211" s="82"/>
      <c r="N211" s="82"/>
      <c r="O211" s="82"/>
      <c r="P211" s="82"/>
      <c r="Q211" s="82"/>
      <c r="R211" s="82"/>
      <c r="S211" s="82"/>
      <c r="T211" s="82"/>
      <c r="U211" s="82"/>
      <c r="V211" s="82"/>
      <c r="W211" s="82"/>
    </row>
    <row r="212" spans="1:23" x14ac:dyDescent="0.25">
      <c r="A212" s="82"/>
      <c r="B212" s="82"/>
      <c r="C212" s="82"/>
      <c r="D212" s="82"/>
      <c r="E212" s="82"/>
      <c r="F212" s="82"/>
      <c r="G212" s="82"/>
      <c r="H212" s="82"/>
      <c r="I212" s="82"/>
      <c r="J212" s="82"/>
      <c r="K212" s="82"/>
      <c r="L212" s="82"/>
      <c r="M212" s="82"/>
      <c r="N212" s="82"/>
      <c r="O212" s="82"/>
      <c r="P212" s="82"/>
      <c r="Q212" s="82"/>
      <c r="R212" s="82"/>
      <c r="S212" s="82"/>
      <c r="T212" s="82"/>
      <c r="U212" s="82"/>
      <c r="V212" s="82"/>
      <c r="W212" s="82"/>
    </row>
    <row r="213" spans="1:23" x14ac:dyDescent="0.25">
      <c r="A213" s="82"/>
      <c r="B213" s="82"/>
      <c r="C213" s="82"/>
      <c r="D213" s="82"/>
      <c r="E213" s="82"/>
      <c r="F213" s="82"/>
      <c r="G213" s="82"/>
      <c r="H213" s="82"/>
      <c r="I213" s="82"/>
      <c r="J213" s="82"/>
      <c r="K213" s="82"/>
      <c r="L213" s="82"/>
      <c r="M213" s="82"/>
      <c r="N213" s="82"/>
      <c r="O213" s="82"/>
      <c r="P213" s="82"/>
      <c r="Q213" s="82"/>
      <c r="R213" s="82"/>
      <c r="S213" s="82"/>
      <c r="T213" s="82"/>
      <c r="U213" s="82"/>
      <c r="V213" s="82"/>
      <c r="W213" s="82"/>
    </row>
    <row r="214" spans="1:23" x14ac:dyDescent="0.25">
      <c r="A214" s="82"/>
      <c r="B214" s="82"/>
      <c r="C214" s="82"/>
      <c r="D214" s="82"/>
      <c r="E214" s="82"/>
      <c r="F214" s="82"/>
      <c r="G214" s="82"/>
      <c r="H214" s="82"/>
      <c r="I214" s="82"/>
      <c r="J214" s="82"/>
      <c r="K214" s="82"/>
      <c r="L214" s="82"/>
      <c r="M214" s="82"/>
      <c r="N214" s="82"/>
      <c r="O214" s="82"/>
      <c r="P214" s="82"/>
      <c r="Q214" s="82"/>
      <c r="R214" s="82"/>
      <c r="S214" s="82"/>
      <c r="T214" s="82"/>
      <c r="U214" s="82"/>
      <c r="V214" s="82"/>
      <c r="W214" s="82"/>
    </row>
    <row r="215" spans="1:23" x14ac:dyDescent="0.25">
      <c r="A215" s="82"/>
      <c r="B215" s="82"/>
      <c r="C215" s="82"/>
      <c r="D215" s="82"/>
      <c r="E215" s="82"/>
      <c r="F215" s="82"/>
      <c r="G215" s="82"/>
      <c r="H215" s="82"/>
      <c r="I215" s="82"/>
      <c r="J215" s="82"/>
      <c r="K215" s="82"/>
      <c r="L215" s="82"/>
      <c r="M215" s="82"/>
      <c r="N215" s="82"/>
      <c r="O215" s="82"/>
      <c r="P215" s="82"/>
      <c r="Q215" s="82"/>
      <c r="R215" s="82"/>
      <c r="S215" s="82"/>
      <c r="T215" s="82"/>
      <c r="U215" s="82"/>
      <c r="V215" s="82"/>
      <c r="W215" s="82"/>
    </row>
    <row r="216" spans="1:23" x14ac:dyDescent="0.25">
      <c r="A216" s="82"/>
      <c r="B216" s="82"/>
      <c r="C216" s="82"/>
      <c r="D216" s="82"/>
      <c r="E216" s="82"/>
      <c r="F216" s="82"/>
      <c r="G216" s="82"/>
      <c r="H216" s="82"/>
      <c r="I216" s="82"/>
      <c r="J216" s="82"/>
      <c r="K216" s="82"/>
      <c r="L216" s="82"/>
      <c r="M216" s="82"/>
      <c r="N216" s="82"/>
      <c r="O216" s="82"/>
      <c r="P216" s="82"/>
      <c r="Q216" s="82"/>
      <c r="R216" s="82"/>
      <c r="S216" s="82"/>
      <c r="T216" s="82"/>
      <c r="U216" s="82"/>
      <c r="V216" s="82"/>
      <c r="W216" s="82"/>
    </row>
    <row r="217" spans="1:23" x14ac:dyDescent="0.25">
      <c r="A217" s="82"/>
      <c r="B217" s="82"/>
      <c r="C217" s="82"/>
      <c r="D217" s="82"/>
      <c r="E217" s="82"/>
      <c r="F217" s="82"/>
      <c r="G217" s="82"/>
      <c r="H217" s="82"/>
      <c r="I217" s="82"/>
      <c r="J217" s="82"/>
      <c r="K217" s="82"/>
      <c r="L217" s="82"/>
      <c r="M217" s="82"/>
      <c r="N217" s="82"/>
      <c r="O217" s="82"/>
      <c r="P217" s="82"/>
      <c r="Q217" s="82"/>
      <c r="R217" s="82"/>
      <c r="S217" s="82"/>
      <c r="T217" s="82"/>
      <c r="U217" s="82"/>
      <c r="V217" s="82"/>
      <c r="W217" s="82"/>
    </row>
    <row r="218" spans="1:23" x14ac:dyDescent="0.25">
      <c r="A218" s="82"/>
      <c r="B218" s="82"/>
      <c r="C218" s="82"/>
      <c r="D218" s="82"/>
      <c r="E218" s="82"/>
      <c r="F218" s="82"/>
      <c r="G218" s="82"/>
      <c r="H218" s="82"/>
      <c r="I218" s="82"/>
      <c r="J218" s="82"/>
      <c r="K218" s="82"/>
      <c r="L218" s="82"/>
      <c r="M218" s="82"/>
      <c r="N218" s="82"/>
      <c r="O218" s="82"/>
      <c r="P218" s="82"/>
      <c r="Q218" s="82"/>
      <c r="R218" s="82"/>
      <c r="S218" s="82"/>
      <c r="T218" s="82"/>
      <c r="U218" s="82"/>
      <c r="V218" s="82"/>
      <c r="W218" s="82"/>
    </row>
    <row r="219" spans="1:23" x14ac:dyDescent="0.25">
      <c r="A219" s="82"/>
      <c r="B219" s="82"/>
      <c r="C219" s="82"/>
      <c r="D219" s="82"/>
      <c r="E219" s="82"/>
      <c r="F219" s="82"/>
      <c r="G219" s="82"/>
      <c r="H219" s="82"/>
      <c r="I219" s="82"/>
      <c r="J219" s="82"/>
      <c r="K219" s="82"/>
      <c r="L219" s="82"/>
      <c r="M219" s="82"/>
      <c r="N219" s="82"/>
      <c r="O219" s="82"/>
      <c r="P219" s="82"/>
      <c r="Q219" s="82"/>
      <c r="R219" s="82"/>
      <c r="S219" s="82"/>
      <c r="T219" s="82"/>
      <c r="U219" s="82"/>
      <c r="V219" s="82"/>
      <c r="W219" s="82"/>
    </row>
    <row r="220" spans="1:23" x14ac:dyDescent="0.25">
      <c r="A220" s="82"/>
      <c r="B220" s="82"/>
      <c r="C220" s="82"/>
      <c r="D220" s="82"/>
      <c r="E220" s="82"/>
      <c r="F220" s="82"/>
      <c r="G220" s="82"/>
      <c r="H220" s="82"/>
      <c r="I220" s="82"/>
      <c r="J220" s="82"/>
      <c r="K220" s="82"/>
      <c r="L220" s="82"/>
      <c r="M220" s="82"/>
      <c r="N220" s="82"/>
      <c r="O220" s="82"/>
      <c r="P220" s="82"/>
      <c r="Q220" s="82"/>
      <c r="R220" s="82"/>
      <c r="S220" s="82"/>
      <c r="T220" s="82"/>
      <c r="U220" s="82"/>
      <c r="V220" s="82"/>
      <c r="W220" s="82"/>
    </row>
    <row r="221" spans="1:23" x14ac:dyDescent="0.25">
      <c r="A221" s="82"/>
      <c r="B221" s="82"/>
      <c r="C221" s="82"/>
      <c r="D221" s="82"/>
      <c r="E221" s="82"/>
      <c r="F221" s="82"/>
      <c r="G221" s="82"/>
      <c r="H221" s="82"/>
      <c r="I221" s="82"/>
      <c r="J221" s="82"/>
      <c r="K221" s="82"/>
      <c r="L221" s="82"/>
      <c r="M221" s="82"/>
      <c r="N221" s="82"/>
      <c r="O221" s="82"/>
      <c r="P221" s="82"/>
      <c r="Q221" s="82"/>
      <c r="R221" s="82"/>
      <c r="S221" s="82"/>
      <c r="T221" s="82"/>
      <c r="U221" s="82"/>
      <c r="V221" s="82"/>
      <c r="W221" s="82"/>
    </row>
    <row r="222" spans="1:23" x14ac:dyDescent="0.25">
      <c r="A222" s="82"/>
      <c r="B222" s="82"/>
      <c r="C222" s="82"/>
      <c r="D222" s="82"/>
      <c r="E222" s="82"/>
      <c r="F222" s="82"/>
      <c r="G222" s="82"/>
      <c r="H222" s="82"/>
      <c r="I222" s="82"/>
      <c r="J222" s="82"/>
      <c r="K222" s="82"/>
      <c r="L222" s="82"/>
      <c r="M222" s="82"/>
      <c r="N222" s="82"/>
      <c r="O222" s="82"/>
      <c r="P222" s="82"/>
      <c r="Q222" s="82"/>
      <c r="R222" s="82"/>
      <c r="S222" s="82"/>
      <c r="T222" s="82"/>
      <c r="U222" s="82"/>
      <c r="V222" s="82"/>
      <c r="W222" s="82"/>
    </row>
    <row r="223" spans="1:23" x14ac:dyDescent="0.25">
      <c r="A223" s="82"/>
      <c r="B223" s="82"/>
      <c r="C223" s="82"/>
      <c r="D223" s="82"/>
      <c r="E223" s="82"/>
      <c r="F223" s="82"/>
      <c r="G223" s="82"/>
      <c r="H223" s="82"/>
      <c r="I223" s="82"/>
      <c r="J223" s="82"/>
      <c r="K223" s="82"/>
      <c r="L223" s="82"/>
      <c r="M223" s="82"/>
      <c r="N223" s="82"/>
      <c r="O223" s="82"/>
      <c r="P223" s="82"/>
      <c r="Q223" s="82"/>
      <c r="R223" s="82"/>
      <c r="S223" s="82"/>
      <c r="T223" s="82"/>
      <c r="U223" s="82"/>
      <c r="V223" s="82"/>
      <c r="W223" s="82"/>
    </row>
    <row r="224" spans="1:23" x14ac:dyDescent="0.25">
      <c r="A224" s="82"/>
      <c r="B224" s="82"/>
      <c r="C224" s="82"/>
      <c r="D224" s="82"/>
      <c r="E224" s="82"/>
      <c r="F224" s="82"/>
      <c r="G224" s="82"/>
      <c r="H224" s="82"/>
      <c r="I224" s="82"/>
      <c r="J224" s="82"/>
      <c r="K224" s="82"/>
      <c r="L224" s="82"/>
      <c r="M224" s="82"/>
      <c r="N224" s="82"/>
      <c r="O224" s="82"/>
      <c r="P224" s="82"/>
      <c r="Q224" s="82"/>
      <c r="R224" s="82"/>
      <c r="S224" s="82"/>
      <c r="T224" s="82"/>
      <c r="U224" s="82"/>
      <c r="V224" s="82"/>
      <c r="W224" s="82"/>
    </row>
    <row r="225" spans="1:23" x14ac:dyDescent="0.25">
      <c r="A225" s="82"/>
      <c r="B225" s="82"/>
      <c r="C225" s="82"/>
      <c r="D225" s="82"/>
      <c r="E225" s="82"/>
      <c r="F225" s="82"/>
      <c r="G225" s="82"/>
      <c r="H225" s="82"/>
      <c r="I225" s="82"/>
      <c r="J225" s="82"/>
      <c r="K225" s="82"/>
      <c r="L225" s="82"/>
      <c r="M225" s="82"/>
      <c r="N225" s="82"/>
      <c r="O225" s="82"/>
      <c r="P225" s="82"/>
      <c r="Q225" s="82"/>
      <c r="R225" s="82"/>
      <c r="S225" s="82"/>
      <c r="T225" s="82"/>
      <c r="U225" s="82"/>
      <c r="V225" s="82"/>
      <c r="W225" s="82"/>
    </row>
    <row r="226" spans="1:23" x14ac:dyDescent="0.25">
      <c r="A226" s="82"/>
      <c r="B226" s="82"/>
      <c r="C226" s="82"/>
      <c r="D226" s="82"/>
      <c r="E226" s="82"/>
      <c r="F226" s="82"/>
      <c r="G226" s="82"/>
      <c r="H226" s="82"/>
      <c r="I226" s="82"/>
      <c r="J226" s="82"/>
      <c r="K226" s="82"/>
      <c r="L226" s="82"/>
      <c r="M226" s="82"/>
      <c r="N226" s="82"/>
      <c r="O226" s="82"/>
      <c r="P226" s="82"/>
      <c r="Q226" s="82"/>
      <c r="R226" s="82"/>
      <c r="S226" s="82"/>
      <c r="T226" s="82"/>
      <c r="U226" s="82"/>
      <c r="V226" s="82"/>
      <c r="W226" s="82"/>
    </row>
    <row r="227" spans="1:23" x14ac:dyDescent="0.25">
      <c r="A227" s="82"/>
      <c r="B227" s="82"/>
      <c r="C227" s="82"/>
      <c r="D227" s="82"/>
      <c r="E227" s="82"/>
      <c r="F227" s="82"/>
      <c r="G227" s="82"/>
      <c r="H227" s="82"/>
      <c r="I227" s="82"/>
      <c r="J227" s="82"/>
      <c r="K227" s="82"/>
      <c r="L227" s="82"/>
      <c r="M227" s="82"/>
      <c r="N227" s="82"/>
      <c r="O227" s="82"/>
      <c r="P227" s="82"/>
      <c r="Q227" s="82"/>
      <c r="R227" s="82"/>
      <c r="S227" s="82"/>
      <c r="T227" s="82"/>
      <c r="U227" s="82"/>
      <c r="V227" s="82"/>
      <c r="W227" s="82"/>
    </row>
    <row r="228" spans="1:23" x14ac:dyDescent="0.25">
      <c r="A228" s="82"/>
      <c r="B228" s="82"/>
      <c r="C228" s="82"/>
      <c r="D228" s="82"/>
      <c r="E228" s="82"/>
      <c r="F228" s="82"/>
      <c r="G228" s="82"/>
      <c r="H228" s="82"/>
      <c r="I228" s="82"/>
      <c r="J228" s="82"/>
      <c r="K228" s="82"/>
      <c r="L228" s="82"/>
      <c r="M228" s="82"/>
      <c r="N228" s="82"/>
      <c r="O228" s="82"/>
      <c r="P228" s="82"/>
      <c r="Q228" s="82"/>
      <c r="R228" s="82"/>
      <c r="S228" s="82"/>
      <c r="T228" s="82"/>
      <c r="U228" s="82"/>
      <c r="V228" s="82"/>
      <c r="W228" s="82"/>
    </row>
    <row r="229" spans="1:23" x14ac:dyDescent="0.25">
      <c r="A229" s="82"/>
      <c r="B229" s="82"/>
      <c r="C229" s="82"/>
      <c r="D229" s="82"/>
      <c r="E229" s="82"/>
      <c r="F229" s="82"/>
      <c r="G229" s="82"/>
      <c r="H229" s="82"/>
      <c r="I229" s="82"/>
      <c r="J229" s="82"/>
      <c r="K229" s="82"/>
      <c r="L229" s="82"/>
      <c r="M229" s="82"/>
      <c r="N229" s="82"/>
      <c r="O229" s="82"/>
      <c r="P229" s="82"/>
      <c r="Q229" s="82"/>
      <c r="R229" s="82"/>
      <c r="S229" s="82"/>
      <c r="T229" s="82"/>
      <c r="U229" s="82"/>
      <c r="V229" s="82"/>
      <c r="W229" s="82"/>
    </row>
    <row r="230" spans="1:23" x14ac:dyDescent="0.25">
      <c r="A230" s="82"/>
      <c r="B230" s="82"/>
      <c r="C230" s="82"/>
      <c r="D230" s="82"/>
      <c r="E230" s="82"/>
      <c r="F230" s="82"/>
      <c r="G230" s="82"/>
      <c r="H230" s="82"/>
      <c r="I230" s="82"/>
      <c r="J230" s="82"/>
      <c r="K230" s="82"/>
      <c r="L230" s="82"/>
      <c r="M230" s="82"/>
      <c r="N230" s="82"/>
      <c r="O230" s="82"/>
      <c r="P230" s="82"/>
      <c r="Q230" s="82"/>
      <c r="R230" s="82"/>
      <c r="S230" s="82"/>
      <c r="T230" s="82"/>
      <c r="U230" s="82"/>
      <c r="V230" s="82"/>
      <c r="W230" s="82"/>
    </row>
    <row r="231" spans="1:23" x14ac:dyDescent="0.25">
      <c r="A231" s="82"/>
      <c r="B231" s="82"/>
      <c r="C231" s="82"/>
      <c r="D231" s="82"/>
      <c r="E231" s="82"/>
      <c r="F231" s="82"/>
      <c r="G231" s="82"/>
      <c r="H231" s="82"/>
      <c r="I231" s="82"/>
      <c r="J231" s="82"/>
      <c r="K231" s="82"/>
      <c r="L231" s="82"/>
      <c r="M231" s="82"/>
      <c r="N231" s="82"/>
      <c r="O231" s="82"/>
      <c r="P231" s="82"/>
      <c r="Q231" s="82"/>
      <c r="R231" s="82"/>
      <c r="S231" s="82"/>
      <c r="T231" s="82"/>
      <c r="U231" s="82"/>
      <c r="V231" s="82"/>
      <c r="W231" s="82"/>
    </row>
    <row r="232" spans="1:23" x14ac:dyDescent="0.25">
      <c r="A232" s="82"/>
      <c r="B232" s="82"/>
      <c r="C232" s="82"/>
      <c r="D232" s="82"/>
      <c r="E232" s="82"/>
      <c r="F232" s="82"/>
      <c r="G232" s="82"/>
      <c r="H232" s="82"/>
      <c r="I232" s="82"/>
      <c r="J232" s="82"/>
      <c r="K232" s="82"/>
      <c r="L232" s="82"/>
      <c r="M232" s="82"/>
      <c r="N232" s="82"/>
      <c r="O232" s="82"/>
      <c r="P232" s="82"/>
      <c r="Q232" s="82"/>
      <c r="R232" s="82"/>
      <c r="S232" s="82"/>
      <c r="T232" s="82"/>
      <c r="U232" s="82"/>
      <c r="V232" s="82"/>
      <c r="W232" s="82"/>
    </row>
    <row r="233" spans="1:23" x14ac:dyDescent="0.25">
      <c r="A233" s="82"/>
      <c r="B233" s="82"/>
      <c r="C233" s="82"/>
      <c r="D233" s="82"/>
      <c r="E233" s="82"/>
      <c r="F233" s="82"/>
      <c r="G233" s="82"/>
      <c r="H233" s="82"/>
      <c r="I233" s="82"/>
      <c r="J233" s="82"/>
      <c r="K233" s="82"/>
      <c r="L233" s="82"/>
      <c r="M233" s="82"/>
      <c r="N233" s="82"/>
      <c r="O233" s="82"/>
      <c r="P233" s="82"/>
      <c r="Q233" s="82"/>
      <c r="R233" s="82"/>
      <c r="S233" s="82"/>
      <c r="T233" s="82"/>
      <c r="U233" s="82"/>
      <c r="V233" s="82"/>
      <c r="W233" s="82"/>
    </row>
    <row r="234" spans="1:23" x14ac:dyDescent="0.25">
      <c r="A234" s="82"/>
      <c r="B234" s="82"/>
      <c r="C234" s="82"/>
      <c r="D234" s="82"/>
      <c r="E234" s="82"/>
      <c r="F234" s="82"/>
      <c r="G234" s="82"/>
      <c r="H234" s="82"/>
      <c r="I234" s="82"/>
      <c r="J234" s="82"/>
      <c r="K234" s="82"/>
      <c r="L234" s="82"/>
      <c r="M234" s="82"/>
      <c r="N234" s="82"/>
      <c r="O234" s="82"/>
      <c r="P234" s="82"/>
      <c r="Q234" s="82"/>
      <c r="R234" s="82"/>
      <c r="S234" s="82"/>
      <c r="T234" s="82"/>
      <c r="U234" s="82"/>
      <c r="V234" s="82"/>
      <c r="W234" s="82"/>
    </row>
    <row r="235" spans="1:23" x14ac:dyDescent="0.25">
      <c r="A235" s="82"/>
      <c r="B235" s="82"/>
      <c r="C235" s="82"/>
      <c r="D235" s="82"/>
      <c r="E235" s="82"/>
      <c r="F235" s="82"/>
      <c r="G235" s="82"/>
      <c r="H235" s="82"/>
      <c r="I235" s="82"/>
      <c r="J235" s="82"/>
      <c r="K235" s="82"/>
      <c r="L235" s="82"/>
      <c r="M235" s="82"/>
      <c r="N235" s="82"/>
      <c r="O235" s="82"/>
      <c r="P235" s="82"/>
      <c r="Q235" s="82"/>
      <c r="R235" s="82"/>
      <c r="S235" s="82"/>
      <c r="T235" s="82"/>
      <c r="U235" s="82"/>
      <c r="V235" s="82"/>
      <c r="W235" s="82"/>
    </row>
    <row r="236" spans="1:23" x14ac:dyDescent="0.25">
      <c r="A236" s="82"/>
      <c r="B236" s="82"/>
      <c r="C236" s="82"/>
      <c r="D236" s="82"/>
      <c r="E236" s="82"/>
      <c r="F236" s="82"/>
      <c r="G236" s="82"/>
      <c r="H236" s="82"/>
      <c r="I236" s="82"/>
      <c r="J236" s="82"/>
      <c r="K236" s="82"/>
      <c r="L236" s="82"/>
      <c r="M236" s="82"/>
      <c r="N236" s="82"/>
      <c r="O236" s="82"/>
      <c r="P236" s="82"/>
      <c r="Q236" s="82"/>
      <c r="R236" s="82"/>
      <c r="S236" s="82"/>
      <c r="T236" s="82"/>
      <c r="U236" s="82"/>
      <c r="V236" s="82"/>
      <c r="W236" s="82"/>
    </row>
    <row r="237" spans="1:23" x14ac:dyDescent="0.25">
      <c r="A237" s="82"/>
      <c r="B237" s="82"/>
      <c r="C237" s="82"/>
      <c r="D237" s="82"/>
      <c r="E237" s="82"/>
      <c r="F237" s="82"/>
      <c r="G237" s="82"/>
      <c r="H237" s="82"/>
      <c r="I237" s="82"/>
      <c r="J237" s="82"/>
      <c r="K237" s="82"/>
      <c r="L237" s="82"/>
      <c r="M237" s="82"/>
      <c r="N237" s="82"/>
      <c r="O237" s="82"/>
      <c r="P237" s="82"/>
      <c r="Q237" s="82"/>
      <c r="R237" s="82"/>
      <c r="S237" s="82"/>
      <c r="T237" s="82"/>
      <c r="U237" s="82"/>
      <c r="V237" s="82"/>
      <c r="W237" s="82"/>
    </row>
    <row r="238" spans="1:23" x14ac:dyDescent="0.25">
      <c r="A238" s="82"/>
      <c r="B238" s="82"/>
      <c r="C238" s="82"/>
      <c r="D238" s="82"/>
      <c r="E238" s="82"/>
      <c r="F238" s="82"/>
      <c r="G238" s="82"/>
      <c r="H238" s="82"/>
      <c r="I238" s="82"/>
      <c r="J238" s="82"/>
      <c r="K238" s="82"/>
      <c r="L238" s="82"/>
      <c r="M238" s="82"/>
      <c r="N238" s="82"/>
      <c r="O238" s="82"/>
      <c r="P238" s="82"/>
      <c r="Q238" s="82"/>
      <c r="R238" s="82"/>
      <c r="S238" s="82"/>
      <c r="T238" s="82"/>
      <c r="U238" s="82"/>
      <c r="V238" s="82"/>
      <c r="W238" s="82"/>
    </row>
    <row r="239" spans="1:23" x14ac:dyDescent="0.25">
      <c r="A239" s="82"/>
      <c r="B239" s="82"/>
      <c r="C239" s="82"/>
      <c r="D239" s="82"/>
      <c r="E239" s="82"/>
      <c r="F239" s="82"/>
      <c r="G239" s="82"/>
      <c r="H239" s="82"/>
      <c r="I239" s="82"/>
      <c r="J239" s="82"/>
      <c r="K239" s="82"/>
      <c r="L239" s="82"/>
      <c r="M239" s="82"/>
      <c r="N239" s="82"/>
      <c r="O239" s="82"/>
      <c r="P239" s="82"/>
      <c r="Q239" s="82"/>
      <c r="R239" s="82"/>
      <c r="S239" s="82"/>
      <c r="T239" s="82"/>
      <c r="U239" s="82"/>
      <c r="V239" s="82"/>
      <c r="W239" s="82"/>
    </row>
    <row r="240" spans="1:23" x14ac:dyDescent="0.25">
      <c r="A240" s="82"/>
      <c r="B240" s="82"/>
      <c r="C240" s="82"/>
      <c r="D240" s="82"/>
      <c r="E240" s="82"/>
      <c r="F240" s="82"/>
      <c r="G240" s="82"/>
      <c r="H240" s="82"/>
      <c r="I240" s="82"/>
      <c r="J240" s="82"/>
      <c r="K240" s="82"/>
      <c r="L240" s="82"/>
      <c r="M240" s="82"/>
      <c r="N240" s="82"/>
      <c r="O240" s="82"/>
      <c r="P240" s="82"/>
      <c r="Q240" s="82"/>
      <c r="R240" s="82"/>
      <c r="S240" s="82"/>
      <c r="T240" s="82"/>
      <c r="U240" s="82"/>
      <c r="V240" s="82"/>
      <c r="W240" s="82"/>
    </row>
    <row r="241" spans="1:23" x14ac:dyDescent="0.25">
      <c r="A241" s="82"/>
      <c r="B241" s="82"/>
      <c r="C241" s="82"/>
      <c r="D241" s="82"/>
      <c r="E241" s="82"/>
      <c r="F241" s="82"/>
      <c r="G241" s="82"/>
      <c r="H241" s="82"/>
      <c r="I241" s="82"/>
      <c r="J241" s="82"/>
      <c r="K241" s="82"/>
      <c r="L241" s="82"/>
      <c r="M241" s="82"/>
      <c r="N241" s="82"/>
      <c r="O241" s="82"/>
      <c r="P241" s="82"/>
      <c r="Q241" s="82"/>
      <c r="R241" s="82"/>
      <c r="S241" s="82"/>
      <c r="T241" s="82"/>
      <c r="U241" s="82"/>
      <c r="V241" s="82"/>
      <c r="W241" s="82"/>
    </row>
    <row r="242" spans="1:23" x14ac:dyDescent="0.25">
      <c r="A242" s="82"/>
      <c r="B242" s="82"/>
      <c r="C242" s="82"/>
      <c r="D242" s="82"/>
      <c r="E242" s="82"/>
      <c r="F242" s="82"/>
      <c r="G242" s="82"/>
      <c r="H242" s="82"/>
      <c r="I242" s="82"/>
      <c r="J242" s="82"/>
      <c r="K242" s="82"/>
      <c r="L242" s="82"/>
      <c r="M242" s="82"/>
      <c r="N242" s="82"/>
      <c r="O242" s="82"/>
      <c r="P242" s="82"/>
      <c r="Q242" s="82"/>
      <c r="R242" s="82"/>
      <c r="S242" s="82"/>
      <c r="T242" s="82"/>
      <c r="U242" s="82"/>
      <c r="V242" s="82"/>
      <c r="W242" s="82"/>
    </row>
    <row r="243" spans="1:23" x14ac:dyDescent="0.25">
      <c r="A243" s="82"/>
      <c r="B243" s="82"/>
      <c r="C243" s="82"/>
      <c r="D243" s="82"/>
      <c r="E243" s="82"/>
      <c r="F243" s="82"/>
      <c r="G243" s="82"/>
      <c r="H243" s="82"/>
      <c r="I243" s="82"/>
      <c r="J243" s="82"/>
      <c r="K243" s="82"/>
      <c r="L243" s="82"/>
      <c r="M243" s="82"/>
      <c r="N243" s="82"/>
      <c r="O243" s="82"/>
      <c r="P243" s="82"/>
      <c r="Q243" s="82"/>
      <c r="R243" s="82"/>
      <c r="S243" s="82"/>
      <c r="T243" s="82"/>
      <c r="U243" s="82"/>
      <c r="V243" s="82"/>
      <c r="W243" s="82"/>
    </row>
    <row r="244" spans="1:23" x14ac:dyDescent="0.25">
      <c r="A244" s="82"/>
      <c r="B244" s="82"/>
      <c r="C244" s="82"/>
      <c r="D244" s="82"/>
      <c r="E244" s="82"/>
      <c r="F244" s="82"/>
      <c r="G244" s="82"/>
      <c r="H244" s="82"/>
      <c r="I244" s="82"/>
      <c r="J244" s="82"/>
      <c r="K244" s="82"/>
      <c r="L244" s="82"/>
      <c r="M244" s="82"/>
      <c r="N244" s="82"/>
      <c r="O244" s="82"/>
      <c r="P244" s="82"/>
      <c r="Q244" s="82"/>
      <c r="R244" s="82"/>
      <c r="S244" s="82"/>
      <c r="T244" s="82"/>
      <c r="U244" s="82"/>
      <c r="V244" s="82"/>
      <c r="W244" s="82"/>
    </row>
    <row r="245" spans="1:23" x14ac:dyDescent="0.25">
      <c r="A245" s="82"/>
      <c r="B245" s="82"/>
      <c r="C245" s="82"/>
      <c r="D245" s="82"/>
      <c r="E245" s="82"/>
      <c r="F245" s="82"/>
      <c r="G245" s="82"/>
      <c r="H245" s="82"/>
      <c r="I245" s="82"/>
      <c r="J245" s="82"/>
      <c r="K245" s="82"/>
      <c r="L245" s="82"/>
      <c r="M245" s="82"/>
      <c r="N245" s="82"/>
      <c r="O245" s="82"/>
      <c r="P245" s="82"/>
      <c r="Q245" s="82"/>
      <c r="R245" s="82"/>
      <c r="S245" s="82"/>
      <c r="T245" s="82"/>
      <c r="U245" s="82"/>
      <c r="V245" s="82"/>
      <c r="W245" s="82"/>
    </row>
    <row r="246" spans="1:23" x14ac:dyDescent="0.25">
      <c r="A246" s="82"/>
      <c r="B246" s="82"/>
      <c r="C246" s="82"/>
      <c r="D246" s="82"/>
      <c r="E246" s="82"/>
      <c r="F246" s="82"/>
      <c r="G246" s="82"/>
      <c r="H246" s="82"/>
      <c r="I246" s="82"/>
      <c r="J246" s="82"/>
      <c r="K246" s="82"/>
      <c r="L246" s="82"/>
      <c r="M246" s="82"/>
      <c r="N246" s="82"/>
      <c r="O246" s="82"/>
      <c r="P246" s="82"/>
      <c r="Q246" s="82"/>
      <c r="R246" s="82"/>
      <c r="S246" s="82"/>
      <c r="T246" s="82"/>
      <c r="U246" s="82"/>
      <c r="V246" s="82"/>
      <c r="W246" s="82"/>
    </row>
    <row r="247" spans="1:23" x14ac:dyDescent="0.25">
      <c r="A247" s="82"/>
      <c r="B247" s="82"/>
      <c r="C247" s="82"/>
      <c r="D247" s="82"/>
      <c r="E247" s="82"/>
      <c r="F247" s="82"/>
      <c r="G247" s="82"/>
      <c r="H247" s="82"/>
      <c r="I247" s="82"/>
      <c r="J247" s="82"/>
      <c r="K247" s="82"/>
      <c r="L247" s="82"/>
      <c r="M247" s="82"/>
      <c r="N247" s="82"/>
      <c r="O247" s="82"/>
      <c r="P247" s="82"/>
      <c r="Q247" s="82"/>
      <c r="R247" s="82"/>
      <c r="S247" s="82"/>
      <c r="T247" s="82"/>
      <c r="U247" s="82"/>
      <c r="V247" s="82"/>
      <c r="W247" s="82"/>
    </row>
    <row r="248" spans="1:23" x14ac:dyDescent="0.25">
      <c r="A248" s="82"/>
      <c r="B248" s="82"/>
      <c r="C248" s="82"/>
      <c r="D248" s="82"/>
      <c r="E248" s="82"/>
      <c r="F248" s="82"/>
      <c r="G248" s="82"/>
      <c r="H248" s="82"/>
      <c r="I248" s="82"/>
      <c r="J248" s="82"/>
      <c r="K248" s="82"/>
      <c r="L248" s="82"/>
      <c r="M248" s="82"/>
      <c r="N248" s="82"/>
      <c r="O248" s="82"/>
      <c r="P248" s="82"/>
      <c r="Q248" s="82"/>
      <c r="R248" s="82"/>
      <c r="S248" s="82"/>
      <c r="T248" s="82"/>
      <c r="U248" s="82"/>
      <c r="V248" s="82"/>
      <c r="W248" s="82"/>
    </row>
    <row r="249" spans="1:23" x14ac:dyDescent="0.25">
      <c r="A249" s="82"/>
      <c r="B249" s="82"/>
      <c r="C249" s="82"/>
      <c r="D249" s="82"/>
      <c r="E249" s="82"/>
      <c r="F249" s="82"/>
      <c r="G249" s="82"/>
      <c r="H249" s="82"/>
      <c r="I249" s="82"/>
      <c r="J249" s="82"/>
      <c r="K249" s="82"/>
      <c r="L249" s="82"/>
      <c r="M249" s="82"/>
      <c r="N249" s="82"/>
      <c r="O249" s="82"/>
      <c r="P249" s="82"/>
      <c r="Q249" s="82"/>
      <c r="R249" s="82"/>
      <c r="S249" s="82"/>
      <c r="T249" s="82"/>
      <c r="U249" s="82"/>
      <c r="V249" s="82"/>
      <c r="W249" s="82"/>
    </row>
    <row r="250" spans="1:23" x14ac:dyDescent="0.25">
      <c r="A250" s="82"/>
      <c r="B250" s="82"/>
      <c r="C250" s="82"/>
      <c r="D250" s="82"/>
      <c r="E250" s="82"/>
      <c r="F250" s="82"/>
      <c r="G250" s="82"/>
      <c r="H250" s="82"/>
      <c r="I250" s="82"/>
      <c r="J250" s="82"/>
      <c r="K250" s="82"/>
      <c r="L250" s="82"/>
      <c r="M250" s="82"/>
      <c r="N250" s="82"/>
      <c r="O250" s="82"/>
      <c r="P250" s="82"/>
      <c r="Q250" s="82"/>
      <c r="R250" s="82"/>
      <c r="S250" s="82"/>
      <c r="T250" s="82"/>
      <c r="U250" s="82"/>
      <c r="V250" s="82"/>
      <c r="W250" s="82"/>
    </row>
  </sheetData>
  <mergeCells count="16">
    <mergeCell ref="T131:V131"/>
    <mergeCell ref="Y2:Z2"/>
    <mergeCell ref="Y4:AA4"/>
    <mergeCell ref="C66:E66"/>
    <mergeCell ref="C64:D64"/>
    <mergeCell ref="P66:R66"/>
    <mergeCell ref="V66:X66"/>
    <mergeCell ref="V64:Y64"/>
    <mergeCell ref="T2:U2"/>
    <mergeCell ref="T4:V4"/>
    <mergeCell ref="C2:D2"/>
    <mergeCell ref="C4:E4"/>
    <mergeCell ref="G4:I4"/>
    <mergeCell ref="J4:L4"/>
    <mergeCell ref="O2:P2"/>
    <mergeCell ref="O4:Q4"/>
  </mergeCells>
  <phoneticPr fontId="3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Tower 1 Area Calculation</vt:lpstr>
      <vt:lpstr>Tower 2 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2025-08-20T13:12:45Z</cp:lastPrinted>
  <dcterms:created xsi:type="dcterms:W3CDTF">2019-07-16T09:29:46Z</dcterms:created>
  <dcterms:modified xsi:type="dcterms:W3CDTF">2025-08-20T13:13:49Z</dcterms:modified>
</cp:coreProperties>
</file>