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Old\18138 - Raj Urbania\"/>
    </mc:Choice>
  </mc:AlternateContent>
  <xr:revisionPtr revIDLastSave="0" documentId="13_ncr:1_{CF8CA239-F234-4F10-8C20-72685EEA1C5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66" i="1" l="1"/>
  <c r="E3" i="1" l="1"/>
  <c r="D210" i="1" l="1"/>
  <c r="F210" i="1" s="1"/>
  <c r="G209" i="1"/>
  <c r="G210" i="1" s="1"/>
  <c r="D209" i="1"/>
  <c r="F209" i="1" s="1"/>
  <c r="G134" i="1" s="1"/>
  <c r="C134" i="1" l="1"/>
  <c r="E134" i="1"/>
  <c r="I191" i="1"/>
  <c r="K233" i="1"/>
  <c r="D206" i="1" l="1"/>
  <c r="D207" i="1"/>
  <c r="D204" i="1"/>
  <c r="D203" i="1"/>
  <c r="D202" i="1"/>
  <c r="D201" i="1"/>
  <c r="D200" i="1"/>
  <c r="D199" i="1"/>
  <c r="D198" i="1"/>
  <c r="D197" i="1"/>
  <c r="D196" i="1"/>
  <c r="D195" i="1"/>
  <c r="I195" i="1"/>
  <c r="E129" i="1" l="1"/>
  <c r="C129" i="1"/>
  <c r="E128" i="1"/>
  <c r="C128" i="1"/>
  <c r="C133" i="1"/>
  <c r="C135" i="1" s="1"/>
  <c r="E133" i="1"/>
  <c r="E135" i="1" s="1"/>
  <c r="E263" i="1"/>
  <c r="E262" i="1"/>
  <c r="D251" i="1"/>
  <c r="I150" i="1"/>
  <c r="I149" i="1"/>
  <c r="I148" i="1"/>
  <c r="L157" i="1"/>
  <c r="L156" i="1"/>
  <c r="I137" i="1" l="1"/>
  <c r="I136" i="1"/>
  <c r="F207" i="1"/>
  <c r="F206" i="1"/>
  <c r="F204" i="1"/>
  <c r="F203" i="1"/>
  <c r="F201" i="1"/>
  <c r="F200" i="1"/>
  <c r="F199" i="1"/>
  <c r="F198" i="1"/>
  <c r="F197" i="1"/>
  <c r="F196" i="1"/>
  <c r="F195" i="1"/>
  <c r="G206" i="1"/>
  <c r="G207" i="1" s="1"/>
  <c r="F202" i="1"/>
  <c r="J195" i="1"/>
  <c r="G195" i="1"/>
  <c r="G196" i="1" s="1"/>
  <c r="G197" i="1" s="1"/>
  <c r="G198" i="1" s="1"/>
  <c r="G199" i="1" s="1"/>
  <c r="G200" i="1" s="1"/>
  <c r="G201" i="1" s="1"/>
  <c r="G202" i="1" s="1"/>
  <c r="G203" i="1" s="1"/>
  <c r="G204" i="1" s="1"/>
  <c r="D288" i="1"/>
  <c r="F288" i="1" s="1"/>
  <c r="D287" i="1"/>
  <c r="F287" i="1" s="1"/>
  <c r="D286" i="1"/>
  <c r="F286" i="1" s="1"/>
  <c r="D285" i="1"/>
  <c r="F285" i="1" s="1"/>
  <c r="D283" i="1"/>
  <c r="F283" i="1" s="1"/>
  <c r="D282" i="1"/>
  <c r="F282" i="1" s="1"/>
  <c r="D281" i="1"/>
  <c r="F281" i="1" s="1"/>
  <c r="I281" i="1" s="1"/>
  <c r="D280" i="1"/>
  <c r="F280" i="1" s="1"/>
  <c r="J285" i="1"/>
  <c r="J284" i="1"/>
  <c r="J283" i="1"/>
  <c r="G280" i="1"/>
  <c r="G281" i="1" s="1"/>
  <c r="G282" i="1" s="1"/>
  <c r="G283" i="1" s="1"/>
  <c r="G284" i="1" s="1"/>
  <c r="G285" i="1" s="1"/>
  <c r="G286" i="1" s="1"/>
  <c r="G287" i="1" s="1"/>
  <c r="G288" i="1" s="1"/>
  <c r="D278" i="1"/>
  <c r="D277" i="1"/>
  <c r="D276" i="1"/>
  <c r="D275" i="1"/>
  <c r="D274" i="1"/>
  <c r="D273" i="1"/>
  <c r="D272" i="1"/>
  <c r="D271" i="1"/>
  <c r="D270" i="1"/>
  <c r="D268" i="1"/>
  <c r="D267" i="1"/>
  <c r="D264" i="1"/>
  <c r="D265" i="1"/>
  <c r="D266" i="1"/>
  <c r="D263" i="1"/>
  <c r="D262" i="1"/>
  <c r="D261" i="1"/>
  <c r="D260" i="1"/>
  <c r="E266" i="1"/>
  <c r="E265" i="1"/>
  <c r="E264" i="1"/>
  <c r="J262" i="1"/>
  <c r="J261" i="1"/>
  <c r="J260" i="1"/>
  <c r="G133" i="1" l="1"/>
  <c r="G135" i="1" s="1"/>
  <c r="C139" i="1"/>
  <c r="G128" i="1"/>
  <c r="G129" i="1"/>
  <c r="J286" i="1"/>
  <c r="E139" i="1"/>
  <c r="J263" i="1"/>
  <c r="F278" i="1"/>
  <c r="F277" i="1"/>
  <c r="F276" i="1"/>
  <c r="F275" i="1"/>
  <c r="F274" i="1"/>
  <c r="F273" i="1"/>
  <c r="F272" i="1"/>
  <c r="F271" i="1"/>
  <c r="G270" i="1"/>
  <c r="G271" i="1" s="1"/>
  <c r="G272" i="1" s="1"/>
  <c r="G273" i="1" s="1"/>
  <c r="G274" i="1" s="1"/>
  <c r="G275" i="1" s="1"/>
  <c r="G276" i="1" s="1"/>
  <c r="G277" i="1" s="1"/>
  <c r="G278" i="1" s="1"/>
  <c r="F270" i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J179" i="1"/>
  <c r="G179" i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F268" i="1"/>
  <c r="F267" i="1"/>
  <c r="F266" i="1"/>
  <c r="F265" i="1"/>
  <c r="F264" i="1"/>
  <c r="F263" i="1"/>
  <c r="F262" i="1"/>
  <c r="F261" i="1"/>
  <c r="G260" i="1"/>
  <c r="G261" i="1" s="1"/>
  <c r="G262" i="1" s="1"/>
  <c r="G263" i="1" s="1"/>
  <c r="G264" i="1" s="1"/>
  <c r="G265" i="1" s="1"/>
  <c r="G266" i="1" s="1"/>
  <c r="G267" i="1" s="1"/>
  <c r="G268" i="1" s="1"/>
  <c r="F260" i="1"/>
  <c r="D257" i="1"/>
  <c r="F257" i="1" s="1"/>
  <c r="D256" i="1"/>
  <c r="F256" i="1" s="1"/>
  <c r="D255" i="1"/>
  <c r="F255" i="1" s="1"/>
  <c r="D254" i="1"/>
  <c r="F254" i="1" s="1"/>
  <c r="D253" i="1"/>
  <c r="D250" i="1"/>
  <c r="D249" i="1"/>
  <c r="D248" i="1"/>
  <c r="D247" i="1"/>
  <c r="J252" i="1"/>
  <c r="J253" i="1"/>
  <c r="J251" i="1"/>
  <c r="D245" i="1"/>
  <c r="F245" i="1" s="1"/>
  <c r="D244" i="1"/>
  <c r="F244" i="1" s="1"/>
  <c r="D243" i="1"/>
  <c r="F243" i="1" s="1"/>
  <c r="D240" i="1"/>
  <c r="D241" i="1"/>
  <c r="F241" i="1" s="1"/>
  <c r="D242" i="1"/>
  <c r="F242" i="1" s="1"/>
  <c r="D239" i="1"/>
  <c r="D238" i="1"/>
  <c r="D237" i="1"/>
  <c r="D236" i="1"/>
  <c r="D235" i="1"/>
  <c r="D233" i="1"/>
  <c r="F233" i="1" s="1"/>
  <c r="I233" i="1" s="1"/>
  <c r="D232" i="1"/>
  <c r="F232" i="1" s="1"/>
  <c r="D231" i="1"/>
  <c r="F231" i="1" s="1"/>
  <c r="I231" i="1" s="1"/>
  <c r="D230" i="1"/>
  <c r="D229" i="1"/>
  <c r="D228" i="1"/>
  <c r="D227" i="1"/>
  <c r="D226" i="1"/>
  <c r="D225" i="1"/>
  <c r="D224" i="1"/>
  <c r="D223" i="1"/>
  <c r="K228" i="1"/>
  <c r="K227" i="1"/>
  <c r="K226" i="1"/>
  <c r="D221" i="1"/>
  <c r="D220" i="1"/>
  <c r="D219" i="1"/>
  <c r="D218" i="1"/>
  <c r="D217" i="1"/>
  <c r="D216" i="1"/>
  <c r="L218" i="1"/>
  <c r="L217" i="1"/>
  <c r="L216" i="1"/>
  <c r="C138" i="1" l="1"/>
  <c r="C140" i="1" s="1"/>
  <c r="C127" i="1"/>
  <c r="G139" i="1"/>
  <c r="E138" i="1"/>
  <c r="E140" i="1" s="1"/>
  <c r="F179" i="1"/>
  <c r="G127" i="1" s="1"/>
  <c r="E127" i="1"/>
  <c r="F229" i="1"/>
  <c r="K229" i="1"/>
  <c r="F230" i="1"/>
  <c r="J254" i="1"/>
  <c r="L219" i="1"/>
  <c r="J218" i="1"/>
  <c r="J217" i="1"/>
  <c r="J216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F161" i="1" l="1"/>
  <c r="C126" i="1"/>
  <c r="F153" i="1"/>
  <c r="F157" i="1"/>
  <c r="F165" i="1"/>
  <c r="J219" i="1"/>
  <c r="F151" i="1"/>
  <c r="F155" i="1"/>
  <c r="F163" i="1"/>
  <c r="F171" i="1"/>
  <c r="E126" i="1"/>
  <c r="E130" i="1" s="1"/>
  <c r="K130" i="1" s="1"/>
  <c r="F147" i="1"/>
  <c r="F173" i="1"/>
  <c r="F159" i="1"/>
  <c r="F167" i="1"/>
  <c r="F175" i="1"/>
  <c r="F169" i="1"/>
  <c r="F149" i="1"/>
  <c r="F253" i="1"/>
  <c r="C130" i="1" l="1"/>
  <c r="I126" i="1"/>
  <c r="G126" i="1"/>
  <c r="G130" i="1" s="1"/>
  <c r="B291" i="1"/>
  <c r="C14" i="1" l="1"/>
  <c r="E28" i="1" l="1"/>
  <c r="F251" i="1" l="1"/>
  <c r="F250" i="1"/>
  <c r="F249" i="1"/>
  <c r="F248" i="1"/>
  <c r="F247" i="1"/>
  <c r="F240" i="1"/>
  <c r="F239" i="1"/>
  <c r="F238" i="1"/>
  <c r="F237" i="1"/>
  <c r="F236" i="1"/>
  <c r="F235" i="1"/>
  <c r="F228" i="1"/>
  <c r="F227" i="1"/>
  <c r="I227" i="1" s="1"/>
  <c r="F226" i="1"/>
  <c r="F225" i="1"/>
  <c r="F224" i="1"/>
  <c r="F223" i="1"/>
  <c r="I223" i="1" s="1"/>
  <c r="F221" i="1"/>
  <c r="F220" i="1"/>
  <c r="F219" i="1"/>
  <c r="F217" i="1"/>
  <c r="F216" i="1"/>
  <c r="F218" i="1"/>
  <c r="G138" i="1" l="1"/>
  <c r="G140" i="1" s="1"/>
  <c r="J130" i="1" s="1"/>
  <c r="B29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6" i="1"/>
  <c r="G247" i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35" i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23" i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16" i="1"/>
  <c r="G217" i="1" s="1"/>
  <c r="G218" i="1" s="1"/>
  <c r="G219" i="1" s="1"/>
  <c r="G220" i="1" s="1"/>
  <c r="G221" i="1" s="1"/>
  <c r="A217" i="1"/>
  <c r="A218" i="1" s="1"/>
  <c r="A219" i="1" s="1"/>
  <c r="A220" i="1" s="1"/>
  <c r="A221" i="1" s="1"/>
  <c r="F123" i="1"/>
  <c r="J107" i="1"/>
  <c r="J106" i="1"/>
  <c r="J105" i="1"/>
  <c r="J104" i="1"/>
  <c r="C96" i="1"/>
  <c r="J93" i="1"/>
  <c r="J92" i="1"/>
  <c r="J91" i="1"/>
  <c r="J90" i="1"/>
  <c r="J78" i="1"/>
  <c r="J77" i="1"/>
  <c r="J76" i="1"/>
  <c r="J75" i="1"/>
  <c r="D53" i="1"/>
  <c r="G48" i="1"/>
  <c r="C48" i="1"/>
  <c r="E41" i="1"/>
  <c r="E42" i="1" s="1"/>
  <c r="E25" i="1"/>
  <c r="E23" i="1"/>
  <c r="E7" i="1"/>
  <c r="D60" i="1"/>
  <c r="H97" i="1"/>
  <c r="H82" i="1"/>
  <c r="H67" i="1"/>
  <c r="D73" i="1" l="1"/>
  <c r="J71" i="1"/>
  <c r="D80" i="1"/>
  <c r="D78" i="1"/>
  <c r="D76" i="1"/>
  <c r="D74" i="1"/>
  <c r="J72" i="1"/>
  <c r="J70" i="1"/>
  <c r="J73" i="1"/>
  <c r="J74" i="1" s="1"/>
  <c r="J79" i="1" s="1"/>
  <c r="J80" i="1" s="1"/>
  <c r="C72" i="1" s="1"/>
  <c r="D79" i="1"/>
  <c r="D75" i="1"/>
  <c r="D77" i="1"/>
  <c r="D102" i="1"/>
  <c r="J100" i="1"/>
  <c r="D109" i="1"/>
  <c r="D107" i="1"/>
  <c r="D105" i="1"/>
  <c r="D103" i="1"/>
  <c r="J101" i="1"/>
  <c r="J99" i="1"/>
  <c r="J102" i="1"/>
  <c r="J103" i="1" s="1"/>
  <c r="J108" i="1" s="1"/>
  <c r="J109" i="1" s="1"/>
  <c r="C101" i="1" s="1"/>
  <c r="D108" i="1"/>
  <c r="D106" i="1"/>
  <c r="D104" i="1"/>
  <c r="J88" i="1"/>
  <c r="J89" i="1" s="1"/>
  <c r="J94" i="1" s="1"/>
  <c r="J95" i="1" s="1"/>
  <c r="C87" i="1" s="1"/>
  <c r="D94" i="1"/>
  <c r="D92" i="1"/>
  <c r="D90" i="1"/>
  <c r="D88" i="1"/>
  <c r="J86" i="1"/>
  <c r="D95" i="1"/>
  <c r="J87" i="1"/>
  <c r="D89" i="1"/>
  <c r="D91" i="1"/>
  <c r="D93" i="1"/>
  <c r="J85" i="1"/>
  <c r="C100" i="1" l="1"/>
  <c r="D100" i="1" s="1"/>
  <c r="C86" i="1"/>
  <c r="D86" i="1" s="1"/>
  <c r="C71" i="1"/>
  <c r="D71" i="1" s="1"/>
  <c r="E86" i="1"/>
  <c r="D87" i="1"/>
  <c r="E100" i="1"/>
  <c r="D101" i="1"/>
  <c r="E71" i="1"/>
  <c r="D72" i="1"/>
  <c r="G100" i="1" l="1"/>
  <c r="D64" i="1" s="1"/>
  <c r="I96" i="1"/>
  <c r="C98" i="1" s="1"/>
  <c r="G71" i="1"/>
  <c r="G86" i="1"/>
  <c r="I81" i="1"/>
  <c r="C84" i="1" s="1"/>
  <c r="I66" i="1"/>
  <c r="C69" i="1" s="1"/>
  <c r="F65" i="1" l="1"/>
  <c r="D65" i="1" l="1"/>
</calcChain>
</file>

<file path=xl/sharedStrings.xml><?xml version="1.0" encoding="utf-8"?>
<sst xmlns="http://schemas.openxmlformats.org/spreadsheetml/2006/main" count="548" uniqueCount="270">
  <si>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</si>
  <si>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</si>
  <si>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</si>
  <si>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</si>
  <si>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</si>
  <si>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</si>
  <si>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</si>
  <si>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</si>
  <si>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</si>
  <si>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</si>
  <si>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</si>
  <si>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</si>
  <si>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</si>
  <si>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</si>
  <si>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</si>
  <si>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</si>
  <si>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</si>
  <si>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</si>
  <si>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</si>
  <si>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</si>
  <si>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</si>
  <si>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</si>
  <si>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</si>
  <si>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</si>
  <si>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</si>
  <si>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</si>
  <si>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</si>
  <si>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</si>
  <si>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</si>
  <si>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</si>
  <si>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</si>
  <si>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</si>
  <si>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</si>
  <si>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</si>
  <si>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</si>
  <si>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</si>
  <si>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</si>
  <si>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</si>
  <si>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</si>
  <si>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</si>
  <si>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</si>
  <si>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</si>
  <si>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</si>
  <si>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</si>
  <si>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</si>
  <si>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</si>
  <si>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</si>
  <si>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</si>
  <si>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</si>
  <si>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</si>
  <si>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</si>
  <si>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</si>
  <si>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</si>
  <si>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</si>
  <si>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</si>
  <si>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</si>
  <si>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</si>
  <si>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</si>
  <si>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</si>
  <si>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</si>
  <si>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</si>
  <si>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</si>
  <si>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</si>
  <si>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</si>
  <si>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</si>
  <si>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</si>
  <si>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</si>
  <si>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</si>
  <si>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</si>
  <si>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</si>
  <si>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</si>
  <si>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</si>
  <si>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</si>
  <si>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</si>
  <si>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</si>
  <si>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</si>
  <si>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</si>
  <si>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</si>
  <si>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</si>
  <si>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</si>
  <si>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</si>
  <si>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</si>
  <si>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</si>
  <si>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</si>
  <si>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</si>
  <si>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</si>
  <si>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</si>
  <si>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</si>
  <si>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</si>
  <si>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</si>
  <si>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</si>
  <si>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</si>
  <si>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</si>
  <si>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</si>
  <si>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</si>
  <si>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</si>
  <si>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</si>
  <si>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</si>
  <si>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</si>
  <si>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</si>
  <si>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</si>
  <si>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</si>
  <si>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</si>
  <si>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</si>
  <si>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</si>
  <si>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</si>
  <si>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</si>
  <si>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</si>
  <si>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</si>
  <si>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</si>
  <si>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</si>
  <si>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</si>
  <si>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</si>
  <si>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</si>
  <si>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</si>
  <si>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</si>
  <si>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</si>
  <si>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</si>
  <si>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</si>
  <si>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</si>
  <si>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</si>
  <si>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</si>
  <si>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</si>
  <si>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</si>
  <si>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</si>
  <si>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</si>
  <si>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</si>
  <si>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</si>
  <si>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</si>
  <si>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</si>
  <si>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</si>
  <si>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</si>
  <si>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</si>
  <si>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</si>
  <si>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</si>
  <si>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</si>
  <si>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</si>
  <si>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</si>
  <si>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</si>
  <si>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</si>
  <si>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</si>
  <si>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</si>
  <si>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</si>
  <si>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</si>
  <si>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</si>
  <si>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</si>
  <si>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</si>
  <si>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</si>
  <si>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</si>
  <si>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</si>
  <si>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</si>
  <si>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</si>
  <si>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</si>
  <si>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</si>
  <si>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</si>
  <si>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</si>
  <si>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</si>
  <si>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</si>
  <si>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</si>
  <si>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</si>
  <si>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</si>
  <si>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</si>
  <si>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</si>
  <si>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</si>
  <si>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</si>
  <si>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</si>
  <si>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</si>
  <si>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</si>
  <si>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Axis Sanpada</t>
  </si>
  <si>
    <t>M/s. Raj Buildcon &amp; Infrastructure</t>
  </si>
  <si>
    <t>7796683000 / 7796684000</t>
  </si>
  <si>
    <t>Building No.1, 2 &amp; 3</t>
  </si>
  <si>
    <t>P51700031394</t>
  </si>
  <si>
    <t>Approved Plans, CC</t>
  </si>
  <si>
    <t>Raj Urbania</t>
  </si>
  <si>
    <t>Plot No</t>
  </si>
  <si>
    <t>3 &amp; Plot No.4, Survey No. 39/2B &amp; 40/3A</t>
  </si>
  <si>
    <t>Pale</t>
  </si>
  <si>
    <t>Thane</t>
  </si>
  <si>
    <t>Ambarnath</t>
  </si>
  <si>
    <t>3 Buildings</t>
  </si>
  <si>
    <t>Ambernath Municipal Council</t>
  </si>
  <si>
    <t>A.N.P/NRV/BP/21-22/599/9206/82</t>
  </si>
  <si>
    <t>Valid Up to:  
Building No.1 = Gr/st + 1st to 14th Floor
Building No.2 = Gr/st + 1st to 13th Floor
Building No.3 = Gr/st + 1st to 6th Floor</t>
  </si>
  <si>
    <t>Building No.1 = Gr/st + 1st to 14th Floor
Building No.2 = Gr/st + 1st to 13th Floor
Building No.3 = Gr/st + 1st to 6th Floor</t>
  </si>
  <si>
    <t>Building No.1 = Gr/st + 1st to 14th Floor</t>
  </si>
  <si>
    <t>Building No.3 = Gr/st + 1st to 6th Floor</t>
  </si>
  <si>
    <t xml:space="preserve"> Building No. 1</t>
  </si>
  <si>
    <t>Shop</t>
  </si>
  <si>
    <t>Office</t>
  </si>
  <si>
    <t>Ground +1st Floor</t>
  </si>
  <si>
    <t>Ground + 1st Floor for Commercial &amp; Parking</t>
  </si>
  <si>
    <t>1st Floor for Residential</t>
  </si>
  <si>
    <t>Flat 01</t>
  </si>
  <si>
    <t>Flat 02</t>
  </si>
  <si>
    <t>1BHK</t>
  </si>
  <si>
    <t>2BHK</t>
  </si>
  <si>
    <t>2nd Floor</t>
  </si>
  <si>
    <t>3rd to 7th &amp; 9th to 12th &amp; 14th Floor</t>
  </si>
  <si>
    <t>8th &amp; 13th Floor (Part Refuge Area)</t>
  </si>
  <si>
    <t>Refuge Floor</t>
  </si>
  <si>
    <t>flat 05</t>
  </si>
  <si>
    <t xml:space="preserve"> Building No. 2</t>
  </si>
  <si>
    <t>4th to 7th, 9th to 12th Floor for Residential</t>
  </si>
  <si>
    <t>Flat 04</t>
  </si>
  <si>
    <t xml:space="preserve"> Building No. 3</t>
  </si>
  <si>
    <t>Ground Floor for Commercial</t>
  </si>
  <si>
    <t>Ground Floor for  Commercial</t>
  </si>
  <si>
    <t>H</t>
  </si>
  <si>
    <t>V</t>
  </si>
  <si>
    <t>Building No.2</t>
  </si>
  <si>
    <t>Building No.1</t>
  </si>
  <si>
    <t>1st to 3rd Floor for Residential</t>
  </si>
  <si>
    <t>Pale Road</t>
  </si>
  <si>
    <t>Open Plot</t>
  </si>
  <si>
    <t>Shiv Sai Residency</t>
  </si>
  <si>
    <t>Royal Flora Complex Ambernath</t>
  </si>
  <si>
    <t>4.1 KM from Ambarnath Railway Station</t>
  </si>
  <si>
    <t>We considered Gross carpet area = Net carpet + Enclose balcony + Balcony Area</t>
  </si>
  <si>
    <t>ANP/NRV/B.P.2021-22/599/9206/82</t>
  </si>
  <si>
    <t>Sale/ Rehab</t>
  </si>
  <si>
    <t>Sale</t>
  </si>
  <si>
    <t>Rehab</t>
  </si>
  <si>
    <t>16 &amp; 16A</t>
  </si>
  <si>
    <t>17 &amp; 17A</t>
  </si>
  <si>
    <t>18 &amp; 18A</t>
  </si>
  <si>
    <t>19 &amp; 19A</t>
  </si>
  <si>
    <t>20 &amp; 20A</t>
  </si>
  <si>
    <t>21 &amp; 21A</t>
  </si>
  <si>
    <t>22 &amp; 22A</t>
  </si>
  <si>
    <t>23 &amp; 23A</t>
  </si>
  <si>
    <t>24 &amp; 24A</t>
  </si>
  <si>
    <t>25 &amp; 25A</t>
  </si>
  <si>
    <t>26 &amp; 26A</t>
  </si>
  <si>
    <t>27 &amp; 27A</t>
  </si>
  <si>
    <t>28 &amp; 28A</t>
  </si>
  <si>
    <t>29 &amp; 29A</t>
  </si>
  <si>
    <t>Commercial Area Details : Shops</t>
  </si>
  <si>
    <t>Commercial Area Details : Office</t>
  </si>
  <si>
    <t xml:space="preserve">Building No. 2
</t>
  </si>
  <si>
    <t xml:space="preserve">Building No. 3
Sale Shop
</t>
  </si>
  <si>
    <t>Building No. 3
Rehab Shop</t>
  </si>
  <si>
    <t>Building No. 3
Rehab Office</t>
  </si>
  <si>
    <t>Building No.1
Shops + Office</t>
  </si>
  <si>
    <t>Anand Sagar Resort &amp; Water Park</t>
  </si>
  <si>
    <t>15 &amp; 15A</t>
  </si>
  <si>
    <t>Building No. 3
Sale Office</t>
  </si>
  <si>
    <t>1st to 3rd Floor</t>
  </si>
  <si>
    <t>4th to 6th Floor</t>
  </si>
  <si>
    <t>Flats - 262, Sale Shop = 46, Rehab Shop = 8, Sale Office = 6, Rehab Office = 6</t>
  </si>
  <si>
    <t>On Site, we meet Ms.Radhika(Sales Manager) - 8007771375.</t>
  </si>
  <si>
    <t>Site meet person ( Name &amp; Contact No.)</t>
  </si>
  <si>
    <t>Location Link</t>
  </si>
  <si>
    <t>https://goo.gl/maps/GXQaks12nvhDAxt37</t>
  </si>
  <si>
    <t>Please provide latest CC of Building No.02.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</si>
  <si>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</si>
  <si>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Since building no.3 have received CC on 05/08/2021, but as of construction work is not
started.</t>
  </si>
  <si>
    <t>Sudhir Bhosale</t>
  </si>
  <si>
    <t>Building No.2 = Gr/st + 1st to 13th Floor</t>
  </si>
  <si>
    <t>As per Plan</t>
  </si>
  <si>
    <t>Latitude &amp; Longitude</t>
  </si>
  <si>
    <t>19.1878759,73.1693394</t>
  </si>
  <si>
    <t>24.00M Wide DP Road</t>
  </si>
  <si>
    <t>ADJ  S No. 40/5</t>
  </si>
  <si>
    <t>Plot -2 / S No. 39/2B</t>
  </si>
  <si>
    <t>Other Plot</t>
  </si>
  <si>
    <t>Building No. 1 &amp; 2 = Completed
Building No. 3 = 31/03/2025</t>
  </si>
  <si>
    <t>Building No. 1 &amp; 2 = All work completed. Please provide OC. Few Tenants have occupied Flats.
Building No.3 = Building is constructed upto 3rd Floor, above floor work is on hold.</t>
  </si>
  <si>
    <t>Kunal Kadam</t>
  </si>
  <si>
    <t>As per RERA, completion period of project is expired on 31/03/2025 but still project is under construction.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</si>
</sst>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30" xfId="1" applyFont="1" applyBorder="1" applyAlignment="1" applyProtection="1">
      <alignment horizontal="center" vertical="top"/>
      <protection locked="0"/>
    </xf>
    <xf numFmtId="0" fontId="12" fillId="0" borderId="19" xfId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9" xfId="0" applyNumberFormat="1" applyFont="1" applyBorder="1" applyAlignment="1" applyProtection="1">
      <alignment horizontal="center" vertical="center" wrapText="1"/>
      <protection locked="0"/>
    </xf>
    <xf numFmtId="1" fontId="7" fillId="0" borderId="10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10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center" vertical="top" wrapText="1"/>
      <protection locked="0"/>
    </xf>
    <xf numFmtId="0" fontId="12" fillId="0" borderId="3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0" borderId="9" xfId="1" applyNumberFormat="1" applyFont="1" applyBorder="1" applyAlignment="1" applyProtection="1">
      <alignment horizontal="center" vertical="top"/>
      <protection locked="0"/>
    </xf>
    <xf numFmtId="0" fontId="13" fillId="0" borderId="10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2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0" borderId="9" xfId="10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center" vertical="top"/>
      <protection locked="0"/>
    </xf>
    <xf numFmtId="9" fontId="13" fillId="0" borderId="1" xfId="1" applyNumberFormat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43" fontId="12" fillId="2" borderId="1" xfId="9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 applyProtection="1">
      <alignment horizontal="center" vertical="top" wrapText="1"/>
      <protection locked="0"/>
    </xf>
    <xf numFmtId="1" fontId="6" fillId="0" borderId="10" xfId="0" applyNumberFormat="1" applyFont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25" fillId="0" borderId="9" xfId="0" applyNumberFormat="1" applyFont="1" applyBorder="1" applyAlignment="1" applyProtection="1">
      <alignment vertical="top" wrapText="1"/>
      <protection locked="0"/>
    </xf>
    <xf numFmtId="1" fontId="25" fillId="0" borderId="24" xfId="0" applyNumberFormat="1" applyFont="1" applyBorder="1" applyAlignment="1" applyProtection="1">
      <alignment vertical="top" wrapText="1"/>
      <protection locked="0"/>
    </xf>
    <xf numFmtId="1" fontId="25" fillId="0" borderId="10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734551</xdr:colOff>
      <xdr:row>377</xdr:row>
      <xdr:rowOff>53860</xdr:rowOff>
    </xdr:from>
    <xdr:to>
      <xdr:col>7</xdr:col>
      <xdr:colOff>110544</xdr:colOff>
      <xdr:row>393</xdr:row>
      <xdr:rowOff>66567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4551" y="77609772"/>
          <a:ext cx="5505611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723341</xdr:colOff>
      <xdr:row>360</xdr:row>
      <xdr:rowOff>19050</xdr:rowOff>
    </xdr:from>
    <xdr:to>
      <xdr:col>7</xdr:col>
      <xdr:colOff>99336</xdr:colOff>
      <xdr:row>376</xdr:row>
      <xdr:rowOff>31755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341" y="74145962"/>
          <a:ext cx="5505613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444451</xdr:colOff>
      <xdr:row>316</xdr:row>
      <xdr:rowOff>8660</xdr:rowOff>
    </xdr:from>
    <xdr:to>
      <xdr:col>9</xdr:col>
      <xdr:colOff>285750</xdr:colOff>
      <xdr:row>317</xdr:row>
      <xdr:rowOff>25978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964746" y="65739819"/>
          <a:ext cx="1001618" cy="216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Building</a:t>
          </a:r>
          <a:r>
            <a:rPr lang="en-IN" sz="1100" baseline="0"/>
            <a:t> No. 2</a:t>
          </a:r>
          <a:endParaRPr lang="en-IN" sz="1100"/>
        </a:p>
      </xdr:txBody>
    </xdr:sp>
    <xdr:clientData/>
  </xdr:twoCellAnchor>
  <xdr:twoCellAnchor>
    <xdr:from>
      <xdr:col>10</xdr:col>
      <xdr:colOff>194440</xdr:colOff>
      <xdr:row>324</xdr:row>
      <xdr:rowOff>17319</xdr:rowOff>
    </xdr:from>
    <xdr:to>
      <xdr:col>10</xdr:col>
      <xdr:colOff>460035</xdr:colOff>
      <xdr:row>325</xdr:row>
      <xdr:rowOff>164524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637054" y="67333092"/>
          <a:ext cx="265595" cy="3463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</a:t>
          </a:r>
        </a:p>
      </xdr:txBody>
    </xdr:sp>
    <xdr:clientData/>
  </xdr:twoCellAnchor>
  <xdr:twoCellAnchor>
    <xdr:from>
      <xdr:col>8</xdr:col>
      <xdr:colOff>476250</xdr:colOff>
      <xdr:row>317</xdr:row>
      <xdr:rowOff>165100</xdr:rowOff>
    </xdr:from>
    <xdr:to>
      <xdr:col>9</xdr:col>
      <xdr:colOff>299077</xdr:colOff>
      <xdr:row>318</xdr:row>
      <xdr:rowOff>182418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321550" y="65836800"/>
          <a:ext cx="1042027" cy="2141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Building</a:t>
          </a:r>
          <a:r>
            <a:rPr lang="en-IN" sz="1100" baseline="0"/>
            <a:t> No. 1</a:t>
          </a:r>
          <a:endParaRPr lang="en-IN" sz="1100"/>
        </a:p>
      </xdr:txBody>
    </xdr:sp>
    <xdr:clientData/>
  </xdr:twoCellAnchor>
  <xdr:twoCellAnchor>
    <xdr:from>
      <xdr:col>9</xdr:col>
      <xdr:colOff>550545</xdr:colOff>
      <xdr:row>312</xdr:row>
      <xdr:rowOff>78105</xdr:rowOff>
    </xdr:from>
    <xdr:to>
      <xdr:col>18</xdr:col>
      <xdr:colOff>123463</xdr:colOff>
      <xdr:row>348</xdr:row>
      <xdr:rowOff>32628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AC28F599-A9A8-48DC-A183-A19B1B718CF6}"/>
            </a:ext>
          </a:extLst>
        </xdr:cNvPr>
        <xdr:cNvGrpSpPr/>
      </xdr:nvGrpSpPr>
      <xdr:grpSpPr>
        <a:xfrm>
          <a:off x="8460105" y="61167645"/>
          <a:ext cx="6209938" cy="6881103"/>
          <a:chOff x="341996" y="364268"/>
          <a:chExt cx="6055633" cy="6945873"/>
        </a:xfrm>
      </xdr:grpSpPr>
      <xdr:grpSp>
        <xdr:nvGrpSpPr>
          <xdr:cNvPr id="34" name="Group 33">
            <a:extLst>
              <a:ext uri="{FF2B5EF4-FFF2-40B4-BE49-F238E27FC236}">
                <a16:creationId xmlns:a16="http://schemas.microsoft.com/office/drawing/2014/main" id="{77681413-F536-4CE8-AF81-9648280F1B54}"/>
              </a:ext>
            </a:extLst>
          </xdr:cNvPr>
          <xdr:cNvGrpSpPr/>
        </xdr:nvGrpSpPr>
        <xdr:grpSpPr>
          <a:xfrm>
            <a:off x="341996" y="457162"/>
            <a:ext cx="6055633" cy="6852979"/>
            <a:chOff x="341996" y="457162"/>
            <a:chExt cx="6055633" cy="6852979"/>
          </a:xfrm>
        </xdr:grpSpPr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6637CA9D-09A0-4AE7-969B-E194E41721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94262" y="459559"/>
              <a:ext cx="2198606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BCD40A03-B67F-4D45-83AE-5F5CA837BF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05002" y="457162"/>
              <a:ext cx="2198606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2E9B75DF-3278-4679-BD33-DB862C5F6D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1996" y="3794850"/>
              <a:ext cx="1483452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275EEE5E-28BE-4DF2-B3BB-0632FD90E7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33781" y="3794850"/>
              <a:ext cx="147551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302FCCFA-3334-47E3-BF8F-DF1C8482E5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17629" y="3794850"/>
              <a:ext cx="288000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F74E320F-EA51-421A-B13F-7A8D94A068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00041" y="5870141"/>
              <a:ext cx="1917333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7E5176E5-4344-470D-9151-101C7E8EFB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27344" y="5870141"/>
              <a:ext cx="2561985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8" name="TextBox 79">
            <a:extLst>
              <a:ext uri="{FF2B5EF4-FFF2-40B4-BE49-F238E27FC236}">
                <a16:creationId xmlns:a16="http://schemas.microsoft.com/office/drawing/2014/main" id="{0B967F0F-15B6-41D7-B044-6D84BEFE8061}"/>
              </a:ext>
            </a:extLst>
          </xdr:cNvPr>
          <xdr:cNvSpPr txBox="1"/>
        </xdr:nvSpPr>
        <xdr:spPr>
          <a:xfrm>
            <a:off x="1428674" y="364268"/>
            <a:ext cx="1010213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A Wing 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46" name="TextBox 80">
            <a:extLst>
              <a:ext uri="{FF2B5EF4-FFF2-40B4-BE49-F238E27FC236}">
                <a16:creationId xmlns:a16="http://schemas.microsoft.com/office/drawing/2014/main" id="{691E18DD-BCF4-466E-A5B1-6102FF1532D6}"/>
              </a:ext>
            </a:extLst>
          </xdr:cNvPr>
          <xdr:cNvSpPr txBox="1"/>
        </xdr:nvSpPr>
        <xdr:spPr>
          <a:xfrm>
            <a:off x="2646491" y="1013601"/>
            <a:ext cx="797013" cy="70788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B </a:t>
            </a:r>
          </a:p>
          <a:p>
            <a:r>
              <a:rPr lang="en-US" sz="2000" b="1">
                <a:solidFill>
                  <a:srgbClr val="FF0000"/>
                </a:solidFill>
              </a:rPr>
              <a:t>Wing 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47" name="TextBox 81">
            <a:extLst>
              <a:ext uri="{FF2B5EF4-FFF2-40B4-BE49-F238E27FC236}">
                <a16:creationId xmlns:a16="http://schemas.microsoft.com/office/drawing/2014/main" id="{622ADED1-AAD6-462B-9961-A8780E712D6F}"/>
              </a:ext>
            </a:extLst>
          </xdr:cNvPr>
          <xdr:cNvSpPr txBox="1"/>
        </xdr:nvSpPr>
        <xdr:spPr>
          <a:xfrm>
            <a:off x="3357454" y="364268"/>
            <a:ext cx="1010213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A Wing 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48" name="TextBox 82">
            <a:extLst>
              <a:ext uri="{FF2B5EF4-FFF2-40B4-BE49-F238E27FC236}">
                <a16:creationId xmlns:a16="http://schemas.microsoft.com/office/drawing/2014/main" id="{AA28C25D-0922-46CC-BAEE-7293DAC11784}"/>
              </a:ext>
            </a:extLst>
          </xdr:cNvPr>
          <xdr:cNvSpPr txBox="1"/>
        </xdr:nvSpPr>
        <xdr:spPr>
          <a:xfrm>
            <a:off x="666031" y="5275314"/>
            <a:ext cx="1010213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A Wing 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49" name="TextBox 83">
            <a:extLst>
              <a:ext uri="{FF2B5EF4-FFF2-40B4-BE49-F238E27FC236}">
                <a16:creationId xmlns:a16="http://schemas.microsoft.com/office/drawing/2014/main" id="{7C43A903-CEE4-40F1-BEB2-56FD46B23F09}"/>
              </a:ext>
            </a:extLst>
          </xdr:cNvPr>
          <xdr:cNvSpPr txBox="1"/>
        </xdr:nvSpPr>
        <xdr:spPr>
          <a:xfrm>
            <a:off x="2507416" y="3746330"/>
            <a:ext cx="998991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B Wing </a:t>
            </a:r>
            <a:endParaRPr lang="en-IN" sz="20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419100</xdr:colOff>
      <xdr:row>316</xdr:row>
      <xdr:rowOff>182881</xdr:rowOff>
    </xdr:from>
    <xdr:to>
      <xdr:col>7</xdr:col>
      <xdr:colOff>449579</xdr:colOff>
      <xdr:row>357</xdr:row>
      <xdr:rowOff>15241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DA4D89-614D-8D7F-2D47-9B82AF5A3822}"/>
            </a:ext>
          </a:extLst>
        </xdr:cNvPr>
        <xdr:cNvGrpSpPr/>
      </xdr:nvGrpSpPr>
      <xdr:grpSpPr>
        <a:xfrm>
          <a:off x="419100" y="61866781"/>
          <a:ext cx="5890259" cy="7947660"/>
          <a:chOff x="510950" y="225892"/>
          <a:chExt cx="5927795" cy="8483719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4F2C8971-A550-FCE8-5DA4-245BC6A8EB62}"/>
              </a:ext>
            </a:extLst>
          </xdr:cNvPr>
          <xdr:cNvGrpSpPr/>
        </xdr:nvGrpSpPr>
        <xdr:grpSpPr>
          <a:xfrm>
            <a:off x="1522976" y="6909611"/>
            <a:ext cx="3903743" cy="1800000"/>
            <a:chOff x="2042825" y="6909611"/>
            <a:chExt cx="3903743" cy="180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EE4D1E41-DB40-AFCD-A35C-7D880090AC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42825" y="690961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4A262BB1-433D-FC8F-A7EE-767CE9BC5FE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558745" y="6909611"/>
              <a:ext cx="2387823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1963788-ECAA-8561-FE31-7C099DBD567B}"/>
              </a:ext>
            </a:extLst>
          </xdr:cNvPr>
          <xdr:cNvGrpSpPr/>
        </xdr:nvGrpSpPr>
        <xdr:grpSpPr>
          <a:xfrm>
            <a:off x="1495164" y="4218541"/>
            <a:ext cx="3959367" cy="2522832"/>
            <a:chOff x="1494650" y="4218541"/>
            <a:chExt cx="3959367" cy="2522832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C80803C1-9504-89B1-7E12-90CAD87BDD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558745" y="4221373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389ABD99-784B-0294-060D-A4D25A5523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94650" y="4218541"/>
              <a:ext cx="18963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59FCBCA0-4D08-482C-5301-A75B604DBECC}"/>
              </a:ext>
            </a:extLst>
          </xdr:cNvPr>
          <xdr:cNvGrpSpPr/>
        </xdr:nvGrpSpPr>
        <xdr:grpSpPr>
          <a:xfrm>
            <a:off x="510950" y="225892"/>
            <a:ext cx="5927795" cy="3829319"/>
            <a:chOff x="510950" y="225892"/>
            <a:chExt cx="5927795" cy="3829319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6C507079-E73E-A80D-2A4B-2D8E245156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10950" y="225892"/>
              <a:ext cx="2880000" cy="382931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C3645A8A-6835-B2CA-6D0B-22F2B43A97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558745" y="225892"/>
              <a:ext cx="2880000" cy="382724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9" name="TextBox 17">
              <a:extLst>
                <a:ext uri="{FF2B5EF4-FFF2-40B4-BE49-F238E27FC236}">
                  <a16:creationId xmlns:a16="http://schemas.microsoft.com/office/drawing/2014/main" id="{05537BDD-F190-7D1F-A7AA-C66EA83F9BC0}"/>
                </a:ext>
              </a:extLst>
            </xdr:cNvPr>
            <xdr:cNvSpPr txBox="1"/>
          </xdr:nvSpPr>
          <xdr:spPr>
            <a:xfrm>
              <a:off x="1494650" y="295889"/>
              <a:ext cx="1043876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Building No 1</a:t>
              </a:r>
              <a:endParaRPr lang="en-IN" sz="1200" b="1"/>
            </a:p>
          </xdr:txBody>
        </xdr:sp>
        <xdr:sp macro="" textlink="">
          <xdr:nvSpPr>
            <xdr:cNvPr id="10" name="TextBox 18">
              <a:extLst>
                <a:ext uri="{FF2B5EF4-FFF2-40B4-BE49-F238E27FC236}">
                  <a16:creationId xmlns:a16="http://schemas.microsoft.com/office/drawing/2014/main" id="{8DAF9ECA-706E-BA3E-E174-4962D13B23E8}"/>
                </a:ext>
              </a:extLst>
            </xdr:cNvPr>
            <xdr:cNvSpPr txBox="1"/>
          </xdr:nvSpPr>
          <xdr:spPr>
            <a:xfrm>
              <a:off x="2367668" y="1365156"/>
              <a:ext cx="1043876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Building No 2</a:t>
              </a:r>
              <a:endParaRPr lang="en-IN" sz="1200" b="1"/>
            </a:p>
          </xdr:txBody>
        </xdr:sp>
        <xdr:sp macro="" textlink="">
          <xdr:nvSpPr>
            <xdr:cNvPr id="11" name="TextBox 19">
              <a:extLst>
                <a:ext uri="{FF2B5EF4-FFF2-40B4-BE49-F238E27FC236}">
                  <a16:creationId xmlns:a16="http://schemas.microsoft.com/office/drawing/2014/main" id="{9D7A84AE-AA26-743C-09ED-B130451CB888}"/>
                </a:ext>
              </a:extLst>
            </xdr:cNvPr>
            <xdr:cNvSpPr txBox="1"/>
          </xdr:nvSpPr>
          <xdr:spPr>
            <a:xfrm>
              <a:off x="2889606" y="2294685"/>
              <a:ext cx="603050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Building </a:t>
              </a:r>
            </a:p>
            <a:p>
              <a:r>
                <a:rPr lang="en-US" sz="900" b="1"/>
                <a:t>No 3</a:t>
              </a:r>
              <a:endParaRPr lang="en-IN" sz="900" b="1"/>
            </a:p>
          </xdr:txBody>
        </xdr:sp>
        <xdr:cxnSp macro="">
          <xdr:nvCxnSpPr>
            <xdr:cNvPr id="12" name="Straight Arrow Connector 11">
              <a:extLst>
                <a:ext uri="{FF2B5EF4-FFF2-40B4-BE49-F238E27FC236}">
                  <a16:creationId xmlns:a16="http://schemas.microsoft.com/office/drawing/2014/main" id="{0DC23659-8427-B776-29B3-5840B65EEA76}"/>
                </a:ext>
              </a:extLst>
            </xdr:cNvPr>
            <xdr:cNvCxnSpPr>
              <a:cxnSpLocks/>
              <a:stCxn id="11" idx="2"/>
            </xdr:cNvCxnSpPr>
          </xdr:nvCxnSpPr>
          <xdr:spPr>
            <a:xfrm>
              <a:off x="3191131" y="2664017"/>
              <a:ext cx="0" cy="320062"/>
            </a:xfrm>
            <a:prstGeom prst="straightConnector1">
              <a:avLst/>
            </a:prstGeom>
            <a:ln w="1905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3" name="TextBox 24">
              <a:extLst>
                <a:ext uri="{FF2B5EF4-FFF2-40B4-BE49-F238E27FC236}">
                  <a16:creationId xmlns:a16="http://schemas.microsoft.com/office/drawing/2014/main" id="{5B6AB8FB-B2C3-44C3-A0E9-BDA28FD937D2}"/>
                </a:ext>
              </a:extLst>
            </xdr:cNvPr>
            <xdr:cNvSpPr txBox="1"/>
          </xdr:nvSpPr>
          <xdr:spPr>
            <a:xfrm>
              <a:off x="4049241" y="716280"/>
              <a:ext cx="1574470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 Building No. 3</a:t>
              </a:r>
              <a:endParaRPr lang="en-IN" b="1"/>
            </a:p>
          </xdr:txBody>
        </xdr:sp>
      </xdr:grpSp>
    </xdr:grpSp>
    <xdr:clientData/>
  </xdr:twoCellAnchor>
  <xdr:twoCellAnchor editAs="oneCell">
    <xdr:from>
      <xdr:col>9</xdr:col>
      <xdr:colOff>342900</xdr:colOff>
      <xdr:row>272</xdr:row>
      <xdr:rowOff>53340</xdr:rowOff>
    </xdr:from>
    <xdr:to>
      <xdr:col>14</xdr:col>
      <xdr:colOff>49080</xdr:colOff>
      <xdr:row>287</xdr:row>
      <xdr:rowOff>36540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61273D8-D9A3-3E15-2AC9-4253496C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252460" y="52898040"/>
          <a:ext cx="3600000" cy="295500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288</xdr:row>
      <xdr:rowOff>152400</xdr:rowOff>
    </xdr:from>
    <xdr:to>
      <xdr:col>13</xdr:col>
      <xdr:colOff>322810</xdr:colOff>
      <xdr:row>306</xdr:row>
      <xdr:rowOff>110040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96D1785-E5F2-9802-0D8B-67F3C89E1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31480" y="56167020"/>
          <a:ext cx="3233650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XQaks12nvhDAxt3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9"/>
  <sheetViews>
    <sheetView tabSelected="1" view="pageBreakPreview" topLeftCell="A290" zoomScaleNormal="100" zoomScaleSheetLayoutView="100" zoomScalePageLayoutView="85" workbookViewId="0">
      <selection activeCell="I296" sqref="I296"/>
    </sheetView>
  </sheetViews>
  <sheetFormatPr defaultColWidth="9.33203125" defaultRowHeight="15.6" x14ac:dyDescent="0.3"/>
  <cols>
    <col min="1" max="1" width="11.44140625" style="11" customWidth="1"/>
    <col min="2" max="2" width="12" style="11" customWidth="1"/>
    <col min="3" max="3" width="12.6640625" style="11" customWidth="1"/>
    <col min="4" max="4" width="14.33203125" style="11" customWidth="1"/>
    <col min="5" max="7" width="11.6640625" style="11" customWidth="1"/>
    <col min="8" max="8" width="12.44140625" style="11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1.6640625" style="3" customWidth="1"/>
    <col min="14" max="14" width="12.5546875" style="3" customWidth="1"/>
    <col min="15" max="15" width="9.6640625" style="3" customWidth="1"/>
    <col min="16" max="16" width="11.6640625" style="3" customWidth="1"/>
    <col min="17" max="247" width="9.33203125" style="3"/>
    <col min="248" max="248" width="8.6640625" style="3" customWidth="1"/>
    <col min="249" max="249" width="9.664062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6640625" style="3" customWidth="1"/>
    <col min="256" max="256" width="11.33203125" style="3" customWidth="1"/>
    <col min="257" max="257" width="2.6640625" style="3" customWidth="1"/>
    <col min="258" max="258" width="3.5546875" style="3" customWidth="1"/>
    <col min="259" max="503" width="9.33203125" style="3"/>
    <col min="504" max="504" width="8.6640625" style="3" customWidth="1"/>
    <col min="505" max="505" width="9.664062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6640625" style="3" customWidth="1"/>
    <col min="512" max="512" width="11.33203125" style="3" customWidth="1"/>
    <col min="513" max="513" width="2.6640625" style="3" customWidth="1"/>
    <col min="514" max="514" width="3.5546875" style="3" customWidth="1"/>
    <col min="515" max="759" width="9.33203125" style="3"/>
    <col min="760" max="760" width="8.6640625" style="3" customWidth="1"/>
    <col min="761" max="761" width="9.664062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6640625" style="3" customWidth="1"/>
    <col min="768" max="768" width="11.33203125" style="3" customWidth="1"/>
    <col min="769" max="769" width="2.6640625" style="3" customWidth="1"/>
    <col min="770" max="770" width="3.5546875" style="3" customWidth="1"/>
    <col min="771" max="1015" width="9.33203125" style="3"/>
    <col min="1016" max="1016" width="8.6640625" style="3" customWidth="1"/>
    <col min="1017" max="1017" width="9.664062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6640625" style="3" customWidth="1"/>
    <col min="1024" max="1024" width="11.33203125" style="3" customWidth="1"/>
    <col min="1025" max="1025" width="2.6640625" style="3" customWidth="1"/>
    <col min="1026" max="1026" width="3.5546875" style="3" customWidth="1"/>
    <col min="1027" max="1271" width="9.33203125" style="3"/>
    <col min="1272" max="1272" width="8.6640625" style="3" customWidth="1"/>
    <col min="1273" max="1273" width="9.664062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6640625" style="3" customWidth="1"/>
    <col min="1280" max="1280" width="11.33203125" style="3" customWidth="1"/>
    <col min="1281" max="1281" width="2.6640625" style="3" customWidth="1"/>
    <col min="1282" max="1282" width="3.5546875" style="3" customWidth="1"/>
    <col min="1283" max="1527" width="9.33203125" style="3"/>
    <col min="1528" max="1528" width="8.6640625" style="3" customWidth="1"/>
    <col min="1529" max="1529" width="9.664062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6640625" style="3" customWidth="1"/>
    <col min="1536" max="1536" width="11.33203125" style="3" customWidth="1"/>
    <col min="1537" max="1537" width="2.6640625" style="3" customWidth="1"/>
    <col min="1538" max="1538" width="3.5546875" style="3" customWidth="1"/>
    <col min="1539" max="1783" width="9.33203125" style="3"/>
    <col min="1784" max="1784" width="8.6640625" style="3" customWidth="1"/>
    <col min="1785" max="1785" width="9.664062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6640625" style="3" customWidth="1"/>
    <col min="1792" max="1792" width="11.33203125" style="3" customWidth="1"/>
    <col min="1793" max="1793" width="2.6640625" style="3" customWidth="1"/>
    <col min="1794" max="1794" width="3.5546875" style="3" customWidth="1"/>
    <col min="1795" max="2039" width="9.33203125" style="3"/>
    <col min="2040" max="2040" width="8.6640625" style="3" customWidth="1"/>
    <col min="2041" max="2041" width="9.664062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6640625" style="3" customWidth="1"/>
    <col min="2048" max="2048" width="11.33203125" style="3" customWidth="1"/>
    <col min="2049" max="2049" width="2.6640625" style="3" customWidth="1"/>
    <col min="2050" max="2050" width="3.5546875" style="3" customWidth="1"/>
    <col min="2051" max="2295" width="9.33203125" style="3"/>
    <col min="2296" max="2296" width="8.6640625" style="3" customWidth="1"/>
    <col min="2297" max="2297" width="9.664062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6640625" style="3" customWidth="1"/>
    <col min="2304" max="2304" width="11.33203125" style="3" customWidth="1"/>
    <col min="2305" max="2305" width="2.6640625" style="3" customWidth="1"/>
    <col min="2306" max="2306" width="3.5546875" style="3" customWidth="1"/>
    <col min="2307" max="2551" width="9.33203125" style="3"/>
    <col min="2552" max="2552" width="8.6640625" style="3" customWidth="1"/>
    <col min="2553" max="2553" width="9.664062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6640625" style="3" customWidth="1"/>
    <col min="2560" max="2560" width="11.33203125" style="3" customWidth="1"/>
    <col min="2561" max="2561" width="2.6640625" style="3" customWidth="1"/>
    <col min="2562" max="2562" width="3.5546875" style="3" customWidth="1"/>
    <col min="2563" max="2807" width="9.33203125" style="3"/>
    <col min="2808" max="2808" width="8.6640625" style="3" customWidth="1"/>
    <col min="2809" max="2809" width="9.664062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6640625" style="3" customWidth="1"/>
    <col min="2816" max="2816" width="11.33203125" style="3" customWidth="1"/>
    <col min="2817" max="2817" width="2.6640625" style="3" customWidth="1"/>
    <col min="2818" max="2818" width="3.5546875" style="3" customWidth="1"/>
    <col min="2819" max="3063" width="9.33203125" style="3"/>
    <col min="3064" max="3064" width="8.6640625" style="3" customWidth="1"/>
    <col min="3065" max="3065" width="9.664062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6640625" style="3" customWidth="1"/>
    <col min="3072" max="3072" width="11.33203125" style="3" customWidth="1"/>
    <col min="3073" max="3073" width="2.6640625" style="3" customWidth="1"/>
    <col min="3074" max="3074" width="3.5546875" style="3" customWidth="1"/>
    <col min="3075" max="3319" width="9.33203125" style="3"/>
    <col min="3320" max="3320" width="8.6640625" style="3" customWidth="1"/>
    <col min="3321" max="3321" width="9.664062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6640625" style="3" customWidth="1"/>
    <col min="3328" max="3328" width="11.33203125" style="3" customWidth="1"/>
    <col min="3329" max="3329" width="2.6640625" style="3" customWidth="1"/>
    <col min="3330" max="3330" width="3.5546875" style="3" customWidth="1"/>
    <col min="3331" max="3575" width="9.33203125" style="3"/>
    <col min="3576" max="3576" width="8.6640625" style="3" customWidth="1"/>
    <col min="3577" max="3577" width="9.664062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6640625" style="3" customWidth="1"/>
    <col min="3584" max="3584" width="11.33203125" style="3" customWidth="1"/>
    <col min="3585" max="3585" width="2.6640625" style="3" customWidth="1"/>
    <col min="3586" max="3586" width="3.5546875" style="3" customWidth="1"/>
    <col min="3587" max="3831" width="9.33203125" style="3"/>
    <col min="3832" max="3832" width="8.6640625" style="3" customWidth="1"/>
    <col min="3833" max="3833" width="9.664062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6640625" style="3" customWidth="1"/>
    <col min="3840" max="3840" width="11.33203125" style="3" customWidth="1"/>
    <col min="3841" max="3841" width="2.6640625" style="3" customWidth="1"/>
    <col min="3842" max="3842" width="3.5546875" style="3" customWidth="1"/>
    <col min="3843" max="4087" width="9.33203125" style="3"/>
    <col min="4088" max="4088" width="8.6640625" style="3" customWidth="1"/>
    <col min="4089" max="4089" width="9.664062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6640625" style="3" customWidth="1"/>
    <col min="4096" max="4096" width="11.33203125" style="3" customWidth="1"/>
    <col min="4097" max="4097" width="2.6640625" style="3" customWidth="1"/>
    <col min="4098" max="4098" width="3.5546875" style="3" customWidth="1"/>
    <col min="4099" max="4343" width="9.33203125" style="3"/>
    <col min="4344" max="4344" width="8.6640625" style="3" customWidth="1"/>
    <col min="4345" max="4345" width="9.664062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6640625" style="3" customWidth="1"/>
    <col min="4352" max="4352" width="11.33203125" style="3" customWidth="1"/>
    <col min="4353" max="4353" width="2.6640625" style="3" customWidth="1"/>
    <col min="4354" max="4354" width="3.5546875" style="3" customWidth="1"/>
    <col min="4355" max="4599" width="9.33203125" style="3"/>
    <col min="4600" max="4600" width="8.6640625" style="3" customWidth="1"/>
    <col min="4601" max="4601" width="9.664062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6640625" style="3" customWidth="1"/>
    <col min="4608" max="4608" width="11.33203125" style="3" customWidth="1"/>
    <col min="4609" max="4609" width="2.6640625" style="3" customWidth="1"/>
    <col min="4610" max="4610" width="3.5546875" style="3" customWidth="1"/>
    <col min="4611" max="4855" width="9.33203125" style="3"/>
    <col min="4856" max="4856" width="8.6640625" style="3" customWidth="1"/>
    <col min="4857" max="4857" width="9.664062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6640625" style="3" customWidth="1"/>
    <col min="4864" max="4864" width="11.33203125" style="3" customWidth="1"/>
    <col min="4865" max="4865" width="2.6640625" style="3" customWidth="1"/>
    <col min="4866" max="4866" width="3.5546875" style="3" customWidth="1"/>
    <col min="4867" max="5111" width="9.33203125" style="3"/>
    <col min="5112" max="5112" width="8.6640625" style="3" customWidth="1"/>
    <col min="5113" max="5113" width="9.664062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6640625" style="3" customWidth="1"/>
    <col min="5120" max="5120" width="11.33203125" style="3" customWidth="1"/>
    <col min="5121" max="5121" width="2.6640625" style="3" customWidth="1"/>
    <col min="5122" max="5122" width="3.5546875" style="3" customWidth="1"/>
    <col min="5123" max="5367" width="9.33203125" style="3"/>
    <col min="5368" max="5368" width="8.6640625" style="3" customWidth="1"/>
    <col min="5369" max="5369" width="9.664062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6640625" style="3" customWidth="1"/>
    <col min="5376" max="5376" width="11.33203125" style="3" customWidth="1"/>
    <col min="5377" max="5377" width="2.6640625" style="3" customWidth="1"/>
    <col min="5378" max="5378" width="3.5546875" style="3" customWidth="1"/>
    <col min="5379" max="5623" width="9.33203125" style="3"/>
    <col min="5624" max="5624" width="8.6640625" style="3" customWidth="1"/>
    <col min="5625" max="5625" width="9.664062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6640625" style="3" customWidth="1"/>
    <col min="5632" max="5632" width="11.33203125" style="3" customWidth="1"/>
    <col min="5633" max="5633" width="2.6640625" style="3" customWidth="1"/>
    <col min="5634" max="5634" width="3.5546875" style="3" customWidth="1"/>
    <col min="5635" max="5879" width="9.33203125" style="3"/>
    <col min="5880" max="5880" width="8.6640625" style="3" customWidth="1"/>
    <col min="5881" max="5881" width="9.664062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6640625" style="3" customWidth="1"/>
    <col min="5888" max="5888" width="11.33203125" style="3" customWidth="1"/>
    <col min="5889" max="5889" width="2.6640625" style="3" customWidth="1"/>
    <col min="5890" max="5890" width="3.5546875" style="3" customWidth="1"/>
    <col min="5891" max="6135" width="9.33203125" style="3"/>
    <col min="6136" max="6136" width="8.6640625" style="3" customWidth="1"/>
    <col min="6137" max="6137" width="9.664062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6640625" style="3" customWidth="1"/>
    <col min="6144" max="6144" width="11.33203125" style="3" customWidth="1"/>
    <col min="6145" max="6145" width="2.6640625" style="3" customWidth="1"/>
    <col min="6146" max="6146" width="3.5546875" style="3" customWidth="1"/>
    <col min="6147" max="6391" width="9.33203125" style="3"/>
    <col min="6392" max="6392" width="8.6640625" style="3" customWidth="1"/>
    <col min="6393" max="6393" width="9.664062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6640625" style="3" customWidth="1"/>
    <col min="6400" max="6400" width="11.33203125" style="3" customWidth="1"/>
    <col min="6401" max="6401" width="2.6640625" style="3" customWidth="1"/>
    <col min="6402" max="6402" width="3.5546875" style="3" customWidth="1"/>
    <col min="6403" max="6647" width="9.33203125" style="3"/>
    <col min="6648" max="6648" width="8.6640625" style="3" customWidth="1"/>
    <col min="6649" max="6649" width="9.664062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6640625" style="3" customWidth="1"/>
    <col min="6656" max="6656" width="11.33203125" style="3" customWidth="1"/>
    <col min="6657" max="6657" width="2.6640625" style="3" customWidth="1"/>
    <col min="6658" max="6658" width="3.5546875" style="3" customWidth="1"/>
    <col min="6659" max="6903" width="9.33203125" style="3"/>
    <col min="6904" max="6904" width="8.6640625" style="3" customWidth="1"/>
    <col min="6905" max="6905" width="9.664062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6640625" style="3" customWidth="1"/>
    <col min="6912" max="6912" width="11.33203125" style="3" customWidth="1"/>
    <col min="6913" max="6913" width="2.6640625" style="3" customWidth="1"/>
    <col min="6914" max="6914" width="3.5546875" style="3" customWidth="1"/>
    <col min="6915" max="7159" width="9.33203125" style="3"/>
    <col min="7160" max="7160" width="8.6640625" style="3" customWidth="1"/>
    <col min="7161" max="7161" width="9.664062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6640625" style="3" customWidth="1"/>
    <col min="7168" max="7168" width="11.33203125" style="3" customWidth="1"/>
    <col min="7169" max="7169" width="2.6640625" style="3" customWidth="1"/>
    <col min="7170" max="7170" width="3.5546875" style="3" customWidth="1"/>
    <col min="7171" max="7415" width="9.33203125" style="3"/>
    <col min="7416" max="7416" width="8.6640625" style="3" customWidth="1"/>
    <col min="7417" max="7417" width="9.664062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6640625" style="3" customWidth="1"/>
    <col min="7424" max="7424" width="11.33203125" style="3" customWidth="1"/>
    <col min="7425" max="7425" width="2.6640625" style="3" customWidth="1"/>
    <col min="7426" max="7426" width="3.5546875" style="3" customWidth="1"/>
    <col min="7427" max="7671" width="9.33203125" style="3"/>
    <col min="7672" max="7672" width="8.6640625" style="3" customWidth="1"/>
    <col min="7673" max="7673" width="9.664062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6640625" style="3" customWidth="1"/>
    <col min="7680" max="7680" width="11.33203125" style="3" customWidth="1"/>
    <col min="7681" max="7681" width="2.6640625" style="3" customWidth="1"/>
    <col min="7682" max="7682" width="3.5546875" style="3" customWidth="1"/>
    <col min="7683" max="7927" width="9.33203125" style="3"/>
    <col min="7928" max="7928" width="8.6640625" style="3" customWidth="1"/>
    <col min="7929" max="7929" width="9.664062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6640625" style="3" customWidth="1"/>
    <col min="7936" max="7936" width="11.33203125" style="3" customWidth="1"/>
    <col min="7937" max="7937" width="2.6640625" style="3" customWidth="1"/>
    <col min="7938" max="7938" width="3.5546875" style="3" customWidth="1"/>
    <col min="7939" max="8183" width="9.33203125" style="3"/>
    <col min="8184" max="8184" width="8.6640625" style="3" customWidth="1"/>
    <col min="8185" max="8185" width="9.664062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6640625" style="3" customWidth="1"/>
    <col min="8192" max="8192" width="11.33203125" style="3" customWidth="1"/>
    <col min="8193" max="8193" width="2.6640625" style="3" customWidth="1"/>
    <col min="8194" max="8194" width="3.5546875" style="3" customWidth="1"/>
    <col min="8195" max="8439" width="9.33203125" style="3"/>
    <col min="8440" max="8440" width="8.6640625" style="3" customWidth="1"/>
    <col min="8441" max="8441" width="9.664062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6640625" style="3" customWidth="1"/>
    <col min="8448" max="8448" width="11.33203125" style="3" customWidth="1"/>
    <col min="8449" max="8449" width="2.6640625" style="3" customWidth="1"/>
    <col min="8450" max="8450" width="3.5546875" style="3" customWidth="1"/>
    <col min="8451" max="8695" width="9.33203125" style="3"/>
    <col min="8696" max="8696" width="8.6640625" style="3" customWidth="1"/>
    <col min="8697" max="8697" width="9.664062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6640625" style="3" customWidth="1"/>
    <col min="8704" max="8704" width="11.33203125" style="3" customWidth="1"/>
    <col min="8705" max="8705" width="2.6640625" style="3" customWidth="1"/>
    <col min="8706" max="8706" width="3.5546875" style="3" customWidth="1"/>
    <col min="8707" max="8951" width="9.33203125" style="3"/>
    <col min="8952" max="8952" width="8.6640625" style="3" customWidth="1"/>
    <col min="8953" max="8953" width="9.664062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6640625" style="3" customWidth="1"/>
    <col min="8960" max="8960" width="11.33203125" style="3" customWidth="1"/>
    <col min="8961" max="8961" width="2.6640625" style="3" customWidth="1"/>
    <col min="8962" max="8962" width="3.5546875" style="3" customWidth="1"/>
    <col min="8963" max="9207" width="9.33203125" style="3"/>
    <col min="9208" max="9208" width="8.6640625" style="3" customWidth="1"/>
    <col min="9209" max="9209" width="9.664062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6640625" style="3" customWidth="1"/>
    <col min="9216" max="9216" width="11.33203125" style="3" customWidth="1"/>
    <col min="9217" max="9217" width="2.6640625" style="3" customWidth="1"/>
    <col min="9218" max="9218" width="3.5546875" style="3" customWidth="1"/>
    <col min="9219" max="9463" width="9.33203125" style="3"/>
    <col min="9464" max="9464" width="8.6640625" style="3" customWidth="1"/>
    <col min="9465" max="9465" width="9.664062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6640625" style="3" customWidth="1"/>
    <col min="9472" max="9472" width="11.33203125" style="3" customWidth="1"/>
    <col min="9473" max="9473" width="2.6640625" style="3" customWidth="1"/>
    <col min="9474" max="9474" width="3.5546875" style="3" customWidth="1"/>
    <col min="9475" max="9719" width="9.33203125" style="3"/>
    <col min="9720" max="9720" width="8.6640625" style="3" customWidth="1"/>
    <col min="9721" max="9721" width="9.664062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6640625" style="3" customWidth="1"/>
    <col min="9728" max="9728" width="11.33203125" style="3" customWidth="1"/>
    <col min="9729" max="9729" width="2.6640625" style="3" customWidth="1"/>
    <col min="9730" max="9730" width="3.5546875" style="3" customWidth="1"/>
    <col min="9731" max="9975" width="9.33203125" style="3"/>
    <col min="9976" max="9976" width="8.6640625" style="3" customWidth="1"/>
    <col min="9977" max="9977" width="9.664062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6640625" style="3" customWidth="1"/>
    <col min="9984" max="9984" width="11.33203125" style="3" customWidth="1"/>
    <col min="9985" max="9985" width="2.6640625" style="3" customWidth="1"/>
    <col min="9986" max="9986" width="3.5546875" style="3" customWidth="1"/>
    <col min="9987" max="10231" width="9.33203125" style="3"/>
    <col min="10232" max="10232" width="8.6640625" style="3" customWidth="1"/>
    <col min="10233" max="10233" width="9.664062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6640625" style="3" customWidth="1"/>
    <col min="10240" max="10240" width="11.33203125" style="3" customWidth="1"/>
    <col min="10241" max="10241" width="2.6640625" style="3" customWidth="1"/>
    <col min="10242" max="10242" width="3.5546875" style="3" customWidth="1"/>
    <col min="10243" max="10487" width="9.33203125" style="3"/>
    <col min="10488" max="10488" width="8.6640625" style="3" customWidth="1"/>
    <col min="10489" max="10489" width="9.664062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6640625" style="3" customWidth="1"/>
    <col min="10496" max="10496" width="11.33203125" style="3" customWidth="1"/>
    <col min="10497" max="10497" width="2.6640625" style="3" customWidth="1"/>
    <col min="10498" max="10498" width="3.5546875" style="3" customWidth="1"/>
    <col min="10499" max="10743" width="9.33203125" style="3"/>
    <col min="10744" max="10744" width="8.6640625" style="3" customWidth="1"/>
    <col min="10745" max="10745" width="9.664062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6640625" style="3" customWidth="1"/>
    <col min="10752" max="10752" width="11.33203125" style="3" customWidth="1"/>
    <col min="10753" max="10753" width="2.6640625" style="3" customWidth="1"/>
    <col min="10754" max="10754" width="3.5546875" style="3" customWidth="1"/>
    <col min="10755" max="10999" width="9.33203125" style="3"/>
    <col min="11000" max="11000" width="8.6640625" style="3" customWidth="1"/>
    <col min="11001" max="11001" width="9.664062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6640625" style="3" customWidth="1"/>
    <col min="11008" max="11008" width="11.33203125" style="3" customWidth="1"/>
    <col min="11009" max="11009" width="2.6640625" style="3" customWidth="1"/>
    <col min="11010" max="11010" width="3.5546875" style="3" customWidth="1"/>
    <col min="11011" max="11255" width="9.33203125" style="3"/>
    <col min="11256" max="11256" width="8.6640625" style="3" customWidth="1"/>
    <col min="11257" max="11257" width="9.664062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6640625" style="3" customWidth="1"/>
    <col min="11264" max="11264" width="11.33203125" style="3" customWidth="1"/>
    <col min="11265" max="11265" width="2.6640625" style="3" customWidth="1"/>
    <col min="11266" max="11266" width="3.5546875" style="3" customWidth="1"/>
    <col min="11267" max="11511" width="9.33203125" style="3"/>
    <col min="11512" max="11512" width="8.6640625" style="3" customWidth="1"/>
    <col min="11513" max="11513" width="9.664062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6640625" style="3" customWidth="1"/>
    <col min="11520" max="11520" width="11.33203125" style="3" customWidth="1"/>
    <col min="11521" max="11521" width="2.6640625" style="3" customWidth="1"/>
    <col min="11522" max="11522" width="3.5546875" style="3" customWidth="1"/>
    <col min="11523" max="11767" width="9.33203125" style="3"/>
    <col min="11768" max="11768" width="8.6640625" style="3" customWidth="1"/>
    <col min="11769" max="11769" width="9.664062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6640625" style="3" customWidth="1"/>
    <col min="11776" max="11776" width="11.33203125" style="3" customWidth="1"/>
    <col min="11777" max="11777" width="2.6640625" style="3" customWidth="1"/>
    <col min="11778" max="11778" width="3.5546875" style="3" customWidth="1"/>
    <col min="11779" max="12023" width="9.33203125" style="3"/>
    <col min="12024" max="12024" width="8.6640625" style="3" customWidth="1"/>
    <col min="12025" max="12025" width="9.664062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6640625" style="3" customWidth="1"/>
    <col min="12032" max="12032" width="11.33203125" style="3" customWidth="1"/>
    <col min="12033" max="12033" width="2.6640625" style="3" customWidth="1"/>
    <col min="12034" max="12034" width="3.5546875" style="3" customWidth="1"/>
    <col min="12035" max="12279" width="9.33203125" style="3"/>
    <col min="12280" max="12280" width="8.6640625" style="3" customWidth="1"/>
    <col min="12281" max="12281" width="9.664062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6640625" style="3" customWidth="1"/>
    <col min="12288" max="12288" width="11.33203125" style="3" customWidth="1"/>
    <col min="12289" max="12289" width="2.6640625" style="3" customWidth="1"/>
    <col min="12290" max="12290" width="3.5546875" style="3" customWidth="1"/>
    <col min="12291" max="12535" width="9.33203125" style="3"/>
    <col min="12536" max="12536" width="8.6640625" style="3" customWidth="1"/>
    <col min="12537" max="12537" width="9.664062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6640625" style="3" customWidth="1"/>
    <col min="12544" max="12544" width="11.33203125" style="3" customWidth="1"/>
    <col min="12545" max="12545" width="2.6640625" style="3" customWidth="1"/>
    <col min="12546" max="12546" width="3.5546875" style="3" customWidth="1"/>
    <col min="12547" max="12791" width="9.33203125" style="3"/>
    <col min="12792" max="12792" width="8.6640625" style="3" customWidth="1"/>
    <col min="12793" max="12793" width="9.664062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6640625" style="3" customWidth="1"/>
    <col min="12800" max="12800" width="11.33203125" style="3" customWidth="1"/>
    <col min="12801" max="12801" width="2.6640625" style="3" customWidth="1"/>
    <col min="12802" max="12802" width="3.5546875" style="3" customWidth="1"/>
    <col min="12803" max="13047" width="9.33203125" style="3"/>
    <col min="13048" max="13048" width="8.6640625" style="3" customWidth="1"/>
    <col min="13049" max="13049" width="9.664062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6640625" style="3" customWidth="1"/>
    <col min="13056" max="13056" width="11.33203125" style="3" customWidth="1"/>
    <col min="13057" max="13057" width="2.6640625" style="3" customWidth="1"/>
    <col min="13058" max="13058" width="3.5546875" style="3" customWidth="1"/>
    <col min="13059" max="13303" width="9.33203125" style="3"/>
    <col min="13304" max="13304" width="8.6640625" style="3" customWidth="1"/>
    <col min="13305" max="13305" width="9.664062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6640625" style="3" customWidth="1"/>
    <col min="13312" max="13312" width="11.33203125" style="3" customWidth="1"/>
    <col min="13313" max="13313" width="2.6640625" style="3" customWidth="1"/>
    <col min="13314" max="13314" width="3.5546875" style="3" customWidth="1"/>
    <col min="13315" max="13559" width="9.33203125" style="3"/>
    <col min="13560" max="13560" width="8.6640625" style="3" customWidth="1"/>
    <col min="13561" max="13561" width="9.664062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6640625" style="3" customWidth="1"/>
    <col min="13568" max="13568" width="11.33203125" style="3" customWidth="1"/>
    <col min="13569" max="13569" width="2.6640625" style="3" customWidth="1"/>
    <col min="13570" max="13570" width="3.5546875" style="3" customWidth="1"/>
    <col min="13571" max="13815" width="9.33203125" style="3"/>
    <col min="13816" max="13816" width="8.6640625" style="3" customWidth="1"/>
    <col min="13817" max="13817" width="9.664062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6640625" style="3" customWidth="1"/>
    <col min="13824" max="13824" width="11.33203125" style="3" customWidth="1"/>
    <col min="13825" max="13825" width="2.6640625" style="3" customWidth="1"/>
    <col min="13826" max="13826" width="3.5546875" style="3" customWidth="1"/>
    <col min="13827" max="14071" width="9.33203125" style="3"/>
    <col min="14072" max="14072" width="8.6640625" style="3" customWidth="1"/>
    <col min="14073" max="14073" width="9.664062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6640625" style="3" customWidth="1"/>
    <col min="14080" max="14080" width="11.33203125" style="3" customWidth="1"/>
    <col min="14081" max="14081" width="2.6640625" style="3" customWidth="1"/>
    <col min="14082" max="14082" width="3.5546875" style="3" customWidth="1"/>
    <col min="14083" max="14327" width="9.33203125" style="3"/>
    <col min="14328" max="14328" width="8.6640625" style="3" customWidth="1"/>
    <col min="14329" max="14329" width="9.664062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6640625" style="3" customWidth="1"/>
    <col min="14336" max="14336" width="11.33203125" style="3" customWidth="1"/>
    <col min="14337" max="14337" width="2.6640625" style="3" customWidth="1"/>
    <col min="14338" max="14338" width="3.5546875" style="3" customWidth="1"/>
    <col min="14339" max="14583" width="9.33203125" style="3"/>
    <col min="14584" max="14584" width="8.6640625" style="3" customWidth="1"/>
    <col min="14585" max="14585" width="9.664062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6640625" style="3" customWidth="1"/>
    <col min="14592" max="14592" width="11.33203125" style="3" customWidth="1"/>
    <col min="14593" max="14593" width="2.6640625" style="3" customWidth="1"/>
    <col min="14594" max="14594" width="3.5546875" style="3" customWidth="1"/>
    <col min="14595" max="14839" width="9.33203125" style="3"/>
    <col min="14840" max="14840" width="8.6640625" style="3" customWidth="1"/>
    <col min="14841" max="14841" width="9.664062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6640625" style="3" customWidth="1"/>
    <col min="14848" max="14848" width="11.33203125" style="3" customWidth="1"/>
    <col min="14849" max="14849" width="2.6640625" style="3" customWidth="1"/>
    <col min="14850" max="14850" width="3.5546875" style="3" customWidth="1"/>
    <col min="14851" max="15095" width="9.33203125" style="3"/>
    <col min="15096" max="15096" width="8.6640625" style="3" customWidth="1"/>
    <col min="15097" max="15097" width="9.664062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6640625" style="3" customWidth="1"/>
    <col min="15104" max="15104" width="11.33203125" style="3" customWidth="1"/>
    <col min="15105" max="15105" width="2.6640625" style="3" customWidth="1"/>
    <col min="15106" max="15106" width="3.5546875" style="3" customWidth="1"/>
    <col min="15107" max="15351" width="9.33203125" style="3"/>
    <col min="15352" max="15352" width="8.6640625" style="3" customWidth="1"/>
    <col min="15353" max="15353" width="9.664062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6640625" style="3" customWidth="1"/>
    <col min="15360" max="15360" width="11.33203125" style="3" customWidth="1"/>
    <col min="15361" max="15361" width="2.6640625" style="3" customWidth="1"/>
    <col min="15362" max="15362" width="3.5546875" style="3" customWidth="1"/>
    <col min="15363" max="15607" width="9.33203125" style="3"/>
    <col min="15608" max="15608" width="8.6640625" style="3" customWidth="1"/>
    <col min="15609" max="15609" width="9.664062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6640625" style="3" customWidth="1"/>
    <col min="15616" max="15616" width="11.33203125" style="3" customWidth="1"/>
    <col min="15617" max="15617" width="2.6640625" style="3" customWidth="1"/>
    <col min="15618" max="15618" width="3.5546875" style="3" customWidth="1"/>
    <col min="15619" max="15863" width="9.33203125" style="3"/>
    <col min="15864" max="15864" width="8.6640625" style="3" customWidth="1"/>
    <col min="15865" max="15865" width="9.664062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6640625" style="3" customWidth="1"/>
    <col min="15872" max="15872" width="11.33203125" style="3" customWidth="1"/>
    <col min="15873" max="15873" width="2.6640625" style="3" customWidth="1"/>
    <col min="15874" max="15874" width="3.5546875" style="3" customWidth="1"/>
    <col min="15875" max="16119" width="9.33203125" style="3"/>
    <col min="16120" max="16120" width="8.6640625" style="3" customWidth="1"/>
    <col min="16121" max="16121" width="9.664062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6640625" style="3" customWidth="1"/>
    <col min="16128" max="16128" width="11.33203125" style="3" customWidth="1"/>
    <col min="16129" max="16129" width="2.6640625" style="3" customWidth="1"/>
    <col min="16130" max="16130" width="3.5546875" style="3" customWidth="1"/>
    <col min="16131" max="16384" width="9.33203125" style="3"/>
  </cols>
  <sheetData>
    <row r="1" spans="1:8" ht="46.5" customHeight="1" x14ac:dyDescent="0.3">
      <c r="A1" s="175" t="s">
        <v>255</v>
      </c>
      <c r="B1" s="175"/>
      <c r="C1" s="175"/>
      <c r="D1" s="175"/>
      <c r="E1" s="175"/>
      <c r="F1" s="175"/>
      <c r="G1" s="175"/>
      <c r="H1" s="175"/>
    </row>
    <row r="2" spans="1:8" ht="16.5" customHeight="1" x14ac:dyDescent="0.3">
      <c r="A2" s="101" t="s">
        <v>0</v>
      </c>
      <c r="B2" s="101"/>
      <c r="C2" s="101"/>
      <c r="D2" s="101"/>
      <c r="E2" s="101"/>
      <c r="F2" s="101"/>
      <c r="G2" s="101"/>
      <c r="H2" s="101"/>
    </row>
    <row r="3" spans="1:8" x14ac:dyDescent="0.3">
      <c r="A3" s="98" t="s">
        <v>1</v>
      </c>
      <c r="B3" s="98"/>
      <c r="C3" s="98"/>
      <c r="D3" s="98"/>
      <c r="E3" s="176" t="str">
        <f ca="1">TEXT(TODAY(),"DD/MM/YYYY")</f>
        <v>22/08/2025</v>
      </c>
      <c r="F3" s="176"/>
      <c r="G3" s="176"/>
      <c r="H3" s="176"/>
    </row>
    <row r="4" spans="1:8" ht="15" customHeight="1" x14ac:dyDescent="0.3">
      <c r="A4" s="98" t="s">
        <v>2</v>
      </c>
      <c r="B4" s="98"/>
      <c r="C4" s="98"/>
      <c r="D4" s="98"/>
      <c r="E4" s="169" t="s">
        <v>168</v>
      </c>
      <c r="F4" s="169"/>
      <c r="G4" s="169"/>
      <c r="H4" s="169"/>
    </row>
    <row r="5" spans="1:8" x14ac:dyDescent="0.3">
      <c r="A5" s="98" t="s">
        <v>3</v>
      </c>
      <c r="B5" s="98"/>
      <c r="C5" s="98"/>
      <c r="D5" s="98"/>
      <c r="E5" s="174">
        <v>45889</v>
      </c>
      <c r="F5" s="174"/>
      <c r="G5" s="174"/>
      <c r="H5" s="174"/>
    </row>
    <row r="6" spans="1:8" ht="16.5" customHeight="1" x14ac:dyDescent="0.3">
      <c r="A6" s="98" t="s">
        <v>4</v>
      </c>
      <c r="B6" s="98"/>
      <c r="C6" s="98"/>
      <c r="D6" s="98"/>
      <c r="E6" s="151" t="s">
        <v>169</v>
      </c>
      <c r="F6" s="151"/>
      <c r="G6" s="151"/>
      <c r="H6" s="151"/>
    </row>
    <row r="7" spans="1:8" ht="15" customHeight="1" x14ac:dyDescent="0.3">
      <c r="A7" s="98" t="s">
        <v>5</v>
      </c>
      <c r="B7" s="98"/>
      <c r="C7" s="98"/>
      <c r="D7" s="98"/>
      <c r="E7" s="151" t="str">
        <f>E6</f>
        <v>M/s. Raj Buildcon &amp; Infrastructure</v>
      </c>
      <c r="F7" s="151"/>
      <c r="G7" s="151"/>
      <c r="H7" s="151"/>
    </row>
    <row r="8" spans="1:8" x14ac:dyDescent="0.3">
      <c r="A8" s="98" t="s">
        <v>6</v>
      </c>
      <c r="B8" s="98"/>
      <c r="C8" s="98"/>
      <c r="D8" s="98"/>
      <c r="E8" s="108" t="s">
        <v>174</v>
      </c>
      <c r="F8" s="108"/>
      <c r="G8" s="108"/>
      <c r="H8" s="108"/>
    </row>
    <row r="9" spans="1:8" x14ac:dyDescent="0.3">
      <c r="A9" s="98" t="s">
        <v>130</v>
      </c>
      <c r="B9" s="98"/>
      <c r="C9" s="98"/>
      <c r="D9" s="98"/>
      <c r="E9" s="98" t="s">
        <v>170</v>
      </c>
      <c r="F9" s="98"/>
      <c r="G9" s="98"/>
      <c r="H9" s="98"/>
    </row>
    <row r="10" spans="1:8" x14ac:dyDescent="0.3">
      <c r="A10" s="98" t="s">
        <v>251</v>
      </c>
      <c r="B10" s="98"/>
      <c r="C10" s="98"/>
      <c r="D10" s="98"/>
      <c r="E10" s="98" t="s">
        <v>29</v>
      </c>
      <c r="F10" s="98"/>
      <c r="G10" s="98"/>
      <c r="H10" s="98"/>
    </row>
    <row r="11" spans="1:8" x14ac:dyDescent="0.3">
      <c r="A11" s="141" t="s">
        <v>7</v>
      </c>
      <c r="B11" s="141"/>
      <c r="C11" s="141"/>
      <c r="D11" s="141"/>
      <c r="E11" s="141" t="s">
        <v>171</v>
      </c>
      <c r="F11" s="141"/>
      <c r="G11" s="141"/>
      <c r="H11" s="141"/>
    </row>
    <row r="12" spans="1:8" ht="17.25" customHeight="1" x14ac:dyDescent="0.3">
      <c r="A12" s="98" t="s">
        <v>8</v>
      </c>
      <c r="B12" s="98"/>
      <c r="C12" s="98"/>
      <c r="D12" s="98"/>
      <c r="E12" s="151" t="s">
        <v>173</v>
      </c>
      <c r="F12" s="151"/>
      <c r="G12" s="151"/>
      <c r="H12" s="151"/>
    </row>
    <row r="13" spans="1:8" x14ac:dyDescent="0.3">
      <c r="A13" s="98" t="s">
        <v>9</v>
      </c>
      <c r="B13" s="98"/>
      <c r="C13" s="98"/>
      <c r="D13" s="98"/>
      <c r="E13" s="151" t="s">
        <v>172</v>
      </c>
      <c r="F13" s="141"/>
      <c r="G13" s="141"/>
      <c r="H13" s="141"/>
    </row>
    <row r="14" spans="1:8" ht="33" customHeight="1" x14ac:dyDescent="0.3">
      <c r="A14" s="136" t="s">
        <v>10</v>
      </c>
      <c r="B14" s="136"/>
      <c r="C14" s="136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Raj Urbania, Plot No.3 &amp; Plot No.4, Survey No. 39/2B &amp; 40/3A, near Royal Flora Complex Ambernath, Pale Road, Pale, Ambarnath, Ambarnath, Thane - 421501.</v>
      </c>
      <c r="D14" s="136"/>
      <c r="E14" s="136"/>
      <c r="F14" s="136"/>
      <c r="G14" s="136"/>
      <c r="H14" s="136"/>
    </row>
    <row r="15" spans="1:8" x14ac:dyDescent="0.3">
      <c r="A15" s="136" t="s">
        <v>175</v>
      </c>
      <c r="B15" s="136"/>
      <c r="C15" s="151" t="s">
        <v>176</v>
      </c>
      <c r="D15" s="151"/>
      <c r="E15" s="151"/>
      <c r="F15" s="151"/>
      <c r="G15" s="151"/>
      <c r="H15" s="151"/>
    </row>
    <row r="16" spans="1:8" ht="15.75" customHeight="1" x14ac:dyDescent="0.3">
      <c r="A16" s="136" t="s">
        <v>11</v>
      </c>
      <c r="B16" s="136"/>
      <c r="C16" s="141" t="s">
        <v>213</v>
      </c>
      <c r="D16" s="141"/>
      <c r="E16" s="136" t="s">
        <v>77</v>
      </c>
      <c r="F16" s="136"/>
      <c r="G16" s="151" t="s">
        <v>177</v>
      </c>
      <c r="H16" s="151"/>
    </row>
    <row r="17" spans="1:8" x14ac:dyDescent="0.3">
      <c r="A17" s="98" t="s">
        <v>13</v>
      </c>
      <c r="B17" s="98"/>
      <c r="C17" s="151" t="s">
        <v>179</v>
      </c>
      <c r="D17" s="151"/>
      <c r="E17" s="136" t="s">
        <v>12</v>
      </c>
      <c r="F17" s="136"/>
      <c r="G17" s="172" t="s">
        <v>178</v>
      </c>
      <c r="H17" s="172"/>
    </row>
    <row r="18" spans="1:8" x14ac:dyDescent="0.3">
      <c r="A18" s="98" t="s">
        <v>78</v>
      </c>
      <c r="B18" s="98"/>
      <c r="C18" s="151" t="s">
        <v>179</v>
      </c>
      <c r="D18" s="151"/>
      <c r="E18" s="136" t="s">
        <v>14</v>
      </c>
      <c r="F18" s="136"/>
      <c r="G18" s="151">
        <v>421501</v>
      </c>
      <c r="H18" s="151"/>
    </row>
    <row r="19" spans="1:8" ht="32.25" customHeight="1" x14ac:dyDescent="0.3">
      <c r="A19" s="98" t="s">
        <v>131</v>
      </c>
      <c r="B19" s="98"/>
      <c r="C19" s="173" t="s">
        <v>216</v>
      </c>
      <c r="D19" s="173"/>
      <c r="E19" s="136" t="s">
        <v>15</v>
      </c>
      <c r="F19" s="136"/>
      <c r="G19" s="151" t="s">
        <v>217</v>
      </c>
      <c r="H19" s="151"/>
    </row>
    <row r="20" spans="1:8" ht="15" customHeight="1" x14ac:dyDescent="0.3">
      <c r="A20" s="136" t="s">
        <v>80</v>
      </c>
      <c r="B20" s="136"/>
      <c r="C20" s="136"/>
      <c r="D20" s="136"/>
      <c r="E20" s="141" t="s">
        <v>16</v>
      </c>
      <c r="F20" s="141"/>
      <c r="G20" s="141"/>
      <c r="H20" s="141"/>
    </row>
    <row r="21" spans="1:8" ht="18.75" customHeight="1" x14ac:dyDescent="0.3">
      <c r="A21" s="136"/>
      <c r="B21" s="136"/>
      <c r="C21" s="136"/>
      <c r="D21" s="136"/>
      <c r="E21" s="141"/>
      <c r="F21" s="141"/>
      <c r="G21" s="141"/>
      <c r="H21" s="141"/>
    </row>
    <row r="22" spans="1:8" ht="15" customHeight="1" x14ac:dyDescent="0.3">
      <c r="A22" s="136" t="s">
        <v>17</v>
      </c>
      <c r="B22" s="136"/>
      <c r="C22" s="136"/>
      <c r="D22" s="136"/>
      <c r="E22" s="151" t="s">
        <v>18</v>
      </c>
      <c r="F22" s="151"/>
      <c r="G22" s="151"/>
      <c r="H22" s="151"/>
    </row>
    <row r="23" spans="1:8" ht="15" customHeight="1" x14ac:dyDescent="0.3">
      <c r="A23" s="98" t="s">
        <v>19</v>
      </c>
      <c r="B23" s="98"/>
      <c r="C23" s="98"/>
      <c r="D23" s="98"/>
      <c r="E23" s="151" t="str">
        <f>IF(AND(G17="Mumbai"),"Upper Class","Middle Class")</f>
        <v>Middle Class</v>
      </c>
      <c r="F23" s="151"/>
      <c r="G23" s="151"/>
      <c r="H23" s="151"/>
    </row>
    <row r="24" spans="1:8" x14ac:dyDescent="0.3">
      <c r="A24" s="98" t="s">
        <v>20</v>
      </c>
      <c r="B24" s="98"/>
      <c r="C24" s="98"/>
      <c r="D24" s="98"/>
      <c r="E24" s="151" t="s">
        <v>21</v>
      </c>
      <c r="F24" s="151"/>
      <c r="G24" s="151"/>
      <c r="H24" s="151"/>
    </row>
    <row r="25" spans="1:8" ht="15.75" customHeight="1" x14ac:dyDescent="0.3">
      <c r="A25" s="98" t="s">
        <v>22</v>
      </c>
      <c r="B25" s="98"/>
      <c r="C25" s="98"/>
      <c r="D25" s="98"/>
      <c r="E25" s="151" t="str">
        <f>IF(AND(G17="Mumbai"),"Developed","Developing")</f>
        <v>Developing</v>
      </c>
      <c r="F25" s="151"/>
      <c r="G25" s="151"/>
      <c r="H25" s="151"/>
    </row>
    <row r="26" spans="1:8" x14ac:dyDescent="0.3">
      <c r="A26" s="98" t="s">
        <v>23</v>
      </c>
      <c r="B26" s="98"/>
      <c r="C26" s="98"/>
      <c r="D26" s="98"/>
      <c r="E26" s="151" t="s">
        <v>24</v>
      </c>
      <c r="F26" s="151"/>
      <c r="G26" s="151"/>
      <c r="H26" s="151"/>
    </row>
    <row r="27" spans="1:8" x14ac:dyDescent="0.3">
      <c r="A27" s="98" t="s">
        <v>85</v>
      </c>
      <c r="B27" s="98"/>
      <c r="C27" s="98"/>
      <c r="D27" s="98"/>
      <c r="E27" s="151" t="s">
        <v>86</v>
      </c>
      <c r="F27" s="151"/>
      <c r="G27" s="151"/>
      <c r="H27" s="151"/>
    </row>
    <row r="28" spans="1:8" ht="15" customHeight="1" x14ac:dyDescent="0.3">
      <c r="A28" s="136" t="s">
        <v>32</v>
      </c>
      <c r="B28" s="136"/>
      <c r="C28" s="136"/>
      <c r="D28" s="136"/>
      <c r="E28" s="169" t="str">
        <f>IF(ISNUMBER(SEARCH("Shop",D54)),"Residential + Commercial",IF(ISNUMBER(SEARCH("Office",D54)),"Residential + Commercial",IF(SEARCH("Flats",D54),"Residential","")))</f>
        <v>Residential + Commercial</v>
      </c>
      <c r="F28" s="169"/>
      <c r="G28" s="169"/>
      <c r="H28" s="169"/>
    </row>
    <row r="29" spans="1:8" x14ac:dyDescent="0.3">
      <c r="A29" s="136" t="s">
        <v>97</v>
      </c>
      <c r="B29" s="136"/>
      <c r="C29" s="136"/>
      <c r="D29" s="136"/>
      <c r="E29" s="136" t="s">
        <v>33</v>
      </c>
      <c r="F29" s="136"/>
      <c r="G29" s="136"/>
      <c r="H29" s="136"/>
    </row>
    <row r="30" spans="1:8" s="6" customFormat="1" x14ac:dyDescent="0.3">
      <c r="A30" s="171" t="s">
        <v>98</v>
      </c>
      <c r="B30" s="171"/>
      <c r="C30" s="170" t="s">
        <v>259</v>
      </c>
      <c r="D30" s="170"/>
      <c r="E30" s="170"/>
      <c r="F30" s="170" t="s">
        <v>30</v>
      </c>
      <c r="G30" s="170"/>
      <c r="H30" s="170"/>
    </row>
    <row r="31" spans="1:8" s="6" customFormat="1" x14ac:dyDescent="0.3">
      <c r="A31" s="158" t="s">
        <v>25</v>
      </c>
      <c r="B31" s="158" t="s">
        <v>29</v>
      </c>
      <c r="C31" s="159" t="s">
        <v>265</v>
      </c>
      <c r="D31" s="159"/>
      <c r="E31" s="159"/>
      <c r="F31" s="154" t="s">
        <v>215</v>
      </c>
      <c r="G31" s="154"/>
      <c r="H31" s="154"/>
    </row>
    <row r="32" spans="1:8" x14ac:dyDescent="0.3">
      <c r="A32" s="158" t="s">
        <v>26</v>
      </c>
      <c r="B32" s="158" t="s">
        <v>29</v>
      </c>
      <c r="C32" s="159" t="s">
        <v>264</v>
      </c>
      <c r="D32" s="159"/>
      <c r="E32" s="159"/>
      <c r="F32" s="154" t="s">
        <v>244</v>
      </c>
      <c r="G32" s="154"/>
      <c r="H32" s="154"/>
    </row>
    <row r="33" spans="1:8" s="6" customFormat="1" x14ac:dyDescent="0.3">
      <c r="A33" s="158" t="s">
        <v>28</v>
      </c>
      <c r="B33" s="158" t="s">
        <v>29</v>
      </c>
      <c r="C33" s="159" t="s">
        <v>262</v>
      </c>
      <c r="D33" s="159"/>
      <c r="E33" s="159"/>
      <c r="F33" s="154" t="s">
        <v>213</v>
      </c>
      <c r="G33" s="154"/>
      <c r="H33" s="154"/>
    </row>
    <row r="34" spans="1:8" x14ac:dyDescent="0.3">
      <c r="A34" s="158" t="s">
        <v>27</v>
      </c>
      <c r="B34" s="158" t="s">
        <v>29</v>
      </c>
      <c r="C34" s="159" t="s">
        <v>263</v>
      </c>
      <c r="D34" s="159"/>
      <c r="E34" s="159"/>
      <c r="F34" s="154" t="s">
        <v>214</v>
      </c>
      <c r="G34" s="154"/>
      <c r="H34" s="154"/>
    </row>
    <row r="35" spans="1:8" x14ac:dyDescent="0.3">
      <c r="A35" s="98" t="s">
        <v>31</v>
      </c>
      <c r="B35" s="98"/>
      <c r="C35" s="98"/>
      <c r="D35" s="98"/>
      <c r="E35" s="98"/>
      <c r="F35" s="98"/>
      <c r="G35" s="98"/>
      <c r="H35" s="98"/>
    </row>
    <row r="36" spans="1:8" ht="15.75" customHeight="1" x14ac:dyDescent="0.3">
      <c r="A36" s="101" t="s">
        <v>260</v>
      </c>
      <c r="B36" s="101"/>
      <c r="C36" s="161" t="s">
        <v>261</v>
      </c>
      <c r="D36" s="156"/>
      <c r="E36" s="156"/>
      <c r="F36" s="156"/>
      <c r="G36" s="156"/>
      <c r="H36" s="157"/>
    </row>
    <row r="37" spans="1:8" ht="15.75" customHeight="1" x14ac:dyDescent="0.3">
      <c r="A37" s="101" t="s">
        <v>252</v>
      </c>
      <c r="B37" s="101"/>
      <c r="C37" s="155" t="s">
        <v>253</v>
      </c>
      <c r="D37" s="156"/>
      <c r="E37" s="156"/>
      <c r="F37" s="156"/>
      <c r="G37" s="156"/>
      <c r="H37" s="157"/>
    </row>
    <row r="38" spans="1:8" x14ac:dyDescent="0.3">
      <c r="A38" s="108" t="s">
        <v>34</v>
      </c>
      <c r="B38" s="108"/>
      <c r="C38" s="108"/>
      <c r="D38" s="108"/>
      <c r="E38" s="108"/>
      <c r="F38" s="108"/>
      <c r="G38" s="108"/>
      <c r="H38" s="108"/>
    </row>
    <row r="39" spans="1:8" x14ac:dyDescent="0.3">
      <c r="A39" s="141" t="s">
        <v>35</v>
      </c>
      <c r="B39" s="141"/>
      <c r="C39" s="141"/>
      <c r="D39" s="141"/>
      <c r="E39" s="153">
        <v>4932.57</v>
      </c>
      <c r="F39" s="153"/>
      <c r="G39" s="153"/>
      <c r="H39" s="153"/>
    </row>
    <row r="40" spans="1:8" x14ac:dyDescent="0.3">
      <c r="A40" s="141" t="s">
        <v>36</v>
      </c>
      <c r="B40" s="141"/>
      <c r="C40" s="141"/>
      <c r="D40" s="141"/>
      <c r="E40" s="140">
        <v>1.1000000000000001</v>
      </c>
      <c r="F40" s="140"/>
      <c r="G40" s="140"/>
      <c r="H40" s="140"/>
    </row>
    <row r="41" spans="1:8" x14ac:dyDescent="0.3">
      <c r="A41" s="141" t="s">
        <v>37</v>
      </c>
      <c r="B41" s="141"/>
      <c r="C41" s="141"/>
      <c r="D41" s="141"/>
      <c r="E41" s="140">
        <f>E43/E39-E40</f>
        <v>-1.4191385018236247E-6</v>
      </c>
      <c r="F41" s="140"/>
      <c r="G41" s="140"/>
      <c r="H41" s="140"/>
    </row>
    <row r="42" spans="1:8" x14ac:dyDescent="0.3">
      <c r="A42" s="141" t="s">
        <v>38</v>
      </c>
      <c r="B42" s="141"/>
      <c r="C42" s="141"/>
      <c r="D42" s="141"/>
      <c r="E42" s="140">
        <f>E40+E41</f>
        <v>1.0999985808614983</v>
      </c>
      <c r="F42" s="140"/>
      <c r="G42" s="140"/>
      <c r="H42" s="140"/>
    </row>
    <row r="43" spans="1:8" x14ac:dyDescent="0.3">
      <c r="A43" s="141" t="s">
        <v>96</v>
      </c>
      <c r="B43" s="141"/>
      <c r="C43" s="141"/>
      <c r="D43" s="141"/>
      <c r="E43" s="162">
        <v>5425.82</v>
      </c>
      <c r="F43" s="162"/>
      <c r="G43" s="162"/>
      <c r="H43" s="162"/>
    </row>
    <row r="44" spans="1:8" x14ac:dyDescent="0.3">
      <c r="A44" s="141" t="s">
        <v>39</v>
      </c>
      <c r="B44" s="141"/>
      <c r="C44" s="141"/>
      <c r="D44" s="141"/>
      <c r="E44" s="141" t="s">
        <v>180</v>
      </c>
      <c r="F44" s="141"/>
      <c r="G44" s="141"/>
      <c r="H44" s="141"/>
    </row>
    <row r="45" spans="1:8" x14ac:dyDescent="0.3">
      <c r="A45" s="127" t="s">
        <v>40</v>
      </c>
      <c r="B45" s="127"/>
      <c r="C45" s="127"/>
      <c r="D45" s="127"/>
      <c r="E45" s="127"/>
      <c r="F45" s="127"/>
      <c r="G45" s="127"/>
      <c r="H45" s="127"/>
    </row>
    <row r="46" spans="1:8" ht="33.75" customHeight="1" x14ac:dyDescent="0.3">
      <c r="A46" s="86" t="s">
        <v>161</v>
      </c>
      <c r="B46" s="87"/>
      <c r="C46" s="88" t="s">
        <v>181</v>
      </c>
      <c r="D46" s="89"/>
      <c r="E46" s="89"/>
      <c r="F46" s="89"/>
      <c r="G46" s="89"/>
      <c r="H46" s="90"/>
    </row>
    <row r="47" spans="1:8" x14ac:dyDescent="0.3">
      <c r="A47" s="136" t="s">
        <v>41</v>
      </c>
      <c r="B47" s="136"/>
      <c r="C47" s="190" t="s">
        <v>182</v>
      </c>
      <c r="D47" s="190"/>
      <c r="E47" s="190"/>
      <c r="F47" s="47" t="s">
        <v>42</v>
      </c>
      <c r="G47" s="168">
        <v>44413</v>
      </c>
      <c r="H47" s="168"/>
    </row>
    <row r="48" spans="1:8" x14ac:dyDescent="0.3">
      <c r="A48" s="98" t="s">
        <v>43</v>
      </c>
      <c r="B48" s="98"/>
      <c r="C48" s="190" t="str">
        <f>C47</f>
        <v>A.N.P/NRV/BP/21-22/599/9206/82</v>
      </c>
      <c r="D48" s="190"/>
      <c r="E48" s="190"/>
      <c r="F48" s="47" t="s">
        <v>42</v>
      </c>
      <c r="G48" s="168">
        <f>G47</f>
        <v>44413</v>
      </c>
      <c r="H48" s="168"/>
    </row>
    <row r="49" spans="1:14" s="5" customFormat="1" x14ac:dyDescent="0.3">
      <c r="A49" s="151" t="s">
        <v>44</v>
      </c>
      <c r="B49" s="151"/>
      <c r="C49" s="190" t="s">
        <v>219</v>
      </c>
      <c r="D49" s="191"/>
      <c r="E49" s="191"/>
      <c r="F49" s="8" t="s">
        <v>42</v>
      </c>
      <c r="G49" s="168">
        <v>44413</v>
      </c>
      <c r="H49" s="168"/>
    </row>
    <row r="50" spans="1:14" s="5" customFormat="1" ht="67.5" customHeight="1" x14ac:dyDescent="0.3">
      <c r="A50" s="151"/>
      <c r="B50" s="151"/>
      <c r="C50" s="137" t="s">
        <v>183</v>
      </c>
      <c r="D50" s="138"/>
      <c r="E50" s="138"/>
      <c r="F50" s="138"/>
      <c r="G50" s="138"/>
      <c r="H50" s="139"/>
    </row>
    <row r="51" spans="1:14" x14ac:dyDescent="0.3">
      <c r="A51" s="196" t="s">
        <v>45</v>
      </c>
      <c r="B51" s="196"/>
      <c r="C51" s="197" t="s">
        <v>113</v>
      </c>
      <c r="D51" s="198"/>
      <c r="E51" s="198" t="s">
        <v>46</v>
      </c>
      <c r="F51" s="48" t="s">
        <v>42</v>
      </c>
      <c r="G51" s="152" t="s">
        <v>29</v>
      </c>
      <c r="H51" s="152"/>
    </row>
    <row r="52" spans="1:14" x14ac:dyDescent="0.3">
      <c r="A52" s="189" t="s">
        <v>48</v>
      </c>
      <c r="B52" s="189"/>
      <c r="C52" s="189"/>
      <c r="D52" s="189"/>
      <c r="E52" s="189"/>
      <c r="F52" s="189"/>
      <c r="G52" s="189"/>
      <c r="H52" s="189"/>
    </row>
    <row r="53" spans="1:14" x14ac:dyDescent="0.3">
      <c r="A53" s="136" t="s">
        <v>95</v>
      </c>
      <c r="B53" s="136"/>
      <c r="C53" s="136"/>
      <c r="D53" s="141">
        <f>E43</f>
        <v>5425.82</v>
      </c>
      <c r="E53" s="141"/>
      <c r="F53" s="141"/>
      <c r="G53" s="141"/>
      <c r="H53" s="141"/>
    </row>
    <row r="54" spans="1:14" ht="34.5" customHeight="1" x14ac:dyDescent="0.3">
      <c r="A54" s="151" t="s">
        <v>49</v>
      </c>
      <c r="B54" s="141"/>
      <c r="C54" s="141"/>
      <c r="D54" s="151" t="s">
        <v>249</v>
      </c>
      <c r="E54" s="151"/>
      <c r="F54" s="151"/>
      <c r="G54" s="151"/>
      <c r="H54" s="151"/>
      <c r="I54" s="35"/>
    </row>
    <row r="55" spans="1:14" ht="48" customHeight="1" x14ac:dyDescent="0.3">
      <c r="A55" s="165" t="s">
        <v>50</v>
      </c>
      <c r="B55" s="166"/>
      <c r="C55" s="167"/>
      <c r="D55" s="163" t="s">
        <v>184</v>
      </c>
      <c r="E55" s="164"/>
      <c r="F55" s="164"/>
      <c r="G55" s="164"/>
      <c r="H55" s="164"/>
    </row>
    <row r="56" spans="1:14" ht="15.75" customHeight="1" x14ac:dyDescent="0.3">
      <c r="A56" s="165" t="s">
        <v>93</v>
      </c>
      <c r="B56" s="166"/>
      <c r="C56" s="166"/>
      <c r="D56" s="141" t="s">
        <v>185</v>
      </c>
      <c r="E56" s="141"/>
      <c r="F56" s="141"/>
      <c r="G56" s="141"/>
      <c r="H56" s="141"/>
    </row>
    <row r="57" spans="1:14" ht="15.75" customHeight="1" x14ac:dyDescent="0.3">
      <c r="A57" s="192"/>
      <c r="B57" s="193"/>
      <c r="C57" s="193"/>
      <c r="D57" s="141" t="s">
        <v>258</v>
      </c>
      <c r="E57" s="141"/>
      <c r="F57" s="141"/>
      <c r="G57" s="141"/>
      <c r="H57" s="141"/>
    </row>
    <row r="58" spans="1:14" ht="15.75" customHeight="1" x14ac:dyDescent="0.3">
      <c r="A58" s="194"/>
      <c r="B58" s="195"/>
      <c r="C58" s="195"/>
      <c r="D58" s="141" t="s">
        <v>186</v>
      </c>
      <c r="E58" s="141"/>
      <c r="F58" s="141"/>
      <c r="G58" s="141"/>
      <c r="H58" s="141"/>
    </row>
    <row r="59" spans="1:14" ht="33" customHeight="1" x14ac:dyDescent="0.3">
      <c r="A59" s="98" t="s">
        <v>47</v>
      </c>
      <c r="B59" s="98"/>
      <c r="C59" s="98"/>
      <c r="D59" s="135" t="s">
        <v>266</v>
      </c>
      <c r="E59" s="135"/>
      <c r="F59" s="135"/>
      <c r="G59" s="135"/>
      <c r="H59" s="135"/>
      <c r="J59" s="34"/>
      <c r="K59" s="35"/>
      <c r="N59" s="35"/>
    </row>
    <row r="60" spans="1:14" ht="15.75" customHeight="1" x14ac:dyDescent="0.3">
      <c r="A60" s="98" t="s">
        <v>91</v>
      </c>
      <c r="B60" s="98"/>
      <c r="C60" s="98"/>
      <c r="D60" s="160" t="str">
        <f>(IF(G51="NA","60 Years After Completion",IF(G51&lt;&gt;"NA",""&amp;60-ROUNDDOWN((E3-G51)/360,0)&amp;" Years"," ")))</f>
        <v>60 Years After Completion</v>
      </c>
      <c r="E60" s="160"/>
      <c r="F60" s="160"/>
      <c r="G60" s="160"/>
      <c r="H60" s="160"/>
      <c r="N60" s="35"/>
    </row>
    <row r="61" spans="1:14" ht="15.75" customHeight="1" x14ac:dyDescent="0.3">
      <c r="A61" s="98" t="s">
        <v>92</v>
      </c>
      <c r="B61" s="98"/>
      <c r="C61" s="98"/>
      <c r="D61" s="136" t="s">
        <v>24</v>
      </c>
      <c r="E61" s="136"/>
      <c r="F61" s="136"/>
      <c r="G61" s="136"/>
      <c r="H61" s="136"/>
      <c r="J61" s="13"/>
      <c r="K61" s="13"/>
    </row>
    <row r="62" spans="1:14" ht="15" hidden="1" customHeight="1" x14ac:dyDescent="0.3">
      <c r="A62" s="98" t="s">
        <v>79</v>
      </c>
      <c r="B62" s="98"/>
      <c r="C62" s="98"/>
      <c r="D62" s="151" t="s">
        <v>157</v>
      </c>
      <c r="E62" s="136"/>
      <c r="F62" s="136"/>
      <c r="G62" s="136"/>
      <c r="H62" s="136"/>
    </row>
    <row r="63" spans="1:14" x14ac:dyDescent="0.3">
      <c r="A63" s="136" t="s">
        <v>158</v>
      </c>
      <c r="B63" s="136"/>
      <c r="C63" s="136"/>
      <c r="D63" s="136" t="s">
        <v>29</v>
      </c>
      <c r="E63" s="136"/>
      <c r="F63" s="136"/>
      <c r="G63" s="136"/>
      <c r="H63" s="136"/>
      <c r="I63" s="44"/>
      <c r="J63" s="44"/>
      <c r="K63" s="44"/>
      <c r="L63" s="44"/>
      <c r="M63" s="44"/>
      <c r="N63" s="44"/>
    </row>
    <row r="64" spans="1:14" ht="15.75" customHeight="1" x14ac:dyDescent="0.3">
      <c r="A64" s="177" t="s">
        <v>90</v>
      </c>
      <c r="B64" s="177"/>
      <c r="C64" s="177"/>
      <c r="D64" s="163" t="str">
        <f ca="1">(IF(G100&gt;95%,"Nothing",IF(G100&gt;0%,"Cement, Aggregate, Steel, etc",IF(G100=0%,"Work not yet Started"))))</f>
        <v>Cement, Aggregate, Steel, etc</v>
      </c>
      <c r="E64" s="163"/>
      <c r="F64" s="163"/>
      <c r="G64" s="163"/>
      <c r="H64" s="163"/>
      <c r="J64" s="13"/>
    </row>
    <row r="65" spans="1:10" ht="33.75" customHeight="1" thickBot="1" x14ac:dyDescent="0.35">
      <c r="A65" s="183" t="s">
        <v>126</v>
      </c>
      <c r="B65" s="183"/>
      <c r="C65" s="183"/>
      <c r="D65" s="163" t="str">
        <f ca="1">(IF(D64="Nothing","Yes",IF(D64="Cement, Aggregate, Steel, etc","Under Construction",IF(D64="Work not yet Started","Work not yet Started"))))</f>
        <v>Under Construction</v>
      </c>
      <c r="E65" s="163"/>
      <c r="F65" s="163" t="str">
        <f ca="1">(IF(D64="Nothing","Yes",IF(D64="Cement, Aggregate, Steel, etc","Under Construction",IF(D64="Work not yet Started","Work not yet Started"))))</f>
        <v>Under Construction</v>
      </c>
      <c r="G65" s="163"/>
      <c r="H65" s="163"/>
    </row>
    <row r="66" spans="1:10" x14ac:dyDescent="0.3">
      <c r="A66" s="115" t="s">
        <v>149</v>
      </c>
      <c r="B66" s="116"/>
      <c r="C66" s="117" t="str">
        <f>D56</f>
        <v>Building No.1 = Gr/st + 1st to 14th Floor</v>
      </c>
      <c r="D66" s="118"/>
      <c r="E66" s="118"/>
      <c r="F66" s="118"/>
      <c r="G66" s="118"/>
      <c r="H66" s="119"/>
      <c r="I66" s="37" t="str">
        <f ca="1"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completed","0")))))))))))&amp;(IF(C73=(D67+F67+H67),", RCC Slab Completed",IF(C73&gt;0,", RCC upto "&amp;C73&amp;" Slab Completed",""))&amp;(IF(C74=H67,", Brickwork Completed",IF(C74&gt;0,", Brickwork upto "&amp;C74&amp;" Floor Completed",""))&amp;(IF(C75=H67,", Internal Plaster Completed",IF(C75&gt;0,", Internal Plaster upto "&amp;C75&amp;" Floor Completed",""))&amp;(IF(C76=H67,", External Plaster Completed",IF(C76&gt;0,", External Plaster upto "&amp;C76&amp;" Floor Completed",""))&amp;(IF(C77=H67,", Flooring Completed",IF(C77&gt;0,", Flooring upto "&amp;C77&amp;" Floor Completed",""))&amp;(IF(C78=H67,", Painting Completed",IF(C78&gt;0,", Painting upto "&amp;C78&amp;" Floor Completed",""))&amp;(IF(C79&gt;0,", Finishing upto "&amp;C79&amp;" Floor Completed","")&amp;(IF(C73&gt;0.5,".",""))))))))))))))</f>
        <v>All work completed. Please provide OC.</v>
      </c>
      <c r="J66" s="15"/>
    </row>
    <row r="67" spans="1:10" x14ac:dyDescent="0.3">
      <c r="A67" s="42" t="s">
        <v>151</v>
      </c>
      <c r="B67" s="46">
        <v>0</v>
      </c>
      <c r="C67" s="46" t="s">
        <v>76</v>
      </c>
      <c r="D67" s="46">
        <v>1</v>
      </c>
      <c r="E67" s="58" t="s">
        <v>75</v>
      </c>
      <c r="F67" s="58">
        <v>0</v>
      </c>
      <c r="G67" s="58" t="s">
        <v>84</v>
      </c>
      <c r="H67" s="59">
        <f ca="1">--TRIM(RIGHT(SUBSTITUTE(LEFT(C66,_xlfn.AGGREGATE(16,6,FIND({0,1,2,3,4,5,6,7,8,9},C66,ROW(INDIRECT("1:"&amp;LEN(C66)))),1))," ",REPT(" ",LEN(C66))),LEN(C66)))</f>
        <v>14</v>
      </c>
      <c r="I67" s="13"/>
      <c r="J67" s="16"/>
    </row>
    <row r="68" spans="1:10" x14ac:dyDescent="0.3">
      <c r="A68" s="145" t="s">
        <v>89</v>
      </c>
      <c r="B68" s="146"/>
      <c r="C68" s="147">
        <v>1</v>
      </c>
      <c r="D68" s="178"/>
      <c r="E68" s="146" t="s">
        <v>88</v>
      </c>
      <c r="F68" s="146"/>
      <c r="G68" s="179">
        <v>1</v>
      </c>
      <c r="H68" s="180"/>
      <c r="I68" s="13"/>
      <c r="J68" s="16"/>
    </row>
    <row r="69" spans="1:10" ht="16.2" thickBot="1" x14ac:dyDescent="0.35">
      <c r="A69" s="130" t="s">
        <v>94</v>
      </c>
      <c r="B69" s="131"/>
      <c r="C69" s="132" t="str">
        <f ca="1">(IF($G$51="NA",I66,"All work Completed. OC Received."))</f>
        <v>All work completed. Please provide OC.</v>
      </c>
      <c r="D69" s="132"/>
      <c r="E69" s="181"/>
      <c r="F69" s="181"/>
      <c r="G69" s="181"/>
      <c r="H69" s="182"/>
      <c r="I69" s="13" t="s">
        <v>112</v>
      </c>
      <c r="J69" s="16"/>
    </row>
    <row r="70" spans="1:10" ht="15.75" hidden="1" customHeight="1" x14ac:dyDescent="0.3">
      <c r="A70" s="142" t="s">
        <v>51</v>
      </c>
      <c r="B70" s="143"/>
      <c r="C70" s="60" t="s">
        <v>148</v>
      </c>
      <c r="D70" s="60" t="s">
        <v>87</v>
      </c>
      <c r="E70" s="143" t="s">
        <v>89</v>
      </c>
      <c r="F70" s="143"/>
      <c r="G70" s="143" t="s">
        <v>88</v>
      </c>
      <c r="H70" s="144"/>
      <c r="I70" s="33" t="s">
        <v>150</v>
      </c>
      <c r="J70" s="17">
        <f ca="1">H67*25%</f>
        <v>3.5</v>
      </c>
    </row>
    <row r="71" spans="1:10" hidden="1" x14ac:dyDescent="0.3">
      <c r="A71" s="91" t="s">
        <v>137</v>
      </c>
      <c r="B71" s="92"/>
      <c r="C71" s="50">
        <f ca="1">J72</f>
        <v>14</v>
      </c>
      <c r="D71" s="51">
        <f ca="1">((100/H67)*C71)/100</f>
        <v>1</v>
      </c>
      <c r="E71" s="93">
        <f ca="1">(((C72/H67*10)+(40/(D67+F67+H67)*C73)+(7.5/(H67)*C74)+(7.5/(H67)*C75)+(10/H67*C76)+(10/H67*C77)+(5/H67*C78)+(5/H67*C79)+(5/H67*C80))/100)</f>
        <v>1</v>
      </c>
      <c r="F71" s="93"/>
      <c r="G71" s="93">
        <f ca="1">((((C71/H67)*20)+((C72/H67)*25)+(30/(H67+F67+D67)*C73)+(5/H67*C74)+(5/H67*C75)+(5/H67*C76)+(5/H67*C77)+(0/H67*C78)+(0/H67*C79)+(5/H67*C80))/100)</f>
        <v>1</v>
      </c>
      <c r="H71" s="94"/>
      <c r="I71" s="33" t="s">
        <v>107</v>
      </c>
      <c r="J71" s="36">
        <f ca="1">H67*50%</f>
        <v>7</v>
      </c>
    </row>
    <row r="72" spans="1:10" hidden="1" x14ac:dyDescent="0.3">
      <c r="A72" s="91" t="s">
        <v>52</v>
      </c>
      <c r="B72" s="92"/>
      <c r="C72" s="52">
        <f ca="1">J80</f>
        <v>14</v>
      </c>
      <c r="D72" s="51">
        <f ca="1">((100/H67)*C72)/100</f>
        <v>1</v>
      </c>
      <c r="E72" s="93"/>
      <c r="F72" s="93"/>
      <c r="G72" s="93"/>
      <c r="H72" s="94"/>
      <c r="I72" s="33" t="s">
        <v>108</v>
      </c>
      <c r="J72" s="36">
        <f ca="1">H67</f>
        <v>14</v>
      </c>
    </row>
    <row r="73" spans="1:10" ht="15.75" hidden="1" customHeight="1" x14ac:dyDescent="0.3">
      <c r="A73" s="91" t="s">
        <v>138</v>
      </c>
      <c r="B73" s="92"/>
      <c r="C73" s="52">
        <v>15</v>
      </c>
      <c r="D73" s="51">
        <f ca="1">((100/(D67+F67+H67))*C73)/100</f>
        <v>1</v>
      </c>
      <c r="E73" s="93"/>
      <c r="F73" s="93"/>
      <c r="G73" s="93"/>
      <c r="H73" s="94"/>
      <c r="I73" s="33" t="s">
        <v>109</v>
      </c>
      <c r="J73" s="39">
        <f ca="1">(IF(B67&gt;1,(H67/(B67+2)),H67/4))</f>
        <v>3.5</v>
      </c>
    </row>
    <row r="74" spans="1:10" ht="15.75" hidden="1" customHeight="1" x14ac:dyDescent="0.3">
      <c r="A74" s="91" t="s">
        <v>145</v>
      </c>
      <c r="B74" s="92" t="s">
        <v>139</v>
      </c>
      <c r="C74" s="50">
        <v>14</v>
      </c>
      <c r="D74" s="51">
        <f ca="1">((100/H67)*C74)/100</f>
        <v>1</v>
      </c>
      <c r="E74" s="93"/>
      <c r="F74" s="93"/>
      <c r="G74" s="93"/>
      <c r="H74" s="94"/>
      <c r="I74" s="33" t="s">
        <v>110</v>
      </c>
      <c r="J74" s="39">
        <f ca="1">(IF(B67&gt;1,(H67/(B67+2)+J73),H67/4+J73))</f>
        <v>7</v>
      </c>
    </row>
    <row r="75" spans="1:10" ht="15.75" hidden="1" customHeight="1" x14ac:dyDescent="0.3">
      <c r="A75" s="91" t="s">
        <v>146</v>
      </c>
      <c r="B75" s="92" t="s">
        <v>139</v>
      </c>
      <c r="C75" s="50">
        <v>14</v>
      </c>
      <c r="D75" s="51">
        <f ca="1">((100/H67)*C75)/100</f>
        <v>1</v>
      </c>
      <c r="E75" s="93"/>
      <c r="F75" s="93"/>
      <c r="G75" s="93"/>
      <c r="H75" s="94"/>
      <c r="I75" s="33" t="s">
        <v>155</v>
      </c>
      <c r="J75" s="39">
        <f>(IF(B67&gt;1,(H67/(B67+2)+J74),0))</f>
        <v>0</v>
      </c>
    </row>
    <row r="76" spans="1:10" ht="15" hidden="1" customHeight="1" x14ac:dyDescent="0.3">
      <c r="A76" s="91" t="s">
        <v>144</v>
      </c>
      <c r="B76" s="92" t="s">
        <v>141</v>
      </c>
      <c r="C76" s="50">
        <v>14</v>
      </c>
      <c r="D76" s="51">
        <f ca="1">((100/(H67))*C76)/100</f>
        <v>1</v>
      </c>
      <c r="E76" s="93"/>
      <c r="F76" s="93"/>
      <c r="G76" s="93"/>
      <c r="H76" s="94"/>
      <c r="I76" s="33" t="s">
        <v>152</v>
      </c>
      <c r="J76" s="39">
        <f>(IF(B67&gt;2,(H67/(B67+2)+J75),0))</f>
        <v>0</v>
      </c>
    </row>
    <row r="77" spans="1:10" ht="15.75" hidden="1" customHeight="1" x14ac:dyDescent="0.3">
      <c r="A77" s="91" t="s">
        <v>140</v>
      </c>
      <c r="B77" s="92" t="s">
        <v>140</v>
      </c>
      <c r="C77" s="50">
        <v>14</v>
      </c>
      <c r="D77" s="51">
        <f ca="1">((100/H67)*C77)/100</f>
        <v>1</v>
      </c>
      <c r="E77" s="93"/>
      <c r="F77" s="93"/>
      <c r="G77" s="93"/>
      <c r="H77" s="94"/>
      <c r="I77" s="33" t="s">
        <v>153</v>
      </c>
      <c r="J77" s="40">
        <f>(IF(B67&gt;3,(H67/(B67+2)+J76),0))</f>
        <v>0</v>
      </c>
    </row>
    <row r="78" spans="1:10" ht="15.75" hidden="1" customHeight="1" x14ac:dyDescent="0.3">
      <c r="A78" s="91" t="s">
        <v>147</v>
      </c>
      <c r="B78" s="92"/>
      <c r="C78" s="50">
        <v>14</v>
      </c>
      <c r="D78" s="51">
        <f ca="1">((100/H67)*C78)/100</f>
        <v>1</v>
      </c>
      <c r="E78" s="93"/>
      <c r="F78" s="93"/>
      <c r="G78" s="93"/>
      <c r="H78" s="94"/>
      <c r="I78" s="33" t="s">
        <v>154</v>
      </c>
      <c r="J78" s="39">
        <f>(IF(B67&gt;4,(H67/(B67+2)+J77),0))</f>
        <v>0</v>
      </c>
    </row>
    <row r="79" spans="1:10" ht="15.75" hidden="1" customHeight="1" x14ac:dyDescent="0.3">
      <c r="A79" s="91" t="s">
        <v>142</v>
      </c>
      <c r="B79" s="92" t="s">
        <v>142</v>
      </c>
      <c r="C79" s="50">
        <v>14</v>
      </c>
      <c r="D79" s="51">
        <f ca="1">((100/(H67))*C79)/100</f>
        <v>1</v>
      </c>
      <c r="E79" s="93"/>
      <c r="F79" s="93"/>
      <c r="G79" s="93"/>
      <c r="H79" s="94"/>
      <c r="I79" s="33" t="s">
        <v>156</v>
      </c>
      <c r="J79" s="39">
        <f ca="1">(IF(B67=1,(H67/(B67+3)+J74),IF(B67=0,(H67/4+J74),IF(B67&gt;1,0))))</f>
        <v>10.5</v>
      </c>
    </row>
    <row r="80" spans="1:10" ht="16.2" hidden="1" thickBot="1" x14ac:dyDescent="0.35">
      <c r="A80" s="109" t="s">
        <v>143</v>
      </c>
      <c r="B80" s="110"/>
      <c r="C80" s="53">
        <v>14</v>
      </c>
      <c r="D80" s="54">
        <f ca="1">((100/(H67))*C80)/100</f>
        <v>1</v>
      </c>
      <c r="E80" s="95"/>
      <c r="F80" s="95"/>
      <c r="G80" s="95"/>
      <c r="H80" s="96"/>
      <c r="I80" s="38" t="s">
        <v>111</v>
      </c>
      <c r="J80" s="41">
        <f ca="1">(IF(B67&gt;1.5,(H67/(B67+2)+J74+MAX(0,J75-J74)+MAX(0,J76-J75)+MAX(0,J77-J76)+MAX(0,J78-J77)+MAX(0,J79-J78)),IF(B67=1,(H67/(B67+3)+J79),IF(B67=0,H67/4+J79))))</f>
        <v>14</v>
      </c>
    </row>
    <row r="81" spans="1:10" ht="15.75" customHeight="1" x14ac:dyDescent="0.3">
      <c r="A81" s="115" t="s">
        <v>149</v>
      </c>
      <c r="B81" s="116"/>
      <c r="C81" s="117" t="str">
        <f>D57</f>
        <v>Building No.2 = Gr/st + 1st to 13th Floor</v>
      </c>
      <c r="D81" s="118"/>
      <c r="E81" s="118"/>
      <c r="F81" s="118"/>
      <c r="G81" s="118"/>
      <c r="H81" s="119"/>
      <c r="I81" s="37" t="str">
        <f ca="1">(IF(E86&gt;99%,"All work completed. Please provide OC.",IF(E86&gt;89.8%,"Plinth, RCC, Brick, Plaster, Flooring, Painting work Completed. Finishing work is in process.",IF(E86&lt;94%,(IF(C86=0,"Work not yet Started.",IF(D86=25%,"Piling work in process",IF(D86=50%,"Excavation work in process",IF(D86=100%,"Excavation work Completed. ","0")))&amp;(IF(C87=0%,"",IF(C87=J88,"Footing work is process",IF(C87=J89,"Footing work Completed",IF(C87=J90,"1st Basement Completed",IF(C87=J91,"1st &amp; 2nd Basement Completed",IF(C87=J92,"1st to 3rd Basement Completed",IF(C87=J93,"1st to 4th Basement Completed",IF(C87=J94,"Plinth work is process",IF(C87=J95,"Plinth work completed","0")))))))))))&amp;(IF(C88=(D82+F82+H82),", RCC Slab Completed",IF(C88&gt;0,", RCC upto "&amp;C88&amp;" Slab Completed",""))&amp;(IF(C89=H82,", Brickwork Completed",IF(C89&gt;0,", Brickwork upto "&amp;C89&amp;" Floor Completed",""))&amp;(IF(C90=H82,", Internal Plaster Completed",IF(C90&gt;0,", Internal Plaster upto "&amp;C90&amp;" Floor Completed",""))&amp;(IF(C91=H82,", External Plaster Completed",IF(C91&gt;0,", External Plaster upto "&amp;C91&amp;" Floor Completed",""))&amp;(IF(C92=H82,", Flooring Completed",IF(C92&gt;0,", Flooring upto "&amp;C92&amp;" Floor Completed",""))&amp;(IF(C93=H82,", Painting Completed",IF(C93&gt;0,", Painting upto "&amp;C93&amp;" Floor Completed",""))&amp;(IF(C94&gt;0,", Finishing upto "&amp;C94&amp;" Floor Completed","")&amp;(IF(C88&gt;0.5,".",""))))))))))))))</f>
        <v>All work completed. Please provide OC.</v>
      </c>
      <c r="J81" s="15"/>
    </row>
    <row r="82" spans="1:10" x14ac:dyDescent="0.3">
      <c r="A82" s="42" t="s">
        <v>151</v>
      </c>
      <c r="B82" s="46">
        <v>0</v>
      </c>
      <c r="C82" s="46" t="s">
        <v>76</v>
      </c>
      <c r="D82" s="46">
        <v>1</v>
      </c>
      <c r="E82" s="46" t="s">
        <v>75</v>
      </c>
      <c r="F82" s="46">
        <v>0</v>
      </c>
      <c r="G82" s="46" t="s">
        <v>84</v>
      </c>
      <c r="H82" s="43">
        <f ca="1">--TRIM(RIGHT(SUBSTITUTE(LEFT(C81,_xlfn.AGGREGATE(16,6,FIND({0,1,2,3,4,5,6,7,8,9},C81,ROW(INDIRECT("1:"&amp;LEN(C81)))),1))," ",REPT(" ",LEN(C81))),LEN(C81)))</f>
        <v>13</v>
      </c>
      <c r="I82" s="13"/>
      <c r="J82" s="16"/>
    </row>
    <row r="83" spans="1:10" x14ac:dyDescent="0.3">
      <c r="A83" s="145" t="s">
        <v>89</v>
      </c>
      <c r="B83" s="146"/>
      <c r="C83" s="147">
        <v>1</v>
      </c>
      <c r="D83" s="148"/>
      <c r="E83" s="149" t="s">
        <v>88</v>
      </c>
      <c r="F83" s="148"/>
      <c r="G83" s="147">
        <v>1</v>
      </c>
      <c r="H83" s="150"/>
      <c r="I83" s="13"/>
      <c r="J83" s="16"/>
    </row>
    <row r="84" spans="1:10" ht="16.2" thickBot="1" x14ac:dyDescent="0.35">
      <c r="A84" s="130" t="s">
        <v>94</v>
      </c>
      <c r="B84" s="131"/>
      <c r="C84" s="132" t="str">
        <f ca="1">(IF($G$51="NA",I81,"All work Completed. OC Received."))</f>
        <v>All work completed. Please provide OC.</v>
      </c>
      <c r="D84" s="132"/>
      <c r="E84" s="132"/>
      <c r="F84" s="132"/>
      <c r="G84" s="132"/>
      <c r="H84" s="133"/>
      <c r="I84" s="13" t="s">
        <v>112</v>
      </c>
      <c r="J84" s="16"/>
    </row>
    <row r="85" spans="1:10" ht="15.75" hidden="1" customHeight="1" x14ac:dyDescent="0.3">
      <c r="A85" s="142" t="s">
        <v>51</v>
      </c>
      <c r="B85" s="143"/>
      <c r="C85" s="60" t="s">
        <v>148</v>
      </c>
      <c r="D85" s="60" t="s">
        <v>87</v>
      </c>
      <c r="E85" s="143" t="s">
        <v>89</v>
      </c>
      <c r="F85" s="143"/>
      <c r="G85" s="143" t="s">
        <v>88</v>
      </c>
      <c r="H85" s="144"/>
      <c r="I85" s="33" t="s">
        <v>150</v>
      </c>
      <c r="J85" s="17">
        <f ca="1">H82*25%</f>
        <v>3.25</v>
      </c>
    </row>
    <row r="86" spans="1:10" hidden="1" x14ac:dyDescent="0.3">
      <c r="A86" s="91" t="s">
        <v>137</v>
      </c>
      <c r="B86" s="92"/>
      <c r="C86" s="50">
        <f ca="1">J87</f>
        <v>13</v>
      </c>
      <c r="D86" s="51">
        <f ca="1">((100/H82)*C86)/100</f>
        <v>1</v>
      </c>
      <c r="E86" s="93">
        <f ca="1">(((C87/H82*10)+(40/(D82+F82+H82)*C88)+(7.5/(H82)*C89)+(7.5/(H82)*C90)+(10/H82*C91)+(10/H82*C92)+(5/H82*C93)+(5/H82*C94)+(5/H82*C95))/100)</f>
        <v>1</v>
      </c>
      <c r="F86" s="93"/>
      <c r="G86" s="93">
        <f ca="1">((((C86/H82)*20)+((C87/H82)*25)+(30/(H82+F82+D82)*C88)+(5/H82*C89)+(5/H82*C90)+(5/H82*C91)+(5/H82*C92)+(0/H82*C93)+(0/H82*C94)+(5/H82*C95))/100)</f>
        <v>1</v>
      </c>
      <c r="H86" s="94"/>
      <c r="I86" s="33" t="s">
        <v>107</v>
      </c>
      <c r="J86" s="36">
        <f ca="1">H82*50%</f>
        <v>6.5</v>
      </c>
    </row>
    <row r="87" spans="1:10" hidden="1" x14ac:dyDescent="0.3">
      <c r="A87" s="91" t="s">
        <v>52</v>
      </c>
      <c r="B87" s="92"/>
      <c r="C87" s="52">
        <f ca="1">J95</f>
        <v>13</v>
      </c>
      <c r="D87" s="51">
        <f ca="1">((100/H82)*C87)/100</f>
        <v>1</v>
      </c>
      <c r="E87" s="93"/>
      <c r="F87" s="93"/>
      <c r="G87" s="93"/>
      <c r="H87" s="94"/>
      <c r="I87" s="33" t="s">
        <v>108</v>
      </c>
      <c r="J87" s="36">
        <f ca="1">H82</f>
        <v>13</v>
      </c>
    </row>
    <row r="88" spans="1:10" ht="15.75" hidden="1" customHeight="1" x14ac:dyDescent="0.3">
      <c r="A88" s="91" t="s">
        <v>138</v>
      </c>
      <c r="B88" s="92"/>
      <c r="C88" s="52">
        <v>14</v>
      </c>
      <c r="D88" s="51">
        <f ca="1">((100/(D82+F82+H82))*C88)/100</f>
        <v>1</v>
      </c>
      <c r="E88" s="93"/>
      <c r="F88" s="93"/>
      <c r="G88" s="93"/>
      <c r="H88" s="94"/>
      <c r="I88" s="33" t="s">
        <v>109</v>
      </c>
      <c r="J88" s="39">
        <f ca="1">(IF(B82&gt;1,(H82/(B82+2)),H82/4))</f>
        <v>3.25</v>
      </c>
    </row>
    <row r="89" spans="1:10" ht="15.75" hidden="1" customHeight="1" x14ac:dyDescent="0.3">
      <c r="A89" s="91" t="s">
        <v>145</v>
      </c>
      <c r="B89" s="92" t="s">
        <v>139</v>
      </c>
      <c r="C89" s="50">
        <v>13</v>
      </c>
      <c r="D89" s="51">
        <f ca="1">((100/H82)*C89)/100</f>
        <v>1</v>
      </c>
      <c r="E89" s="93"/>
      <c r="F89" s="93"/>
      <c r="G89" s="93"/>
      <c r="H89" s="94"/>
      <c r="I89" s="33" t="s">
        <v>110</v>
      </c>
      <c r="J89" s="39">
        <f ca="1">(IF(B82&gt;1,(H82/(B82+2)+J88),H82/4+J88))</f>
        <v>6.5</v>
      </c>
    </row>
    <row r="90" spans="1:10" ht="15.75" hidden="1" customHeight="1" x14ac:dyDescent="0.3">
      <c r="A90" s="91" t="s">
        <v>146</v>
      </c>
      <c r="B90" s="92" t="s">
        <v>139</v>
      </c>
      <c r="C90" s="50">
        <v>13</v>
      </c>
      <c r="D90" s="51">
        <f ca="1">((100/H82)*C90)/100</f>
        <v>1</v>
      </c>
      <c r="E90" s="93"/>
      <c r="F90" s="93"/>
      <c r="G90" s="93"/>
      <c r="H90" s="94"/>
      <c r="I90" s="33" t="s">
        <v>155</v>
      </c>
      <c r="J90" s="39">
        <f>(IF(B82&gt;1,(H82/(B82+2)+J89),0))</f>
        <v>0</v>
      </c>
    </row>
    <row r="91" spans="1:10" ht="15" hidden="1" customHeight="1" x14ac:dyDescent="0.3">
      <c r="A91" s="91" t="s">
        <v>144</v>
      </c>
      <c r="B91" s="92" t="s">
        <v>141</v>
      </c>
      <c r="C91" s="50">
        <v>13</v>
      </c>
      <c r="D91" s="51">
        <f ca="1">((100/(H82))*C91)/100</f>
        <v>1</v>
      </c>
      <c r="E91" s="93"/>
      <c r="F91" s="93"/>
      <c r="G91" s="93"/>
      <c r="H91" s="94"/>
      <c r="I91" s="33" t="s">
        <v>152</v>
      </c>
      <c r="J91" s="39">
        <f>(IF(B82&gt;2,(H82/(B82+2)+J90),0))</f>
        <v>0</v>
      </c>
    </row>
    <row r="92" spans="1:10" ht="15.75" hidden="1" customHeight="1" x14ac:dyDescent="0.3">
      <c r="A92" s="91" t="s">
        <v>140</v>
      </c>
      <c r="B92" s="92" t="s">
        <v>140</v>
      </c>
      <c r="C92" s="50">
        <v>13</v>
      </c>
      <c r="D92" s="51">
        <f ca="1">((100/H82)*C92)/100</f>
        <v>1</v>
      </c>
      <c r="E92" s="93"/>
      <c r="F92" s="93"/>
      <c r="G92" s="93"/>
      <c r="H92" s="94"/>
      <c r="I92" s="33" t="s">
        <v>153</v>
      </c>
      <c r="J92" s="40">
        <f>(IF(B82&gt;3,(H82/(B82+2)+J91),0))</f>
        <v>0</v>
      </c>
    </row>
    <row r="93" spans="1:10" ht="15.75" hidden="1" customHeight="1" x14ac:dyDescent="0.3">
      <c r="A93" s="91" t="s">
        <v>147</v>
      </c>
      <c r="B93" s="92"/>
      <c r="C93" s="50">
        <v>13</v>
      </c>
      <c r="D93" s="51">
        <f ca="1">((100/H82)*C93)/100</f>
        <v>1</v>
      </c>
      <c r="E93" s="93"/>
      <c r="F93" s="93"/>
      <c r="G93" s="93"/>
      <c r="H93" s="94"/>
      <c r="I93" s="33" t="s">
        <v>154</v>
      </c>
      <c r="J93" s="39">
        <f>(IF(B82&gt;4,(H82/(B82+2)+J92),0))</f>
        <v>0</v>
      </c>
    </row>
    <row r="94" spans="1:10" ht="15.75" hidden="1" customHeight="1" x14ac:dyDescent="0.3">
      <c r="A94" s="91" t="s">
        <v>142</v>
      </c>
      <c r="B94" s="92" t="s">
        <v>142</v>
      </c>
      <c r="C94" s="50">
        <v>13</v>
      </c>
      <c r="D94" s="51">
        <f ca="1">((100/(H82))*C94)/100</f>
        <v>1</v>
      </c>
      <c r="E94" s="93"/>
      <c r="F94" s="93"/>
      <c r="G94" s="93"/>
      <c r="H94" s="94"/>
      <c r="I94" s="33" t="s">
        <v>156</v>
      </c>
      <c r="J94" s="39">
        <f ca="1">(IF(B82=1,(H82/(B82+3)+J89),IF(B82=0,(H82/4+J89),IF(B82&gt;1,0))))</f>
        <v>9.75</v>
      </c>
    </row>
    <row r="95" spans="1:10" ht="16.2" hidden="1" thickBot="1" x14ac:dyDescent="0.35">
      <c r="A95" s="109" t="s">
        <v>143</v>
      </c>
      <c r="B95" s="110"/>
      <c r="C95" s="53">
        <v>13</v>
      </c>
      <c r="D95" s="54">
        <f ca="1">((100/(H82))*C95)/100</f>
        <v>1</v>
      </c>
      <c r="E95" s="95"/>
      <c r="F95" s="95"/>
      <c r="G95" s="95"/>
      <c r="H95" s="96"/>
      <c r="I95" s="38" t="s">
        <v>111</v>
      </c>
      <c r="J95" s="41">
        <f ca="1">(IF(B82&gt;1.5,(H82/(B82+2)+J89+MAX(0,J90-J89)+MAX(0,J91-J90)+MAX(0,J92-J91)+MAX(0,J93-J92)+MAX(0,J94-J93)),IF(B82=1,(H82/(B82+3)+J94),IF(B82=0,H82/4+J94))))</f>
        <v>13</v>
      </c>
    </row>
    <row r="96" spans="1:10" ht="15.75" customHeight="1" x14ac:dyDescent="0.3">
      <c r="A96" s="115" t="s">
        <v>149</v>
      </c>
      <c r="B96" s="116"/>
      <c r="C96" s="117" t="str">
        <f>D58</f>
        <v>Building No.3 = Gr/st + 1st to 6th Floor</v>
      </c>
      <c r="D96" s="118"/>
      <c r="E96" s="118"/>
      <c r="F96" s="118"/>
      <c r="G96" s="118"/>
      <c r="H96" s="119"/>
      <c r="I96" s="37" t="str">
        <f ca="1">(IF(E100&gt;99%,"All work completed. Please provide OC.",IF(E100&gt;89.8%,"Plinth, RCC, Brick, Plaster, Flooring, Painting work Completed. Finishing work is in process.",IF(E100&lt;94%,(IF(C100=0,"Work not yet Started.",IF(D100=25%,"Piling work in process",IF(D100=50%,"Excavation work in process",IF(D100=100%,"Excavation work Completed. ","0")))&amp;(IF(C101=0%,"",IF(C101=J102,"Footing work is process",IF(C101=J103,"Footing work Completed",IF(C101=J104,"1st Basement Completed",IF(C101=J105,"1st &amp; 2nd Basement Completed",IF(C101=J106,"1st to 3rd Basement Completed",IF(C101=J107,"1st to 4th Basement Completed",IF(C101=J108,"Plinth work is process",IF(C101=J109,"Plinth work completed","0")))))))))))&amp;(IF(C102=(D97+F97+H97),", RCC Slab Completed",IF(C102&gt;0,", RCC upto "&amp;C102&amp;" Slab Completed",""))&amp;(IF(C103=H97,", Brickwork Completed",IF(C103&gt;0,", Brickwork upto "&amp;C103&amp;" Floor Completed",""))&amp;(IF(C104=H97,", Internal Plaster Completed",IF(C104&gt;0,", Internal Plaster upto "&amp;C104&amp;" Floor Completed",""))&amp;(IF(C105=H97,", External Plaster Completed",IF(C105&gt;0,", External Plaster upto "&amp;C105&amp;" Floor Completed",""))&amp;(IF(C106=H97,", Flooring Completed",IF(C106&gt;0,", Flooring upto "&amp;C106&amp;" Floor Completed",""))&amp;(IF(C107=H97,", Painting Completed",IF(C107&gt;0,", Painting upto "&amp;C107&amp;" Floor Completed",""))&amp;(IF(C108&gt;0,", Finishing upto "&amp;C108&amp;" Floor Completed","")&amp;(IF(C102&gt;0.5,".",""))))))))))))))</f>
        <v>Excavation work Completed. Plinth work completed, RCC upto 4 Slab Completed, Brickwork upto 3 Floor Completed, Internal Plaster upto 3 Floor Completed, External Plaster upto 3 Floor Completed, Flooring upto 3 Floor Completed, Painting upto 3 Floor Completed, Finishing upto 3 Floor Completed.</v>
      </c>
      <c r="J96" s="15"/>
    </row>
    <row r="97" spans="1:10" x14ac:dyDescent="0.3">
      <c r="A97" s="42" t="s">
        <v>151</v>
      </c>
      <c r="B97" s="46">
        <v>0</v>
      </c>
      <c r="C97" s="46" t="s">
        <v>76</v>
      </c>
      <c r="D97" s="46">
        <v>1</v>
      </c>
      <c r="E97" s="46" t="s">
        <v>75</v>
      </c>
      <c r="F97" s="46">
        <v>0</v>
      </c>
      <c r="G97" s="46" t="s">
        <v>84</v>
      </c>
      <c r="H97" s="43">
        <f ca="1">--TRIM(RIGHT(SUBSTITUTE(LEFT(C96,_xlfn.AGGREGATE(16,6,FIND({0,1,2,3,4,5,6,7,8,9},C96,ROW(INDIRECT("1:"&amp;LEN(C96)))),1))," ",REPT(" ",LEN(C96))),LEN(C96)))</f>
        <v>6</v>
      </c>
      <c r="I97" s="13"/>
      <c r="J97" s="16"/>
    </row>
    <row r="98" spans="1:10" ht="65.400000000000006" customHeight="1" x14ac:dyDescent="0.3">
      <c r="A98" s="126" t="s">
        <v>94</v>
      </c>
      <c r="B98" s="127"/>
      <c r="C98" s="128" t="str">
        <f ca="1">(IF($G$51="NA",I96,"All work Completed. OC Received."))</f>
        <v>Excavation work Completed. Plinth work completed, RCC upto 4 Slab Completed, Brickwork upto 3 Floor Completed, Internal Plaster upto 3 Floor Completed, External Plaster upto 3 Floor Completed, Flooring upto 3 Floor Completed, Painting upto 3 Floor Completed, Finishing upto 3 Floor Completed.</v>
      </c>
      <c r="D98" s="128"/>
      <c r="E98" s="128"/>
      <c r="F98" s="128"/>
      <c r="G98" s="128"/>
      <c r="H98" s="129"/>
      <c r="I98" s="13" t="s">
        <v>112</v>
      </c>
      <c r="J98" s="16"/>
    </row>
    <row r="99" spans="1:10" ht="15.75" customHeight="1" x14ac:dyDescent="0.3">
      <c r="A99" s="91" t="s">
        <v>51</v>
      </c>
      <c r="B99" s="92"/>
      <c r="C99" s="49" t="s">
        <v>148</v>
      </c>
      <c r="D99" s="49" t="s">
        <v>87</v>
      </c>
      <c r="E99" s="92" t="s">
        <v>89</v>
      </c>
      <c r="F99" s="92"/>
      <c r="G99" s="92" t="s">
        <v>88</v>
      </c>
      <c r="H99" s="134"/>
      <c r="I99" s="33" t="s">
        <v>150</v>
      </c>
      <c r="J99" s="17">
        <f ca="1">H97*25%</f>
        <v>1.5</v>
      </c>
    </row>
    <row r="100" spans="1:10" x14ac:dyDescent="0.3">
      <c r="A100" s="91" t="s">
        <v>137</v>
      </c>
      <c r="B100" s="92"/>
      <c r="C100" s="50">
        <f ca="1">J101</f>
        <v>6</v>
      </c>
      <c r="D100" s="51">
        <f ca="1">((100/H97)*C100)/100</f>
        <v>1</v>
      </c>
      <c r="E100" s="93">
        <f ca="1">(((C101/H97*10)+(40/(D97+F97+H97)*C102)+(7.5/(H97)*C103)+(7.5/(H97)*C104)+(10/H97*C105)+(10/H97*C106)+(5/H97*C107)+(5/H97*C108)+(5/H97*C109))/100)</f>
        <v>0.57857142857142863</v>
      </c>
      <c r="F100" s="93"/>
      <c r="G100" s="93">
        <f ca="1">((((C100/H97)*20)+((C101/H97)*25)+(30/(H97+F97+D97)*C102)+(5/H97*C103)+(5/H97*C104)+(5/H97*C105)+(5/H97*C106)+(0/H97*C107)+(0/H97*C108)+(5/H97*C109))/100)</f>
        <v>0.74642857142857144</v>
      </c>
      <c r="H100" s="94"/>
      <c r="I100" s="33" t="s">
        <v>107</v>
      </c>
      <c r="J100" s="36">
        <f ca="1">H97*50%</f>
        <v>3</v>
      </c>
    </row>
    <row r="101" spans="1:10" x14ac:dyDescent="0.3">
      <c r="A101" s="91" t="s">
        <v>52</v>
      </c>
      <c r="B101" s="92"/>
      <c r="C101" s="52">
        <f ca="1">J109</f>
        <v>6</v>
      </c>
      <c r="D101" s="51">
        <f ca="1">((100/H97)*C101)/100</f>
        <v>1</v>
      </c>
      <c r="E101" s="93"/>
      <c r="F101" s="93"/>
      <c r="G101" s="93"/>
      <c r="H101" s="94"/>
      <c r="I101" s="33" t="s">
        <v>108</v>
      </c>
      <c r="J101" s="36">
        <f ca="1">H97</f>
        <v>6</v>
      </c>
    </row>
    <row r="102" spans="1:10" ht="15.75" customHeight="1" x14ac:dyDescent="0.3">
      <c r="A102" s="91" t="s">
        <v>138</v>
      </c>
      <c r="B102" s="92"/>
      <c r="C102" s="52">
        <v>4</v>
      </c>
      <c r="D102" s="51">
        <f ca="1">((100/(D97+F97+H97))*C102)/100</f>
        <v>0.57142857142857151</v>
      </c>
      <c r="E102" s="93"/>
      <c r="F102" s="93"/>
      <c r="G102" s="93"/>
      <c r="H102" s="94"/>
      <c r="I102" s="33" t="s">
        <v>109</v>
      </c>
      <c r="J102" s="39">
        <f ca="1">(IF(B97&gt;1,(H97/(B97+2)),H97/4))</f>
        <v>1.5</v>
      </c>
    </row>
    <row r="103" spans="1:10" ht="15.75" customHeight="1" x14ac:dyDescent="0.3">
      <c r="A103" s="91" t="s">
        <v>145</v>
      </c>
      <c r="B103" s="92" t="s">
        <v>139</v>
      </c>
      <c r="C103" s="50">
        <v>3</v>
      </c>
      <c r="D103" s="51">
        <f ca="1">((100/H97)*C103)/100</f>
        <v>0.5</v>
      </c>
      <c r="E103" s="93"/>
      <c r="F103" s="93"/>
      <c r="G103" s="93"/>
      <c r="H103" s="94"/>
      <c r="I103" s="33" t="s">
        <v>110</v>
      </c>
      <c r="J103" s="39">
        <f ca="1">(IF(B97&gt;1,(H97/(B97+2)+J102),H97/4+J102))</f>
        <v>3</v>
      </c>
    </row>
    <row r="104" spans="1:10" ht="15.75" customHeight="1" x14ac:dyDescent="0.3">
      <c r="A104" s="91" t="s">
        <v>146</v>
      </c>
      <c r="B104" s="92" t="s">
        <v>139</v>
      </c>
      <c r="C104" s="50">
        <v>3</v>
      </c>
      <c r="D104" s="51">
        <f ca="1">((100/H97)*C104)/100</f>
        <v>0.5</v>
      </c>
      <c r="E104" s="93"/>
      <c r="F104" s="93"/>
      <c r="G104" s="93"/>
      <c r="H104" s="94"/>
      <c r="I104" s="33" t="s">
        <v>155</v>
      </c>
      <c r="J104" s="39">
        <f>(IF(B97&gt;1,(H97/(B97+2)+J103),0))</f>
        <v>0</v>
      </c>
    </row>
    <row r="105" spans="1:10" ht="15" customHeight="1" x14ac:dyDescent="0.3">
      <c r="A105" s="91" t="s">
        <v>144</v>
      </c>
      <c r="B105" s="92" t="s">
        <v>141</v>
      </c>
      <c r="C105" s="50">
        <v>3</v>
      </c>
      <c r="D105" s="51">
        <f ca="1">((100/(H97))*C105)/100</f>
        <v>0.5</v>
      </c>
      <c r="E105" s="93"/>
      <c r="F105" s="93"/>
      <c r="G105" s="93"/>
      <c r="H105" s="94"/>
      <c r="I105" s="33" t="s">
        <v>152</v>
      </c>
      <c r="J105" s="39">
        <f>(IF(B97&gt;2,(H97/(B97+2)+J104),0))</f>
        <v>0</v>
      </c>
    </row>
    <row r="106" spans="1:10" ht="15.75" customHeight="1" x14ac:dyDescent="0.3">
      <c r="A106" s="91" t="s">
        <v>140</v>
      </c>
      <c r="B106" s="92" t="s">
        <v>140</v>
      </c>
      <c r="C106" s="50">
        <v>3</v>
      </c>
      <c r="D106" s="51">
        <f ca="1">((100/H97)*C106)/100</f>
        <v>0.5</v>
      </c>
      <c r="E106" s="93"/>
      <c r="F106" s="93"/>
      <c r="G106" s="93"/>
      <c r="H106" s="94"/>
      <c r="I106" s="33" t="s">
        <v>153</v>
      </c>
      <c r="J106" s="40">
        <f>(IF(B97&gt;3,(H97/(B97+2)+J105),0))</f>
        <v>0</v>
      </c>
    </row>
    <row r="107" spans="1:10" ht="15.75" customHeight="1" x14ac:dyDescent="0.3">
      <c r="A107" s="91" t="s">
        <v>147</v>
      </c>
      <c r="B107" s="92"/>
      <c r="C107" s="50">
        <v>3</v>
      </c>
      <c r="D107" s="51">
        <f ca="1">((100/H97)*C107)/100</f>
        <v>0.5</v>
      </c>
      <c r="E107" s="93"/>
      <c r="F107" s="93"/>
      <c r="G107" s="93"/>
      <c r="H107" s="94"/>
      <c r="I107" s="33" t="s">
        <v>154</v>
      </c>
      <c r="J107" s="39">
        <f>(IF(B97&gt;4,(H97/(B97+2)+J106),0))</f>
        <v>0</v>
      </c>
    </row>
    <row r="108" spans="1:10" ht="15.75" customHeight="1" x14ac:dyDescent="0.3">
      <c r="A108" s="91" t="s">
        <v>142</v>
      </c>
      <c r="B108" s="92" t="s">
        <v>142</v>
      </c>
      <c r="C108" s="50">
        <v>3</v>
      </c>
      <c r="D108" s="51">
        <f ca="1">((100/(H97))*C108)/100</f>
        <v>0.5</v>
      </c>
      <c r="E108" s="93"/>
      <c r="F108" s="93"/>
      <c r="G108" s="93"/>
      <c r="H108" s="94"/>
      <c r="I108" s="33" t="s">
        <v>156</v>
      </c>
      <c r="J108" s="39">
        <f ca="1">(IF(B97=1,(H97/(B97+3)+J103),IF(B97=0,(H97/4+J103),IF(B97&gt;1,0))))</f>
        <v>4.5</v>
      </c>
    </row>
    <row r="109" spans="1:10" ht="16.2" thickBot="1" x14ac:dyDescent="0.35">
      <c r="A109" s="109" t="s">
        <v>143</v>
      </c>
      <c r="B109" s="110"/>
      <c r="C109" s="53">
        <v>3</v>
      </c>
      <c r="D109" s="54">
        <f ca="1">((100/(H97))*C109)/100</f>
        <v>0.5</v>
      </c>
      <c r="E109" s="95"/>
      <c r="F109" s="95"/>
      <c r="G109" s="95"/>
      <c r="H109" s="96"/>
      <c r="I109" s="38" t="s">
        <v>111</v>
      </c>
      <c r="J109" s="41">
        <f ca="1">(IF(B97&gt;1.5,(H97/(B97+2)+J103+MAX(0,J104-J103)+MAX(0,J105-J104)+MAX(0,J106-J105)+MAX(0,J107-J106)+MAX(0,J108-J107)),IF(B97=1,(H97/(B97+3)+J108),IF(B97=0,H97/4+J108))))</f>
        <v>6</v>
      </c>
    </row>
    <row r="110" spans="1:10" x14ac:dyDescent="0.3">
      <c r="A110" s="108" t="s">
        <v>53</v>
      </c>
      <c r="B110" s="108"/>
      <c r="C110" s="108"/>
      <c r="D110" s="108"/>
      <c r="E110" s="108"/>
      <c r="F110" s="108"/>
      <c r="G110" s="108"/>
      <c r="H110" s="108"/>
    </row>
    <row r="111" spans="1:10" x14ac:dyDescent="0.3">
      <c r="A111" s="98" t="s">
        <v>164</v>
      </c>
      <c r="B111" s="98"/>
      <c r="C111" s="98"/>
      <c r="D111" s="98"/>
      <c r="E111" s="98"/>
      <c r="F111" s="97">
        <v>4200</v>
      </c>
      <c r="G111" s="97"/>
      <c r="H111" s="97"/>
    </row>
    <row r="112" spans="1:10" x14ac:dyDescent="0.3">
      <c r="A112" s="98" t="s">
        <v>165</v>
      </c>
      <c r="B112" s="98"/>
      <c r="C112" s="98"/>
      <c r="D112" s="98"/>
      <c r="E112" s="98"/>
      <c r="F112" s="97">
        <v>9000</v>
      </c>
      <c r="G112" s="97"/>
      <c r="H112" s="97"/>
    </row>
    <row r="113" spans="1:9" hidden="1" x14ac:dyDescent="0.3">
      <c r="A113" s="98" t="s">
        <v>166</v>
      </c>
      <c r="B113" s="98"/>
      <c r="C113" s="98"/>
      <c r="D113" s="98"/>
      <c r="E113" s="98"/>
      <c r="F113" s="97"/>
      <c r="G113" s="97"/>
      <c r="H113" s="97"/>
    </row>
    <row r="114" spans="1:9" s="7" customFormat="1" hidden="1" x14ac:dyDescent="0.25">
      <c r="A114" s="98" t="s">
        <v>99</v>
      </c>
      <c r="B114" s="98"/>
      <c r="C114" s="98"/>
      <c r="D114" s="98"/>
      <c r="E114" s="98"/>
      <c r="F114" s="97"/>
      <c r="G114" s="97"/>
      <c r="H114" s="97"/>
    </row>
    <row r="115" spans="1:9" s="7" customFormat="1" hidden="1" x14ac:dyDescent="0.25">
      <c r="A115" s="98" t="s">
        <v>100</v>
      </c>
      <c r="B115" s="98"/>
      <c r="C115" s="98"/>
      <c r="D115" s="98"/>
      <c r="E115" s="98"/>
      <c r="F115" s="97"/>
      <c r="G115" s="97"/>
      <c r="H115" s="97"/>
    </row>
    <row r="116" spans="1:9" s="7" customFormat="1" hidden="1" x14ac:dyDescent="0.25">
      <c r="A116" s="98" t="s">
        <v>101</v>
      </c>
      <c r="B116" s="98"/>
      <c r="C116" s="98"/>
      <c r="D116" s="98"/>
      <c r="E116" s="98"/>
      <c r="F116" s="97"/>
      <c r="G116" s="97"/>
      <c r="H116" s="97"/>
    </row>
    <row r="117" spans="1:9" s="7" customFormat="1" hidden="1" x14ac:dyDescent="0.25">
      <c r="A117" s="98" t="s">
        <v>102</v>
      </c>
      <c r="B117" s="98"/>
      <c r="C117" s="98"/>
      <c r="D117" s="98"/>
      <c r="E117" s="98"/>
      <c r="F117" s="97"/>
      <c r="G117" s="97"/>
      <c r="H117" s="97"/>
    </row>
    <row r="118" spans="1:9" s="7" customFormat="1" hidden="1" x14ac:dyDescent="0.25">
      <c r="A118" s="98" t="s">
        <v>103</v>
      </c>
      <c r="B118" s="98"/>
      <c r="C118" s="98"/>
      <c r="D118" s="98"/>
      <c r="E118" s="98"/>
      <c r="F118" s="97"/>
      <c r="G118" s="97"/>
      <c r="H118" s="97"/>
    </row>
    <row r="119" spans="1:9" s="7" customFormat="1" hidden="1" x14ac:dyDescent="0.25">
      <c r="A119" s="98" t="s">
        <v>104</v>
      </c>
      <c r="B119" s="98"/>
      <c r="C119" s="98"/>
      <c r="D119" s="98"/>
      <c r="E119" s="98"/>
      <c r="F119" s="97"/>
      <c r="G119" s="97"/>
      <c r="H119" s="97"/>
    </row>
    <row r="120" spans="1:9" s="7" customFormat="1" hidden="1" x14ac:dyDescent="0.25">
      <c r="A120" s="98" t="s">
        <v>105</v>
      </c>
      <c r="B120" s="98"/>
      <c r="C120" s="98"/>
      <c r="D120" s="98"/>
      <c r="E120" s="98"/>
      <c r="F120" s="97"/>
      <c r="G120" s="97"/>
      <c r="H120" s="97"/>
    </row>
    <row r="121" spans="1:9" s="7" customFormat="1" hidden="1" x14ac:dyDescent="0.25">
      <c r="A121" s="98" t="s">
        <v>106</v>
      </c>
      <c r="B121" s="98"/>
      <c r="C121" s="98"/>
      <c r="D121" s="98"/>
      <c r="E121" s="98"/>
      <c r="F121" s="97"/>
      <c r="G121" s="97"/>
      <c r="H121" s="97"/>
    </row>
    <row r="122" spans="1:9" x14ac:dyDescent="0.3">
      <c r="A122" s="98" t="s">
        <v>54</v>
      </c>
      <c r="B122" s="98"/>
      <c r="C122" s="98"/>
      <c r="D122" s="98"/>
      <c r="E122" s="98"/>
      <c r="F122" s="97">
        <v>150000</v>
      </c>
      <c r="G122" s="97"/>
      <c r="H122" s="97"/>
    </row>
    <row r="123" spans="1:9" s="4" customFormat="1" x14ac:dyDescent="0.3">
      <c r="A123" s="108" t="s">
        <v>55</v>
      </c>
      <c r="B123" s="108"/>
      <c r="C123" s="108"/>
      <c r="D123" s="108"/>
      <c r="E123" s="108"/>
      <c r="F123" s="185">
        <f>F111*0.8</f>
        <v>3360</v>
      </c>
      <c r="G123" s="185"/>
      <c r="H123" s="185"/>
    </row>
    <row r="124" spans="1:9" s="1" customFormat="1" ht="15.75" customHeight="1" x14ac:dyDescent="0.3">
      <c r="A124" s="76" t="s">
        <v>237</v>
      </c>
      <c r="B124" s="76"/>
      <c r="C124" s="76"/>
      <c r="D124" s="76"/>
      <c r="E124" s="76"/>
      <c r="F124" s="76"/>
      <c r="G124" s="76"/>
      <c r="H124" s="76"/>
    </row>
    <row r="125" spans="1:9" s="1" customFormat="1" ht="15.75" customHeight="1" x14ac:dyDescent="0.3">
      <c r="A125" s="77" t="s">
        <v>56</v>
      </c>
      <c r="B125" s="77"/>
      <c r="C125" s="71" t="s">
        <v>82</v>
      </c>
      <c r="D125" s="71"/>
      <c r="E125" s="78" t="s">
        <v>57</v>
      </c>
      <c r="F125" s="78"/>
      <c r="G125" s="77" t="s">
        <v>58</v>
      </c>
      <c r="H125" s="77"/>
    </row>
    <row r="126" spans="1:9" s="1" customFormat="1" ht="32.25" customHeight="1" x14ac:dyDescent="0.3">
      <c r="A126" s="79" t="s">
        <v>243</v>
      </c>
      <c r="B126" s="79"/>
      <c r="C126" s="80">
        <f>COUNT(D147:D176)</f>
        <v>30</v>
      </c>
      <c r="D126" s="81"/>
      <c r="E126" s="82">
        <f>SUM(D147:D176)</f>
        <v>7017.3745200000003</v>
      </c>
      <c r="F126" s="83"/>
      <c r="G126" s="82">
        <f>SUM(F147:F176)</f>
        <v>11227.799232000003</v>
      </c>
      <c r="H126" s="83"/>
      <c r="I126" s="57">
        <f>C126+C127+C128</f>
        <v>46</v>
      </c>
    </row>
    <row r="127" spans="1:9" s="1" customFormat="1" x14ac:dyDescent="0.3">
      <c r="A127" s="205" t="s">
        <v>239</v>
      </c>
      <c r="B127" s="205"/>
      <c r="C127" s="80">
        <f>COUNT(D179:D192)</f>
        <v>14</v>
      </c>
      <c r="D127" s="81"/>
      <c r="E127" s="82">
        <f>SUM(D179:D192)</f>
        <v>3860.72388</v>
      </c>
      <c r="F127" s="83"/>
      <c r="G127" s="82">
        <f>SUM(F179:F192)</f>
        <v>5791.0858200000002</v>
      </c>
      <c r="H127" s="83"/>
    </row>
    <row r="128" spans="1:9" s="1" customFormat="1" ht="33" customHeight="1" x14ac:dyDescent="0.3">
      <c r="A128" s="206" t="s">
        <v>240</v>
      </c>
      <c r="B128" s="207"/>
      <c r="C128" s="80">
        <f>COUNT(D195:D196)</f>
        <v>2</v>
      </c>
      <c r="D128" s="81"/>
      <c r="E128" s="82">
        <f>SUM(D195:D196)</f>
        <v>564.97545000000002</v>
      </c>
      <c r="F128" s="82"/>
      <c r="G128" s="82">
        <f>SUM(F195:F196)</f>
        <v>847.46317499999998</v>
      </c>
      <c r="H128" s="82"/>
    </row>
    <row r="129" spans="1:11" s="1" customFormat="1" ht="31.5" customHeight="1" x14ac:dyDescent="0.3">
      <c r="A129" s="208" t="s">
        <v>241</v>
      </c>
      <c r="B129" s="209"/>
      <c r="C129" s="80">
        <f>COUNT(D197:D204)</f>
        <v>8</v>
      </c>
      <c r="D129" s="81"/>
      <c r="E129" s="82">
        <f>SUM(D197:D204)</f>
        <v>1547.6882849999997</v>
      </c>
      <c r="F129" s="82"/>
      <c r="G129" s="82">
        <f>SUM(F197:F204)</f>
        <v>2321.5324274999994</v>
      </c>
      <c r="H129" s="82"/>
    </row>
    <row r="130" spans="1:11" s="1" customFormat="1" x14ac:dyDescent="0.3">
      <c r="A130" s="76" t="s">
        <v>160</v>
      </c>
      <c r="B130" s="76"/>
      <c r="C130" s="70">
        <f>SUM(C126:D129)</f>
        <v>54</v>
      </c>
      <c r="D130" s="71"/>
      <c r="E130" s="199">
        <f>SUM(E126:F129)</f>
        <v>12990.762135000001</v>
      </c>
      <c r="F130" s="78"/>
      <c r="G130" s="199">
        <f>SUM(G126:H129)</f>
        <v>20187.880654500004</v>
      </c>
      <c r="H130" s="78"/>
      <c r="J130" s="57">
        <f>SUM(G130,G135,G140)</f>
        <v>252195.39889450002</v>
      </c>
      <c r="K130" s="57">
        <f>SUM(E130,E135,E140)</f>
        <v>167009.82421500003</v>
      </c>
    </row>
    <row r="131" spans="1:11" s="1" customFormat="1" ht="15.75" customHeight="1" x14ac:dyDescent="0.3">
      <c r="A131" s="76" t="s">
        <v>238</v>
      </c>
      <c r="B131" s="76"/>
      <c r="C131" s="76"/>
      <c r="D131" s="76"/>
      <c r="E131" s="76"/>
      <c r="F131" s="76"/>
      <c r="G131" s="76"/>
      <c r="H131" s="76"/>
    </row>
    <row r="132" spans="1:11" s="1" customFormat="1" ht="15.75" customHeight="1" x14ac:dyDescent="0.3">
      <c r="A132" s="77" t="s">
        <v>56</v>
      </c>
      <c r="B132" s="77"/>
      <c r="C132" s="71" t="s">
        <v>82</v>
      </c>
      <c r="D132" s="71"/>
      <c r="E132" s="78" t="s">
        <v>57</v>
      </c>
      <c r="F132" s="78"/>
      <c r="G132" s="77" t="s">
        <v>58</v>
      </c>
      <c r="H132" s="77"/>
    </row>
    <row r="133" spans="1:11" s="1" customFormat="1" ht="32.25" customHeight="1" x14ac:dyDescent="0.3">
      <c r="A133" s="79" t="s">
        <v>242</v>
      </c>
      <c r="B133" s="79"/>
      <c r="C133" s="80">
        <f>COUNT(D206:D207)*3</f>
        <v>6</v>
      </c>
      <c r="D133" s="81"/>
      <c r="E133" s="82">
        <f>SUM(D206:D207)*3</f>
        <v>10422.242999999999</v>
      </c>
      <c r="F133" s="83"/>
      <c r="G133" s="82">
        <f>SUM(F206:F207)*3</f>
        <v>15633.364499999998</v>
      </c>
      <c r="H133" s="83"/>
    </row>
    <row r="134" spans="1:11" s="1" customFormat="1" ht="32.25" customHeight="1" x14ac:dyDescent="0.3">
      <c r="A134" s="79" t="s">
        <v>246</v>
      </c>
      <c r="B134" s="79"/>
      <c r="C134" s="201">
        <f>COUNT(D209:D210)*3</f>
        <v>6</v>
      </c>
      <c r="D134" s="202"/>
      <c r="E134" s="66">
        <f>SUM(D209:D210)*3</f>
        <v>10422.242999999999</v>
      </c>
      <c r="F134" s="67"/>
      <c r="G134" s="66">
        <f>SUM(F209:F210)*3</f>
        <v>15633.364499999998</v>
      </c>
      <c r="H134" s="67"/>
    </row>
    <row r="135" spans="1:11" s="1" customFormat="1" x14ac:dyDescent="0.3">
      <c r="A135" s="68" t="s">
        <v>160</v>
      </c>
      <c r="B135" s="69"/>
      <c r="C135" s="70">
        <f>SUM(C133:D134)</f>
        <v>12</v>
      </c>
      <c r="D135" s="71"/>
      <c r="E135" s="72">
        <f>SUM(E133:F134)</f>
        <v>20844.485999999997</v>
      </c>
      <c r="F135" s="72"/>
      <c r="G135" s="72">
        <f>SUM(G133:H134)</f>
        <v>31266.728999999996</v>
      </c>
      <c r="H135" s="72"/>
    </row>
    <row r="136" spans="1:11" s="1" customFormat="1" x14ac:dyDescent="0.3">
      <c r="A136" s="76" t="s">
        <v>74</v>
      </c>
      <c r="B136" s="76"/>
      <c r="C136" s="76"/>
      <c r="D136" s="76"/>
      <c r="E136" s="76"/>
      <c r="F136" s="76"/>
      <c r="G136" s="76"/>
      <c r="H136" s="76"/>
      <c r="I136" s="1">
        <f>15+14+10</f>
        <v>39</v>
      </c>
    </row>
    <row r="137" spans="1:11" s="1" customFormat="1" ht="15.75" customHeight="1" x14ac:dyDescent="0.3">
      <c r="A137" s="77" t="s">
        <v>56</v>
      </c>
      <c r="B137" s="77"/>
      <c r="C137" s="71" t="s">
        <v>82</v>
      </c>
      <c r="D137" s="71"/>
      <c r="E137" s="78" t="s">
        <v>57</v>
      </c>
      <c r="F137" s="78"/>
      <c r="G137" s="77" t="s">
        <v>58</v>
      </c>
      <c r="H137" s="77"/>
      <c r="I137" s="1">
        <f>15+12</f>
        <v>27</v>
      </c>
    </row>
    <row r="138" spans="1:11" s="1" customFormat="1" x14ac:dyDescent="0.3">
      <c r="A138" s="79" t="s">
        <v>211</v>
      </c>
      <c r="B138" s="79"/>
      <c r="C138" s="81">
        <f>COUNT(D216:D221)+COUNT(D223:D233)+COUNT(D235:D245)*10+COUNT(D247:D251,D253:D257)*2</f>
        <v>147</v>
      </c>
      <c r="D138" s="81"/>
      <c r="E138" s="114">
        <f>SUM(D216:D221)+SUM(D223:D233)+SUM(D235:D245)*10+SUM(D247:D251,D253:D257)*2</f>
        <v>76728.913560000001</v>
      </c>
      <c r="F138" s="114"/>
      <c r="G138" s="114">
        <f>SUM(F216:F221)+SUM(F223:F233)+SUM(F235:F245)*10+SUM(F247:F251,F253:F257)*2</f>
        <v>115253.37033999999</v>
      </c>
      <c r="H138" s="114"/>
    </row>
    <row r="139" spans="1:11" s="1" customFormat="1" x14ac:dyDescent="0.3">
      <c r="A139" s="79" t="s">
        <v>210</v>
      </c>
      <c r="B139" s="79"/>
      <c r="C139" s="81">
        <f>COUNT(D260:D268)*3+COUNT(D270:D278)*8+COUNT(D280:D283,D285:D288)*2</f>
        <v>115</v>
      </c>
      <c r="D139" s="81"/>
      <c r="E139" s="114">
        <f>SUM(D260:D268)*3+SUM(D270:D278)*8+SUM(D280:D283,D285:D288)*2</f>
        <v>56445.662520000013</v>
      </c>
      <c r="F139" s="114"/>
      <c r="G139" s="114">
        <f>SUM(F260:F268)*3+SUM(F270:F278)*8+SUM(F280:F283,F285:F288)*2</f>
        <v>85487.418900000004</v>
      </c>
      <c r="H139" s="114"/>
    </row>
    <row r="140" spans="1:11" s="1" customFormat="1" x14ac:dyDescent="0.3">
      <c r="A140" s="76" t="s">
        <v>160</v>
      </c>
      <c r="B140" s="76"/>
      <c r="C140" s="71">
        <f>SUM(C138:D139)</f>
        <v>262</v>
      </c>
      <c r="D140" s="71"/>
      <c r="E140" s="199">
        <f>SUM(E138:F139)</f>
        <v>133174.57608000003</v>
      </c>
      <c r="F140" s="78"/>
      <c r="G140" s="199">
        <f>SUM(G138:H139)</f>
        <v>200740.78924000001</v>
      </c>
      <c r="H140" s="78"/>
    </row>
    <row r="141" spans="1:11" s="4" customFormat="1" x14ac:dyDescent="0.3">
      <c r="A141" s="101" t="s">
        <v>59</v>
      </c>
      <c r="B141" s="101"/>
      <c r="C141" s="101"/>
      <c r="D141" s="101"/>
      <c r="E141" s="101"/>
      <c r="F141" s="101"/>
      <c r="G141" s="101"/>
      <c r="H141" s="101"/>
    </row>
    <row r="142" spans="1:11" x14ac:dyDescent="0.3">
      <c r="A142" s="101" t="s">
        <v>60</v>
      </c>
      <c r="B142" s="101"/>
      <c r="C142" s="101"/>
      <c r="D142" s="101"/>
      <c r="E142" s="101"/>
      <c r="F142" s="101"/>
      <c r="G142" s="101"/>
      <c r="H142" s="101"/>
    </row>
    <row r="143" spans="1:11" ht="47.25" customHeight="1" x14ac:dyDescent="0.3">
      <c r="A143" s="99" t="s">
        <v>127</v>
      </c>
      <c r="B143" s="99" t="s">
        <v>220</v>
      </c>
      <c r="C143" s="99" t="s">
        <v>61</v>
      </c>
      <c r="D143" s="99" t="s">
        <v>62</v>
      </c>
      <c r="E143" s="120" t="s">
        <v>63</v>
      </c>
      <c r="F143" s="30" t="s">
        <v>159</v>
      </c>
      <c r="G143" s="122" t="s">
        <v>64</v>
      </c>
      <c r="H143" s="123"/>
    </row>
    <row r="144" spans="1:11" s="2" customFormat="1" x14ac:dyDescent="0.3">
      <c r="A144" s="100"/>
      <c r="B144" s="100"/>
      <c r="C144" s="100"/>
      <c r="D144" s="100"/>
      <c r="E144" s="121"/>
      <c r="F144" s="31">
        <v>0.6</v>
      </c>
      <c r="G144" s="124"/>
      <c r="H144" s="125"/>
    </row>
    <row r="145" spans="1:14" x14ac:dyDescent="0.3">
      <c r="A145" s="101" t="s">
        <v>187</v>
      </c>
      <c r="B145" s="101"/>
      <c r="C145" s="101"/>
      <c r="D145" s="101"/>
      <c r="E145" s="101"/>
      <c r="F145" s="101"/>
      <c r="G145" s="101"/>
      <c r="H145" s="101"/>
    </row>
    <row r="146" spans="1:14" s="2" customFormat="1" ht="15.75" customHeight="1" x14ac:dyDescent="0.3">
      <c r="A146" s="73" t="s">
        <v>191</v>
      </c>
      <c r="B146" s="74"/>
      <c r="C146" s="74"/>
      <c r="D146" s="74"/>
      <c r="E146" s="74"/>
      <c r="F146" s="74"/>
      <c r="G146" s="74"/>
      <c r="H146" s="75"/>
      <c r="J146" s="32"/>
    </row>
    <row r="147" spans="1:14" s="2" customFormat="1" ht="15.75" customHeight="1" x14ac:dyDescent="0.3">
      <c r="A147" s="102" t="s">
        <v>245</v>
      </c>
      <c r="B147" s="103"/>
      <c r="C147" s="14" t="s">
        <v>188</v>
      </c>
      <c r="D147" s="14">
        <f>24.4*10.764</f>
        <v>262.64159999999998</v>
      </c>
      <c r="E147" s="106">
        <v>0</v>
      </c>
      <c r="F147" s="106">
        <f>(D147+D148)*(($F$144)+1)+E147</f>
        <v>780.00249600000006</v>
      </c>
      <c r="G147" s="102" t="s">
        <v>190</v>
      </c>
      <c r="H147" s="103"/>
      <c r="I147" s="32"/>
      <c r="L147" s="200"/>
      <c r="M147" s="200"/>
      <c r="N147" s="32"/>
    </row>
    <row r="148" spans="1:14" s="2" customFormat="1" ht="15.75" customHeight="1" x14ac:dyDescent="0.3">
      <c r="A148" s="104"/>
      <c r="B148" s="105"/>
      <c r="C148" s="14" t="s">
        <v>189</v>
      </c>
      <c r="D148" s="14">
        <f>20.89*10.764</f>
        <v>224.85996</v>
      </c>
      <c r="E148" s="107"/>
      <c r="F148" s="107"/>
      <c r="G148" s="104"/>
      <c r="H148" s="105"/>
      <c r="I148" s="32">
        <f>2.6*8</f>
        <v>20.8</v>
      </c>
      <c r="L148" s="200"/>
      <c r="M148" s="200"/>
      <c r="N148" s="32"/>
    </row>
    <row r="149" spans="1:14" s="2" customFormat="1" ht="15.75" customHeight="1" x14ac:dyDescent="0.3">
      <c r="A149" s="102" t="s">
        <v>223</v>
      </c>
      <c r="B149" s="103"/>
      <c r="C149" s="14" t="s">
        <v>188</v>
      </c>
      <c r="D149" s="14">
        <f>16.8*10.764</f>
        <v>180.83519999999999</v>
      </c>
      <c r="E149" s="106">
        <v>0</v>
      </c>
      <c r="F149" s="106">
        <f t="shared" ref="F149" si="0">(D149+D150)*(($F$144)+1)+E149</f>
        <v>522.52761599999997</v>
      </c>
      <c r="G149" s="102" t="s">
        <v>190</v>
      </c>
      <c r="H149" s="103"/>
      <c r="I149" s="32">
        <f>2.55*8</f>
        <v>20.399999999999999</v>
      </c>
      <c r="L149" s="200"/>
      <c r="M149" s="200"/>
      <c r="N149" s="32"/>
    </row>
    <row r="150" spans="1:14" s="2" customFormat="1" x14ac:dyDescent="0.3">
      <c r="A150" s="104"/>
      <c r="B150" s="105"/>
      <c r="C150" s="14" t="s">
        <v>189</v>
      </c>
      <c r="D150" s="14">
        <f>13.54*10.764</f>
        <v>145.74455999999998</v>
      </c>
      <c r="E150" s="107"/>
      <c r="F150" s="107"/>
      <c r="G150" s="104"/>
      <c r="H150" s="105"/>
      <c r="I150" s="32">
        <f>4.05*8</f>
        <v>32.4</v>
      </c>
      <c r="L150" s="200"/>
      <c r="M150" s="200"/>
      <c r="N150" s="32"/>
    </row>
    <row r="151" spans="1:14" s="2" customFormat="1" ht="15.75" customHeight="1" x14ac:dyDescent="0.3">
      <c r="A151" s="102" t="s">
        <v>224</v>
      </c>
      <c r="B151" s="103"/>
      <c r="C151" s="14" t="s">
        <v>188</v>
      </c>
      <c r="D151" s="14">
        <f>32.4*10.764</f>
        <v>348.75359999999995</v>
      </c>
      <c r="E151" s="106">
        <v>0</v>
      </c>
      <c r="F151" s="106">
        <f>(D151+D152)*(($F$144)+1)+E151</f>
        <v>1051.255296</v>
      </c>
      <c r="G151" s="102" t="s">
        <v>190</v>
      </c>
      <c r="H151" s="103"/>
      <c r="I151" s="32"/>
      <c r="L151" s="200"/>
      <c r="M151" s="200"/>
      <c r="N151" s="32"/>
    </row>
    <row r="152" spans="1:14" s="2" customFormat="1" x14ac:dyDescent="0.3">
      <c r="A152" s="104"/>
      <c r="B152" s="105"/>
      <c r="C152" s="14" t="s">
        <v>189</v>
      </c>
      <c r="D152" s="14">
        <f>28.64*10.764</f>
        <v>308.28095999999999</v>
      </c>
      <c r="E152" s="107"/>
      <c r="F152" s="107"/>
      <c r="G152" s="104"/>
      <c r="H152" s="105"/>
      <c r="I152" s="32"/>
      <c r="L152" s="200"/>
      <c r="M152" s="200"/>
      <c r="N152" s="32"/>
    </row>
    <row r="153" spans="1:14" s="2" customFormat="1" ht="15.75" customHeight="1" x14ac:dyDescent="0.3">
      <c r="A153" s="102" t="s">
        <v>225</v>
      </c>
      <c r="B153" s="103"/>
      <c r="C153" s="14" t="s">
        <v>188</v>
      </c>
      <c r="D153" s="14">
        <f>16.8*10.764</f>
        <v>180.83519999999999</v>
      </c>
      <c r="E153" s="106">
        <v>0</v>
      </c>
      <c r="F153" s="106">
        <f t="shared" ref="F153" si="1">(D153+D154)*(($F$144)+1)+E153</f>
        <v>522.69984000000011</v>
      </c>
      <c r="G153" s="102" t="s">
        <v>190</v>
      </c>
      <c r="H153" s="103"/>
      <c r="I153" s="32"/>
      <c r="L153" s="200"/>
      <c r="M153" s="200"/>
      <c r="N153" s="32"/>
    </row>
    <row r="154" spans="1:14" s="2" customFormat="1" x14ac:dyDescent="0.3">
      <c r="A154" s="104"/>
      <c r="B154" s="105"/>
      <c r="C154" s="14" t="s">
        <v>189</v>
      </c>
      <c r="D154" s="14">
        <f>13.55*10.764</f>
        <v>145.85220000000001</v>
      </c>
      <c r="E154" s="107"/>
      <c r="F154" s="107"/>
      <c r="G154" s="104"/>
      <c r="H154" s="105"/>
      <c r="I154" s="32"/>
      <c r="L154" s="200"/>
      <c r="M154" s="200"/>
      <c r="N154" s="32"/>
    </row>
    <row r="155" spans="1:14" s="2" customFormat="1" x14ac:dyDescent="0.3">
      <c r="A155" s="102" t="s">
        <v>226</v>
      </c>
      <c r="B155" s="103"/>
      <c r="C155" s="14" t="s">
        <v>188</v>
      </c>
      <c r="D155" s="14">
        <f>21.35*10.764</f>
        <v>229.81139999999999</v>
      </c>
      <c r="E155" s="106">
        <v>0</v>
      </c>
      <c r="F155" s="106">
        <f t="shared" ref="F155" si="2">(D155+D156)*(($F$144)+1)+E155</f>
        <v>674.94585599999994</v>
      </c>
      <c r="G155" s="102" t="s">
        <v>190</v>
      </c>
      <c r="H155" s="103"/>
      <c r="I155" s="32"/>
      <c r="L155" s="200"/>
      <c r="M155" s="200"/>
      <c r="N155" s="32"/>
    </row>
    <row r="156" spans="1:14" s="2" customFormat="1" x14ac:dyDescent="0.3">
      <c r="A156" s="104"/>
      <c r="B156" s="105"/>
      <c r="C156" s="14" t="s">
        <v>189</v>
      </c>
      <c r="D156" s="14">
        <f>17.84*10.764</f>
        <v>192.02975999999998</v>
      </c>
      <c r="E156" s="107"/>
      <c r="F156" s="107"/>
      <c r="G156" s="104"/>
      <c r="H156" s="105"/>
      <c r="I156" s="32"/>
      <c r="L156" s="200">
        <f>3*6.2+3*4.2</f>
        <v>31.200000000000003</v>
      </c>
      <c r="M156" s="200"/>
      <c r="N156" s="32"/>
    </row>
    <row r="157" spans="1:14" s="2" customFormat="1" x14ac:dyDescent="0.3">
      <c r="A157" s="102" t="s">
        <v>227</v>
      </c>
      <c r="B157" s="103"/>
      <c r="C157" s="14" t="s">
        <v>188</v>
      </c>
      <c r="D157" s="14">
        <f>21.35*10.764</f>
        <v>229.81139999999999</v>
      </c>
      <c r="E157" s="106">
        <v>0</v>
      </c>
      <c r="F157" s="106">
        <f t="shared" ref="F157" si="3">(D157+D158)*(($F$144)+1)+E157</f>
        <v>674.94585599999994</v>
      </c>
      <c r="G157" s="102" t="s">
        <v>190</v>
      </c>
      <c r="H157" s="103"/>
      <c r="I157" s="32"/>
      <c r="L157" s="200">
        <f>16.82+12.74</f>
        <v>29.560000000000002</v>
      </c>
      <c r="M157" s="200"/>
      <c r="N157" s="32"/>
    </row>
    <row r="158" spans="1:14" s="2" customFormat="1" x14ac:dyDescent="0.3">
      <c r="A158" s="104"/>
      <c r="B158" s="105"/>
      <c r="C158" s="14" t="s">
        <v>189</v>
      </c>
      <c r="D158" s="14">
        <f>17.84*10.764</f>
        <v>192.02975999999998</v>
      </c>
      <c r="E158" s="107"/>
      <c r="F158" s="107"/>
      <c r="G158" s="104"/>
      <c r="H158" s="105"/>
      <c r="I158" s="32"/>
      <c r="L158" s="200"/>
      <c r="M158" s="200"/>
      <c r="N158" s="32"/>
    </row>
    <row r="159" spans="1:14" s="2" customFormat="1" x14ac:dyDescent="0.3">
      <c r="A159" s="102" t="s">
        <v>228</v>
      </c>
      <c r="B159" s="103"/>
      <c r="C159" s="14" t="s">
        <v>188</v>
      </c>
      <c r="D159" s="14">
        <f>16.8*10.764</f>
        <v>180.83519999999999</v>
      </c>
      <c r="E159" s="106">
        <v>0</v>
      </c>
      <c r="F159" s="106">
        <f t="shared" ref="F159" si="4">(D159+D160)*(($F$144)+1)+E159</f>
        <v>522.52761599999997</v>
      </c>
      <c r="G159" s="102" t="s">
        <v>190</v>
      </c>
      <c r="H159" s="103"/>
      <c r="I159" s="32"/>
      <c r="L159" s="200"/>
      <c r="M159" s="200"/>
      <c r="N159" s="32"/>
    </row>
    <row r="160" spans="1:14" s="2" customFormat="1" x14ac:dyDescent="0.3">
      <c r="A160" s="104"/>
      <c r="B160" s="105"/>
      <c r="C160" s="14" t="s">
        <v>189</v>
      </c>
      <c r="D160" s="14">
        <f>13.54*10.764</f>
        <v>145.74455999999998</v>
      </c>
      <c r="E160" s="107"/>
      <c r="F160" s="107"/>
      <c r="G160" s="104"/>
      <c r="H160" s="105"/>
      <c r="I160" s="32"/>
      <c r="L160" s="200"/>
      <c r="M160" s="200"/>
      <c r="N160" s="32"/>
    </row>
    <row r="161" spans="1:14" s="2" customFormat="1" x14ac:dyDescent="0.3">
      <c r="A161" s="102" t="s">
        <v>229</v>
      </c>
      <c r="B161" s="103"/>
      <c r="C161" s="14" t="s">
        <v>188</v>
      </c>
      <c r="D161" s="14">
        <f>32.4*10.764</f>
        <v>348.75359999999995</v>
      </c>
      <c r="E161" s="106">
        <v>0</v>
      </c>
      <c r="F161" s="106">
        <f t="shared" ref="F161" si="5">(D161+D162)*(($F$144)+1)+E161</f>
        <v>1051.255296</v>
      </c>
      <c r="G161" s="102" t="s">
        <v>190</v>
      </c>
      <c r="H161" s="103"/>
      <c r="I161" s="32"/>
      <c r="L161" s="200"/>
      <c r="M161" s="200"/>
      <c r="N161" s="32"/>
    </row>
    <row r="162" spans="1:14" s="2" customFormat="1" x14ac:dyDescent="0.3">
      <c r="A162" s="104"/>
      <c r="B162" s="105"/>
      <c r="C162" s="14" t="s">
        <v>189</v>
      </c>
      <c r="D162" s="14">
        <f>28.64*10.764</f>
        <v>308.28095999999999</v>
      </c>
      <c r="E162" s="107"/>
      <c r="F162" s="107"/>
      <c r="G162" s="104"/>
      <c r="H162" s="105"/>
      <c r="I162" s="32"/>
      <c r="L162" s="200"/>
      <c r="M162" s="200"/>
      <c r="N162" s="32"/>
    </row>
    <row r="163" spans="1:14" s="2" customFormat="1" x14ac:dyDescent="0.3">
      <c r="A163" s="102" t="s">
        <v>230</v>
      </c>
      <c r="B163" s="103"/>
      <c r="C163" s="14" t="s">
        <v>188</v>
      </c>
      <c r="D163" s="14">
        <f>16.8*10.764</f>
        <v>180.83519999999999</v>
      </c>
      <c r="E163" s="106">
        <v>0</v>
      </c>
      <c r="F163" s="106">
        <f t="shared" ref="F163" si="6">(D163+D164)*(($F$144)+1)+E163</f>
        <v>522.52761599999997</v>
      </c>
      <c r="G163" s="102" t="s">
        <v>190</v>
      </c>
      <c r="H163" s="103"/>
      <c r="I163" s="32"/>
      <c r="L163" s="200"/>
      <c r="M163" s="200"/>
      <c r="N163" s="32"/>
    </row>
    <row r="164" spans="1:14" s="2" customFormat="1" x14ac:dyDescent="0.3">
      <c r="A164" s="104"/>
      <c r="B164" s="105"/>
      <c r="C164" s="14" t="s">
        <v>189</v>
      </c>
      <c r="D164" s="14">
        <f>13.54*10.764</f>
        <v>145.74455999999998</v>
      </c>
      <c r="E164" s="107"/>
      <c r="F164" s="107"/>
      <c r="G164" s="104"/>
      <c r="H164" s="105"/>
      <c r="I164" s="32"/>
      <c r="L164" s="200"/>
      <c r="M164" s="200"/>
      <c r="N164" s="32"/>
    </row>
    <row r="165" spans="1:14" s="2" customFormat="1" x14ac:dyDescent="0.3">
      <c r="A165" s="102" t="s">
        <v>231</v>
      </c>
      <c r="B165" s="103"/>
      <c r="C165" s="14" t="s">
        <v>188</v>
      </c>
      <c r="D165" s="14">
        <f>21.35*10.764</f>
        <v>229.81139999999999</v>
      </c>
      <c r="E165" s="106">
        <v>0</v>
      </c>
      <c r="F165" s="106">
        <f t="shared" ref="F165" si="7">(D165+D166)*(($F$144)+1)+E165</f>
        <v>674.94585599999994</v>
      </c>
      <c r="G165" s="102" t="s">
        <v>190</v>
      </c>
      <c r="H165" s="103"/>
      <c r="I165" s="32"/>
      <c r="L165" s="200"/>
      <c r="M165" s="200"/>
      <c r="N165" s="32"/>
    </row>
    <row r="166" spans="1:14" s="2" customFormat="1" x14ac:dyDescent="0.3">
      <c r="A166" s="104"/>
      <c r="B166" s="105"/>
      <c r="C166" s="14" t="s">
        <v>189</v>
      </c>
      <c r="D166" s="14">
        <f>17.84*10.764</f>
        <v>192.02975999999998</v>
      </c>
      <c r="E166" s="107"/>
      <c r="F166" s="107"/>
      <c r="G166" s="104"/>
      <c r="H166" s="105"/>
      <c r="I166" s="32"/>
      <c r="L166" s="200"/>
      <c r="M166" s="200"/>
      <c r="N166" s="32"/>
    </row>
    <row r="167" spans="1:14" s="2" customFormat="1" x14ac:dyDescent="0.3">
      <c r="A167" s="102" t="s">
        <v>232</v>
      </c>
      <c r="B167" s="103"/>
      <c r="C167" s="14" t="s">
        <v>188</v>
      </c>
      <c r="D167" s="14">
        <f>29.45*10.764</f>
        <v>316.99979999999999</v>
      </c>
      <c r="E167" s="106">
        <v>0</v>
      </c>
      <c r="F167" s="106">
        <f t="shared" ref="F167" si="8">(D167+D168)*(($F$144)+1)+E167</f>
        <v>1014.39936</v>
      </c>
      <c r="G167" s="102" t="s">
        <v>190</v>
      </c>
      <c r="H167" s="103"/>
      <c r="I167" s="32"/>
      <c r="L167" s="200"/>
      <c r="M167" s="200"/>
      <c r="N167" s="32"/>
    </row>
    <row r="168" spans="1:14" s="2" customFormat="1" x14ac:dyDescent="0.3">
      <c r="A168" s="104"/>
      <c r="B168" s="105"/>
      <c r="C168" s="14" t="s">
        <v>189</v>
      </c>
      <c r="D168" s="14">
        <f>29.45*10.764</f>
        <v>316.99979999999999</v>
      </c>
      <c r="E168" s="107"/>
      <c r="F168" s="107"/>
      <c r="G168" s="104"/>
      <c r="H168" s="105"/>
      <c r="I168" s="32"/>
      <c r="L168" s="200"/>
      <c r="M168" s="200"/>
      <c r="N168" s="32"/>
    </row>
    <row r="169" spans="1:14" s="2" customFormat="1" x14ac:dyDescent="0.3">
      <c r="A169" s="102" t="s">
        <v>233</v>
      </c>
      <c r="B169" s="103"/>
      <c r="C169" s="14" t="s">
        <v>188</v>
      </c>
      <c r="D169" s="14">
        <f>38.33*10.764</f>
        <v>412.58411999999998</v>
      </c>
      <c r="E169" s="106">
        <v>0</v>
      </c>
      <c r="F169" s="106">
        <f t="shared" ref="F169" si="9">(D169+D170)*(($F$144)+1)+E169</f>
        <v>1254.8240640000001</v>
      </c>
      <c r="G169" s="102" t="s">
        <v>190</v>
      </c>
      <c r="H169" s="103"/>
      <c r="I169" s="32"/>
      <c r="L169" s="200"/>
      <c r="M169" s="200"/>
      <c r="N169" s="32"/>
    </row>
    <row r="170" spans="1:14" s="2" customFormat="1" x14ac:dyDescent="0.3">
      <c r="A170" s="104"/>
      <c r="B170" s="105"/>
      <c r="C170" s="14" t="s">
        <v>189</v>
      </c>
      <c r="D170" s="14">
        <f>34.53*10.764</f>
        <v>371.68092000000001</v>
      </c>
      <c r="E170" s="107"/>
      <c r="F170" s="107"/>
      <c r="G170" s="104"/>
      <c r="H170" s="105"/>
      <c r="I170" s="32"/>
      <c r="L170" s="200"/>
      <c r="M170" s="200"/>
      <c r="N170" s="32"/>
    </row>
    <row r="171" spans="1:14" s="2" customFormat="1" x14ac:dyDescent="0.3">
      <c r="A171" s="102" t="s">
        <v>234</v>
      </c>
      <c r="B171" s="103"/>
      <c r="C171" s="14" t="s">
        <v>188</v>
      </c>
      <c r="D171" s="14">
        <f>22.8*10.764</f>
        <v>245.41919999999999</v>
      </c>
      <c r="E171" s="106">
        <v>0</v>
      </c>
      <c r="F171" s="106">
        <f t="shared" ref="F171" si="10">(D171+D172)*(($F$144)+1)+E171</f>
        <v>725.92416000000003</v>
      </c>
      <c r="G171" s="102" t="s">
        <v>190</v>
      </c>
      <c r="H171" s="103"/>
      <c r="I171" s="32"/>
      <c r="L171" s="200"/>
      <c r="M171" s="200"/>
      <c r="N171" s="32"/>
    </row>
    <row r="172" spans="1:14" s="2" customFormat="1" x14ac:dyDescent="0.3">
      <c r="A172" s="104"/>
      <c r="B172" s="105"/>
      <c r="C172" s="14" t="s">
        <v>189</v>
      </c>
      <c r="D172" s="14">
        <f>19.35*10.764</f>
        <v>208.2834</v>
      </c>
      <c r="E172" s="107"/>
      <c r="F172" s="107"/>
      <c r="G172" s="104"/>
      <c r="H172" s="105"/>
      <c r="I172" s="32"/>
      <c r="L172" s="200"/>
      <c r="M172" s="200"/>
      <c r="N172" s="32"/>
    </row>
    <row r="173" spans="1:14" s="2" customFormat="1" x14ac:dyDescent="0.3">
      <c r="A173" s="102" t="s">
        <v>235</v>
      </c>
      <c r="B173" s="103"/>
      <c r="C173" s="14" t="s">
        <v>188</v>
      </c>
      <c r="D173" s="14">
        <f>22.8*10.764</f>
        <v>245.41919999999999</v>
      </c>
      <c r="E173" s="106">
        <v>0</v>
      </c>
      <c r="F173" s="106">
        <f>(D173+D174)*(($F$144)+1)+E173</f>
        <v>725.92416000000003</v>
      </c>
      <c r="G173" s="102" t="s">
        <v>190</v>
      </c>
      <c r="H173" s="103"/>
      <c r="I173" s="32"/>
      <c r="L173" s="200"/>
      <c r="M173" s="200"/>
      <c r="N173" s="32"/>
    </row>
    <row r="174" spans="1:14" s="2" customFormat="1" x14ac:dyDescent="0.3">
      <c r="A174" s="104"/>
      <c r="B174" s="105"/>
      <c r="C174" s="14" t="s">
        <v>189</v>
      </c>
      <c r="D174" s="14">
        <f>19.35*10.764</f>
        <v>208.2834</v>
      </c>
      <c r="E174" s="107"/>
      <c r="F174" s="107"/>
      <c r="G174" s="104"/>
      <c r="H174" s="105"/>
      <c r="I174" s="32"/>
      <c r="L174" s="200"/>
      <c r="M174" s="200"/>
      <c r="N174" s="32"/>
    </row>
    <row r="175" spans="1:14" s="2" customFormat="1" x14ac:dyDescent="0.3">
      <c r="A175" s="102" t="s">
        <v>236</v>
      </c>
      <c r="B175" s="103"/>
      <c r="C175" s="14" t="s">
        <v>188</v>
      </c>
      <c r="D175" s="14">
        <f>16.82*10.764</f>
        <v>181.05047999999999</v>
      </c>
      <c r="E175" s="106">
        <v>0</v>
      </c>
      <c r="F175" s="106">
        <f t="shared" ref="F175" si="11">(D175+D176)*(($F$144)+1)+E175</f>
        <v>509.09414399999997</v>
      </c>
      <c r="G175" s="102" t="s">
        <v>190</v>
      </c>
      <c r="H175" s="103"/>
      <c r="I175" s="32"/>
      <c r="L175" s="200"/>
      <c r="M175" s="200"/>
      <c r="N175" s="32"/>
    </row>
    <row r="176" spans="1:14" s="2" customFormat="1" x14ac:dyDescent="0.3">
      <c r="A176" s="104"/>
      <c r="B176" s="105"/>
      <c r="C176" s="14" t="s">
        <v>189</v>
      </c>
      <c r="D176" s="14">
        <f>12.74*10.764</f>
        <v>137.13335999999998</v>
      </c>
      <c r="E176" s="107"/>
      <c r="F176" s="107"/>
      <c r="G176" s="104"/>
      <c r="H176" s="105"/>
      <c r="I176" s="32"/>
      <c r="L176" s="200"/>
      <c r="M176" s="200"/>
      <c r="N176" s="32"/>
    </row>
    <row r="177" spans="1:10" x14ac:dyDescent="0.3">
      <c r="A177" s="101" t="s">
        <v>202</v>
      </c>
      <c r="B177" s="101"/>
      <c r="C177" s="101"/>
      <c r="D177" s="101"/>
      <c r="E177" s="101"/>
      <c r="F177" s="101"/>
      <c r="G177" s="101"/>
      <c r="H177" s="101"/>
    </row>
    <row r="178" spans="1:10" s="2" customFormat="1" x14ac:dyDescent="0.3">
      <c r="A178" s="73" t="s">
        <v>207</v>
      </c>
      <c r="B178" s="74"/>
      <c r="C178" s="74"/>
      <c r="D178" s="74"/>
      <c r="E178" s="74"/>
      <c r="F178" s="74"/>
      <c r="G178" s="74"/>
      <c r="H178" s="75"/>
      <c r="I178" s="32"/>
    </row>
    <row r="179" spans="1:10" s="2" customFormat="1" x14ac:dyDescent="0.3">
      <c r="A179" s="64">
        <v>1</v>
      </c>
      <c r="B179" s="65"/>
      <c r="C179" s="14" t="s">
        <v>188</v>
      </c>
      <c r="D179" s="14">
        <f>(23.8)*10.764</f>
        <v>256.1832</v>
      </c>
      <c r="E179" s="14">
        <v>0</v>
      </c>
      <c r="F179" s="14">
        <f t="shared" ref="F179:F192" si="12">D179*(($F$213)+1)+(IF(E179&lt;101,E179,IF(E179&lt;201,E179/2,IF(E179&lt;=301,E179/3,E179/4))))</f>
        <v>384.27480000000003</v>
      </c>
      <c r="G179" s="64" t="str">
        <f>A178</f>
        <v>Ground Floor for  Commercial</v>
      </c>
      <c r="H179" s="65"/>
      <c r="I179" s="32"/>
      <c r="J179" s="2">
        <f>3.5*7</f>
        <v>24.5</v>
      </c>
    </row>
    <row r="180" spans="1:10" s="2" customFormat="1" x14ac:dyDescent="0.3">
      <c r="A180" s="64">
        <v>2</v>
      </c>
      <c r="B180" s="65"/>
      <c r="C180" s="14" t="s">
        <v>188</v>
      </c>
      <c r="D180" s="14">
        <f>(23.8)*10.764</f>
        <v>256.1832</v>
      </c>
      <c r="E180" s="14">
        <v>0</v>
      </c>
      <c r="F180" s="14">
        <f t="shared" si="12"/>
        <v>384.27480000000003</v>
      </c>
      <c r="G180" s="64" t="str">
        <f t="shared" ref="G180:G192" si="13">G179</f>
        <v>Ground Floor for  Commercial</v>
      </c>
      <c r="H180" s="65"/>
      <c r="I180" s="32"/>
    </row>
    <row r="181" spans="1:10" s="2" customFormat="1" x14ac:dyDescent="0.3">
      <c r="A181" s="64">
        <v>3</v>
      </c>
      <c r="B181" s="65"/>
      <c r="C181" s="14" t="s">
        <v>188</v>
      </c>
      <c r="D181" s="14">
        <f>(51.25)*10.764</f>
        <v>551.65499999999997</v>
      </c>
      <c r="E181" s="14">
        <v>0</v>
      </c>
      <c r="F181" s="14">
        <f t="shared" si="12"/>
        <v>827.48249999999996</v>
      </c>
      <c r="G181" s="64" t="str">
        <f t="shared" si="13"/>
        <v>Ground Floor for  Commercial</v>
      </c>
      <c r="H181" s="65"/>
      <c r="I181" s="32"/>
    </row>
    <row r="182" spans="1:10" s="2" customFormat="1" x14ac:dyDescent="0.3">
      <c r="A182" s="64">
        <v>4</v>
      </c>
      <c r="B182" s="65"/>
      <c r="C182" s="14" t="s">
        <v>188</v>
      </c>
      <c r="D182" s="14">
        <f>(39.37)*10.764</f>
        <v>423.77867999999995</v>
      </c>
      <c r="E182" s="14">
        <v>0</v>
      </c>
      <c r="F182" s="14">
        <f t="shared" si="12"/>
        <v>635.66801999999996</v>
      </c>
      <c r="G182" s="64" t="str">
        <f t="shared" si="13"/>
        <v>Ground Floor for  Commercial</v>
      </c>
      <c r="H182" s="65"/>
      <c r="I182" s="32"/>
    </row>
    <row r="183" spans="1:10" s="2" customFormat="1" x14ac:dyDescent="0.3">
      <c r="A183" s="64">
        <v>5</v>
      </c>
      <c r="B183" s="65"/>
      <c r="C183" s="14" t="s">
        <v>188</v>
      </c>
      <c r="D183" s="14">
        <f>(21.35)*10.764</f>
        <v>229.81139999999999</v>
      </c>
      <c r="E183" s="14">
        <v>0</v>
      </c>
      <c r="F183" s="14">
        <f t="shared" si="12"/>
        <v>344.71709999999996</v>
      </c>
      <c r="G183" s="64" t="str">
        <f t="shared" si="13"/>
        <v>Ground Floor for  Commercial</v>
      </c>
      <c r="H183" s="65"/>
      <c r="I183" s="32"/>
    </row>
    <row r="184" spans="1:10" s="2" customFormat="1" x14ac:dyDescent="0.3">
      <c r="A184" s="64">
        <v>6</v>
      </c>
      <c r="B184" s="65"/>
      <c r="C184" s="14" t="s">
        <v>188</v>
      </c>
      <c r="D184" s="14">
        <f>(16.8)*10.764</f>
        <v>180.83519999999999</v>
      </c>
      <c r="E184" s="14">
        <v>0</v>
      </c>
      <c r="F184" s="14">
        <f t="shared" si="12"/>
        <v>271.25279999999998</v>
      </c>
      <c r="G184" s="64" t="str">
        <f t="shared" si="13"/>
        <v>Ground Floor for  Commercial</v>
      </c>
      <c r="H184" s="65"/>
      <c r="I184" s="32"/>
    </row>
    <row r="185" spans="1:10" s="2" customFormat="1" x14ac:dyDescent="0.3">
      <c r="A185" s="64">
        <v>7</v>
      </c>
      <c r="B185" s="65"/>
      <c r="C185" s="14" t="s">
        <v>188</v>
      </c>
      <c r="D185" s="14">
        <f>(32.4)*10.764</f>
        <v>348.75359999999995</v>
      </c>
      <c r="E185" s="14">
        <v>0</v>
      </c>
      <c r="F185" s="14">
        <f t="shared" si="12"/>
        <v>523.1303999999999</v>
      </c>
      <c r="G185" s="64" t="str">
        <f t="shared" si="13"/>
        <v>Ground Floor for  Commercial</v>
      </c>
      <c r="H185" s="65"/>
      <c r="I185" s="32"/>
    </row>
    <row r="186" spans="1:10" s="2" customFormat="1" x14ac:dyDescent="0.3">
      <c r="A186" s="64">
        <v>8</v>
      </c>
      <c r="B186" s="65"/>
      <c r="C186" s="14" t="s">
        <v>188</v>
      </c>
      <c r="D186" s="14">
        <f>(16.8)*10.764</f>
        <v>180.83519999999999</v>
      </c>
      <c r="E186" s="14">
        <v>0</v>
      </c>
      <c r="F186" s="14">
        <f t="shared" si="12"/>
        <v>271.25279999999998</v>
      </c>
      <c r="G186" s="64" t="str">
        <f t="shared" si="13"/>
        <v>Ground Floor for  Commercial</v>
      </c>
      <c r="H186" s="65"/>
      <c r="I186" s="32"/>
    </row>
    <row r="187" spans="1:10" s="2" customFormat="1" x14ac:dyDescent="0.3">
      <c r="A187" s="64">
        <v>9</v>
      </c>
      <c r="B187" s="65"/>
      <c r="C187" s="14" t="s">
        <v>188</v>
      </c>
      <c r="D187" s="14">
        <f>(21.35)*10.764</f>
        <v>229.81139999999999</v>
      </c>
      <c r="E187" s="14">
        <v>0</v>
      </c>
      <c r="F187" s="14">
        <f t="shared" si="12"/>
        <v>344.71709999999996</v>
      </c>
      <c r="G187" s="64" t="str">
        <f t="shared" si="13"/>
        <v>Ground Floor for  Commercial</v>
      </c>
      <c r="H187" s="65"/>
      <c r="I187" s="32"/>
    </row>
    <row r="188" spans="1:10" s="2" customFormat="1" x14ac:dyDescent="0.3">
      <c r="A188" s="64">
        <v>10</v>
      </c>
      <c r="B188" s="65"/>
      <c r="C188" s="14" t="s">
        <v>188</v>
      </c>
      <c r="D188" s="14">
        <f>(21.35)*10.764</f>
        <v>229.81139999999999</v>
      </c>
      <c r="E188" s="14">
        <v>0</v>
      </c>
      <c r="F188" s="14">
        <f t="shared" si="12"/>
        <v>344.71709999999996</v>
      </c>
      <c r="G188" s="64" t="str">
        <f t="shared" si="13"/>
        <v>Ground Floor for  Commercial</v>
      </c>
      <c r="H188" s="65"/>
      <c r="I188" s="32"/>
    </row>
    <row r="189" spans="1:10" s="2" customFormat="1" x14ac:dyDescent="0.3">
      <c r="A189" s="64">
        <v>11</v>
      </c>
      <c r="B189" s="65"/>
      <c r="C189" s="14" t="s">
        <v>188</v>
      </c>
      <c r="D189" s="14">
        <f>(16.8)*10.764</f>
        <v>180.83519999999999</v>
      </c>
      <c r="E189" s="14">
        <v>0</v>
      </c>
      <c r="F189" s="14">
        <f t="shared" si="12"/>
        <v>271.25279999999998</v>
      </c>
      <c r="G189" s="64" t="str">
        <f t="shared" si="13"/>
        <v>Ground Floor for  Commercial</v>
      </c>
      <c r="H189" s="65"/>
      <c r="I189" s="32"/>
    </row>
    <row r="190" spans="1:10" s="2" customFormat="1" x14ac:dyDescent="0.3">
      <c r="A190" s="64">
        <v>12</v>
      </c>
      <c r="B190" s="65"/>
      <c r="C190" s="14" t="s">
        <v>188</v>
      </c>
      <c r="D190" s="14">
        <f>(32.4)*10.764</f>
        <v>348.75359999999995</v>
      </c>
      <c r="E190" s="14">
        <v>0</v>
      </c>
      <c r="F190" s="14">
        <f t="shared" si="12"/>
        <v>523.1303999999999</v>
      </c>
      <c r="G190" s="64" t="str">
        <f t="shared" si="13"/>
        <v>Ground Floor for  Commercial</v>
      </c>
      <c r="H190" s="65"/>
      <c r="I190" s="32"/>
    </row>
    <row r="191" spans="1:10" s="2" customFormat="1" x14ac:dyDescent="0.3">
      <c r="A191" s="64">
        <v>13</v>
      </c>
      <c r="B191" s="65"/>
      <c r="C191" s="14" t="s">
        <v>188</v>
      </c>
      <c r="D191" s="14">
        <f>(16.8)*10.764</f>
        <v>180.83519999999999</v>
      </c>
      <c r="E191" s="14">
        <v>0</v>
      </c>
      <c r="F191" s="14">
        <f t="shared" si="12"/>
        <v>271.25279999999998</v>
      </c>
      <c r="G191" s="64" t="str">
        <f t="shared" si="13"/>
        <v>Ground Floor for  Commercial</v>
      </c>
      <c r="H191" s="65"/>
      <c r="I191" s="32">
        <f>8000*271</f>
        <v>2168000</v>
      </c>
    </row>
    <row r="192" spans="1:10" s="2" customFormat="1" x14ac:dyDescent="0.3">
      <c r="A192" s="64">
        <v>14</v>
      </c>
      <c r="B192" s="65"/>
      <c r="C192" s="14" t="s">
        <v>188</v>
      </c>
      <c r="D192" s="14">
        <f>(24.4)*10.764</f>
        <v>262.64159999999998</v>
      </c>
      <c r="E192" s="14">
        <v>0</v>
      </c>
      <c r="F192" s="14">
        <f t="shared" si="12"/>
        <v>393.9624</v>
      </c>
      <c r="G192" s="64" t="str">
        <f t="shared" si="13"/>
        <v>Ground Floor for  Commercial</v>
      </c>
      <c r="H192" s="65"/>
      <c r="I192" s="32"/>
    </row>
    <row r="193" spans="1:11" x14ac:dyDescent="0.3">
      <c r="A193" s="101" t="s">
        <v>205</v>
      </c>
      <c r="B193" s="101"/>
      <c r="C193" s="101"/>
      <c r="D193" s="101"/>
      <c r="E193" s="101"/>
      <c r="F193" s="101"/>
      <c r="G193" s="101"/>
      <c r="H193" s="101"/>
    </row>
    <row r="194" spans="1:11" s="2" customFormat="1" x14ac:dyDescent="0.3">
      <c r="A194" s="203" t="s">
        <v>206</v>
      </c>
      <c r="B194" s="204"/>
      <c r="C194" s="74"/>
      <c r="D194" s="74"/>
      <c r="E194" s="74"/>
      <c r="F194" s="74"/>
      <c r="G194" s="74"/>
      <c r="H194" s="75"/>
      <c r="I194" s="32"/>
    </row>
    <row r="195" spans="1:11" s="2" customFormat="1" x14ac:dyDescent="0.3">
      <c r="A195" s="14">
        <v>1</v>
      </c>
      <c r="B195" s="14" t="s">
        <v>221</v>
      </c>
      <c r="C195" s="55" t="s">
        <v>188</v>
      </c>
      <c r="D195" s="14">
        <f>3.25*8.9*10.764</f>
        <v>311.34870000000001</v>
      </c>
      <c r="E195" s="14">
        <v>0</v>
      </c>
      <c r="F195" s="14">
        <f t="shared" ref="F195:F204" si="14">D195*(($F$213)+1)+(IF(E195&lt;101,E195,IF(E195&lt;201,E195/2,IF(E195&lt;=301,E195/3,E195/4))))</f>
        <v>467.02305000000001</v>
      </c>
      <c r="G195" s="64" t="str">
        <f>A194</f>
        <v>Ground Floor for Commercial</v>
      </c>
      <c r="H195" s="65"/>
      <c r="I195" s="32">
        <f>3.25*8.9*10.764</f>
        <v>311.34870000000001</v>
      </c>
      <c r="J195" s="2">
        <f>3.5*7</f>
        <v>24.5</v>
      </c>
    </row>
    <row r="196" spans="1:11" s="2" customFormat="1" x14ac:dyDescent="0.3">
      <c r="A196" s="14">
        <v>2</v>
      </c>
      <c r="B196" s="14" t="s">
        <v>221</v>
      </c>
      <c r="C196" s="14" t="s">
        <v>188</v>
      </c>
      <c r="D196" s="14">
        <f>3.25*7.25*10.764</f>
        <v>253.62674999999999</v>
      </c>
      <c r="E196" s="14">
        <v>0</v>
      </c>
      <c r="F196" s="14">
        <f t="shared" si="14"/>
        <v>380.44012499999997</v>
      </c>
      <c r="G196" s="64" t="str">
        <f t="shared" ref="G196:G204" si="15">G195</f>
        <v>Ground Floor for Commercial</v>
      </c>
      <c r="H196" s="65"/>
      <c r="I196" s="32"/>
    </row>
    <row r="197" spans="1:11" s="2" customFormat="1" x14ac:dyDescent="0.3">
      <c r="A197" s="14">
        <v>3</v>
      </c>
      <c r="B197" s="14" t="s">
        <v>222</v>
      </c>
      <c r="C197" s="14" t="s">
        <v>188</v>
      </c>
      <c r="D197" s="14">
        <f>3.175*4.35*10.764</f>
        <v>148.66429499999995</v>
      </c>
      <c r="E197" s="14">
        <v>0</v>
      </c>
      <c r="F197" s="14">
        <f t="shared" si="14"/>
        <v>222.99644249999994</v>
      </c>
      <c r="G197" s="64" t="str">
        <f t="shared" si="15"/>
        <v>Ground Floor for Commercial</v>
      </c>
      <c r="H197" s="65"/>
      <c r="I197" s="32"/>
      <c r="J197" s="2" t="s">
        <v>208</v>
      </c>
      <c r="K197" s="2">
        <v>1.25</v>
      </c>
    </row>
    <row r="198" spans="1:11" s="2" customFormat="1" x14ac:dyDescent="0.3">
      <c r="A198" s="14">
        <v>4</v>
      </c>
      <c r="B198" s="14" t="s">
        <v>222</v>
      </c>
      <c r="C198" s="14" t="s">
        <v>188</v>
      </c>
      <c r="D198" s="14">
        <f>3.175*6*10.764</f>
        <v>205.05419999999995</v>
      </c>
      <c r="E198" s="14">
        <v>0</v>
      </c>
      <c r="F198" s="14">
        <f t="shared" si="14"/>
        <v>307.58129999999994</v>
      </c>
      <c r="G198" s="64" t="str">
        <f t="shared" si="15"/>
        <v>Ground Floor for Commercial</v>
      </c>
      <c r="H198" s="65"/>
      <c r="I198" s="32"/>
      <c r="J198" s="2" t="s">
        <v>209</v>
      </c>
      <c r="K198" s="2">
        <v>1.5</v>
      </c>
    </row>
    <row r="199" spans="1:11" s="2" customFormat="1" x14ac:dyDescent="0.3">
      <c r="A199" s="14">
        <v>5</v>
      </c>
      <c r="B199" s="14" t="s">
        <v>222</v>
      </c>
      <c r="C199" s="14" t="s">
        <v>188</v>
      </c>
      <c r="D199" s="14">
        <f>6.5*2.75*10.764</f>
        <v>192.40649999999999</v>
      </c>
      <c r="E199" s="14">
        <v>0</v>
      </c>
      <c r="F199" s="14">
        <f t="shared" si="14"/>
        <v>288.60974999999996</v>
      </c>
      <c r="G199" s="64" t="str">
        <f t="shared" si="15"/>
        <v>Ground Floor for Commercial</v>
      </c>
      <c r="H199" s="65"/>
      <c r="I199" s="32"/>
    </row>
    <row r="200" spans="1:11" s="2" customFormat="1" x14ac:dyDescent="0.3">
      <c r="A200" s="14">
        <v>6</v>
      </c>
      <c r="B200" s="14" t="s">
        <v>222</v>
      </c>
      <c r="C200" s="14" t="s">
        <v>188</v>
      </c>
      <c r="D200" s="14">
        <f>6.5*3.5*10.764</f>
        <v>244.88099999999997</v>
      </c>
      <c r="E200" s="14">
        <v>0</v>
      </c>
      <c r="F200" s="14">
        <f t="shared" si="14"/>
        <v>367.32149999999996</v>
      </c>
      <c r="G200" s="64" t="str">
        <f t="shared" si="15"/>
        <v>Ground Floor for Commercial</v>
      </c>
      <c r="H200" s="65"/>
      <c r="I200" s="32"/>
    </row>
    <row r="201" spans="1:11" s="2" customFormat="1" x14ac:dyDescent="0.3">
      <c r="A201" s="14">
        <v>7</v>
      </c>
      <c r="B201" s="14" t="s">
        <v>222</v>
      </c>
      <c r="C201" s="14" t="s">
        <v>188</v>
      </c>
      <c r="D201" s="14">
        <f>6.5*3.25*10.764</f>
        <v>227.3895</v>
      </c>
      <c r="E201" s="14">
        <v>0</v>
      </c>
      <c r="F201" s="14">
        <f t="shared" si="14"/>
        <v>341.08425</v>
      </c>
      <c r="G201" s="64" t="str">
        <f t="shared" si="15"/>
        <v>Ground Floor for Commercial</v>
      </c>
      <c r="H201" s="65"/>
      <c r="I201" s="32"/>
    </row>
    <row r="202" spans="1:11" s="2" customFormat="1" x14ac:dyDescent="0.3">
      <c r="A202" s="14">
        <v>8</v>
      </c>
      <c r="B202" s="14" t="s">
        <v>222</v>
      </c>
      <c r="C202" s="14" t="s">
        <v>188</v>
      </c>
      <c r="D202" s="14">
        <f>4.45*5.8*10.764</f>
        <v>277.81883999999997</v>
      </c>
      <c r="E202" s="14">
        <v>0</v>
      </c>
      <c r="F202" s="14">
        <f t="shared" si="14"/>
        <v>416.72825999999998</v>
      </c>
      <c r="G202" s="64" t="str">
        <f t="shared" si="15"/>
        <v>Ground Floor for Commercial</v>
      </c>
      <c r="H202" s="65"/>
      <c r="I202" s="32"/>
    </row>
    <row r="203" spans="1:11" s="2" customFormat="1" x14ac:dyDescent="0.3">
      <c r="A203" s="14">
        <v>9</v>
      </c>
      <c r="B203" s="14" t="s">
        <v>222</v>
      </c>
      <c r="C203" s="14" t="s">
        <v>188</v>
      </c>
      <c r="D203" s="14">
        <f>4.45*2.5*10.764</f>
        <v>119.7495</v>
      </c>
      <c r="E203" s="14">
        <v>0</v>
      </c>
      <c r="F203" s="14">
        <f t="shared" si="14"/>
        <v>179.62424999999999</v>
      </c>
      <c r="G203" s="64" t="str">
        <f t="shared" si="15"/>
        <v>Ground Floor for Commercial</v>
      </c>
      <c r="H203" s="65"/>
      <c r="I203" s="32"/>
    </row>
    <row r="204" spans="1:11" s="2" customFormat="1" x14ac:dyDescent="0.3">
      <c r="A204" s="14">
        <v>10</v>
      </c>
      <c r="B204" s="14" t="s">
        <v>222</v>
      </c>
      <c r="C204" s="14" t="s">
        <v>188</v>
      </c>
      <c r="D204" s="14">
        <f>4.45*2.75*10.764</f>
        <v>131.72444999999999</v>
      </c>
      <c r="E204" s="14">
        <v>0</v>
      </c>
      <c r="F204" s="14">
        <f t="shared" si="14"/>
        <v>197.58667499999999</v>
      </c>
      <c r="G204" s="64" t="str">
        <f t="shared" si="15"/>
        <v>Ground Floor for Commercial</v>
      </c>
      <c r="H204" s="65"/>
      <c r="I204" s="32"/>
    </row>
    <row r="205" spans="1:11" s="2" customFormat="1" x14ac:dyDescent="0.3">
      <c r="A205" s="73" t="s">
        <v>247</v>
      </c>
      <c r="B205" s="74"/>
      <c r="C205" s="74"/>
      <c r="D205" s="74"/>
      <c r="E205" s="74"/>
      <c r="F205" s="74"/>
      <c r="G205" s="74"/>
      <c r="H205" s="75"/>
      <c r="I205" s="32"/>
    </row>
    <row r="206" spans="1:11" s="2" customFormat="1" x14ac:dyDescent="0.3">
      <c r="A206" s="14">
        <v>1</v>
      </c>
      <c r="B206" s="14" t="s">
        <v>222</v>
      </c>
      <c r="C206" s="14" t="s">
        <v>189</v>
      </c>
      <c r="D206" s="14">
        <f>(6.75*6.9+6.8*8.9+6.8*2+4.45*4.3+11.2*1.5)*10.764</f>
        <v>1685.9653199999998</v>
      </c>
      <c r="E206" s="14">
        <v>0</v>
      </c>
      <c r="F206" s="14">
        <f>D206*(($F$213)+1)+(IF(E206&lt;101,E206,IF(E206&lt;201,E206/2,IF(E206&lt;=301,E206/3,E206/4))))</f>
        <v>2528.9479799999999</v>
      </c>
      <c r="G206" s="64" t="str">
        <f>A205</f>
        <v>1st to 3rd Floor</v>
      </c>
      <c r="H206" s="65"/>
      <c r="I206" s="32"/>
    </row>
    <row r="207" spans="1:11" s="2" customFormat="1" x14ac:dyDescent="0.3">
      <c r="A207" s="14">
        <v>2</v>
      </c>
      <c r="B207" s="14" t="s">
        <v>222</v>
      </c>
      <c r="C207" s="14" t="s">
        <v>189</v>
      </c>
      <c r="D207" s="14">
        <f>(6.5*5.7+8.8*8.9+6.5*1.2+1.5*16.9+2*8.8)*10.764</f>
        <v>1788.1156799999999</v>
      </c>
      <c r="E207" s="14">
        <v>0</v>
      </c>
      <c r="F207" s="14">
        <f>D207*(($F$213)+1)+(IF(E207&lt;101,E207,IF(E207&lt;201,E207/2,IF(E207&lt;=301,E207/3,E207/4))))</f>
        <v>2682.1735199999998</v>
      </c>
      <c r="G207" s="64" t="str">
        <f t="shared" ref="G207" si="16">G206</f>
        <v>1st to 3rd Floor</v>
      </c>
      <c r="H207" s="65"/>
      <c r="I207" s="32"/>
    </row>
    <row r="208" spans="1:11" s="2" customFormat="1" x14ac:dyDescent="0.3">
      <c r="A208" s="73" t="s">
        <v>248</v>
      </c>
      <c r="B208" s="74"/>
      <c r="C208" s="74"/>
      <c r="D208" s="74"/>
      <c r="E208" s="74"/>
      <c r="F208" s="74"/>
      <c r="G208" s="74"/>
      <c r="H208" s="75"/>
      <c r="I208" s="32"/>
    </row>
    <row r="209" spans="1:14" s="2" customFormat="1" x14ac:dyDescent="0.3">
      <c r="A209" s="14">
        <v>1</v>
      </c>
      <c r="B209" s="14" t="s">
        <v>221</v>
      </c>
      <c r="C209" s="14" t="s">
        <v>189</v>
      </c>
      <c r="D209" s="14">
        <f>(6.75*6.9+6.8*8.9+6.8*2+4.45*4.3+11.2*1.5)*10.764</f>
        <v>1685.9653199999998</v>
      </c>
      <c r="E209" s="14">
        <v>0</v>
      </c>
      <c r="F209" s="14">
        <f>D209*(($F$213)+1)+(IF(E209&lt;101,E209,IF(E209&lt;201,E209/2,IF(E209&lt;=301,E209/3,E209/4))))</f>
        <v>2528.9479799999999</v>
      </c>
      <c r="G209" s="64" t="str">
        <f>A208</f>
        <v>4th to 6th Floor</v>
      </c>
      <c r="H209" s="65"/>
      <c r="I209" s="32"/>
    </row>
    <row r="210" spans="1:14" s="2" customFormat="1" x14ac:dyDescent="0.3">
      <c r="A210" s="14">
        <v>2</v>
      </c>
      <c r="B210" s="14" t="s">
        <v>221</v>
      </c>
      <c r="C210" s="14" t="s">
        <v>189</v>
      </c>
      <c r="D210" s="14">
        <f>(6.5*5.7+8.8*8.9+6.5*1.2+1.5*16.9+2*8.8)*10.764</f>
        <v>1788.1156799999999</v>
      </c>
      <c r="E210" s="14">
        <v>0</v>
      </c>
      <c r="F210" s="14">
        <f>D210*(($F$213)+1)+(IF(E210&lt;101,E210,IF(E210&lt;201,E210/2,IF(E210&lt;=301,E210/3,E210/4))))</f>
        <v>2682.1735199999998</v>
      </c>
      <c r="G210" s="64" t="str">
        <f t="shared" ref="G210" si="17">G209</f>
        <v>4th to 6th Floor</v>
      </c>
      <c r="H210" s="65"/>
      <c r="I210" s="32"/>
    </row>
    <row r="211" spans="1:14" s="2" customFormat="1" x14ac:dyDescent="0.3">
      <c r="A211" s="64"/>
      <c r="B211" s="84"/>
      <c r="C211" s="84"/>
      <c r="D211" s="84"/>
      <c r="E211" s="84"/>
      <c r="F211" s="84"/>
      <c r="G211" s="84"/>
      <c r="H211" s="65"/>
      <c r="I211" s="32"/>
      <c r="N211" s="32"/>
    </row>
    <row r="212" spans="1:14" ht="47.25" customHeight="1" x14ac:dyDescent="0.3">
      <c r="A212" s="122" t="s">
        <v>128</v>
      </c>
      <c r="B212" s="122" t="s">
        <v>129</v>
      </c>
      <c r="C212" s="99" t="s">
        <v>61</v>
      </c>
      <c r="D212" s="99" t="s">
        <v>62</v>
      </c>
      <c r="E212" s="120" t="s">
        <v>63</v>
      </c>
      <c r="F212" s="30" t="s">
        <v>159</v>
      </c>
      <c r="G212" s="122" t="s">
        <v>64</v>
      </c>
      <c r="H212" s="123"/>
      <c r="I212" s="32"/>
    </row>
    <row r="213" spans="1:14" s="2" customFormat="1" x14ac:dyDescent="0.3">
      <c r="A213" s="124"/>
      <c r="B213" s="124"/>
      <c r="C213" s="100"/>
      <c r="D213" s="100"/>
      <c r="E213" s="121"/>
      <c r="F213" s="31">
        <v>0.5</v>
      </c>
      <c r="G213" s="124"/>
      <c r="H213" s="125"/>
      <c r="I213" s="32"/>
    </row>
    <row r="214" spans="1:14" x14ac:dyDescent="0.3">
      <c r="A214" s="101" t="s">
        <v>187</v>
      </c>
      <c r="B214" s="101"/>
      <c r="C214" s="101"/>
      <c r="D214" s="101"/>
      <c r="E214" s="101"/>
      <c r="F214" s="101"/>
      <c r="G214" s="101"/>
      <c r="H214" s="101"/>
    </row>
    <row r="215" spans="1:14" s="2" customFormat="1" x14ac:dyDescent="0.3">
      <c r="A215" s="186" t="s">
        <v>192</v>
      </c>
      <c r="B215" s="186"/>
      <c r="C215" s="186"/>
      <c r="D215" s="186"/>
      <c r="E215" s="186"/>
      <c r="F215" s="186"/>
      <c r="G215" s="186"/>
      <c r="H215" s="186"/>
      <c r="I215" s="32"/>
      <c r="L215" s="200"/>
      <c r="M215" s="200"/>
    </row>
    <row r="216" spans="1:14" s="2" customFormat="1" x14ac:dyDescent="0.3">
      <c r="A216" s="85">
        <v>1</v>
      </c>
      <c r="B216" s="85"/>
      <c r="C216" s="14" t="s">
        <v>195</v>
      </c>
      <c r="D216" s="14">
        <f>(41.76)*10.764</f>
        <v>449.50463999999994</v>
      </c>
      <c r="E216" s="14">
        <v>0</v>
      </c>
      <c r="F216" s="14">
        <f t="shared" ref="F216:F217" si="18">D216*(($F$213)+1)+(IF(E216&lt;101,E216,IF(E216&lt;201,E216/2,IF(E216&lt;=301,E216/3,E216/4))))</f>
        <v>674.25695999999994</v>
      </c>
      <c r="G216" s="85" t="str">
        <f>A215</f>
        <v>1st Floor for Residential</v>
      </c>
      <c r="H216" s="85"/>
      <c r="I216" s="32" t="s">
        <v>193</v>
      </c>
      <c r="J216" s="2">
        <f>4.75*2.75+2.5*2.1+3.5*3.05+1.2*1.9+2*1.3</f>
        <v>33.8675</v>
      </c>
      <c r="K216" s="2" t="s">
        <v>194</v>
      </c>
      <c r="L216" s="2">
        <f>4.35*3.55+2.55*2.95+3.5*2.75+3.5*3.15+2.15*1.2+1.2*2</f>
        <v>48.594999999999992</v>
      </c>
      <c r="N216" s="32"/>
    </row>
    <row r="217" spans="1:14" s="2" customFormat="1" x14ac:dyDescent="0.3">
      <c r="A217" s="85">
        <f>A216+1</f>
        <v>2</v>
      </c>
      <c r="B217" s="85"/>
      <c r="C217" s="14" t="s">
        <v>196</v>
      </c>
      <c r="D217" s="14">
        <f>(59.67)*10.764</f>
        <v>642.28787999999997</v>
      </c>
      <c r="E217" s="14">
        <v>0</v>
      </c>
      <c r="F217" s="14">
        <f t="shared" si="18"/>
        <v>963.43182000000002</v>
      </c>
      <c r="G217" s="85" t="str">
        <f>G216</f>
        <v>1st Floor for Residential</v>
      </c>
      <c r="H217" s="85"/>
      <c r="I217" s="32"/>
      <c r="J217" s="2">
        <f>1.3*1.3+1.2*1.2</f>
        <v>3.13</v>
      </c>
      <c r="L217" s="2">
        <f>1.4*1.2+1.2*2.2</f>
        <v>4.32</v>
      </c>
      <c r="N217" s="32"/>
    </row>
    <row r="218" spans="1:14" s="2" customFormat="1" x14ac:dyDescent="0.3">
      <c r="A218" s="85">
        <f>A217+1</f>
        <v>3</v>
      </c>
      <c r="B218" s="85"/>
      <c r="C218" s="14" t="s">
        <v>196</v>
      </c>
      <c r="D218" s="14">
        <f>(59.67)*10.764</f>
        <v>642.28787999999997</v>
      </c>
      <c r="E218" s="14">
        <v>0</v>
      </c>
      <c r="F218" s="14">
        <f>D218*(($F$213)+1)+(IF(E218&lt;101,E218,IF(E218&lt;201,E218/2,IF(E218&lt;=301,E218/3,E218/4))))</f>
        <v>963.43182000000002</v>
      </c>
      <c r="G218" s="85" t="str">
        <f>G217</f>
        <v>1st Floor for Residential</v>
      </c>
      <c r="H218" s="85"/>
      <c r="I218" s="32"/>
      <c r="J218" s="2">
        <f>2.1*1+1.15*2</f>
        <v>4.4000000000000004</v>
      </c>
      <c r="L218" s="2">
        <f>1.95*3.3</f>
        <v>6.4349999999999996</v>
      </c>
      <c r="N218" s="32"/>
    </row>
    <row r="219" spans="1:14" s="2" customFormat="1" x14ac:dyDescent="0.3">
      <c r="A219" s="85">
        <f>A218+1</f>
        <v>4</v>
      </c>
      <c r="B219" s="85"/>
      <c r="C219" s="14" t="s">
        <v>195</v>
      </c>
      <c r="D219" s="14">
        <f>(41.76)*10.764</f>
        <v>449.50463999999994</v>
      </c>
      <c r="E219" s="14">
        <v>0</v>
      </c>
      <c r="F219" s="14">
        <f t="shared" ref="F219:F221" si="19">D219*(($F$213)+1)+(IF(E219&lt;101,E219,IF(E219&lt;201,E219/2,IF(E219&lt;=301,E219/3,E219/4))))</f>
        <v>674.25695999999994</v>
      </c>
      <c r="G219" s="85" t="str">
        <f>G218</f>
        <v>1st Floor for Residential</v>
      </c>
      <c r="H219" s="85"/>
      <c r="I219" s="32"/>
      <c r="J219" s="2">
        <f>J216+J217+J218</f>
        <v>41.397500000000001</v>
      </c>
      <c r="L219" s="2">
        <f>L216+L217+L218</f>
        <v>59.349999999999994</v>
      </c>
      <c r="N219" s="32"/>
    </row>
    <row r="220" spans="1:14" s="2" customFormat="1" x14ac:dyDescent="0.3">
      <c r="A220" s="85">
        <f>A219+1</f>
        <v>5</v>
      </c>
      <c r="B220" s="85"/>
      <c r="C220" s="14" t="s">
        <v>196</v>
      </c>
      <c r="D220" s="14">
        <f>(59.67)*10.764</f>
        <v>642.28787999999997</v>
      </c>
      <c r="E220" s="14">
        <v>0</v>
      </c>
      <c r="F220" s="14">
        <f t="shared" si="19"/>
        <v>963.43182000000002</v>
      </c>
      <c r="G220" s="85" t="str">
        <f>G219</f>
        <v>1st Floor for Residential</v>
      </c>
      <c r="H220" s="85"/>
      <c r="I220" s="32"/>
      <c r="N220" s="32"/>
    </row>
    <row r="221" spans="1:14" s="2" customFormat="1" x14ac:dyDescent="0.3">
      <c r="A221" s="85">
        <f>A220+1</f>
        <v>6</v>
      </c>
      <c r="B221" s="85"/>
      <c r="C221" s="14" t="s">
        <v>195</v>
      </c>
      <c r="D221" s="14">
        <f>(42.79)*10.764</f>
        <v>460.59155999999996</v>
      </c>
      <c r="E221" s="14">
        <v>0</v>
      </c>
      <c r="F221" s="14">
        <f t="shared" si="19"/>
        <v>690.88733999999999</v>
      </c>
      <c r="G221" s="85" t="str">
        <f>G220</f>
        <v>1st Floor for Residential</v>
      </c>
      <c r="H221" s="85"/>
      <c r="I221" s="32"/>
      <c r="N221" s="32"/>
    </row>
    <row r="222" spans="1:14" s="2" customFormat="1" ht="15.75" customHeight="1" x14ac:dyDescent="0.3">
      <c r="A222" s="73" t="s">
        <v>197</v>
      </c>
      <c r="B222" s="74"/>
      <c r="C222" s="74"/>
      <c r="D222" s="74"/>
      <c r="E222" s="74"/>
      <c r="F222" s="74"/>
      <c r="G222" s="74"/>
      <c r="H222" s="75"/>
      <c r="I222" s="32"/>
    </row>
    <row r="223" spans="1:14" s="2" customFormat="1" x14ac:dyDescent="0.3">
      <c r="A223" s="64">
        <v>1</v>
      </c>
      <c r="B223" s="65"/>
      <c r="C223" s="14" t="s">
        <v>195</v>
      </c>
      <c r="D223" s="14">
        <f>(41.76)*10.764</f>
        <v>449.50463999999994</v>
      </c>
      <c r="E223" s="14">
        <v>0</v>
      </c>
      <c r="F223" s="14">
        <f t="shared" ref="F223:F228" si="20">D223*(($F$213)+1)+(IF(E223&lt;101,E223,IF(E223&lt;201,E223/2,IF(E223&lt;=301,E223/3,E223/4))))</f>
        <v>674.25695999999994</v>
      </c>
      <c r="G223" s="64" t="str">
        <f>A222</f>
        <v>2nd Floor</v>
      </c>
      <c r="H223" s="65"/>
      <c r="I223" s="32">
        <f>2287000/F223</f>
        <v>3391.8819317786506</v>
      </c>
    </row>
    <row r="224" spans="1:14" s="2" customFormat="1" x14ac:dyDescent="0.3">
      <c r="A224" s="64">
        <v>2</v>
      </c>
      <c r="B224" s="65"/>
      <c r="C224" s="14" t="s">
        <v>196</v>
      </c>
      <c r="D224" s="14">
        <f>(59.67)*10.764</f>
        <v>642.28787999999997</v>
      </c>
      <c r="E224" s="14">
        <v>0</v>
      </c>
      <c r="F224" s="14">
        <f t="shared" si="20"/>
        <v>963.43182000000002</v>
      </c>
      <c r="G224" s="64" t="str">
        <f t="shared" ref="G224:G233" si="21">G223</f>
        <v>2nd Floor</v>
      </c>
      <c r="H224" s="65"/>
      <c r="I224" s="32"/>
    </row>
    <row r="225" spans="1:11" s="2" customFormat="1" ht="15.75" customHeight="1" x14ac:dyDescent="0.3">
      <c r="A225" s="64">
        <v>3</v>
      </c>
      <c r="B225" s="65"/>
      <c r="C225" s="14" t="s">
        <v>196</v>
      </c>
      <c r="D225" s="14">
        <f>(59.67)*10.764</f>
        <v>642.28787999999997</v>
      </c>
      <c r="E225" s="14">
        <v>0</v>
      </c>
      <c r="F225" s="14">
        <f t="shared" si="20"/>
        <v>963.43182000000002</v>
      </c>
      <c r="G225" s="64" t="str">
        <f t="shared" si="21"/>
        <v>2nd Floor</v>
      </c>
      <c r="H225" s="65"/>
      <c r="I225" s="32"/>
    </row>
    <row r="226" spans="1:11" s="2" customFormat="1" ht="15.75" customHeight="1" x14ac:dyDescent="0.3">
      <c r="A226" s="64">
        <v>4</v>
      </c>
      <c r="B226" s="65"/>
      <c r="C226" s="14" t="s">
        <v>195</v>
      </c>
      <c r="D226" s="14">
        <f>(41.76)*10.764</f>
        <v>449.50463999999994</v>
      </c>
      <c r="E226" s="14">
        <v>0</v>
      </c>
      <c r="F226" s="14">
        <f t="shared" si="20"/>
        <v>674.25695999999994</v>
      </c>
      <c r="G226" s="64" t="str">
        <f t="shared" si="21"/>
        <v>2nd Floor</v>
      </c>
      <c r="H226" s="65"/>
      <c r="I226" s="32"/>
      <c r="K226" s="2">
        <f>4.75*2.75+2.5*2.1+3.5*3.05+1.2*1.9+2*1.3</f>
        <v>33.8675</v>
      </c>
    </row>
    <row r="227" spans="1:11" s="2" customFormat="1" ht="15.75" customHeight="1" x14ac:dyDescent="0.3">
      <c r="A227" s="64">
        <v>5</v>
      </c>
      <c r="B227" s="65"/>
      <c r="C227" s="14" t="s">
        <v>195</v>
      </c>
      <c r="D227" s="14">
        <f>(40.72)*10.764</f>
        <v>438.31007999999997</v>
      </c>
      <c r="E227" s="14">
        <v>134</v>
      </c>
      <c r="F227" s="14">
        <f t="shared" si="20"/>
        <v>724.46511999999996</v>
      </c>
      <c r="G227" s="64" t="str">
        <f t="shared" si="21"/>
        <v>2nd Floor</v>
      </c>
      <c r="H227" s="65"/>
      <c r="I227" s="32">
        <f>2224000/F227</f>
        <v>3069.8510371348175</v>
      </c>
      <c r="K227" s="2">
        <f>1.2*1.2+1.3*1.2</f>
        <v>3</v>
      </c>
    </row>
    <row r="228" spans="1:11" s="2" customFormat="1" ht="15.75" customHeight="1" x14ac:dyDescent="0.3">
      <c r="A228" s="64">
        <v>6</v>
      </c>
      <c r="B228" s="65"/>
      <c r="C228" s="14" t="s">
        <v>195</v>
      </c>
      <c r="D228" s="14">
        <f>(40.72)*10.764</f>
        <v>438.31007999999997</v>
      </c>
      <c r="E228" s="14">
        <v>31</v>
      </c>
      <c r="F228" s="14">
        <f t="shared" si="20"/>
        <v>688.46511999999996</v>
      </c>
      <c r="G228" s="64" t="str">
        <f t="shared" si="21"/>
        <v>2nd Floor</v>
      </c>
      <c r="H228" s="65"/>
      <c r="I228" s="32"/>
      <c r="K228" s="2">
        <f>1*2.1+1.15*1.9</f>
        <v>4.2850000000000001</v>
      </c>
    </row>
    <row r="229" spans="1:11" s="2" customFormat="1" ht="15.75" customHeight="1" x14ac:dyDescent="0.3">
      <c r="A229" s="64">
        <v>7</v>
      </c>
      <c r="B229" s="65"/>
      <c r="C229" s="14" t="s">
        <v>195</v>
      </c>
      <c r="D229" s="14">
        <f>(40.72)*10.764</f>
        <v>438.31007999999997</v>
      </c>
      <c r="E229" s="14">
        <v>31</v>
      </c>
      <c r="F229" s="14">
        <f t="shared" ref="F229:F230" si="22">D229*(($F$213)+1)+(IF(E229&lt;101,E229,IF(E229&lt;201,E229/2,IF(E229&lt;=301,E229/3,E229/4))))</f>
        <v>688.46511999999996</v>
      </c>
      <c r="G229" s="64" t="str">
        <f t="shared" si="21"/>
        <v>2nd Floor</v>
      </c>
      <c r="H229" s="65"/>
      <c r="I229" s="32"/>
      <c r="K229" s="2">
        <f>K226+K227+K228</f>
        <v>41.152500000000003</v>
      </c>
    </row>
    <row r="230" spans="1:11" s="2" customFormat="1" ht="15.75" customHeight="1" x14ac:dyDescent="0.3">
      <c r="A230" s="64">
        <v>8</v>
      </c>
      <c r="B230" s="65"/>
      <c r="C230" s="14" t="s">
        <v>195</v>
      </c>
      <c r="D230" s="14">
        <f>(40.72)*10.764</f>
        <v>438.31007999999997</v>
      </c>
      <c r="E230" s="14">
        <v>31</v>
      </c>
      <c r="F230" s="14">
        <f t="shared" si="22"/>
        <v>688.46511999999996</v>
      </c>
      <c r="G230" s="64" t="str">
        <f t="shared" si="21"/>
        <v>2nd Floor</v>
      </c>
      <c r="H230" s="65"/>
      <c r="I230" s="32"/>
    </row>
    <row r="231" spans="1:11" s="2" customFormat="1" ht="15.75" customHeight="1" x14ac:dyDescent="0.3">
      <c r="A231" s="64">
        <v>9</v>
      </c>
      <c r="B231" s="65"/>
      <c r="C231" s="14" t="s">
        <v>196</v>
      </c>
      <c r="D231" s="14">
        <f>(59.67)*10.764</f>
        <v>642.28787999999997</v>
      </c>
      <c r="E231" s="14">
        <v>0</v>
      </c>
      <c r="F231" s="14">
        <f t="shared" ref="F231:F232" si="23">D231*(($F$213)+1)+(IF(E231&lt;101,E231,IF(E231&lt;201,E231/2,IF(E231&lt;=301,E231/3,E231/4))))</f>
        <v>963.43182000000002</v>
      </c>
      <c r="G231" s="64" t="str">
        <f t="shared" si="21"/>
        <v>2nd Floor</v>
      </c>
      <c r="H231" s="65"/>
      <c r="I231" s="32">
        <f>3277000/F231</f>
        <v>3401.3823624799934</v>
      </c>
    </row>
    <row r="232" spans="1:11" s="2" customFormat="1" ht="15.75" customHeight="1" x14ac:dyDescent="0.3">
      <c r="A232" s="64">
        <v>10</v>
      </c>
      <c r="B232" s="65"/>
      <c r="C232" s="14" t="s">
        <v>196</v>
      </c>
      <c r="D232" s="14">
        <f>(59.67)*10.764</f>
        <v>642.28787999999997</v>
      </c>
      <c r="E232" s="14">
        <v>0</v>
      </c>
      <c r="F232" s="14">
        <f t="shared" si="23"/>
        <v>963.43182000000002</v>
      </c>
      <c r="G232" s="64" t="str">
        <f t="shared" si="21"/>
        <v>2nd Floor</v>
      </c>
      <c r="H232" s="65"/>
      <c r="I232" s="32"/>
    </row>
    <row r="233" spans="1:11" s="2" customFormat="1" ht="15.75" customHeight="1" x14ac:dyDescent="0.3">
      <c r="A233" s="64">
        <v>11</v>
      </c>
      <c r="B233" s="65"/>
      <c r="C233" s="14" t="s">
        <v>195</v>
      </c>
      <c r="D233" s="14">
        <f>(42.79)*10.764</f>
        <v>460.59155999999996</v>
      </c>
      <c r="E233" s="14">
        <v>0</v>
      </c>
      <c r="F233" s="14">
        <f t="shared" ref="F233" si="24">D233*(($F$213)+1)+(IF(E233&lt;101,E233,IF(E233&lt;201,E233/2,IF(E233&lt;=301,E233/3,E233/4))))</f>
        <v>690.88733999999999</v>
      </c>
      <c r="G233" s="64" t="str">
        <f t="shared" si="21"/>
        <v>2nd Floor</v>
      </c>
      <c r="H233" s="65"/>
      <c r="I233" s="32">
        <f>2340000/F233</f>
        <v>3386.9487317570474</v>
      </c>
      <c r="K233" s="2">
        <f>2900000/691</f>
        <v>4196.8162083936322</v>
      </c>
    </row>
    <row r="234" spans="1:11" s="2" customFormat="1" x14ac:dyDescent="0.3">
      <c r="A234" s="73" t="s">
        <v>198</v>
      </c>
      <c r="B234" s="74"/>
      <c r="C234" s="74"/>
      <c r="D234" s="74"/>
      <c r="E234" s="74"/>
      <c r="F234" s="74"/>
      <c r="G234" s="74"/>
      <c r="H234" s="75"/>
      <c r="I234" s="32">
        <v>10</v>
      </c>
    </row>
    <row r="235" spans="1:11" s="2" customFormat="1" x14ac:dyDescent="0.3">
      <c r="A235" s="64">
        <v>1</v>
      </c>
      <c r="B235" s="65"/>
      <c r="C235" s="14" t="s">
        <v>195</v>
      </c>
      <c r="D235" s="14">
        <f>(41.76)*10.764</f>
        <v>449.50463999999994</v>
      </c>
      <c r="E235" s="14">
        <v>0</v>
      </c>
      <c r="F235" s="14">
        <f t="shared" ref="F235:F240" si="25">D235*(($F$213)+1)+(IF(E235&lt;101,E235,IF(E235&lt;201,E235/2,IF(E235&lt;=301,E235/3,E235/4))))</f>
        <v>674.25695999999994</v>
      </c>
      <c r="G235" s="64" t="str">
        <f>A234</f>
        <v>3rd to 7th &amp; 9th to 12th &amp; 14th Floor</v>
      </c>
      <c r="H235" s="65"/>
      <c r="I235" s="32"/>
    </row>
    <row r="236" spans="1:11" s="2" customFormat="1" x14ac:dyDescent="0.3">
      <c r="A236" s="64">
        <v>2</v>
      </c>
      <c r="B236" s="65"/>
      <c r="C236" s="14" t="s">
        <v>196</v>
      </c>
      <c r="D236" s="14">
        <f>(59.67)*10.764</f>
        <v>642.28787999999997</v>
      </c>
      <c r="E236" s="14">
        <v>0</v>
      </c>
      <c r="F236" s="14">
        <f t="shared" si="25"/>
        <v>963.43182000000002</v>
      </c>
      <c r="G236" s="64" t="str">
        <f t="shared" ref="G236:G245" si="26">G235</f>
        <v>3rd to 7th &amp; 9th to 12th &amp; 14th Floor</v>
      </c>
      <c r="H236" s="65"/>
      <c r="I236" s="32"/>
    </row>
    <row r="237" spans="1:11" s="2" customFormat="1" x14ac:dyDescent="0.3">
      <c r="A237" s="64">
        <v>3</v>
      </c>
      <c r="B237" s="65"/>
      <c r="C237" s="14" t="s">
        <v>196</v>
      </c>
      <c r="D237" s="14">
        <f>(59.67)*10.764</f>
        <v>642.28787999999997</v>
      </c>
      <c r="E237" s="14">
        <v>0</v>
      </c>
      <c r="F237" s="14">
        <f t="shared" si="25"/>
        <v>963.43182000000002</v>
      </c>
      <c r="G237" s="64" t="str">
        <f t="shared" si="26"/>
        <v>3rd to 7th &amp; 9th to 12th &amp; 14th Floor</v>
      </c>
      <c r="H237" s="65"/>
      <c r="I237" s="32"/>
    </row>
    <row r="238" spans="1:11" s="2" customFormat="1" x14ac:dyDescent="0.3">
      <c r="A238" s="64">
        <v>4</v>
      </c>
      <c r="B238" s="65"/>
      <c r="C238" s="14" t="s">
        <v>195</v>
      </c>
      <c r="D238" s="14">
        <f>(41.76)*10.764</f>
        <v>449.50463999999994</v>
      </c>
      <c r="E238" s="14">
        <v>0</v>
      </c>
      <c r="F238" s="14">
        <f t="shared" si="25"/>
        <v>674.25695999999994</v>
      </c>
      <c r="G238" s="64" t="str">
        <f t="shared" si="26"/>
        <v>3rd to 7th &amp; 9th to 12th &amp; 14th Floor</v>
      </c>
      <c r="H238" s="65"/>
      <c r="I238" s="32"/>
    </row>
    <row r="239" spans="1:11" s="2" customFormat="1" x14ac:dyDescent="0.3">
      <c r="A239" s="64">
        <v>5</v>
      </c>
      <c r="B239" s="65"/>
      <c r="C239" s="14" t="s">
        <v>195</v>
      </c>
      <c r="D239" s="14">
        <f>(40.72)*10.764</f>
        <v>438.31007999999997</v>
      </c>
      <c r="E239" s="14">
        <v>0</v>
      </c>
      <c r="F239" s="14">
        <f t="shared" si="25"/>
        <v>657.46511999999996</v>
      </c>
      <c r="G239" s="64" t="str">
        <f t="shared" si="26"/>
        <v>3rd to 7th &amp; 9th to 12th &amp; 14th Floor</v>
      </c>
      <c r="H239" s="65"/>
      <c r="I239" s="32"/>
    </row>
    <row r="240" spans="1:11" s="2" customFormat="1" x14ac:dyDescent="0.3">
      <c r="A240" s="64">
        <v>6</v>
      </c>
      <c r="B240" s="65"/>
      <c r="C240" s="14" t="s">
        <v>195</v>
      </c>
      <c r="D240" s="14">
        <f t="shared" ref="D240:D242" si="27">(40.72)*10.764</f>
        <v>438.31007999999997</v>
      </c>
      <c r="E240" s="14">
        <v>0</v>
      </c>
      <c r="F240" s="14">
        <f t="shared" si="25"/>
        <v>657.46511999999996</v>
      </c>
      <c r="G240" s="64" t="str">
        <f t="shared" si="26"/>
        <v>3rd to 7th &amp; 9th to 12th &amp; 14th Floor</v>
      </c>
      <c r="H240" s="65"/>
      <c r="I240" s="32"/>
    </row>
    <row r="241" spans="1:10" s="2" customFormat="1" x14ac:dyDescent="0.3">
      <c r="A241" s="64">
        <v>7</v>
      </c>
      <c r="B241" s="65"/>
      <c r="C241" s="14" t="s">
        <v>195</v>
      </c>
      <c r="D241" s="14">
        <f t="shared" si="27"/>
        <v>438.31007999999997</v>
      </c>
      <c r="E241" s="14">
        <v>0</v>
      </c>
      <c r="F241" s="14">
        <f t="shared" ref="F241:F243" si="28">D241*(($F$213)+1)+(IF(E241&lt;101,E241,IF(E241&lt;201,E241/2,IF(E241&lt;=301,E241/3,E241/4))))</f>
        <v>657.46511999999996</v>
      </c>
      <c r="G241" s="64" t="str">
        <f t="shared" si="26"/>
        <v>3rd to 7th &amp; 9th to 12th &amp; 14th Floor</v>
      </c>
      <c r="H241" s="65"/>
      <c r="I241" s="32"/>
    </row>
    <row r="242" spans="1:10" s="2" customFormat="1" x14ac:dyDescent="0.3">
      <c r="A242" s="64">
        <v>8</v>
      </c>
      <c r="B242" s="65"/>
      <c r="C242" s="14" t="s">
        <v>195</v>
      </c>
      <c r="D242" s="14">
        <f t="shared" si="27"/>
        <v>438.31007999999997</v>
      </c>
      <c r="E242" s="14">
        <v>0</v>
      </c>
      <c r="F242" s="14">
        <f t="shared" si="28"/>
        <v>657.46511999999996</v>
      </c>
      <c r="G242" s="64" t="str">
        <f t="shared" si="26"/>
        <v>3rd to 7th &amp; 9th to 12th &amp; 14th Floor</v>
      </c>
      <c r="H242" s="65"/>
      <c r="I242" s="32"/>
    </row>
    <row r="243" spans="1:10" s="2" customFormat="1" x14ac:dyDescent="0.3">
      <c r="A243" s="64">
        <v>9</v>
      </c>
      <c r="B243" s="65"/>
      <c r="C243" s="14" t="s">
        <v>196</v>
      </c>
      <c r="D243" s="14">
        <f>(59.67)*10.764</f>
        <v>642.28787999999997</v>
      </c>
      <c r="E243" s="14">
        <v>0</v>
      </c>
      <c r="F243" s="14">
        <f t="shared" si="28"/>
        <v>963.43182000000002</v>
      </c>
      <c r="G243" s="64" t="str">
        <f t="shared" si="26"/>
        <v>3rd to 7th &amp; 9th to 12th &amp; 14th Floor</v>
      </c>
      <c r="H243" s="65"/>
      <c r="I243" s="32"/>
    </row>
    <row r="244" spans="1:10" s="2" customFormat="1" x14ac:dyDescent="0.3">
      <c r="A244" s="64">
        <v>10</v>
      </c>
      <c r="B244" s="65"/>
      <c r="C244" s="14" t="s">
        <v>196</v>
      </c>
      <c r="D244" s="14">
        <f>(59.67)*10.764</f>
        <v>642.28787999999997</v>
      </c>
      <c r="E244" s="14">
        <v>0</v>
      </c>
      <c r="F244" s="14">
        <f t="shared" ref="F244:F245" si="29">D244*(($F$213)+1)+(IF(E244&lt;101,E244,IF(E244&lt;201,E244/2,IF(E244&lt;=301,E244/3,E244/4))))</f>
        <v>963.43182000000002</v>
      </c>
      <c r="G244" s="64" t="str">
        <f t="shared" si="26"/>
        <v>3rd to 7th &amp; 9th to 12th &amp; 14th Floor</v>
      </c>
      <c r="H244" s="65"/>
      <c r="I244" s="32"/>
    </row>
    <row r="245" spans="1:10" s="2" customFormat="1" x14ac:dyDescent="0.3">
      <c r="A245" s="64">
        <v>11</v>
      </c>
      <c r="B245" s="65"/>
      <c r="C245" s="14" t="s">
        <v>195</v>
      </c>
      <c r="D245" s="14">
        <f>(42.79)*10.764</f>
        <v>460.59155999999996</v>
      </c>
      <c r="E245" s="14">
        <v>0</v>
      </c>
      <c r="F245" s="14">
        <f t="shared" si="29"/>
        <v>690.88733999999999</v>
      </c>
      <c r="G245" s="64" t="str">
        <f t="shared" si="26"/>
        <v>3rd to 7th &amp; 9th to 12th &amp; 14th Floor</v>
      </c>
      <c r="H245" s="65"/>
      <c r="I245" s="32"/>
    </row>
    <row r="246" spans="1:10" s="2" customFormat="1" x14ac:dyDescent="0.3">
      <c r="A246" s="73" t="s">
        <v>199</v>
      </c>
      <c r="B246" s="74"/>
      <c r="C246" s="74"/>
      <c r="D246" s="74"/>
      <c r="E246" s="74"/>
      <c r="F246" s="74"/>
      <c r="G246" s="74"/>
      <c r="H246" s="75"/>
      <c r="I246" s="32"/>
    </row>
    <row r="247" spans="1:10" s="2" customFormat="1" x14ac:dyDescent="0.3">
      <c r="A247" s="64">
        <v>1</v>
      </c>
      <c r="B247" s="65"/>
      <c r="C247" s="14" t="s">
        <v>195</v>
      </c>
      <c r="D247" s="14">
        <f>(41.76)*10.764</f>
        <v>449.50463999999994</v>
      </c>
      <c r="E247" s="14">
        <v>0</v>
      </c>
      <c r="F247" s="14">
        <f t="shared" ref="F247:F250" si="30">D247*(($F$213)+1)+(IF(E247&lt;101,E247,IF(E247&lt;201,E247/2,IF(E247&lt;=301,E247/3,E247/4))))</f>
        <v>674.25695999999994</v>
      </c>
      <c r="G247" s="64" t="str">
        <f>A246</f>
        <v>8th &amp; 13th Floor (Part Refuge Area)</v>
      </c>
      <c r="H247" s="65"/>
      <c r="I247" s="32"/>
    </row>
    <row r="248" spans="1:10" s="2" customFormat="1" x14ac:dyDescent="0.3">
      <c r="A248" s="64">
        <v>2</v>
      </c>
      <c r="B248" s="65"/>
      <c r="C248" s="14" t="s">
        <v>196</v>
      </c>
      <c r="D248" s="14">
        <f>(59.67)*10.764</f>
        <v>642.28787999999997</v>
      </c>
      <c r="E248" s="14">
        <v>0</v>
      </c>
      <c r="F248" s="14">
        <f t="shared" si="30"/>
        <v>963.43182000000002</v>
      </c>
      <c r="G248" s="64" t="str">
        <f t="shared" ref="G248:G257" si="31">G247</f>
        <v>8th &amp; 13th Floor (Part Refuge Area)</v>
      </c>
      <c r="H248" s="65"/>
      <c r="I248" s="32"/>
    </row>
    <row r="249" spans="1:10" s="2" customFormat="1" x14ac:dyDescent="0.3">
      <c r="A249" s="64">
        <v>3</v>
      </c>
      <c r="B249" s="65"/>
      <c r="C249" s="14" t="s">
        <v>196</v>
      </c>
      <c r="D249" s="14">
        <f>(59.67)*10.764</f>
        <v>642.28787999999997</v>
      </c>
      <c r="E249" s="14">
        <v>0</v>
      </c>
      <c r="F249" s="14">
        <f t="shared" si="30"/>
        <v>963.43182000000002</v>
      </c>
      <c r="G249" s="64" t="str">
        <f t="shared" si="31"/>
        <v>8th &amp; 13th Floor (Part Refuge Area)</v>
      </c>
      <c r="H249" s="65"/>
      <c r="I249" s="32"/>
    </row>
    <row r="250" spans="1:10" s="2" customFormat="1" x14ac:dyDescent="0.3">
      <c r="A250" s="64">
        <v>4</v>
      </c>
      <c r="B250" s="65"/>
      <c r="C250" s="14" t="s">
        <v>195</v>
      </c>
      <c r="D250" s="14">
        <f>(41.76)*10.764</f>
        <v>449.50463999999994</v>
      </c>
      <c r="E250" s="14">
        <v>0</v>
      </c>
      <c r="F250" s="14">
        <f t="shared" si="30"/>
        <v>674.25695999999994</v>
      </c>
      <c r="G250" s="64" t="str">
        <f t="shared" si="31"/>
        <v>8th &amp; 13th Floor (Part Refuge Area)</v>
      </c>
      <c r="H250" s="65"/>
      <c r="I250" s="32"/>
    </row>
    <row r="251" spans="1:10" s="2" customFormat="1" x14ac:dyDescent="0.3">
      <c r="A251" s="64">
        <v>5</v>
      </c>
      <c r="B251" s="65"/>
      <c r="C251" s="14" t="s">
        <v>196</v>
      </c>
      <c r="D251" s="14">
        <f>(2.75*4.35+2.1*2.5+3.05*3.5+2.75*4.35+2.1*3.5+1.3*2+1.9*1.2+1.2*1.3+1.2*1+1.15*(2.1+2.1)+1*2.1)*10.764</f>
        <v>664.89228000000003</v>
      </c>
      <c r="E251" s="14">
        <v>0</v>
      </c>
      <c r="F251" s="14">
        <f>D251*(($F$213)+1)+(IF(E251&lt;101,E251,IF(E251&lt;201,E251/2,IF(E251&lt;=301,E251/3,E251/4))))</f>
        <v>997.33842000000004</v>
      </c>
      <c r="G251" s="64" t="str">
        <f t="shared" si="31"/>
        <v>8th &amp; 13th Floor (Part Refuge Area)</v>
      </c>
      <c r="H251" s="65"/>
      <c r="I251" s="32" t="s">
        <v>201</v>
      </c>
      <c r="J251" s="2">
        <f>2.75*4.35+2.1*2.5+3.05*3.5+2.75*4.35+2.1*3.5+1.3*2</f>
        <v>49.8</v>
      </c>
    </row>
    <row r="252" spans="1:10" s="2" customFormat="1" x14ac:dyDescent="0.3">
      <c r="A252" s="64">
        <v>6</v>
      </c>
      <c r="B252" s="65"/>
      <c r="C252" s="64" t="s">
        <v>200</v>
      </c>
      <c r="D252" s="84"/>
      <c r="E252" s="84"/>
      <c r="F252" s="65"/>
      <c r="G252" s="64" t="str">
        <f t="shared" si="31"/>
        <v>8th &amp; 13th Floor (Part Refuge Area)</v>
      </c>
      <c r="H252" s="65"/>
      <c r="I252" s="32"/>
      <c r="J252" s="2">
        <f>1.15*(2.1+2.1)+1*2.1</f>
        <v>6.93</v>
      </c>
    </row>
    <row r="253" spans="1:10" s="2" customFormat="1" x14ac:dyDescent="0.3">
      <c r="A253" s="64">
        <v>7</v>
      </c>
      <c r="B253" s="65"/>
      <c r="C253" s="14" t="s">
        <v>195</v>
      </c>
      <c r="D253" s="14">
        <f t="shared" ref="D253:D254" si="32">(40.72)*10.764</f>
        <v>438.31007999999997</v>
      </c>
      <c r="E253" s="14">
        <v>0</v>
      </c>
      <c r="F253" s="14">
        <f>D253*(($F$213)+1)+(IF(E253&lt;101,E253,IF(E253&lt;201,E253/2,IF(E253&lt;=301,E253/3,E253/4))))</f>
        <v>657.46511999999996</v>
      </c>
      <c r="G253" s="64" t="str">
        <f t="shared" si="31"/>
        <v>8th &amp; 13th Floor (Part Refuge Area)</v>
      </c>
      <c r="H253" s="65"/>
      <c r="I253" s="32"/>
      <c r="J253" s="2">
        <f>1.3*1.2+1.2*1.3</f>
        <v>3.12</v>
      </c>
    </row>
    <row r="254" spans="1:10" s="2" customFormat="1" x14ac:dyDescent="0.3">
      <c r="A254" s="64">
        <v>8</v>
      </c>
      <c r="B254" s="65"/>
      <c r="C254" s="14" t="s">
        <v>195</v>
      </c>
      <c r="D254" s="14">
        <f t="shared" si="32"/>
        <v>438.31007999999997</v>
      </c>
      <c r="E254" s="14">
        <v>0</v>
      </c>
      <c r="F254" s="14">
        <f t="shared" ref="F254:F256" si="33">D254*(($F$213)+1)+(IF(E254&lt;101,E254,IF(E254&lt;201,E254/2,IF(E254&lt;=301,E254/3,E254/4))))</f>
        <v>657.46511999999996</v>
      </c>
      <c r="G254" s="64" t="str">
        <f t="shared" si="31"/>
        <v>8th &amp; 13th Floor (Part Refuge Area)</v>
      </c>
      <c r="H254" s="65"/>
      <c r="I254" s="32"/>
      <c r="J254" s="2">
        <f>J251+J252+J253</f>
        <v>59.849999999999994</v>
      </c>
    </row>
    <row r="255" spans="1:10" s="2" customFormat="1" x14ac:dyDescent="0.3">
      <c r="A255" s="64">
        <v>9</v>
      </c>
      <c r="B255" s="65"/>
      <c r="C255" s="14" t="s">
        <v>196</v>
      </c>
      <c r="D255" s="14">
        <f>(59.67)*10.764</f>
        <v>642.28787999999997</v>
      </c>
      <c r="E255" s="14">
        <v>0</v>
      </c>
      <c r="F255" s="14">
        <f t="shared" si="33"/>
        <v>963.43182000000002</v>
      </c>
      <c r="G255" s="64" t="str">
        <f t="shared" si="31"/>
        <v>8th &amp; 13th Floor (Part Refuge Area)</v>
      </c>
      <c r="H255" s="65"/>
      <c r="I255" s="32"/>
    </row>
    <row r="256" spans="1:10" s="2" customFormat="1" x14ac:dyDescent="0.3">
      <c r="A256" s="64">
        <v>10</v>
      </c>
      <c r="B256" s="65"/>
      <c r="C256" s="14" t="s">
        <v>196</v>
      </c>
      <c r="D256" s="14">
        <f>(59.67)*10.764</f>
        <v>642.28787999999997</v>
      </c>
      <c r="E256" s="14">
        <v>0</v>
      </c>
      <c r="F256" s="14">
        <f t="shared" si="33"/>
        <v>963.43182000000002</v>
      </c>
      <c r="G256" s="64" t="str">
        <f t="shared" si="31"/>
        <v>8th &amp; 13th Floor (Part Refuge Area)</v>
      </c>
      <c r="H256" s="65"/>
      <c r="I256" s="32"/>
    </row>
    <row r="257" spans="1:10" s="2" customFormat="1" x14ac:dyDescent="0.3">
      <c r="A257" s="64">
        <v>11</v>
      </c>
      <c r="B257" s="65"/>
      <c r="C257" s="14" t="s">
        <v>195</v>
      </c>
      <c r="D257" s="14">
        <f>(42.79)*10.764</f>
        <v>460.59155999999996</v>
      </c>
      <c r="E257" s="14">
        <v>0</v>
      </c>
      <c r="F257" s="14">
        <f t="shared" ref="F257" si="34">D257*(($F$213)+1)+(IF(E257&lt;101,E257,IF(E257&lt;201,E257/2,IF(E257&lt;=301,E257/3,E257/4))))</f>
        <v>690.88733999999999</v>
      </c>
      <c r="G257" s="64" t="str">
        <f t="shared" si="31"/>
        <v>8th &amp; 13th Floor (Part Refuge Area)</v>
      </c>
      <c r="H257" s="65"/>
      <c r="I257" s="32"/>
    </row>
    <row r="258" spans="1:10" x14ac:dyDescent="0.3">
      <c r="A258" s="101" t="s">
        <v>202</v>
      </c>
      <c r="B258" s="101"/>
      <c r="C258" s="101"/>
      <c r="D258" s="101"/>
      <c r="E258" s="101"/>
      <c r="F258" s="101"/>
      <c r="G258" s="101"/>
      <c r="H258" s="101"/>
    </row>
    <row r="259" spans="1:10" s="2" customFormat="1" x14ac:dyDescent="0.3">
      <c r="A259" s="73" t="s">
        <v>212</v>
      </c>
      <c r="B259" s="74"/>
      <c r="C259" s="74"/>
      <c r="D259" s="74"/>
      <c r="E259" s="74"/>
      <c r="F259" s="74"/>
      <c r="G259" s="74"/>
      <c r="H259" s="75"/>
      <c r="I259" s="32"/>
    </row>
    <row r="260" spans="1:10" s="2" customFormat="1" x14ac:dyDescent="0.3">
      <c r="A260" s="64">
        <v>1</v>
      </c>
      <c r="B260" s="65"/>
      <c r="C260" s="14" t="s">
        <v>195</v>
      </c>
      <c r="D260" s="14">
        <f>(42.79)*10.764</f>
        <v>460.59155999999996</v>
      </c>
      <c r="E260" s="14">
        <v>0</v>
      </c>
      <c r="F260" s="14">
        <f t="shared" ref="F260:F268" si="35">D260*(($F$213)+1)+(IF(E260&lt;101,E260,IF(E260&lt;201,E260/2,IF(E260&lt;=301,E260/3,E260/4))))</f>
        <v>690.88733999999999</v>
      </c>
      <c r="G260" s="64" t="str">
        <f>A259</f>
        <v>1st to 3rd Floor for Residential</v>
      </c>
      <c r="H260" s="65"/>
      <c r="I260" s="32" t="s">
        <v>193</v>
      </c>
      <c r="J260" s="2">
        <f>(2.75*5.1+2.1*2.5+3.05*3.5+1.3*2+1.9*1.2)</f>
        <v>34.83</v>
      </c>
    </row>
    <row r="261" spans="1:10" s="2" customFormat="1" x14ac:dyDescent="0.3">
      <c r="A261" s="64">
        <v>2</v>
      </c>
      <c r="B261" s="65"/>
      <c r="C261" s="14" t="s">
        <v>196</v>
      </c>
      <c r="D261" s="14">
        <f>(59.67)*10.764</f>
        <v>642.28787999999997</v>
      </c>
      <c r="E261" s="14">
        <v>0</v>
      </c>
      <c r="F261" s="14">
        <f t="shared" si="35"/>
        <v>963.43182000000002</v>
      </c>
      <c r="G261" s="64" t="str">
        <f t="shared" ref="G261:G268" si="36">G260</f>
        <v>1st to 3rd Floor for Residential</v>
      </c>
      <c r="H261" s="65"/>
      <c r="I261" s="32"/>
      <c r="J261" s="2">
        <f>1.3*1.2+1.2*1.2</f>
        <v>3</v>
      </c>
    </row>
    <row r="262" spans="1:10" s="2" customFormat="1" x14ac:dyDescent="0.3">
      <c r="A262" s="64">
        <v>3</v>
      </c>
      <c r="B262" s="65"/>
      <c r="C262" s="14" t="s">
        <v>196</v>
      </c>
      <c r="D262" s="14">
        <f>(59.67)*10.764</f>
        <v>642.28787999999997</v>
      </c>
      <c r="E262" s="56">
        <f>(6.9*7.6+1*3)*10.764</f>
        <v>596.75615999999991</v>
      </c>
      <c r="F262" s="14">
        <f t="shared" si="35"/>
        <v>1112.62086</v>
      </c>
      <c r="G262" s="64" t="str">
        <f t="shared" si="36"/>
        <v>1st to 3rd Floor for Residential</v>
      </c>
      <c r="H262" s="65"/>
      <c r="I262" s="32"/>
      <c r="J262" s="2">
        <f>1.15*2.1+1*2.1</f>
        <v>4.5150000000000006</v>
      </c>
    </row>
    <row r="263" spans="1:10" s="2" customFormat="1" x14ac:dyDescent="0.3">
      <c r="A263" s="64">
        <v>4</v>
      </c>
      <c r="B263" s="65"/>
      <c r="C263" s="14" t="s">
        <v>195</v>
      </c>
      <c r="D263" s="14">
        <f>(40.72)*10.764</f>
        <v>438.31007999999997</v>
      </c>
      <c r="E263" s="14">
        <f>(1.15*2.5)*10.764</f>
        <v>30.946499999999997</v>
      </c>
      <c r="F263" s="14">
        <f t="shared" si="35"/>
        <v>688.41161999999997</v>
      </c>
      <c r="G263" s="64" t="str">
        <f t="shared" si="36"/>
        <v>1st to 3rd Floor for Residential</v>
      </c>
      <c r="H263" s="65"/>
      <c r="I263" s="32"/>
      <c r="J263" s="2">
        <f>J260+J261+J262</f>
        <v>42.344999999999999</v>
      </c>
    </row>
    <row r="264" spans="1:10" s="2" customFormat="1" x14ac:dyDescent="0.3">
      <c r="A264" s="64">
        <v>5</v>
      </c>
      <c r="B264" s="65"/>
      <c r="C264" s="14" t="s">
        <v>195</v>
      </c>
      <c r="D264" s="14">
        <f t="shared" ref="D264:D266" si="37">(40.72)*10.764</f>
        <v>438.31007999999997</v>
      </c>
      <c r="E264" s="14">
        <f>(1.15*2.5)*10.764</f>
        <v>30.946499999999997</v>
      </c>
      <c r="F264" s="14">
        <f t="shared" si="35"/>
        <v>688.41161999999997</v>
      </c>
      <c r="G264" s="64" t="str">
        <f t="shared" si="36"/>
        <v>1st to 3rd Floor for Residential</v>
      </c>
      <c r="H264" s="65"/>
      <c r="I264" s="32"/>
    </row>
    <row r="265" spans="1:10" s="2" customFormat="1" x14ac:dyDescent="0.3">
      <c r="A265" s="64">
        <v>6</v>
      </c>
      <c r="B265" s="65"/>
      <c r="C265" s="14" t="s">
        <v>195</v>
      </c>
      <c r="D265" s="14">
        <f t="shared" si="37"/>
        <v>438.31007999999997</v>
      </c>
      <c r="E265" s="14">
        <f>(1.15*2.5)*10.764</f>
        <v>30.946499999999997</v>
      </c>
      <c r="F265" s="14">
        <f t="shared" si="35"/>
        <v>688.41161999999997</v>
      </c>
      <c r="G265" s="64" t="str">
        <f t="shared" si="36"/>
        <v>1st to 3rd Floor for Residential</v>
      </c>
      <c r="H265" s="65"/>
      <c r="I265" s="32"/>
    </row>
    <row r="266" spans="1:10" s="2" customFormat="1" x14ac:dyDescent="0.3">
      <c r="A266" s="64">
        <v>7</v>
      </c>
      <c r="B266" s="65"/>
      <c r="C266" s="14" t="s">
        <v>195</v>
      </c>
      <c r="D266" s="14">
        <f t="shared" si="37"/>
        <v>438.31007999999997</v>
      </c>
      <c r="E266" s="14">
        <f>(1.15*2.5)*10.764</f>
        <v>30.946499999999997</v>
      </c>
      <c r="F266" s="14">
        <f t="shared" si="35"/>
        <v>688.41161999999997</v>
      </c>
      <c r="G266" s="64" t="str">
        <f t="shared" si="36"/>
        <v>1st to 3rd Floor for Residential</v>
      </c>
      <c r="H266" s="65"/>
      <c r="I266" s="32"/>
    </row>
    <row r="267" spans="1:10" s="2" customFormat="1" x14ac:dyDescent="0.3">
      <c r="A267" s="64">
        <v>8</v>
      </c>
      <c r="B267" s="65"/>
      <c r="C267" s="14" t="s">
        <v>195</v>
      </c>
      <c r="D267" s="14">
        <f>(40.67)*10.764</f>
        <v>437.77188000000001</v>
      </c>
      <c r="E267" s="14">
        <v>0</v>
      </c>
      <c r="F267" s="14">
        <f t="shared" si="35"/>
        <v>656.65782000000002</v>
      </c>
      <c r="G267" s="64" t="str">
        <f t="shared" si="36"/>
        <v>1st to 3rd Floor for Residential</v>
      </c>
      <c r="H267" s="65"/>
      <c r="I267" s="32"/>
    </row>
    <row r="268" spans="1:10" s="2" customFormat="1" x14ac:dyDescent="0.3">
      <c r="A268" s="64">
        <v>9</v>
      </c>
      <c r="B268" s="65"/>
      <c r="C268" s="14" t="s">
        <v>195</v>
      </c>
      <c r="D268" s="14">
        <f>(40.67)*10.764</f>
        <v>437.77188000000001</v>
      </c>
      <c r="E268" s="14">
        <v>0</v>
      </c>
      <c r="F268" s="14">
        <f t="shared" si="35"/>
        <v>656.65782000000002</v>
      </c>
      <c r="G268" s="64" t="str">
        <f t="shared" si="36"/>
        <v>1st to 3rd Floor for Residential</v>
      </c>
      <c r="H268" s="65"/>
      <c r="I268" s="32"/>
    </row>
    <row r="269" spans="1:10" s="2" customFormat="1" x14ac:dyDescent="0.3">
      <c r="A269" s="73" t="s">
        <v>203</v>
      </c>
      <c r="B269" s="74"/>
      <c r="C269" s="74"/>
      <c r="D269" s="74"/>
      <c r="E269" s="74"/>
      <c r="F269" s="74"/>
      <c r="G269" s="74"/>
      <c r="H269" s="75"/>
      <c r="I269" s="32"/>
    </row>
    <row r="270" spans="1:10" s="2" customFormat="1" x14ac:dyDescent="0.3">
      <c r="A270" s="64">
        <v>1</v>
      </c>
      <c r="B270" s="65"/>
      <c r="C270" s="14" t="s">
        <v>195</v>
      </c>
      <c r="D270" s="14">
        <f>(42.79)*10.764</f>
        <v>460.59155999999996</v>
      </c>
      <c r="E270" s="14">
        <v>0</v>
      </c>
      <c r="F270" s="14">
        <f t="shared" ref="F270:F278" si="38">D270*(($F$213)+1)+(IF(E270&lt;101,E270,IF(E270&lt;201,E270/2,IF(E270&lt;=301,E270/3,E270/4))))</f>
        <v>690.88733999999999</v>
      </c>
      <c r="G270" s="64" t="str">
        <f>A269</f>
        <v>4th to 7th, 9th to 12th Floor for Residential</v>
      </c>
      <c r="H270" s="65"/>
      <c r="I270" s="32"/>
    </row>
    <row r="271" spans="1:10" s="2" customFormat="1" x14ac:dyDescent="0.3">
      <c r="A271" s="64">
        <v>2</v>
      </c>
      <c r="B271" s="65"/>
      <c r="C271" s="14" t="s">
        <v>196</v>
      </c>
      <c r="D271" s="14">
        <f>(59.67)*10.764</f>
        <v>642.28787999999997</v>
      </c>
      <c r="E271" s="14">
        <v>0</v>
      </c>
      <c r="F271" s="14">
        <f t="shared" si="38"/>
        <v>963.43182000000002</v>
      </c>
      <c r="G271" s="64" t="str">
        <f t="shared" ref="G271:G278" si="39">G270</f>
        <v>4th to 7th, 9th to 12th Floor for Residential</v>
      </c>
      <c r="H271" s="65"/>
      <c r="I271" s="32"/>
    </row>
    <row r="272" spans="1:10" s="2" customFormat="1" x14ac:dyDescent="0.3">
      <c r="A272" s="64">
        <v>3</v>
      </c>
      <c r="B272" s="65"/>
      <c r="C272" s="14" t="s">
        <v>196</v>
      </c>
      <c r="D272" s="14">
        <f>(59.67)*10.764</f>
        <v>642.28787999999997</v>
      </c>
      <c r="E272" s="14">
        <v>0</v>
      </c>
      <c r="F272" s="14">
        <f t="shared" si="38"/>
        <v>963.43182000000002</v>
      </c>
      <c r="G272" s="64" t="str">
        <f t="shared" si="39"/>
        <v>4th to 7th, 9th to 12th Floor for Residential</v>
      </c>
      <c r="H272" s="65"/>
      <c r="I272" s="32"/>
    </row>
    <row r="273" spans="1:10" s="2" customFormat="1" x14ac:dyDescent="0.3">
      <c r="A273" s="64">
        <v>4</v>
      </c>
      <c r="B273" s="65"/>
      <c r="C273" s="14" t="s">
        <v>195</v>
      </c>
      <c r="D273" s="14">
        <f>(40.72)*10.764</f>
        <v>438.31007999999997</v>
      </c>
      <c r="E273" s="14">
        <v>0</v>
      </c>
      <c r="F273" s="14">
        <f t="shared" si="38"/>
        <v>657.46511999999996</v>
      </c>
      <c r="G273" s="64" t="str">
        <f t="shared" si="39"/>
        <v>4th to 7th, 9th to 12th Floor for Residential</v>
      </c>
      <c r="H273" s="65"/>
      <c r="I273" s="32"/>
    </row>
    <row r="274" spans="1:10" s="2" customFormat="1" x14ac:dyDescent="0.3">
      <c r="A274" s="64">
        <v>5</v>
      </c>
      <c r="B274" s="65"/>
      <c r="C274" s="14" t="s">
        <v>195</v>
      </c>
      <c r="D274" s="14">
        <f t="shared" ref="D274:D276" si="40">(40.72)*10.764</f>
        <v>438.31007999999997</v>
      </c>
      <c r="E274" s="14">
        <v>0</v>
      </c>
      <c r="F274" s="14">
        <f t="shared" si="38"/>
        <v>657.46511999999996</v>
      </c>
      <c r="G274" s="64" t="str">
        <f t="shared" si="39"/>
        <v>4th to 7th, 9th to 12th Floor for Residential</v>
      </c>
      <c r="H274" s="65"/>
      <c r="I274" s="32"/>
    </row>
    <row r="275" spans="1:10" s="2" customFormat="1" x14ac:dyDescent="0.3">
      <c r="A275" s="64">
        <v>6</v>
      </c>
      <c r="B275" s="65"/>
      <c r="C275" s="14" t="s">
        <v>195</v>
      </c>
      <c r="D275" s="14">
        <f t="shared" si="40"/>
        <v>438.31007999999997</v>
      </c>
      <c r="E275" s="14">
        <v>0</v>
      </c>
      <c r="F275" s="14">
        <f t="shared" si="38"/>
        <v>657.46511999999996</v>
      </c>
      <c r="G275" s="64" t="str">
        <f t="shared" si="39"/>
        <v>4th to 7th, 9th to 12th Floor for Residential</v>
      </c>
      <c r="H275" s="65"/>
      <c r="I275" s="32"/>
    </row>
    <row r="276" spans="1:10" s="2" customFormat="1" x14ac:dyDescent="0.3">
      <c r="A276" s="64">
        <v>7</v>
      </c>
      <c r="B276" s="65"/>
      <c r="C276" s="14" t="s">
        <v>195</v>
      </c>
      <c r="D276" s="14">
        <f t="shared" si="40"/>
        <v>438.31007999999997</v>
      </c>
      <c r="E276" s="14">
        <v>0</v>
      </c>
      <c r="F276" s="14">
        <f t="shared" si="38"/>
        <v>657.46511999999996</v>
      </c>
      <c r="G276" s="64" t="str">
        <f t="shared" si="39"/>
        <v>4th to 7th, 9th to 12th Floor for Residential</v>
      </c>
      <c r="H276" s="65"/>
      <c r="I276" s="32"/>
    </row>
    <row r="277" spans="1:10" s="2" customFormat="1" x14ac:dyDescent="0.3">
      <c r="A277" s="64">
        <v>8</v>
      </c>
      <c r="B277" s="65"/>
      <c r="C277" s="14" t="s">
        <v>195</v>
      </c>
      <c r="D277" s="14">
        <f>(40.67)*10.764</f>
        <v>437.77188000000001</v>
      </c>
      <c r="E277" s="14">
        <v>0</v>
      </c>
      <c r="F277" s="14">
        <f t="shared" si="38"/>
        <v>656.65782000000002</v>
      </c>
      <c r="G277" s="64" t="str">
        <f t="shared" si="39"/>
        <v>4th to 7th, 9th to 12th Floor for Residential</v>
      </c>
      <c r="H277" s="65"/>
      <c r="I277" s="32"/>
    </row>
    <row r="278" spans="1:10" s="2" customFormat="1" x14ac:dyDescent="0.3">
      <c r="A278" s="64">
        <v>9</v>
      </c>
      <c r="B278" s="65"/>
      <c r="C278" s="14" t="s">
        <v>195</v>
      </c>
      <c r="D278" s="14">
        <f>(40.67)*10.764</f>
        <v>437.77188000000001</v>
      </c>
      <c r="E278" s="14">
        <v>0</v>
      </c>
      <c r="F278" s="14">
        <f t="shared" si="38"/>
        <v>656.65782000000002</v>
      </c>
      <c r="G278" s="64" t="str">
        <f t="shared" si="39"/>
        <v>4th to 7th, 9th to 12th Floor for Residential</v>
      </c>
      <c r="H278" s="65"/>
      <c r="I278" s="32"/>
    </row>
    <row r="279" spans="1:10" s="2" customFormat="1" x14ac:dyDescent="0.3">
      <c r="A279" s="73" t="s">
        <v>199</v>
      </c>
      <c r="B279" s="74"/>
      <c r="C279" s="74"/>
      <c r="D279" s="74"/>
      <c r="E279" s="74"/>
      <c r="F279" s="74"/>
      <c r="G279" s="74"/>
      <c r="H279" s="75"/>
      <c r="I279" s="32"/>
    </row>
    <row r="280" spans="1:10" s="2" customFormat="1" x14ac:dyDescent="0.3">
      <c r="A280" s="64">
        <v>1</v>
      </c>
      <c r="B280" s="65"/>
      <c r="C280" s="14" t="s">
        <v>195</v>
      </c>
      <c r="D280" s="14">
        <f>(42.79)*10.764</f>
        <v>460.59155999999996</v>
      </c>
      <c r="E280" s="14">
        <v>0</v>
      </c>
      <c r="F280" s="14">
        <f t="shared" ref="F280:F288" si="41">D280*(($F$213)+1)+(IF(E280&lt;101,E280,IF(E280&lt;201,E280/2,IF(E280&lt;=301,E280/3,E280/4))))</f>
        <v>690.88733999999999</v>
      </c>
      <c r="G280" s="64" t="str">
        <f>A279</f>
        <v>8th &amp; 13th Floor (Part Refuge Area)</v>
      </c>
      <c r="H280" s="65"/>
      <c r="I280" s="32"/>
    </row>
    <row r="281" spans="1:10" s="2" customFormat="1" x14ac:dyDescent="0.3">
      <c r="A281" s="64">
        <v>2</v>
      </c>
      <c r="B281" s="65"/>
      <c r="C281" s="14" t="s">
        <v>196</v>
      </c>
      <c r="D281" s="14">
        <f>(59.67)*10.764</f>
        <v>642.28787999999997</v>
      </c>
      <c r="E281" s="14">
        <v>0</v>
      </c>
      <c r="F281" s="14">
        <f t="shared" si="41"/>
        <v>963.43182000000002</v>
      </c>
      <c r="G281" s="64" t="str">
        <f t="shared" ref="G281:G288" si="42">G280</f>
        <v>8th &amp; 13th Floor (Part Refuge Area)</v>
      </c>
      <c r="H281" s="65"/>
      <c r="I281" s="32">
        <f>3484000/F281</f>
        <v>3616.2392892524558</v>
      </c>
    </row>
    <row r="282" spans="1:10" s="2" customFormat="1" x14ac:dyDescent="0.3">
      <c r="A282" s="64">
        <v>3</v>
      </c>
      <c r="B282" s="65"/>
      <c r="C282" s="14" t="s">
        <v>196</v>
      </c>
      <c r="D282" s="14">
        <f>(59.67)*10.764</f>
        <v>642.28787999999997</v>
      </c>
      <c r="E282" s="14">
        <v>0</v>
      </c>
      <c r="F282" s="14">
        <f t="shared" si="41"/>
        <v>963.43182000000002</v>
      </c>
      <c r="G282" s="64" t="str">
        <f t="shared" si="42"/>
        <v>8th &amp; 13th Floor (Part Refuge Area)</v>
      </c>
      <c r="H282" s="65"/>
      <c r="I282" s="32"/>
    </row>
    <row r="283" spans="1:10" s="2" customFormat="1" x14ac:dyDescent="0.3">
      <c r="A283" s="64">
        <v>4</v>
      </c>
      <c r="B283" s="65"/>
      <c r="C283" s="14" t="s">
        <v>196</v>
      </c>
      <c r="D283" s="14">
        <f>(2.75*4.35+2.1*2.5+3.05*3.5+2.75*4.35+1.3*2+2.1*3.5+1.9*1.2+1.3*1.2+1.2*1.3+1.15*(2.1+2.1)+1*2.1)*10.764</f>
        <v>668.76732000000004</v>
      </c>
      <c r="E283" s="14">
        <v>0</v>
      </c>
      <c r="F283" s="14">
        <f t="shared" si="41"/>
        <v>1003.1509800000001</v>
      </c>
      <c r="G283" s="64" t="str">
        <f t="shared" si="42"/>
        <v>8th &amp; 13th Floor (Part Refuge Area)</v>
      </c>
      <c r="H283" s="65"/>
      <c r="I283" s="32" t="s">
        <v>204</v>
      </c>
      <c r="J283" s="2">
        <f>2.75*4.35+2.1*2.5+3.05*3.5+2.75*4.35+1.3*2+2.1*3.5+1.9*1.2</f>
        <v>52.08</v>
      </c>
    </row>
    <row r="284" spans="1:10" s="2" customFormat="1" x14ac:dyDescent="0.3">
      <c r="A284" s="64">
        <v>5</v>
      </c>
      <c r="B284" s="65"/>
      <c r="C284" s="64" t="s">
        <v>200</v>
      </c>
      <c r="D284" s="84"/>
      <c r="E284" s="84"/>
      <c r="F284" s="65"/>
      <c r="G284" s="64" t="str">
        <f t="shared" si="42"/>
        <v>8th &amp; 13th Floor (Part Refuge Area)</v>
      </c>
      <c r="H284" s="65"/>
      <c r="I284" s="32"/>
      <c r="J284" s="2">
        <f>1.3*1.2+1.2*1.3</f>
        <v>3.12</v>
      </c>
    </row>
    <row r="285" spans="1:10" s="2" customFormat="1" x14ac:dyDescent="0.3">
      <c r="A285" s="64">
        <v>6</v>
      </c>
      <c r="B285" s="65"/>
      <c r="C285" s="14" t="s">
        <v>195</v>
      </c>
      <c r="D285" s="14">
        <f t="shared" ref="D285:D286" si="43">(40.72)*10.764</f>
        <v>438.31007999999997</v>
      </c>
      <c r="E285" s="14">
        <v>0</v>
      </c>
      <c r="F285" s="14">
        <f t="shared" si="41"/>
        <v>657.46511999999996</v>
      </c>
      <c r="G285" s="64" t="str">
        <f t="shared" si="42"/>
        <v>8th &amp; 13th Floor (Part Refuge Area)</v>
      </c>
      <c r="H285" s="65"/>
      <c r="I285" s="32"/>
      <c r="J285" s="2">
        <f>1.15*(2.1+2.1)+1*2.1</f>
        <v>6.93</v>
      </c>
    </row>
    <row r="286" spans="1:10" s="2" customFormat="1" x14ac:dyDescent="0.3">
      <c r="A286" s="64">
        <v>7</v>
      </c>
      <c r="B286" s="65"/>
      <c r="C286" s="14" t="s">
        <v>195</v>
      </c>
      <c r="D286" s="14">
        <f t="shared" si="43"/>
        <v>438.31007999999997</v>
      </c>
      <c r="E286" s="14">
        <v>0</v>
      </c>
      <c r="F286" s="14">
        <f t="shared" si="41"/>
        <v>657.46511999999996</v>
      </c>
      <c r="G286" s="64" t="str">
        <f t="shared" si="42"/>
        <v>8th &amp; 13th Floor (Part Refuge Area)</v>
      </c>
      <c r="H286" s="65"/>
      <c r="I286" s="32"/>
      <c r="J286" s="2">
        <f>J283+J284+J285</f>
        <v>62.129999999999995</v>
      </c>
    </row>
    <row r="287" spans="1:10" s="2" customFormat="1" x14ac:dyDescent="0.3">
      <c r="A287" s="64">
        <v>8</v>
      </c>
      <c r="B287" s="65"/>
      <c r="C287" s="14" t="s">
        <v>195</v>
      </c>
      <c r="D287" s="14">
        <f>(40.67)*10.764</f>
        <v>437.77188000000001</v>
      </c>
      <c r="E287" s="14">
        <v>0</v>
      </c>
      <c r="F287" s="14">
        <f t="shared" si="41"/>
        <v>656.65782000000002</v>
      </c>
      <c r="G287" s="64" t="str">
        <f t="shared" si="42"/>
        <v>8th &amp; 13th Floor (Part Refuge Area)</v>
      </c>
      <c r="H287" s="65"/>
      <c r="I287" s="32"/>
    </row>
    <row r="288" spans="1:10" s="2" customFormat="1" x14ac:dyDescent="0.3">
      <c r="A288" s="64">
        <v>9</v>
      </c>
      <c r="B288" s="65"/>
      <c r="C288" s="14" t="s">
        <v>195</v>
      </c>
      <c r="D288" s="14">
        <f>(40.67)*10.764</f>
        <v>437.77188000000001</v>
      </c>
      <c r="E288" s="14">
        <v>0</v>
      </c>
      <c r="F288" s="14">
        <f t="shared" si="41"/>
        <v>656.65782000000002</v>
      </c>
      <c r="G288" s="64" t="str">
        <f t="shared" si="42"/>
        <v>8th &amp; 13th Floor (Part Refuge Area)</v>
      </c>
      <c r="H288" s="65"/>
      <c r="I288" s="32"/>
    </row>
    <row r="289" spans="1:8" s="1" customFormat="1" x14ac:dyDescent="0.3">
      <c r="A289" s="187" t="s">
        <v>72</v>
      </c>
      <c r="B289" s="187"/>
      <c r="C289" s="187"/>
      <c r="D289" s="187"/>
      <c r="E289" s="187"/>
      <c r="F289" s="187"/>
      <c r="G289" s="187"/>
      <c r="H289" s="187"/>
    </row>
    <row r="290" spans="1:8" s="1" customFormat="1" ht="48" customHeight="1" x14ac:dyDescent="0.3">
      <c r="A290" s="45" t="s">
        <v>163</v>
      </c>
      <c r="B290" s="111" t="s">
        <v>267</v>
      </c>
      <c r="C290" s="112"/>
      <c r="D290" s="112"/>
      <c r="E290" s="112"/>
      <c r="F290" s="112"/>
      <c r="G290" s="112"/>
      <c r="H290" s="113"/>
    </row>
    <row r="291" spans="1:8" s="1" customFormat="1" x14ac:dyDescent="0.3">
      <c r="A291" s="45" t="s">
        <v>163</v>
      </c>
      <c r="B291" s="111" t="str">
        <f>(IF(F212="Saleable area Loading :","We have considered Saleable area of Flats as per our Calculation.","We considered Saleable area of Flat as per Builder area Sheet."))</f>
        <v>We have considered Saleable area of Flats as per our Calculation.</v>
      </c>
      <c r="C291" s="112"/>
      <c r="D291" s="112"/>
      <c r="E291" s="112"/>
      <c r="F291" s="112"/>
      <c r="G291" s="112"/>
      <c r="H291" s="113"/>
    </row>
    <row r="292" spans="1:8" s="1" customFormat="1" x14ac:dyDescent="0.3">
      <c r="A292" s="45" t="s">
        <v>163</v>
      </c>
      <c r="B292" s="111" t="str">
        <f>(IF(F143="Saleable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92" s="112"/>
      <c r="D292" s="112"/>
      <c r="E292" s="112"/>
      <c r="F292" s="112"/>
      <c r="G292" s="112"/>
      <c r="H292" s="113"/>
    </row>
    <row r="293" spans="1:8" s="1" customFormat="1" x14ac:dyDescent="0.3">
      <c r="A293" s="45" t="s">
        <v>163</v>
      </c>
      <c r="B293" s="111" t="s">
        <v>132</v>
      </c>
      <c r="C293" s="112"/>
      <c r="D293" s="112"/>
      <c r="E293" s="112"/>
      <c r="F293" s="112"/>
      <c r="G293" s="112"/>
      <c r="H293" s="113"/>
    </row>
    <row r="294" spans="1:8" s="1" customFormat="1" x14ac:dyDescent="0.3">
      <c r="A294" s="45" t="s">
        <v>163</v>
      </c>
      <c r="B294" s="61" t="s">
        <v>218</v>
      </c>
      <c r="C294" s="62"/>
      <c r="D294" s="62"/>
      <c r="E294" s="62"/>
      <c r="F294" s="62"/>
      <c r="G294" s="62"/>
      <c r="H294" s="63"/>
    </row>
    <row r="295" spans="1:8" s="1" customFormat="1" x14ac:dyDescent="0.3">
      <c r="A295" s="45" t="s">
        <v>163</v>
      </c>
      <c r="B295" s="61" t="s">
        <v>162</v>
      </c>
      <c r="C295" s="62"/>
      <c r="D295" s="62"/>
      <c r="E295" s="62"/>
      <c r="F295" s="62"/>
      <c r="G295" s="62"/>
      <c r="H295" s="63"/>
    </row>
    <row r="296" spans="1:8" s="1" customFormat="1" x14ac:dyDescent="0.3">
      <c r="A296" s="45" t="s">
        <v>163</v>
      </c>
      <c r="B296" s="61" t="s">
        <v>133</v>
      </c>
      <c r="C296" s="62"/>
      <c r="D296" s="62"/>
      <c r="E296" s="62"/>
      <c r="F296" s="62"/>
      <c r="G296" s="62"/>
      <c r="H296" s="63"/>
    </row>
    <row r="297" spans="1:8" s="1" customFormat="1" ht="34.5" customHeight="1" x14ac:dyDescent="0.3">
      <c r="A297" s="45" t="s">
        <v>163</v>
      </c>
      <c r="B297" s="61" t="s">
        <v>167</v>
      </c>
      <c r="C297" s="62"/>
      <c r="D297" s="62"/>
      <c r="E297" s="62"/>
      <c r="F297" s="62"/>
      <c r="G297" s="62"/>
      <c r="H297" s="63"/>
    </row>
    <row r="298" spans="1:8" s="1" customFormat="1" x14ac:dyDescent="0.3">
      <c r="A298" s="45" t="s">
        <v>163</v>
      </c>
      <c r="B298" s="61" t="s">
        <v>134</v>
      </c>
      <c r="C298" s="62"/>
      <c r="D298" s="62"/>
      <c r="E298" s="62"/>
      <c r="F298" s="62"/>
      <c r="G298" s="62"/>
      <c r="H298" s="63"/>
    </row>
    <row r="299" spans="1:8" s="1" customFormat="1" hidden="1" x14ac:dyDescent="0.3">
      <c r="A299" s="45" t="s">
        <v>163</v>
      </c>
      <c r="B299" s="61" t="s">
        <v>254</v>
      </c>
      <c r="C299" s="62"/>
      <c r="D299" s="62"/>
      <c r="E299" s="62"/>
      <c r="F299" s="62"/>
      <c r="G299" s="62"/>
      <c r="H299" s="63"/>
    </row>
    <row r="300" spans="1:8" s="1" customFormat="1" hidden="1" x14ac:dyDescent="0.3">
      <c r="A300" s="45" t="s">
        <v>163</v>
      </c>
      <c r="B300" s="111" t="s">
        <v>250</v>
      </c>
      <c r="C300" s="112"/>
      <c r="D300" s="112"/>
      <c r="E300" s="112"/>
      <c r="F300" s="112"/>
      <c r="G300" s="112"/>
      <c r="H300" s="113"/>
    </row>
    <row r="301" spans="1:8" s="1" customFormat="1" hidden="1" x14ac:dyDescent="0.3">
      <c r="A301" s="45" t="s">
        <v>163</v>
      </c>
      <c r="B301" s="61" t="s">
        <v>254</v>
      </c>
      <c r="C301" s="62"/>
      <c r="D301" s="62"/>
      <c r="E301" s="62"/>
      <c r="F301" s="62"/>
      <c r="G301" s="62"/>
      <c r="H301" s="63"/>
    </row>
    <row r="302" spans="1:8" s="1" customFormat="1" ht="31.2" hidden="1" customHeight="1" x14ac:dyDescent="0.3">
      <c r="A302" s="45" t="s">
        <v>163</v>
      </c>
      <c r="B302" s="61" t="s">
        <v>256</v>
      </c>
      <c r="C302" s="62"/>
      <c r="D302" s="62"/>
      <c r="E302" s="62"/>
      <c r="F302" s="62"/>
      <c r="G302" s="62"/>
      <c r="H302" s="63"/>
    </row>
    <row r="303" spans="1:8" s="1" customFormat="1" ht="33" customHeight="1" x14ac:dyDescent="0.3">
      <c r="A303" s="45" t="s">
        <v>163</v>
      </c>
      <c r="B303" s="211" t="s">
        <v>269</v>
      </c>
      <c r="C303" s="212"/>
      <c r="D303" s="212"/>
      <c r="E303" s="212"/>
      <c r="F303" s="212"/>
      <c r="G303" s="212"/>
      <c r="H303" s="213"/>
    </row>
    <row r="304" spans="1:8" x14ac:dyDescent="0.3">
      <c r="A304" s="189" t="s">
        <v>65</v>
      </c>
      <c r="B304" s="189"/>
      <c r="C304" s="189"/>
      <c r="D304" s="189"/>
      <c r="E304" s="189"/>
      <c r="F304" s="189"/>
      <c r="G304" s="189"/>
      <c r="H304" s="189"/>
    </row>
    <row r="305" spans="1:8" x14ac:dyDescent="0.3">
      <c r="A305" s="98" t="s">
        <v>66</v>
      </c>
      <c r="B305" s="98"/>
      <c r="C305" s="98"/>
      <c r="D305" s="98"/>
      <c r="E305" s="98"/>
      <c r="F305" s="98"/>
      <c r="G305" s="98"/>
      <c r="H305" s="98"/>
    </row>
    <row r="306" spans="1:8" ht="15.75" customHeight="1" x14ac:dyDescent="0.3">
      <c r="A306" s="188" t="s">
        <v>67</v>
      </c>
      <c r="B306" s="188"/>
      <c r="C306" s="188"/>
      <c r="D306" s="188"/>
      <c r="E306" s="188"/>
      <c r="F306" s="188"/>
      <c r="G306" s="188"/>
      <c r="H306" s="188"/>
    </row>
    <row r="307" spans="1:8" x14ac:dyDescent="0.3">
      <c r="A307" s="98" t="s">
        <v>68</v>
      </c>
      <c r="B307" s="98"/>
      <c r="C307" s="98"/>
      <c r="D307" s="98"/>
      <c r="E307" s="98"/>
      <c r="F307" s="98"/>
      <c r="G307" s="98"/>
      <c r="H307" s="98"/>
    </row>
    <row r="308" spans="1:8" x14ac:dyDescent="0.3">
      <c r="A308" s="98" t="s">
        <v>69</v>
      </c>
      <c r="B308" s="98"/>
      <c r="C308" s="98"/>
      <c r="D308" s="98"/>
      <c r="E308" s="98"/>
      <c r="F308" s="98"/>
      <c r="G308" s="98"/>
      <c r="H308" s="98"/>
    </row>
    <row r="309" spans="1:8" x14ac:dyDescent="0.3">
      <c r="A309" s="98" t="s">
        <v>135</v>
      </c>
      <c r="B309" s="98"/>
      <c r="C309" s="98"/>
      <c r="D309" s="98"/>
      <c r="E309" s="98"/>
      <c r="F309" s="98"/>
      <c r="G309" s="98"/>
      <c r="H309" s="98"/>
    </row>
    <row r="310" spans="1:8" ht="35.25" customHeight="1" x14ac:dyDescent="0.3">
      <c r="A310" s="136" t="s">
        <v>136</v>
      </c>
      <c r="B310" s="136"/>
      <c r="C310" s="136"/>
      <c r="D310" s="136"/>
      <c r="E310" s="136"/>
      <c r="F310" s="136"/>
      <c r="G310" s="136"/>
      <c r="H310" s="136"/>
    </row>
    <row r="311" spans="1:8" x14ac:dyDescent="0.3">
      <c r="A311" s="184" t="s">
        <v>81</v>
      </c>
      <c r="B311" s="184"/>
      <c r="C311" s="184" t="s">
        <v>257</v>
      </c>
      <c r="D311" s="184"/>
      <c r="E311" s="184" t="s">
        <v>114</v>
      </c>
      <c r="F311" s="184"/>
      <c r="G311" s="184" t="s">
        <v>268</v>
      </c>
      <c r="H311" s="184"/>
    </row>
    <row r="312" spans="1:8" x14ac:dyDescent="0.3">
      <c r="A312" s="146" t="s">
        <v>83</v>
      </c>
      <c r="B312" s="146"/>
      <c r="C312" s="146"/>
      <c r="D312" s="146"/>
      <c r="E312" s="146"/>
      <c r="F312" s="146"/>
      <c r="G312" s="146"/>
      <c r="H312" s="146"/>
    </row>
    <row r="313" spans="1:8" x14ac:dyDescent="0.3">
      <c r="A313" s="146"/>
      <c r="B313" s="146"/>
      <c r="C313" s="146"/>
      <c r="D313" s="146"/>
      <c r="E313" s="146"/>
      <c r="F313" s="146"/>
      <c r="G313" s="146"/>
      <c r="H313" s="146"/>
    </row>
    <row r="314" spans="1:8" x14ac:dyDescent="0.3">
      <c r="A314" s="146"/>
      <c r="B314" s="146"/>
      <c r="C314" s="146"/>
      <c r="D314" s="146"/>
      <c r="E314" s="146"/>
      <c r="F314" s="146"/>
      <c r="G314" s="146"/>
      <c r="H314" s="146"/>
    </row>
    <row r="315" spans="1:8" hidden="1" x14ac:dyDescent="0.3">
      <c r="A315" s="146"/>
      <c r="B315" s="146"/>
      <c r="C315" s="146"/>
      <c r="D315" s="146"/>
      <c r="E315" s="146"/>
      <c r="F315" s="146"/>
      <c r="G315" s="146"/>
      <c r="H315" s="146"/>
    </row>
    <row r="316" spans="1:8" x14ac:dyDescent="0.3">
      <c r="A316" s="9" t="s">
        <v>70</v>
      </c>
      <c r="B316" s="10"/>
      <c r="C316" s="10"/>
      <c r="D316" s="9" t="str">
        <f>E8</f>
        <v>Raj Urbania</v>
      </c>
      <c r="F316" s="10"/>
      <c r="G316" s="10"/>
      <c r="H316" s="10"/>
    </row>
    <row r="317" spans="1:8" x14ac:dyDescent="0.3">
      <c r="A317" s="10"/>
      <c r="B317" s="10"/>
      <c r="C317" s="10"/>
      <c r="D317" s="10"/>
      <c r="E317" s="10"/>
      <c r="F317" s="10"/>
      <c r="G317" s="10"/>
      <c r="H317" s="10"/>
    </row>
    <row r="318" spans="1:8" x14ac:dyDescent="0.3">
      <c r="A318" s="10"/>
      <c r="B318" s="10"/>
      <c r="C318" s="10"/>
      <c r="D318" s="10"/>
      <c r="E318" s="10"/>
      <c r="F318" s="10"/>
      <c r="G318" s="10"/>
      <c r="H318" s="10"/>
    </row>
    <row r="319" spans="1:8" ht="15" customHeight="1" x14ac:dyDescent="0.3"/>
    <row r="359" spans="1:1" x14ac:dyDescent="0.3">
      <c r="A359" s="12" t="s">
        <v>71</v>
      </c>
    </row>
  </sheetData>
  <mergeCells count="613">
    <mergeCell ref="B302:H302"/>
    <mergeCell ref="B301:H301"/>
    <mergeCell ref="G140:H140"/>
    <mergeCell ref="C129:D129"/>
    <mergeCell ref="E129:F129"/>
    <mergeCell ref="G129:H129"/>
    <mergeCell ref="A127:B127"/>
    <mergeCell ref="C127:D127"/>
    <mergeCell ref="E127:F127"/>
    <mergeCell ref="G127:H127"/>
    <mergeCell ref="A128:B128"/>
    <mergeCell ref="C128:D128"/>
    <mergeCell ref="E128:F128"/>
    <mergeCell ref="G128:H128"/>
    <mergeCell ref="C139:D139"/>
    <mergeCell ref="E139:F139"/>
    <mergeCell ref="G139:H139"/>
    <mergeCell ref="C137:D137"/>
    <mergeCell ref="G137:H137"/>
    <mergeCell ref="A129:B129"/>
    <mergeCell ref="A130:B130"/>
    <mergeCell ref="C130:D130"/>
    <mergeCell ref="E130:F130"/>
    <mergeCell ref="G130:H130"/>
    <mergeCell ref="A218:B218"/>
    <mergeCell ref="A235:B235"/>
    <mergeCell ref="A134:B134"/>
    <mergeCell ref="C134:D134"/>
    <mergeCell ref="A287:B287"/>
    <mergeCell ref="G287:H287"/>
    <mergeCell ref="A288:B288"/>
    <mergeCell ref="G288:H288"/>
    <mergeCell ref="C284:F284"/>
    <mergeCell ref="A193:H193"/>
    <mergeCell ref="A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A282:B282"/>
    <mergeCell ref="G282:H282"/>
    <mergeCell ref="A283:B283"/>
    <mergeCell ref="G283:H283"/>
    <mergeCell ref="A284:B284"/>
    <mergeCell ref="G235:H235"/>
    <mergeCell ref="A238:B238"/>
    <mergeCell ref="G285:H285"/>
    <mergeCell ref="G203:H203"/>
    <mergeCell ref="G204:H204"/>
    <mergeCell ref="A205:H205"/>
    <mergeCell ref="G206:H206"/>
    <mergeCell ref="G207:H207"/>
    <mergeCell ref="G251:H251"/>
    <mergeCell ref="A252:B252"/>
    <mergeCell ref="A250:B250"/>
    <mergeCell ref="G250:H250"/>
    <mergeCell ref="A239:B239"/>
    <mergeCell ref="A227:B227"/>
    <mergeCell ref="A226:B226"/>
    <mergeCell ref="A269:H269"/>
    <mergeCell ref="A267:B267"/>
    <mergeCell ref="G267:H267"/>
    <mergeCell ref="A208:H208"/>
    <mergeCell ref="G209:H209"/>
    <mergeCell ref="G210:H210"/>
    <mergeCell ref="G240:H240"/>
    <mergeCell ref="A220:B220"/>
    <mergeCell ref="A217:B217"/>
    <mergeCell ref="A175:B176"/>
    <mergeCell ref="F175:F176"/>
    <mergeCell ref="L215:M215"/>
    <mergeCell ref="A211:H211"/>
    <mergeCell ref="A212:A213"/>
    <mergeCell ref="A240:B240"/>
    <mergeCell ref="G220:H220"/>
    <mergeCell ref="A286:B286"/>
    <mergeCell ref="G286:H286"/>
    <mergeCell ref="A279:H279"/>
    <mergeCell ref="A280:B280"/>
    <mergeCell ref="G280:H280"/>
    <mergeCell ref="A281:B281"/>
    <mergeCell ref="G281:H281"/>
    <mergeCell ref="A270:B270"/>
    <mergeCell ref="G270:H270"/>
    <mergeCell ref="A271:B271"/>
    <mergeCell ref="G271:H271"/>
    <mergeCell ref="A272:B272"/>
    <mergeCell ref="G272:H272"/>
    <mergeCell ref="A268:B268"/>
    <mergeCell ref="A264:B264"/>
    <mergeCell ref="A251:B251"/>
    <mergeCell ref="G239:H239"/>
    <mergeCell ref="A171:B172"/>
    <mergeCell ref="F171:F172"/>
    <mergeCell ref="L171:M171"/>
    <mergeCell ref="L172:M172"/>
    <mergeCell ref="A173:B174"/>
    <mergeCell ref="F173:F174"/>
    <mergeCell ref="L173:M173"/>
    <mergeCell ref="L174:M174"/>
    <mergeCell ref="G171:H172"/>
    <mergeCell ref="G173:H174"/>
    <mergeCell ref="E171:E172"/>
    <mergeCell ref="E173:E174"/>
    <mergeCell ref="E161:E162"/>
    <mergeCell ref="E163:E164"/>
    <mergeCell ref="E165:E166"/>
    <mergeCell ref="L162:M162"/>
    <mergeCell ref="L163:M163"/>
    <mergeCell ref="L175:M175"/>
    <mergeCell ref="L176:M176"/>
    <mergeCell ref="G175:H176"/>
    <mergeCell ref="E175:E176"/>
    <mergeCell ref="L168:M168"/>
    <mergeCell ref="A169:B170"/>
    <mergeCell ref="F169:F170"/>
    <mergeCell ref="L169:M169"/>
    <mergeCell ref="L170:M170"/>
    <mergeCell ref="G167:H168"/>
    <mergeCell ref="G169:H170"/>
    <mergeCell ref="E167:E168"/>
    <mergeCell ref="E169:E170"/>
    <mergeCell ref="A167:B168"/>
    <mergeCell ref="F167:F168"/>
    <mergeCell ref="L167:M167"/>
    <mergeCell ref="L164:M164"/>
    <mergeCell ref="L165:M165"/>
    <mergeCell ref="L166:M166"/>
    <mergeCell ref="L148:M148"/>
    <mergeCell ref="L150:M150"/>
    <mergeCell ref="L152:M152"/>
    <mergeCell ref="L158:M158"/>
    <mergeCell ref="L159:M159"/>
    <mergeCell ref="L160:M160"/>
    <mergeCell ref="L161:M161"/>
    <mergeCell ref="L157:M157"/>
    <mergeCell ref="L156:M156"/>
    <mergeCell ref="L155:M155"/>
    <mergeCell ref="L153:M153"/>
    <mergeCell ref="L151:M151"/>
    <mergeCell ref="L149:M149"/>
    <mergeCell ref="L147:M147"/>
    <mergeCell ref="L154:M154"/>
    <mergeCell ref="F153:F154"/>
    <mergeCell ref="G153:H154"/>
    <mergeCell ref="F155:F156"/>
    <mergeCell ref="F157:F158"/>
    <mergeCell ref="F151:F152"/>
    <mergeCell ref="A81:B81"/>
    <mergeCell ref="C81:H81"/>
    <mergeCell ref="A106:B106"/>
    <mergeCell ref="A76:B76"/>
    <mergeCell ref="A47:B47"/>
    <mergeCell ref="C47:E47"/>
    <mergeCell ref="G47:H47"/>
    <mergeCell ref="G49:H49"/>
    <mergeCell ref="D53:H53"/>
    <mergeCell ref="C49:E49"/>
    <mergeCell ref="A56:C58"/>
    <mergeCell ref="D56:H56"/>
    <mergeCell ref="D57:H57"/>
    <mergeCell ref="C48:E48"/>
    <mergeCell ref="A51:B51"/>
    <mergeCell ref="C51:E51"/>
    <mergeCell ref="A48:B48"/>
    <mergeCell ref="A52:H52"/>
    <mergeCell ref="D58:H58"/>
    <mergeCell ref="A309:H309"/>
    <mergeCell ref="A221:B221"/>
    <mergeCell ref="A306:H306"/>
    <mergeCell ref="G238:H238"/>
    <mergeCell ref="A216:B216"/>
    <mergeCell ref="A137:B137"/>
    <mergeCell ref="D212:D213"/>
    <mergeCell ref="E212:E213"/>
    <mergeCell ref="G212:H213"/>
    <mergeCell ref="A304:H304"/>
    <mergeCell ref="A305:H305"/>
    <mergeCell ref="E137:F137"/>
    <mergeCell ref="B299:H299"/>
    <mergeCell ref="B300:H300"/>
    <mergeCell ref="B296:H296"/>
    <mergeCell ref="G252:H252"/>
    <mergeCell ref="B292:H292"/>
    <mergeCell ref="A249:B249"/>
    <mergeCell ref="G249:H249"/>
    <mergeCell ref="G248:H248"/>
    <mergeCell ref="A246:H246"/>
    <mergeCell ref="A247:B247"/>
    <mergeCell ref="A248:B248"/>
    <mergeCell ref="F147:F148"/>
    <mergeCell ref="A224:B224"/>
    <mergeCell ref="A142:H142"/>
    <mergeCell ref="G125:H125"/>
    <mergeCell ref="A120:E120"/>
    <mergeCell ref="C126:D126"/>
    <mergeCell ref="E126:F126"/>
    <mergeCell ref="G217:H217"/>
    <mergeCell ref="B143:B144"/>
    <mergeCell ref="A143:A144"/>
    <mergeCell ref="C212:C213"/>
    <mergeCell ref="G151:H152"/>
    <mergeCell ref="G155:H156"/>
    <mergeCell ref="G157:H158"/>
    <mergeCell ref="G159:H160"/>
    <mergeCell ref="G221:H221"/>
    <mergeCell ref="A139:B139"/>
    <mergeCell ref="F149:F150"/>
    <mergeCell ref="G149:H150"/>
    <mergeCell ref="A151:B152"/>
    <mergeCell ref="A165:B166"/>
    <mergeCell ref="F165:F166"/>
    <mergeCell ref="G163:H164"/>
    <mergeCell ref="F161:F162"/>
    <mergeCell ref="F159:F160"/>
    <mergeCell ref="A312:H315"/>
    <mergeCell ref="A311:B311"/>
    <mergeCell ref="E311:F311"/>
    <mergeCell ref="C311:D311"/>
    <mergeCell ref="G311:H311"/>
    <mergeCell ref="A124:H124"/>
    <mergeCell ref="A122:E122"/>
    <mergeCell ref="F122:H122"/>
    <mergeCell ref="A123:E123"/>
    <mergeCell ref="F123:H123"/>
    <mergeCell ref="A215:H215"/>
    <mergeCell ref="A138:B138"/>
    <mergeCell ref="A225:B225"/>
    <mergeCell ref="A126:B126"/>
    <mergeCell ref="A307:H307"/>
    <mergeCell ref="A136:H136"/>
    <mergeCell ref="A310:H310"/>
    <mergeCell ref="A308:H308"/>
    <mergeCell ref="A289:H289"/>
    <mergeCell ref="G237:H237"/>
    <mergeCell ref="C143:C144"/>
    <mergeCell ref="B212:B213"/>
    <mergeCell ref="A234:H234"/>
    <mergeCell ref="A222:H222"/>
    <mergeCell ref="D61:H61"/>
    <mergeCell ref="C69:H69"/>
    <mergeCell ref="A72:B72"/>
    <mergeCell ref="A74:B74"/>
    <mergeCell ref="E70:F70"/>
    <mergeCell ref="A62:C62"/>
    <mergeCell ref="D62:H62"/>
    <mergeCell ref="A65:C65"/>
    <mergeCell ref="D65:H65"/>
    <mergeCell ref="A63:C63"/>
    <mergeCell ref="D63:H63"/>
    <mergeCell ref="A61:C61"/>
    <mergeCell ref="A77:B77"/>
    <mergeCell ref="A70:B70"/>
    <mergeCell ref="A73:B73"/>
    <mergeCell ref="A64:C64"/>
    <mergeCell ref="D64:H64"/>
    <mergeCell ref="A71:B71"/>
    <mergeCell ref="G70:H70"/>
    <mergeCell ref="A69:B69"/>
    <mergeCell ref="A66:B66"/>
    <mergeCell ref="C66:H66"/>
    <mergeCell ref="A75:B75"/>
    <mergeCell ref="A68:B68"/>
    <mergeCell ref="C68:D68"/>
    <mergeCell ref="E68:F68"/>
    <mergeCell ref="G68:H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30:B30"/>
    <mergeCell ref="C31:E31"/>
    <mergeCell ref="A32:B32"/>
    <mergeCell ref="C32:E32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45:H45"/>
    <mergeCell ref="D55:H55"/>
    <mergeCell ref="A55:C55"/>
    <mergeCell ref="G48:H48"/>
    <mergeCell ref="A49:B50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E42:H42"/>
    <mergeCell ref="F34:H34"/>
    <mergeCell ref="A36:B36"/>
    <mergeCell ref="C36:H36"/>
    <mergeCell ref="E43:H43"/>
    <mergeCell ref="E44:H44"/>
    <mergeCell ref="A42:D42"/>
    <mergeCell ref="A43:D43"/>
    <mergeCell ref="A44:D44"/>
    <mergeCell ref="A39:D39"/>
    <mergeCell ref="E39:H39"/>
    <mergeCell ref="F31:H31"/>
    <mergeCell ref="F32:H32"/>
    <mergeCell ref="A38:H38"/>
    <mergeCell ref="A37:B37"/>
    <mergeCell ref="C37:H37"/>
    <mergeCell ref="A35:H35"/>
    <mergeCell ref="A34:B34"/>
    <mergeCell ref="C34:E34"/>
    <mergeCell ref="A31:B31"/>
    <mergeCell ref="A59:C59"/>
    <mergeCell ref="A60:C60"/>
    <mergeCell ref="D59:H59"/>
    <mergeCell ref="A53:C53"/>
    <mergeCell ref="C50:H50"/>
    <mergeCell ref="E40:H40"/>
    <mergeCell ref="A40:D40"/>
    <mergeCell ref="A85:B85"/>
    <mergeCell ref="E85:F85"/>
    <mergeCell ref="G85:H85"/>
    <mergeCell ref="A83:B83"/>
    <mergeCell ref="C83:D83"/>
    <mergeCell ref="E83:F83"/>
    <mergeCell ref="G83:H83"/>
    <mergeCell ref="A54:C54"/>
    <mergeCell ref="D54:H54"/>
    <mergeCell ref="G51:H51"/>
    <mergeCell ref="E71:F80"/>
    <mergeCell ref="G71:H80"/>
    <mergeCell ref="A79:B79"/>
    <mergeCell ref="A80:B80"/>
    <mergeCell ref="D60:H60"/>
    <mergeCell ref="A41:D41"/>
    <mergeCell ref="E41:H41"/>
    <mergeCell ref="C84:H84"/>
    <mergeCell ref="A116:E116"/>
    <mergeCell ref="A99:B99"/>
    <mergeCell ref="E99:F99"/>
    <mergeCell ref="G99:H99"/>
    <mergeCell ref="A100:B100"/>
    <mergeCell ref="E100:F109"/>
    <mergeCell ref="G100:H109"/>
    <mergeCell ref="A90:B90"/>
    <mergeCell ref="A91:B91"/>
    <mergeCell ref="A92:B92"/>
    <mergeCell ref="F116:H116"/>
    <mergeCell ref="G186:H186"/>
    <mergeCell ref="A278:B278"/>
    <mergeCell ref="G278:H278"/>
    <mergeCell ref="A273:B273"/>
    <mergeCell ref="G264:H264"/>
    <mergeCell ref="A78:B78"/>
    <mergeCell ref="C138:D138"/>
    <mergeCell ref="E138:F138"/>
    <mergeCell ref="G138:H138"/>
    <mergeCell ref="F117:H117"/>
    <mergeCell ref="A111:E111"/>
    <mergeCell ref="A96:B96"/>
    <mergeCell ref="C96:H96"/>
    <mergeCell ref="A146:H146"/>
    <mergeCell ref="E143:E144"/>
    <mergeCell ref="G143:H144"/>
    <mergeCell ref="A86:B86"/>
    <mergeCell ref="E86:F95"/>
    <mergeCell ref="A93:B93"/>
    <mergeCell ref="A94:B94"/>
    <mergeCell ref="A95:B95"/>
    <mergeCell ref="A98:B98"/>
    <mergeCell ref="C98:H98"/>
    <mergeCell ref="A84:B84"/>
    <mergeCell ref="B290:H290"/>
    <mergeCell ref="B291:H291"/>
    <mergeCell ref="B293:H293"/>
    <mergeCell ref="B294:H294"/>
    <mergeCell ref="G247:H247"/>
    <mergeCell ref="A253:B253"/>
    <mergeCell ref="G253:H253"/>
    <mergeCell ref="A256:B256"/>
    <mergeCell ref="G256:H256"/>
    <mergeCell ref="A257:B257"/>
    <mergeCell ref="G257:H257"/>
    <mergeCell ref="A258:H258"/>
    <mergeCell ref="A259:H259"/>
    <mergeCell ref="A260:B260"/>
    <mergeCell ref="G260:H260"/>
    <mergeCell ref="A261:B261"/>
    <mergeCell ref="G261:H261"/>
    <mergeCell ref="A262:B262"/>
    <mergeCell ref="G262:H262"/>
    <mergeCell ref="A263:B263"/>
    <mergeCell ref="G284:H284"/>
    <mergeCell ref="A285:B285"/>
    <mergeCell ref="A103:B103"/>
    <mergeCell ref="A104:B104"/>
    <mergeCell ref="A105:B105"/>
    <mergeCell ref="A107:B107"/>
    <mergeCell ref="A108:B108"/>
    <mergeCell ref="A113:E113"/>
    <mergeCell ref="F118:H118"/>
    <mergeCell ref="F111:H111"/>
    <mergeCell ref="A110:H110"/>
    <mergeCell ref="A109:B109"/>
    <mergeCell ref="F115:H115"/>
    <mergeCell ref="F114:H114"/>
    <mergeCell ref="E147:E148"/>
    <mergeCell ref="G147:H148"/>
    <mergeCell ref="A183:B183"/>
    <mergeCell ref="G183:H183"/>
    <mergeCell ref="A161:B162"/>
    <mergeCell ref="A117:E117"/>
    <mergeCell ref="A119:E119"/>
    <mergeCell ref="F113:H113"/>
    <mergeCell ref="A118:E118"/>
    <mergeCell ref="A163:B164"/>
    <mergeCell ref="F163:F164"/>
    <mergeCell ref="A177:H177"/>
    <mergeCell ref="F119:H119"/>
    <mergeCell ref="E153:E154"/>
    <mergeCell ref="E155:E156"/>
    <mergeCell ref="G161:H162"/>
    <mergeCell ref="F121:H121"/>
    <mergeCell ref="E140:F140"/>
    <mergeCell ref="A149:B150"/>
    <mergeCell ref="G165:H166"/>
    <mergeCell ref="E149:E150"/>
    <mergeCell ref="E151:E152"/>
    <mergeCell ref="E157:E158"/>
    <mergeCell ref="E159:E160"/>
    <mergeCell ref="A229:B229"/>
    <mergeCell ref="G229:H229"/>
    <mergeCell ref="A230:B230"/>
    <mergeCell ref="G230:H230"/>
    <mergeCell ref="A231:B231"/>
    <mergeCell ref="F120:H120"/>
    <mergeCell ref="G225:H225"/>
    <mergeCell ref="G223:H223"/>
    <mergeCell ref="A121:E121"/>
    <mergeCell ref="A187:B187"/>
    <mergeCell ref="E125:F125"/>
    <mergeCell ref="A141:H141"/>
    <mergeCell ref="G218:H218"/>
    <mergeCell ref="A125:B125"/>
    <mergeCell ref="C125:D125"/>
    <mergeCell ref="A140:B140"/>
    <mergeCell ref="C140:D140"/>
    <mergeCell ref="G126:H126"/>
    <mergeCell ref="A145:H145"/>
    <mergeCell ref="A153:B154"/>
    <mergeCell ref="A155:B156"/>
    <mergeCell ref="A157:B158"/>
    <mergeCell ref="A159:B160"/>
    <mergeCell ref="A147:B148"/>
    <mergeCell ref="A237:B237"/>
    <mergeCell ref="A219:B219"/>
    <mergeCell ref="A228:B228"/>
    <mergeCell ref="G228:H228"/>
    <mergeCell ref="G192:H192"/>
    <mergeCell ref="B297:H297"/>
    <mergeCell ref="A46:B46"/>
    <mergeCell ref="C46:H46"/>
    <mergeCell ref="B295:H295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G224:H224"/>
    <mergeCell ref="G219:H219"/>
    <mergeCell ref="G216:H216"/>
    <mergeCell ref="D143:D144"/>
    <mergeCell ref="A114:E114"/>
    <mergeCell ref="A115:E115"/>
    <mergeCell ref="A214:H214"/>
    <mergeCell ref="A131:H131"/>
    <mergeCell ref="A132:B132"/>
    <mergeCell ref="C132:D132"/>
    <mergeCell ref="E132:F132"/>
    <mergeCell ref="G132:H132"/>
    <mergeCell ref="A133:B133"/>
    <mergeCell ref="C133:D133"/>
    <mergeCell ref="E133:F133"/>
    <mergeCell ref="G133:H133"/>
    <mergeCell ref="B298:H298"/>
    <mergeCell ref="A178:H178"/>
    <mergeCell ref="A179:B179"/>
    <mergeCell ref="G179:H179"/>
    <mergeCell ref="A180:B180"/>
    <mergeCell ref="G180:H180"/>
    <mergeCell ref="A181:B181"/>
    <mergeCell ref="G181:H181"/>
    <mergeCell ref="G188:H188"/>
    <mergeCell ref="G185:H185"/>
    <mergeCell ref="A186:B186"/>
    <mergeCell ref="G187:H187"/>
    <mergeCell ref="A188:B188"/>
    <mergeCell ref="G244:H244"/>
    <mergeCell ref="A245:B245"/>
    <mergeCell ref="G245:H245"/>
    <mergeCell ref="A254:B254"/>
    <mergeCell ref="G254:H254"/>
    <mergeCell ref="A255:B255"/>
    <mergeCell ref="G255:H255"/>
    <mergeCell ref="C252:F252"/>
    <mergeCell ref="G231:H231"/>
    <mergeCell ref="A232:B232"/>
    <mergeCell ref="G232:H232"/>
    <mergeCell ref="E134:F134"/>
    <mergeCell ref="G134:H134"/>
    <mergeCell ref="A135:B135"/>
    <mergeCell ref="C135:D135"/>
    <mergeCell ref="E135:F135"/>
    <mergeCell ref="G135:H135"/>
    <mergeCell ref="A276:B276"/>
    <mergeCell ref="G276:H276"/>
    <mergeCell ref="A277:B277"/>
    <mergeCell ref="G277:H277"/>
    <mergeCell ref="G233:H233"/>
    <mergeCell ref="A241:B241"/>
    <mergeCell ref="G241:H241"/>
    <mergeCell ref="A242:B242"/>
    <mergeCell ref="G242:H242"/>
    <mergeCell ref="G273:H273"/>
    <mergeCell ref="A274:B274"/>
    <mergeCell ref="G274:H274"/>
    <mergeCell ref="A233:B233"/>
    <mergeCell ref="A223:B223"/>
    <mergeCell ref="G227:H227"/>
    <mergeCell ref="G226:H226"/>
    <mergeCell ref="G236:H236"/>
    <mergeCell ref="A236:B236"/>
    <mergeCell ref="B303:H303"/>
    <mergeCell ref="A275:B275"/>
    <mergeCell ref="G275:H275"/>
    <mergeCell ref="G268:H268"/>
    <mergeCell ref="A265:B265"/>
    <mergeCell ref="G265:H265"/>
    <mergeCell ref="A182:B182"/>
    <mergeCell ref="G182:H182"/>
    <mergeCell ref="A184:B184"/>
    <mergeCell ref="G184:H184"/>
    <mergeCell ref="A185:B185"/>
    <mergeCell ref="A266:B266"/>
    <mergeCell ref="G266:H266"/>
    <mergeCell ref="A189:B189"/>
    <mergeCell ref="G189:H189"/>
    <mergeCell ref="A190:B190"/>
    <mergeCell ref="G190:H190"/>
    <mergeCell ref="A191:B191"/>
    <mergeCell ref="G191:H191"/>
    <mergeCell ref="A192:B192"/>
    <mergeCell ref="G263:H263"/>
    <mergeCell ref="A243:B243"/>
    <mergeCell ref="G243:H243"/>
    <mergeCell ref="A244:B244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9" max="7" man="1"/>
    <brk id="174" max="7" man="1"/>
    <brk id="211" max="7" man="1"/>
    <brk id="315" max="16383" man="1"/>
    <brk id="35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8"/>
    <col min="2" max="2" width="22.33203125" style="18" customWidth="1"/>
    <col min="3" max="3" width="37" style="18" customWidth="1"/>
    <col min="4" max="5" width="11.44140625" style="18" customWidth="1"/>
    <col min="6" max="6" width="14" style="18" customWidth="1"/>
    <col min="7" max="7" width="20" style="18" customWidth="1"/>
    <col min="8" max="8" width="16.44140625" style="18" customWidth="1"/>
    <col min="9" max="16384" width="8.6640625" style="18"/>
  </cols>
  <sheetData>
    <row r="1" spans="1:9" ht="15" customHeight="1" x14ac:dyDescent="0.3"/>
    <row r="2" spans="1:9" ht="15" customHeight="1" x14ac:dyDescent="0.3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">
      <c r="A3" s="19"/>
      <c r="B3" s="210" t="s">
        <v>115</v>
      </c>
      <c r="C3" s="210"/>
      <c r="D3" s="210"/>
      <c r="E3" s="210"/>
      <c r="F3" s="210"/>
      <c r="G3" s="210"/>
      <c r="H3" s="210"/>
    </row>
    <row r="4" spans="1:9" x14ac:dyDescent="0.3">
      <c r="A4" s="19"/>
      <c r="B4" s="20" t="s">
        <v>116</v>
      </c>
      <c r="C4" s="20" t="s">
        <v>117</v>
      </c>
      <c r="D4" s="20" t="s">
        <v>73</v>
      </c>
      <c r="E4" s="20" t="s">
        <v>118</v>
      </c>
      <c r="F4" s="20" t="s">
        <v>124</v>
      </c>
      <c r="G4" s="20" t="s">
        <v>125</v>
      </c>
      <c r="H4" s="20" t="s">
        <v>119</v>
      </c>
    </row>
    <row r="5" spans="1:9" ht="15" customHeight="1" x14ac:dyDescent="0.3">
      <c r="A5" s="19"/>
      <c r="B5" s="22" t="s">
        <v>120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">
      <c r="A6" s="19"/>
      <c r="B6" s="22" t="s">
        <v>120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">
      <c r="A7" s="19"/>
      <c r="B7" s="22" t="s">
        <v>120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">
      <c r="A8" s="19"/>
      <c r="B8" s="22" t="s">
        <v>120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">
      <c r="A9" s="19"/>
      <c r="B9" s="22" t="s">
        <v>120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">
      <c r="A10" s="19"/>
      <c r="B10" s="22" t="s">
        <v>121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">
      <c r="A11" s="19"/>
      <c r="B11" s="22" t="s">
        <v>121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">
      <c r="A12" s="19"/>
      <c r="B12" s="27" t="s">
        <v>122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">
      <c r="B13" s="27" t="s">
        <v>123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2025-08-22T07:18:32Z</cp:lastPrinted>
  <dcterms:created xsi:type="dcterms:W3CDTF">2019-07-16T09:29:46Z</dcterms:created>
  <dcterms:modified xsi:type="dcterms:W3CDTF">2025-08-22T07:18:32Z</dcterms:modified>
</cp:coreProperties>
</file>