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Old\New folder (2)\"/>
    </mc:Choice>
  </mc:AlternateContent>
  <xr:revisionPtr revIDLastSave="0" documentId="13_ncr:1_{1B3BBEA0-F355-4284-9D77-DDB04164B583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Report!$A$1:$H$923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5" i="1" l="1"/>
  <c r="C136" i="1" s="1"/>
  <c r="C137" i="1" s="1"/>
  <c r="K120" i="1"/>
  <c r="K106" i="1"/>
  <c r="I65" i="1" l="1"/>
  <c r="C107" i="1" l="1"/>
  <c r="C121" i="1" l="1"/>
  <c r="C122" i="1" s="1"/>
  <c r="C123" i="1" s="1"/>
  <c r="C142" i="1" l="1"/>
  <c r="C114" i="1" l="1"/>
  <c r="D808" i="1"/>
  <c r="F808" i="1" s="1"/>
  <c r="D807" i="1"/>
  <c r="F807" i="1" s="1"/>
  <c r="D806" i="1"/>
  <c r="F806" i="1" s="1"/>
  <c r="D805" i="1"/>
  <c r="F805" i="1" s="1"/>
  <c r="A812" i="1"/>
  <c r="A806" i="1"/>
  <c r="G805" i="1"/>
  <c r="A803" i="1"/>
  <c r="D801" i="1"/>
  <c r="F801" i="1" s="1"/>
  <c r="D800" i="1"/>
  <c r="F800" i="1" s="1"/>
  <c r="D799" i="1"/>
  <c r="F799" i="1" s="1"/>
  <c r="D798" i="1"/>
  <c r="F798" i="1" s="1"/>
  <c r="D797" i="1"/>
  <c r="F797" i="1" s="1"/>
  <c r="A797" i="1"/>
  <c r="G796" i="1"/>
  <c r="D796" i="1"/>
  <c r="F796" i="1" s="1"/>
  <c r="D794" i="1"/>
  <c r="F794" i="1" s="1"/>
  <c r="D793" i="1"/>
  <c r="F793" i="1" s="1"/>
  <c r="D792" i="1"/>
  <c r="F792" i="1" s="1"/>
  <c r="D791" i="1"/>
  <c r="F791" i="1" s="1"/>
  <c r="D790" i="1"/>
  <c r="F790" i="1" s="1"/>
  <c r="D789" i="1"/>
  <c r="F789" i="1" s="1"/>
  <c r="D788" i="1"/>
  <c r="F788" i="1" s="1"/>
  <c r="D787" i="1"/>
  <c r="F787" i="1" s="1"/>
  <c r="G787" i="1"/>
  <c r="D783" i="1"/>
  <c r="F783" i="1" s="1"/>
  <c r="D782" i="1"/>
  <c r="F782" i="1" s="1"/>
  <c r="D781" i="1"/>
  <c r="F781" i="1" s="1"/>
  <c r="D780" i="1"/>
  <c r="F780" i="1" s="1"/>
  <c r="D779" i="1"/>
  <c r="F779" i="1" s="1"/>
  <c r="D778" i="1"/>
  <c r="F778" i="1" s="1"/>
  <c r="A785" i="1"/>
  <c r="A779" i="1"/>
  <c r="G778" i="1"/>
  <c r="D776" i="1"/>
  <c r="F776" i="1" s="1"/>
  <c r="D775" i="1"/>
  <c r="F775" i="1" s="1"/>
  <c r="D774" i="1"/>
  <c r="F774" i="1" s="1"/>
  <c r="D773" i="1"/>
  <c r="F773" i="1" s="1"/>
  <c r="D772" i="1"/>
  <c r="F772" i="1" s="1"/>
  <c r="D771" i="1"/>
  <c r="F771" i="1" s="1"/>
  <c r="D770" i="1"/>
  <c r="F770" i="1" s="1"/>
  <c r="D769" i="1"/>
  <c r="F769" i="1" s="1"/>
  <c r="A776" i="1"/>
  <c r="C183" i="1" l="1"/>
  <c r="G183" i="1"/>
  <c r="E183" i="1"/>
  <c r="J140" i="1"/>
  <c r="J139" i="1"/>
  <c r="J138" i="1"/>
  <c r="J137" i="1"/>
  <c r="A770" i="1" l="1"/>
  <c r="G769" i="1"/>
  <c r="E3" i="1"/>
  <c r="C108" i="1" l="1"/>
  <c r="C109" i="1" s="1"/>
  <c r="I689" i="1" l="1"/>
  <c r="D681" i="1"/>
  <c r="F681" i="1" s="1"/>
  <c r="D679" i="1"/>
  <c r="F679" i="1" s="1"/>
  <c r="D678" i="1"/>
  <c r="F678" i="1" s="1"/>
  <c r="D677" i="1"/>
  <c r="F677" i="1" s="1"/>
  <c r="A677" i="1"/>
  <c r="A678" i="1" s="1"/>
  <c r="A679" i="1" s="1"/>
  <c r="A680" i="1" s="1"/>
  <c r="A681" i="1" s="1"/>
  <c r="I676" i="1"/>
  <c r="G676" i="1"/>
  <c r="D676" i="1"/>
  <c r="F676" i="1" s="1"/>
  <c r="D672" i="1"/>
  <c r="F672" i="1" s="1"/>
  <c r="D671" i="1"/>
  <c r="F671" i="1" s="1"/>
  <c r="D670" i="1"/>
  <c r="F670" i="1" s="1"/>
  <c r="A670" i="1"/>
  <c r="A671" i="1" s="1"/>
  <c r="A672" i="1" s="1"/>
  <c r="A673" i="1" s="1"/>
  <c r="A674" i="1" s="1"/>
  <c r="I669" i="1"/>
  <c r="G669" i="1"/>
  <c r="D669" i="1"/>
  <c r="F669" i="1" s="1"/>
  <c r="D667" i="1"/>
  <c r="F667" i="1" s="1"/>
  <c r="D666" i="1"/>
  <c r="F666" i="1" s="1"/>
  <c r="D665" i="1"/>
  <c r="F665" i="1" s="1"/>
  <c r="D664" i="1"/>
  <c r="F664" i="1" s="1"/>
  <c r="D663" i="1"/>
  <c r="F663" i="1" s="1"/>
  <c r="A663" i="1"/>
  <c r="A664" i="1" s="1"/>
  <c r="A665" i="1" s="1"/>
  <c r="A666" i="1" s="1"/>
  <c r="A667" i="1" s="1"/>
  <c r="I662" i="1"/>
  <c r="G662" i="1"/>
  <c r="D662" i="1"/>
  <c r="F662" i="1" s="1"/>
  <c r="D657" i="1"/>
  <c r="F657" i="1" s="1"/>
  <c r="D656" i="1"/>
  <c r="F656" i="1" s="1"/>
  <c r="D655" i="1"/>
  <c r="F655" i="1" s="1"/>
  <c r="A655" i="1"/>
  <c r="A656" i="1" s="1"/>
  <c r="A657" i="1" s="1"/>
  <c r="A658" i="1" s="1"/>
  <c r="A659" i="1" s="1"/>
  <c r="I654" i="1"/>
  <c r="G654" i="1"/>
  <c r="D654" i="1"/>
  <c r="F654" i="1" s="1"/>
  <c r="D648" i="1"/>
  <c r="F648" i="1" s="1"/>
  <c r="D649" i="1"/>
  <c r="F649" i="1" s="1"/>
  <c r="D650" i="1"/>
  <c r="F650" i="1" s="1"/>
  <c r="D651" i="1"/>
  <c r="F651" i="1" s="1"/>
  <c r="D652" i="1"/>
  <c r="F652" i="1" s="1"/>
  <c r="D647" i="1"/>
  <c r="F647" i="1" s="1"/>
  <c r="A648" i="1"/>
  <c r="A649" i="1" s="1"/>
  <c r="A650" i="1" s="1"/>
  <c r="A651" i="1" s="1"/>
  <c r="A652" i="1" s="1"/>
  <c r="I647" i="1"/>
  <c r="G647" i="1"/>
  <c r="D643" i="1"/>
  <c r="F643" i="1" s="1"/>
  <c r="D642" i="1"/>
  <c r="F642" i="1" s="1"/>
  <c r="D641" i="1"/>
  <c r="F641" i="1" s="1"/>
  <c r="A641" i="1"/>
  <c r="A642" i="1" s="1"/>
  <c r="A643" i="1" s="1"/>
  <c r="A644" i="1" s="1"/>
  <c r="A645" i="1" s="1"/>
  <c r="I640" i="1"/>
  <c r="G640" i="1"/>
  <c r="D640" i="1"/>
  <c r="F640" i="1" s="1"/>
  <c r="D635" i="1"/>
  <c r="F635" i="1" s="1"/>
  <c r="D634" i="1"/>
  <c r="F634" i="1" s="1"/>
  <c r="D633" i="1"/>
  <c r="F633" i="1" s="1"/>
  <c r="A633" i="1"/>
  <c r="A634" i="1" s="1"/>
  <c r="A635" i="1" s="1"/>
  <c r="A636" i="1" s="1"/>
  <c r="A637" i="1" s="1"/>
  <c r="I632" i="1"/>
  <c r="G632" i="1"/>
  <c r="D632" i="1"/>
  <c r="F632" i="1" s="1"/>
  <c r="D630" i="1"/>
  <c r="F630" i="1" s="1"/>
  <c r="D629" i="1"/>
  <c r="F629" i="1" s="1"/>
  <c r="D628" i="1"/>
  <c r="F628" i="1" s="1"/>
  <c r="D627" i="1"/>
  <c r="F627" i="1" s="1"/>
  <c r="D626" i="1"/>
  <c r="F626" i="1" s="1"/>
  <c r="A626" i="1"/>
  <c r="A627" i="1" s="1"/>
  <c r="A628" i="1" s="1"/>
  <c r="A629" i="1" s="1"/>
  <c r="A630" i="1" s="1"/>
  <c r="I625" i="1"/>
  <c r="G625" i="1"/>
  <c r="D625" i="1"/>
  <c r="F625" i="1" s="1"/>
  <c r="D623" i="1"/>
  <c r="F623" i="1" s="1"/>
  <c r="D622" i="1"/>
  <c r="F622" i="1" s="1"/>
  <c r="D621" i="1"/>
  <c r="F621" i="1" s="1"/>
  <c r="D620" i="1"/>
  <c r="F620" i="1" s="1"/>
  <c r="D619" i="1"/>
  <c r="F619" i="1" s="1"/>
  <c r="A619" i="1"/>
  <c r="A620" i="1" s="1"/>
  <c r="A621" i="1" s="1"/>
  <c r="A622" i="1" s="1"/>
  <c r="A623" i="1" s="1"/>
  <c r="I618" i="1"/>
  <c r="G618" i="1"/>
  <c r="D618" i="1"/>
  <c r="F618" i="1" s="1"/>
  <c r="D614" i="1"/>
  <c r="F614" i="1" s="1"/>
  <c r="D613" i="1"/>
  <c r="F613" i="1" s="1"/>
  <c r="D612" i="1"/>
  <c r="F612" i="1" s="1"/>
  <c r="A612" i="1"/>
  <c r="A613" i="1" s="1"/>
  <c r="A614" i="1" s="1"/>
  <c r="A615" i="1" s="1"/>
  <c r="A616" i="1" s="1"/>
  <c r="I611" i="1"/>
  <c r="G611" i="1"/>
  <c r="D611" i="1"/>
  <c r="F611" i="1" s="1"/>
  <c r="D609" i="1"/>
  <c r="F609" i="1" s="1"/>
  <c r="D605" i="1"/>
  <c r="F605" i="1" s="1"/>
  <c r="D606" i="1"/>
  <c r="F606" i="1" s="1"/>
  <c r="D607" i="1"/>
  <c r="F607" i="1" s="1"/>
  <c r="D608" i="1"/>
  <c r="F608" i="1" s="1"/>
  <c r="D604" i="1"/>
  <c r="F604" i="1" s="1"/>
  <c r="A605" i="1"/>
  <c r="A606" i="1" s="1"/>
  <c r="A607" i="1" s="1"/>
  <c r="A608" i="1" s="1"/>
  <c r="A609" i="1" s="1"/>
  <c r="I604" i="1"/>
  <c r="G604" i="1"/>
  <c r="I597" i="1"/>
  <c r="D602" i="1"/>
  <c r="F602" i="1" s="1"/>
  <c r="D601" i="1"/>
  <c r="F601" i="1" s="1"/>
  <c r="D598" i="1"/>
  <c r="F598" i="1" s="1"/>
  <c r="D597" i="1"/>
  <c r="F597" i="1" s="1"/>
  <c r="A598" i="1"/>
  <c r="A599" i="1" s="1"/>
  <c r="A600" i="1" s="1"/>
  <c r="A601" i="1" s="1"/>
  <c r="A602" i="1" s="1"/>
  <c r="G597" i="1"/>
  <c r="D592" i="1"/>
  <c r="F592" i="1" s="1"/>
  <c r="D591" i="1"/>
  <c r="F591" i="1" s="1"/>
  <c r="D589" i="1"/>
  <c r="F589" i="1" s="1"/>
  <c r="D587" i="1"/>
  <c r="F587" i="1" s="1"/>
  <c r="D586" i="1"/>
  <c r="F586" i="1" s="1"/>
  <c r="D588" i="1"/>
  <c r="F588" i="1" s="1"/>
  <c r="D585" i="1"/>
  <c r="F585" i="1" s="1"/>
  <c r="A586" i="1"/>
  <c r="A587" i="1" s="1"/>
  <c r="A588" i="1" s="1"/>
  <c r="A589" i="1" s="1"/>
  <c r="A590" i="1" s="1"/>
  <c r="A591" i="1" s="1"/>
  <c r="A592" i="1" s="1"/>
  <c r="I585" i="1"/>
  <c r="G585" i="1"/>
  <c r="D582" i="1"/>
  <c r="F582" i="1" s="1"/>
  <c r="D581" i="1"/>
  <c r="F581" i="1" s="1"/>
  <c r="D578" i="1"/>
  <c r="F578" i="1" s="1"/>
  <c r="D577" i="1"/>
  <c r="F577" i="1" s="1"/>
  <c r="D576" i="1"/>
  <c r="F576" i="1" s="1"/>
  <c r="A576" i="1"/>
  <c r="A577" i="1" s="1"/>
  <c r="A578" i="1" s="1"/>
  <c r="A579" i="1" s="1"/>
  <c r="A580" i="1" s="1"/>
  <c r="A581" i="1" s="1"/>
  <c r="A582" i="1" s="1"/>
  <c r="I575" i="1"/>
  <c r="G575" i="1"/>
  <c r="D575" i="1"/>
  <c r="F575" i="1" s="1"/>
  <c r="D573" i="1"/>
  <c r="F573" i="1" s="1"/>
  <c r="D572" i="1"/>
  <c r="F572" i="1" s="1"/>
  <c r="D569" i="1"/>
  <c r="F569" i="1" s="1"/>
  <c r="D568" i="1"/>
  <c r="F568" i="1" s="1"/>
  <c r="D567" i="1"/>
  <c r="F567" i="1" s="1"/>
  <c r="A567" i="1"/>
  <c r="A568" i="1" s="1"/>
  <c r="A569" i="1" s="1"/>
  <c r="A570" i="1" s="1"/>
  <c r="A571" i="1" s="1"/>
  <c r="A572" i="1" s="1"/>
  <c r="A573" i="1" s="1"/>
  <c r="I566" i="1"/>
  <c r="G566" i="1"/>
  <c r="D566" i="1"/>
  <c r="F566" i="1" s="1"/>
  <c r="D562" i="1"/>
  <c r="F562" i="1" s="1"/>
  <c r="D563" i="1"/>
  <c r="F563" i="1" s="1"/>
  <c r="D564" i="1"/>
  <c r="F564" i="1" s="1"/>
  <c r="D561" i="1"/>
  <c r="F561" i="1" s="1"/>
  <c r="D559" i="1"/>
  <c r="F559" i="1" s="1"/>
  <c r="D558" i="1"/>
  <c r="F558" i="1" s="1"/>
  <c r="D560" i="1"/>
  <c r="F560" i="1" s="1"/>
  <c r="D557" i="1"/>
  <c r="F557" i="1" s="1"/>
  <c r="A558" i="1"/>
  <c r="A559" i="1" s="1"/>
  <c r="A560" i="1" s="1"/>
  <c r="A561" i="1" s="1"/>
  <c r="A562" i="1" s="1"/>
  <c r="A563" i="1" s="1"/>
  <c r="A564" i="1" s="1"/>
  <c r="I557" i="1"/>
  <c r="G557" i="1"/>
  <c r="D554" i="1"/>
  <c r="F554" i="1" s="1"/>
  <c r="D553" i="1"/>
  <c r="F553" i="1" s="1"/>
  <c r="D550" i="1"/>
  <c r="F550" i="1" s="1"/>
  <c r="D549" i="1"/>
  <c r="F549" i="1" s="1"/>
  <c r="D548" i="1"/>
  <c r="F548" i="1" s="1"/>
  <c r="A548" i="1"/>
  <c r="A549" i="1" s="1"/>
  <c r="A550" i="1" s="1"/>
  <c r="A551" i="1" s="1"/>
  <c r="A552" i="1" s="1"/>
  <c r="A553" i="1" s="1"/>
  <c r="A554" i="1" s="1"/>
  <c r="I547" i="1"/>
  <c r="G547" i="1"/>
  <c r="D547" i="1"/>
  <c r="F547" i="1" s="1"/>
  <c r="D545" i="1"/>
  <c r="F545" i="1" s="1"/>
  <c r="D544" i="1"/>
  <c r="F544" i="1" s="1"/>
  <c r="D541" i="1"/>
  <c r="F541" i="1" s="1"/>
  <c r="D540" i="1"/>
  <c r="F540" i="1" s="1"/>
  <c r="D539" i="1"/>
  <c r="F539" i="1" s="1"/>
  <c r="D538" i="1"/>
  <c r="F538" i="1" s="1"/>
  <c r="A539" i="1"/>
  <c r="A540" i="1" s="1"/>
  <c r="A541" i="1" s="1"/>
  <c r="A542" i="1" s="1"/>
  <c r="A543" i="1" s="1"/>
  <c r="A544" i="1" s="1"/>
  <c r="A545" i="1" s="1"/>
  <c r="I538" i="1"/>
  <c r="G538" i="1"/>
  <c r="D536" i="1"/>
  <c r="F536" i="1" s="1"/>
  <c r="D535" i="1"/>
  <c r="F535" i="1" s="1"/>
  <c r="D534" i="1"/>
  <c r="F534" i="1" s="1"/>
  <c r="D533" i="1"/>
  <c r="F533" i="1" s="1"/>
  <c r="D531" i="1"/>
  <c r="F531" i="1" s="1"/>
  <c r="D530" i="1"/>
  <c r="F530" i="1" s="1"/>
  <c r="D532" i="1"/>
  <c r="F532" i="1" s="1"/>
  <c r="D529" i="1"/>
  <c r="F529" i="1" s="1"/>
  <c r="A530" i="1"/>
  <c r="A531" i="1" s="1"/>
  <c r="A532" i="1" s="1"/>
  <c r="A533" i="1" s="1"/>
  <c r="A534" i="1" s="1"/>
  <c r="A535" i="1" s="1"/>
  <c r="A536" i="1" s="1"/>
  <c r="I529" i="1"/>
  <c r="G529" i="1"/>
  <c r="D527" i="1"/>
  <c r="F527" i="1" s="1"/>
  <c r="D526" i="1"/>
  <c r="F526" i="1" s="1"/>
  <c r="D522" i="1"/>
  <c r="F522" i="1" s="1"/>
  <c r="D521" i="1"/>
  <c r="F521" i="1" s="1"/>
  <c r="D523" i="1"/>
  <c r="F523" i="1" s="1"/>
  <c r="D520" i="1"/>
  <c r="F520" i="1" s="1"/>
  <c r="A521" i="1"/>
  <c r="A522" i="1" s="1"/>
  <c r="A523" i="1" s="1"/>
  <c r="A524" i="1" s="1"/>
  <c r="A525" i="1" s="1"/>
  <c r="A526" i="1" s="1"/>
  <c r="A527" i="1" s="1"/>
  <c r="I520" i="1"/>
  <c r="G520" i="1"/>
  <c r="D516" i="1"/>
  <c r="F516" i="1" s="1"/>
  <c r="D515" i="1"/>
  <c r="F515" i="1" s="1"/>
  <c r="A512" i="1"/>
  <c r="A513" i="1" s="1"/>
  <c r="A514" i="1" s="1"/>
  <c r="A515" i="1" s="1"/>
  <c r="A516" i="1" s="1"/>
  <c r="A517" i="1" s="1"/>
  <c r="A518" i="1" s="1"/>
  <c r="I511" i="1"/>
  <c r="G511" i="1"/>
  <c r="I506" i="1"/>
  <c r="D506" i="1"/>
  <c r="F506" i="1" s="1"/>
  <c r="D505" i="1"/>
  <c r="F505" i="1" s="1"/>
  <c r="D502" i="1"/>
  <c r="F502" i="1" s="1"/>
  <c r="D501" i="1"/>
  <c r="F501" i="1" s="1"/>
  <c r="D500" i="1"/>
  <c r="A501" i="1"/>
  <c r="A502" i="1" s="1"/>
  <c r="A503" i="1" s="1"/>
  <c r="A504" i="1" s="1"/>
  <c r="A505" i="1" s="1"/>
  <c r="A506" i="1" s="1"/>
  <c r="I500" i="1"/>
  <c r="G500" i="1"/>
  <c r="D497" i="1"/>
  <c r="F497" i="1" s="1"/>
  <c r="D496" i="1"/>
  <c r="F496" i="1" s="1"/>
  <c r="D492" i="1"/>
  <c r="F491" i="1" s="1"/>
  <c r="A492" i="1"/>
  <c r="A493" i="1" s="1"/>
  <c r="A494" i="1" s="1"/>
  <c r="A495" i="1" s="1"/>
  <c r="A496" i="1" s="1"/>
  <c r="A497" i="1" s="1"/>
  <c r="I491" i="1"/>
  <c r="G491" i="1"/>
  <c r="D491" i="1"/>
  <c r="D489" i="1"/>
  <c r="F489" i="1" s="1"/>
  <c r="D488" i="1"/>
  <c r="F488" i="1" s="1"/>
  <c r="D483" i="1"/>
  <c r="D484" i="1"/>
  <c r="F483" i="1" s="1"/>
  <c r="D477" i="1"/>
  <c r="F477" i="1" s="1"/>
  <c r="A484" i="1"/>
  <c r="A485" i="1" s="1"/>
  <c r="A486" i="1" s="1"/>
  <c r="A487" i="1" s="1"/>
  <c r="A488" i="1" s="1"/>
  <c r="A489" i="1" s="1"/>
  <c r="I483" i="1"/>
  <c r="G483" i="1"/>
  <c r="D480" i="1"/>
  <c r="F480" i="1" s="1"/>
  <c r="D481" i="1"/>
  <c r="F481" i="1" s="1"/>
  <c r="D479" i="1"/>
  <c r="F479" i="1" s="1"/>
  <c r="D478" i="1"/>
  <c r="F478" i="1" s="1"/>
  <c r="D476" i="1"/>
  <c r="F476" i="1" s="1"/>
  <c r="D475" i="1"/>
  <c r="F475" i="1" s="1"/>
  <c r="A476" i="1"/>
  <c r="A477" i="1" s="1"/>
  <c r="A478" i="1" s="1"/>
  <c r="A479" i="1" s="1"/>
  <c r="A480" i="1" s="1"/>
  <c r="A481" i="1" s="1"/>
  <c r="I475" i="1"/>
  <c r="G475" i="1"/>
  <c r="D471" i="1"/>
  <c r="F471" i="1" s="1"/>
  <c r="D472" i="1"/>
  <c r="F472" i="1" s="1"/>
  <c r="D473" i="1"/>
  <c r="F473" i="1" s="1"/>
  <c r="D470" i="1"/>
  <c r="F470" i="1" s="1"/>
  <c r="D468" i="1"/>
  <c r="F468" i="1" s="1"/>
  <c r="D469" i="1"/>
  <c r="F469" i="1" s="1"/>
  <c r="D467" i="1"/>
  <c r="F467" i="1" s="1"/>
  <c r="A468" i="1"/>
  <c r="A469" i="1" s="1"/>
  <c r="A470" i="1" s="1"/>
  <c r="A471" i="1" s="1"/>
  <c r="A472" i="1" s="1"/>
  <c r="A473" i="1" s="1"/>
  <c r="I467" i="1"/>
  <c r="G467" i="1"/>
  <c r="D444" i="1"/>
  <c r="F444" i="1" s="1"/>
  <c r="D465" i="1"/>
  <c r="F465" i="1" s="1"/>
  <c r="D464" i="1"/>
  <c r="F464" i="1" s="1"/>
  <c r="D460" i="1"/>
  <c r="F460" i="1" s="1"/>
  <c r="D459" i="1"/>
  <c r="F459" i="1" s="1"/>
  <c r="A460" i="1"/>
  <c r="A461" i="1" s="1"/>
  <c r="A462" i="1" s="1"/>
  <c r="A463" i="1" s="1"/>
  <c r="A464" i="1" s="1"/>
  <c r="A465" i="1" s="1"/>
  <c r="I459" i="1"/>
  <c r="G459" i="1"/>
  <c r="D456" i="1"/>
  <c r="F456" i="1" s="1"/>
  <c r="D455" i="1"/>
  <c r="F455" i="1" s="1"/>
  <c r="D451" i="1"/>
  <c r="F451" i="1" s="1"/>
  <c r="D450" i="1"/>
  <c r="F450" i="1" s="1"/>
  <c r="A451" i="1"/>
  <c r="A452" i="1" s="1"/>
  <c r="A453" i="1" s="1"/>
  <c r="A454" i="1" s="1"/>
  <c r="A455" i="1" s="1"/>
  <c r="A456" i="1" s="1"/>
  <c r="I450" i="1"/>
  <c r="G450" i="1"/>
  <c r="D448" i="1"/>
  <c r="F448" i="1" s="1"/>
  <c r="D447" i="1"/>
  <c r="F447" i="1" s="1"/>
  <c r="D446" i="1"/>
  <c r="F446" i="1" s="1"/>
  <c r="D445" i="1"/>
  <c r="F445" i="1" s="1"/>
  <c r="D443" i="1"/>
  <c r="F443" i="1" s="1"/>
  <c r="D442" i="1"/>
  <c r="F442" i="1" s="1"/>
  <c r="A443" i="1"/>
  <c r="A444" i="1" s="1"/>
  <c r="A445" i="1" s="1"/>
  <c r="A446" i="1" s="1"/>
  <c r="A447" i="1" s="1"/>
  <c r="A448" i="1" s="1"/>
  <c r="I442" i="1"/>
  <c r="G442" i="1"/>
  <c r="D439" i="1"/>
  <c r="F439" i="1" s="1"/>
  <c r="D438" i="1"/>
  <c r="F438" i="1" s="1"/>
  <c r="D435" i="1"/>
  <c r="F435" i="1" s="1"/>
  <c r="D434" i="1"/>
  <c r="F434" i="1" s="1"/>
  <c r="D440" i="1"/>
  <c r="F440" i="1" s="1"/>
  <c r="D437" i="1"/>
  <c r="F437" i="1" s="1"/>
  <c r="D436" i="1"/>
  <c r="F436" i="1" s="1"/>
  <c r="A435" i="1"/>
  <c r="A436" i="1" s="1"/>
  <c r="A437" i="1" s="1"/>
  <c r="A438" i="1" s="1"/>
  <c r="A439" i="1" s="1"/>
  <c r="A440" i="1" s="1"/>
  <c r="I434" i="1"/>
  <c r="G434" i="1"/>
  <c r="D432" i="1"/>
  <c r="F432" i="1" s="1"/>
  <c r="D429" i="1"/>
  <c r="F429" i="1" s="1"/>
  <c r="D428" i="1"/>
  <c r="F428" i="1" s="1"/>
  <c r="D431" i="1"/>
  <c r="F431" i="1" s="1"/>
  <c r="D430" i="1"/>
  <c r="F430" i="1" s="1"/>
  <c r="D427" i="1"/>
  <c r="F427" i="1" s="1"/>
  <c r="D426" i="1"/>
  <c r="F426" i="1" s="1"/>
  <c r="A427" i="1"/>
  <c r="A428" i="1" s="1"/>
  <c r="A429" i="1" s="1"/>
  <c r="A430" i="1" s="1"/>
  <c r="A431" i="1" s="1"/>
  <c r="A432" i="1" s="1"/>
  <c r="I426" i="1"/>
  <c r="G426" i="1"/>
  <c r="D424" i="1"/>
  <c r="F424" i="1" s="1"/>
  <c r="D423" i="1"/>
  <c r="F423" i="1" s="1"/>
  <c r="D419" i="1"/>
  <c r="F419" i="1" s="1"/>
  <c r="D418" i="1"/>
  <c r="F418" i="1" s="1"/>
  <c r="D412" i="1"/>
  <c r="F412" i="1" s="1"/>
  <c r="A419" i="1"/>
  <c r="A420" i="1" s="1"/>
  <c r="A421" i="1" s="1"/>
  <c r="A422" i="1" s="1"/>
  <c r="A423" i="1" s="1"/>
  <c r="A424" i="1" s="1"/>
  <c r="I418" i="1"/>
  <c r="G418" i="1"/>
  <c r="D416" i="1"/>
  <c r="F416" i="1" s="1"/>
  <c r="D413" i="1"/>
  <c r="F413" i="1" s="1"/>
  <c r="D415" i="1"/>
  <c r="F415" i="1" s="1"/>
  <c r="D414" i="1"/>
  <c r="F414" i="1" s="1"/>
  <c r="D411" i="1"/>
  <c r="F411" i="1" s="1"/>
  <c r="D410" i="1"/>
  <c r="F410" i="1" s="1"/>
  <c r="A411" i="1"/>
  <c r="A412" i="1" s="1"/>
  <c r="A413" i="1" s="1"/>
  <c r="A414" i="1" s="1"/>
  <c r="A415" i="1" s="1"/>
  <c r="A416" i="1" s="1"/>
  <c r="I410" i="1"/>
  <c r="G410" i="1"/>
  <c r="D406" i="1"/>
  <c r="F406" i="1" s="1"/>
  <c r="D405" i="1"/>
  <c r="F405" i="1" s="1"/>
  <c r="D404" i="1"/>
  <c r="F404" i="1" s="1"/>
  <c r="D403" i="1"/>
  <c r="F403" i="1" s="1"/>
  <c r="D402" i="1"/>
  <c r="F402" i="1" s="1"/>
  <c r="A403" i="1"/>
  <c r="A404" i="1" s="1"/>
  <c r="A405" i="1" s="1"/>
  <c r="A406" i="1" s="1"/>
  <c r="A407" i="1" s="1"/>
  <c r="A408" i="1" s="1"/>
  <c r="I402" i="1"/>
  <c r="G402" i="1"/>
  <c r="D396" i="1"/>
  <c r="F396" i="1" s="1"/>
  <c r="D395" i="1"/>
  <c r="F395" i="1" s="1"/>
  <c r="D393" i="1"/>
  <c r="F393" i="1" s="1"/>
  <c r="D391" i="1"/>
  <c r="F391" i="1" s="1"/>
  <c r="D390" i="1"/>
  <c r="F390" i="1" s="1"/>
  <c r="D392" i="1"/>
  <c r="F392" i="1" s="1"/>
  <c r="D389" i="1"/>
  <c r="F389" i="1" s="1"/>
  <c r="A390" i="1"/>
  <c r="A391" i="1" s="1"/>
  <c r="A392" i="1" s="1"/>
  <c r="A393" i="1" s="1"/>
  <c r="A394" i="1" s="1"/>
  <c r="A395" i="1" s="1"/>
  <c r="A396" i="1" s="1"/>
  <c r="I389" i="1"/>
  <c r="G389" i="1"/>
  <c r="D386" i="1"/>
  <c r="F386" i="1" s="1"/>
  <c r="D385" i="1"/>
  <c r="F385" i="1" s="1"/>
  <c r="D382" i="1"/>
  <c r="F382" i="1" s="1"/>
  <c r="D381" i="1"/>
  <c r="F381" i="1" s="1"/>
  <c r="D380" i="1"/>
  <c r="F380" i="1" s="1"/>
  <c r="A380" i="1"/>
  <c r="A381" i="1" s="1"/>
  <c r="A382" i="1" s="1"/>
  <c r="A383" i="1" s="1"/>
  <c r="A384" i="1" s="1"/>
  <c r="A385" i="1" s="1"/>
  <c r="A386" i="1" s="1"/>
  <c r="I379" i="1"/>
  <c r="G379" i="1"/>
  <c r="D379" i="1"/>
  <c r="F379" i="1" s="1"/>
  <c r="D377" i="1"/>
  <c r="F377" i="1" s="1"/>
  <c r="D376" i="1"/>
  <c r="F376" i="1" s="1"/>
  <c r="D373" i="1"/>
  <c r="F373" i="1" s="1"/>
  <c r="D372" i="1"/>
  <c r="F372" i="1" s="1"/>
  <c r="D371" i="1"/>
  <c r="F371" i="1" s="1"/>
  <c r="A371" i="1"/>
  <c r="A372" i="1" s="1"/>
  <c r="A373" i="1" s="1"/>
  <c r="A374" i="1" s="1"/>
  <c r="A375" i="1" s="1"/>
  <c r="A376" i="1" s="1"/>
  <c r="A377" i="1" s="1"/>
  <c r="I370" i="1"/>
  <c r="G370" i="1"/>
  <c r="D370" i="1"/>
  <c r="F370" i="1" s="1"/>
  <c r="D366" i="1"/>
  <c r="F366" i="1" s="1"/>
  <c r="D367" i="1"/>
  <c r="F367" i="1" s="1"/>
  <c r="D368" i="1"/>
  <c r="F368" i="1" s="1"/>
  <c r="D365" i="1"/>
  <c r="F365" i="1" s="1"/>
  <c r="D363" i="1"/>
  <c r="F363" i="1" s="1"/>
  <c r="D362" i="1"/>
  <c r="F362" i="1" s="1"/>
  <c r="D364" i="1"/>
  <c r="F364" i="1" s="1"/>
  <c r="D361" i="1"/>
  <c r="F361" i="1" s="1"/>
  <c r="A362" i="1"/>
  <c r="A363" i="1" s="1"/>
  <c r="A364" i="1" s="1"/>
  <c r="A365" i="1" s="1"/>
  <c r="A366" i="1" s="1"/>
  <c r="A367" i="1" s="1"/>
  <c r="A368" i="1" s="1"/>
  <c r="I361" i="1"/>
  <c r="G361" i="1"/>
  <c r="D358" i="1"/>
  <c r="F358" i="1" s="1"/>
  <c r="D357" i="1"/>
  <c r="F357" i="1" s="1"/>
  <c r="D354" i="1"/>
  <c r="F354" i="1" s="1"/>
  <c r="D353" i="1"/>
  <c r="F353" i="1" s="1"/>
  <c r="D352" i="1"/>
  <c r="F352" i="1" s="1"/>
  <c r="A352" i="1"/>
  <c r="A353" i="1" s="1"/>
  <c r="A354" i="1" s="1"/>
  <c r="A355" i="1" s="1"/>
  <c r="A356" i="1" s="1"/>
  <c r="A357" i="1" s="1"/>
  <c r="A358" i="1" s="1"/>
  <c r="I351" i="1"/>
  <c r="G351" i="1"/>
  <c r="D351" i="1"/>
  <c r="F351" i="1" s="1"/>
  <c r="I342" i="1"/>
  <c r="D349" i="1"/>
  <c r="F349" i="1" s="1"/>
  <c r="D348" i="1"/>
  <c r="F348" i="1" s="1"/>
  <c r="D345" i="1"/>
  <c r="F345" i="1" s="1"/>
  <c r="D344" i="1"/>
  <c r="F344" i="1" s="1"/>
  <c r="D343" i="1"/>
  <c r="F343" i="1" s="1"/>
  <c r="A343" i="1"/>
  <c r="A344" i="1" s="1"/>
  <c r="A345" i="1" s="1"/>
  <c r="A346" i="1" s="1"/>
  <c r="A347" i="1" s="1"/>
  <c r="A348" i="1" s="1"/>
  <c r="A349" i="1" s="1"/>
  <c r="G342" i="1"/>
  <c r="D342" i="1"/>
  <c r="F342" i="1" s="1"/>
  <c r="D340" i="1"/>
  <c r="F340" i="1" s="1"/>
  <c r="D339" i="1"/>
  <c r="F339" i="1" s="1"/>
  <c r="D338" i="1"/>
  <c r="F338" i="1" s="1"/>
  <c r="D337" i="1"/>
  <c r="F337" i="1" s="1"/>
  <c r="D336" i="1"/>
  <c r="F336" i="1" s="1"/>
  <c r="D335" i="1"/>
  <c r="F335" i="1" s="1"/>
  <c r="D334" i="1"/>
  <c r="F334" i="1" s="1"/>
  <c r="D333" i="1"/>
  <c r="F333" i="1" s="1"/>
  <c r="A334" i="1"/>
  <c r="A335" i="1" s="1"/>
  <c r="A336" i="1" s="1"/>
  <c r="A337" i="1" s="1"/>
  <c r="A338" i="1" s="1"/>
  <c r="A339" i="1" s="1"/>
  <c r="A340" i="1" s="1"/>
  <c r="G333" i="1"/>
  <c r="D331" i="1"/>
  <c r="F331" i="1" s="1"/>
  <c r="D330" i="1"/>
  <c r="F330" i="1" s="1"/>
  <c r="D326" i="1"/>
  <c r="F326" i="1" s="1"/>
  <c r="D325" i="1"/>
  <c r="F325" i="1" s="1"/>
  <c r="D327" i="1"/>
  <c r="F327" i="1" s="1"/>
  <c r="D324" i="1"/>
  <c r="F324" i="1" s="1"/>
  <c r="I326" i="1"/>
  <c r="A325" i="1"/>
  <c r="A326" i="1" s="1"/>
  <c r="A327" i="1" s="1"/>
  <c r="A328" i="1" s="1"/>
  <c r="A329" i="1" s="1"/>
  <c r="A330" i="1" s="1"/>
  <c r="A331" i="1" s="1"/>
  <c r="G324" i="1"/>
  <c r="D322" i="1"/>
  <c r="F322" i="1" s="1"/>
  <c r="D321" i="1"/>
  <c r="F321" i="1" s="1"/>
  <c r="D320" i="1"/>
  <c r="F320" i="1" s="1"/>
  <c r="D319" i="1"/>
  <c r="F319" i="1" s="1"/>
  <c r="D317" i="1"/>
  <c r="F317" i="1" s="1"/>
  <c r="D316" i="1"/>
  <c r="F316" i="1" s="1"/>
  <c r="D318" i="1"/>
  <c r="F318" i="1" s="1"/>
  <c r="D315" i="1"/>
  <c r="F315" i="1" s="1"/>
  <c r="D311" i="1"/>
  <c r="F311" i="1" s="1"/>
  <c r="D310" i="1"/>
  <c r="F310" i="1" s="1"/>
  <c r="I317" i="1"/>
  <c r="A316" i="1"/>
  <c r="A317" i="1" s="1"/>
  <c r="A318" i="1" s="1"/>
  <c r="A319" i="1" s="1"/>
  <c r="A320" i="1" s="1"/>
  <c r="A321" i="1" s="1"/>
  <c r="A322" i="1" s="1"/>
  <c r="G315" i="1"/>
  <c r="I308" i="1"/>
  <c r="A307" i="1"/>
  <c r="A308" i="1" s="1"/>
  <c r="A309" i="1" s="1"/>
  <c r="A310" i="1" s="1"/>
  <c r="A311" i="1" s="1"/>
  <c r="A312" i="1" s="1"/>
  <c r="A313" i="1" s="1"/>
  <c r="G306" i="1"/>
  <c r="D297" i="1"/>
  <c r="F297" i="1" s="1"/>
  <c r="D300" i="1"/>
  <c r="F300" i="1" s="1"/>
  <c r="D299" i="1"/>
  <c r="F299" i="1" s="1"/>
  <c r="D296" i="1"/>
  <c r="F296" i="1" s="1"/>
  <c r="G295" i="1"/>
  <c r="D295" i="1"/>
  <c r="F295" i="1" s="1"/>
  <c r="I295" i="1" s="1"/>
  <c r="D283" i="1"/>
  <c r="F283" i="1" s="1"/>
  <c r="D293" i="1"/>
  <c r="F293" i="1" s="1"/>
  <c r="D292" i="1"/>
  <c r="F292" i="1" s="1"/>
  <c r="D289" i="1"/>
  <c r="F289" i="1" s="1"/>
  <c r="G288" i="1"/>
  <c r="D288" i="1"/>
  <c r="F288" i="1" s="1"/>
  <c r="I288" i="1" s="1"/>
  <c r="D284" i="1"/>
  <c r="F284" i="1" s="1"/>
  <c r="D286" i="1"/>
  <c r="F286" i="1" s="1"/>
  <c r="D285" i="1"/>
  <c r="F285" i="1" s="1"/>
  <c r="D282" i="1"/>
  <c r="F282" i="1" s="1"/>
  <c r="G281" i="1"/>
  <c r="D281" i="1"/>
  <c r="F281" i="1" s="1"/>
  <c r="I281" i="1" s="1"/>
  <c r="D278" i="1"/>
  <c r="F278" i="1" s="1"/>
  <c r="D277" i="1"/>
  <c r="F277" i="1" s="1"/>
  <c r="D274" i="1"/>
  <c r="F274" i="1" s="1"/>
  <c r="G273" i="1"/>
  <c r="D273" i="1"/>
  <c r="F273" i="1" s="1"/>
  <c r="I273" i="1" s="1"/>
  <c r="D267" i="1"/>
  <c r="F267" i="1" s="1"/>
  <c r="D268" i="1"/>
  <c r="F268" i="1" s="1"/>
  <c r="D269" i="1"/>
  <c r="F269" i="1" s="1"/>
  <c r="D270" i="1"/>
  <c r="F270" i="1" s="1"/>
  <c r="D271" i="1"/>
  <c r="F271" i="1" s="1"/>
  <c r="D266" i="1"/>
  <c r="F266" i="1" s="1"/>
  <c r="I266" i="1" s="1"/>
  <c r="G266" i="1"/>
  <c r="D264" i="1"/>
  <c r="F264" i="1" s="1"/>
  <c r="D263" i="1"/>
  <c r="F263" i="1" s="1"/>
  <c r="D260" i="1"/>
  <c r="F260" i="1" s="1"/>
  <c r="D259" i="1"/>
  <c r="F259" i="1" s="1"/>
  <c r="I259" i="1" s="1"/>
  <c r="D246" i="1"/>
  <c r="F246" i="1" s="1"/>
  <c r="G259" i="1"/>
  <c r="D256" i="1"/>
  <c r="F256" i="1" s="1"/>
  <c r="D255" i="1"/>
  <c r="F255" i="1" s="1"/>
  <c r="D252" i="1"/>
  <c r="F252" i="1" s="1"/>
  <c r="D251" i="1"/>
  <c r="F251" i="1" s="1"/>
  <c r="I251" i="1" s="1"/>
  <c r="G251" i="1"/>
  <c r="D249" i="1"/>
  <c r="F249" i="1" s="1"/>
  <c r="D248" i="1"/>
  <c r="F248" i="1" s="1"/>
  <c r="D247" i="1"/>
  <c r="F247" i="1" s="1"/>
  <c r="D245" i="1"/>
  <c r="F245" i="1" s="1"/>
  <c r="D244" i="1"/>
  <c r="F244" i="1" s="1"/>
  <c r="I244" i="1" s="1"/>
  <c r="G244" i="1"/>
  <c r="D242" i="1"/>
  <c r="F242" i="1" s="1"/>
  <c r="D241" i="1"/>
  <c r="F241" i="1" s="1"/>
  <c r="D240" i="1"/>
  <c r="F240" i="1" s="1"/>
  <c r="D239" i="1"/>
  <c r="F239" i="1" s="1"/>
  <c r="D238" i="1"/>
  <c r="F238" i="1" s="1"/>
  <c r="D237" i="1"/>
  <c r="F237" i="1" s="1"/>
  <c r="I237" i="1" s="1"/>
  <c r="G237" i="1"/>
  <c r="D219" i="1"/>
  <c r="F219" i="1" s="1"/>
  <c r="D218" i="1"/>
  <c r="F218" i="1" s="1"/>
  <c r="D221" i="1"/>
  <c r="F221" i="1" s="1"/>
  <c r="D220" i="1"/>
  <c r="F220" i="1" s="1"/>
  <c r="D217" i="1"/>
  <c r="F217" i="1" s="1"/>
  <c r="D216" i="1"/>
  <c r="F216" i="1" s="1"/>
  <c r="I216" i="1" s="1"/>
  <c r="G216" i="1"/>
  <c r="D225" i="1"/>
  <c r="F225" i="1" s="1"/>
  <c r="D235" i="1"/>
  <c r="F235" i="1" s="1"/>
  <c r="D234" i="1"/>
  <c r="F234" i="1" s="1"/>
  <c r="D231" i="1"/>
  <c r="F231" i="1" s="1"/>
  <c r="D230" i="1"/>
  <c r="F230" i="1" s="1"/>
  <c r="I230" i="1" s="1"/>
  <c r="G230" i="1"/>
  <c r="D228" i="1"/>
  <c r="F228" i="1" s="1"/>
  <c r="D227" i="1"/>
  <c r="F227" i="1" s="1"/>
  <c r="D226" i="1"/>
  <c r="F226" i="1" s="1"/>
  <c r="D224" i="1"/>
  <c r="F224" i="1" s="1"/>
  <c r="D223" i="1"/>
  <c r="F223" i="1" s="1"/>
  <c r="I223" i="1" s="1"/>
  <c r="G223" i="1"/>
  <c r="D212" i="1"/>
  <c r="F212" i="1" s="1"/>
  <c r="D211" i="1"/>
  <c r="F211" i="1" s="1"/>
  <c r="I211" i="1"/>
  <c r="A210" i="1"/>
  <c r="A211" i="1" s="1"/>
  <c r="A212" i="1" s="1"/>
  <c r="A213" i="1" s="1"/>
  <c r="A214" i="1" s="1"/>
  <c r="G209" i="1"/>
  <c r="G177" i="1" l="1"/>
  <c r="G180" i="1"/>
  <c r="G181" i="1"/>
  <c r="G178" i="1"/>
  <c r="C177" i="1"/>
  <c r="C178" i="1"/>
  <c r="C179" i="1"/>
  <c r="E178" i="1"/>
  <c r="C180" i="1"/>
  <c r="E179" i="1"/>
  <c r="C181" i="1"/>
  <c r="E180" i="1"/>
  <c r="E177" i="1"/>
  <c r="E181" i="1"/>
  <c r="F500" i="1"/>
  <c r="F492" i="1"/>
  <c r="F484" i="1"/>
  <c r="J153" i="1"/>
  <c r="J152" i="1"/>
  <c r="J125" i="1"/>
  <c r="J124" i="1"/>
  <c r="J123" i="1"/>
  <c r="G179" i="1" l="1"/>
  <c r="D758" i="1"/>
  <c r="F758" i="1" s="1"/>
  <c r="D757" i="1"/>
  <c r="F757" i="1" s="1"/>
  <c r="D756" i="1"/>
  <c r="F756" i="1" s="1"/>
  <c r="G755" i="1"/>
  <c r="D755" i="1"/>
  <c r="F755" i="1" s="1"/>
  <c r="I755" i="1" s="1"/>
  <c r="D753" i="1"/>
  <c r="F753" i="1" s="1"/>
  <c r="D752" i="1"/>
  <c r="F752" i="1" s="1"/>
  <c r="D751" i="1"/>
  <c r="F751" i="1" s="1"/>
  <c r="D750" i="1"/>
  <c r="F750" i="1" s="1"/>
  <c r="D749" i="1"/>
  <c r="F749" i="1" s="1"/>
  <c r="D748" i="1"/>
  <c r="F748" i="1" s="1"/>
  <c r="G747" i="1"/>
  <c r="D747" i="1"/>
  <c r="F747" i="1" s="1"/>
  <c r="D745" i="1"/>
  <c r="F745" i="1" s="1"/>
  <c r="D744" i="1"/>
  <c r="F744" i="1" s="1"/>
  <c r="D743" i="1"/>
  <c r="D742" i="1"/>
  <c r="D741" i="1"/>
  <c r="D740" i="1"/>
  <c r="D739" i="1"/>
  <c r="D736" i="1"/>
  <c r="F736" i="1" s="1"/>
  <c r="D735" i="1"/>
  <c r="F735" i="1" s="1"/>
  <c r="D734" i="1"/>
  <c r="F734" i="1" s="1"/>
  <c r="D733" i="1"/>
  <c r="F733" i="1" s="1"/>
  <c r="G733" i="1"/>
  <c r="D731" i="1"/>
  <c r="F731" i="1" s="1"/>
  <c r="D730" i="1"/>
  <c r="F730" i="1" s="1"/>
  <c r="D729" i="1"/>
  <c r="D728" i="1"/>
  <c r="D727" i="1"/>
  <c r="D726" i="1"/>
  <c r="D725" i="1"/>
  <c r="D723" i="1"/>
  <c r="F723" i="1" s="1"/>
  <c r="D722" i="1"/>
  <c r="F722" i="1" s="1"/>
  <c r="D721" i="1"/>
  <c r="F721" i="1" s="1"/>
  <c r="I721" i="1" s="1"/>
  <c r="D720" i="1"/>
  <c r="F720" i="1" s="1"/>
  <c r="D719" i="1"/>
  <c r="F719" i="1" s="1"/>
  <c r="D718" i="1"/>
  <c r="F718" i="1" s="1"/>
  <c r="D717" i="1"/>
  <c r="F717" i="1" s="1"/>
  <c r="A718" i="1"/>
  <c r="A719" i="1" s="1"/>
  <c r="A720" i="1" s="1"/>
  <c r="A721" i="1" s="1"/>
  <c r="A722" i="1" s="1"/>
  <c r="A723" i="1" s="1"/>
  <c r="G717" i="1"/>
  <c r="D714" i="1"/>
  <c r="F714" i="1" s="1"/>
  <c r="D713" i="1"/>
  <c r="F713" i="1" s="1"/>
  <c r="D712" i="1"/>
  <c r="F712" i="1" s="1"/>
  <c r="A712" i="1"/>
  <c r="A713" i="1" s="1"/>
  <c r="A714" i="1" s="1"/>
  <c r="A715" i="1" s="1"/>
  <c r="G711" i="1"/>
  <c r="D711" i="1"/>
  <c r="F711" i="1" s="1"/>
  <c r="D709" i="1"/>
  <c r="F709" i="1" s="1"/>
  <c r="D708" i="1"/>
  <c r="F708" i="1" s="1"/>
  <c r="D707" i="1"/>
  <c r="F707" i="1" s="1"/>
  <c r="D706" i="1"/>
  <c r="F706" i="1" s="1"/>
  <c r="D705" i="1"/>
  <c r="F705" i="1" s="1"/>
  <c r="D704" i="1"/>
  <c r="F704" i="1" s="1"/>
  <c r="A704" i="1"/>
  <c r="A705" i="1" s="1"/>
  <c r="A706" i="1" s="1"/>
  <c r="A707" i="1" s="1"/>
  <c r="A708" i="1" s="1"/>
  <c r="A709" i="1" s="1"/>
  <c r="G703" i="1"/>
  <c r="D703" i="1"/>
  <c r="F703" i="1" s="1"/>
  <c r="D701" i="1"/>
  <c r="F701" i="1" s="1"/>
  <c r="D699" i="1"/>
  <c r="D700" i="1"/>
  <c r="F700" i="1" s="1"/>
  <c r="D698" i="1"/>
  <c r="D697" i="1"/>
  <c r="D696" i="1"/>
  <c r="D695" i="1"/>
  <c r="D692" i="1"/>
  <c r="D691" i="1"/>
  <c r="F691" i="1" s="1"/>
  <c r="D690" i="1"/>
  <c r="D689" i="1"/>
  <c r="E182" i="1" l="1"/>
  <c r="E184" i="1" s="1"/>
  <c r="C182" i="1"/>
  <c r="C184" i="1" s="1"/>
  <c r="F690" i="1"/>
  <c r="I690" i="1" s="1"/>
  <c r="F190" i="1"/>
  <c r="F689" i="1" l="1"/>
  <c r="F201" i="1" l="1"/>
  <c r="F200" i="1"/>
  <c r="F199" i="1"/>
  <c r="F198" i="1"/>
  <c r="F197" i="1"/>
  <c r="F196" i="1"/>
  <c r="F195" i="1"/>
  <c r="F194" i="1"/>
  <c r="B817" i="1" l="1"/>
  <c r="C14" i="1" l="1"/>
  <c r="E29" i="1" l="1"/>
  <c r="F692" i="1" l="1"/>
  <c r="A690" i="1"/>
  <c r="A691" i="1" s="1"/>
  <c r="A692" i="1" s="1"/>
  <c r="A693" i="1" s="1"/>
  <c r="G689" i="1"/>
  <c r="F169" i="1" l="1"/>
  <c r="F191" i="1" l="1"/>
  <c r="F192" i="1"/>
  <c r="F193" i="1"/>
  <c r="B816" i="1" l="1"/>
  <c r="F743" i="1" l="1"/>
  <c r="F742" i="1"/>
  <c r="F741" i="1"/>
  <c r="F740" i="1"/>
  <c r="F739" i="1"/>
  <c r="F729" i="1"/>
  <c r="F728" i="1"/>
  <c r="F727" i="1"/>
  <c r="F726" i="1"/>
  <c r="F725" i="1"/>
  <c r="F699" i="1"/>
  <c r="F698" i="1"/>
  <c r="F696" i="1"/>
  <c r="F695" i="1"/>
  <c r="F697" i="1"/>
  <c r="G182" i="1" l="1"/>
  <c r="G184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840" i="1"/>
  <c r="G739" i="1"/>
  <c r="G725" i="1"/>
  <c r="G695" i="1"/>
  <c r="A696" i="1"/>
  <c r="A697" i="1" s="1"/>
  <c r="A698" i="1" s="1"/>
  <c r="A699" i="1" s="1"/>
  <c r="A700" i="1" s="1"/>
  <c r="A701" i="1" s="1"/>
  <c r="A191" i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G190" i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J111" i="1"/>
  <c r="J110" i="1"/>
  <c r="J109" i="1"/>
  <c r="C100" i="1"/>
  <c r="J97" i="1"/>
  <c r="J96" i="1"/>
  <c r="C86" i="1"/>
  <c r="J83" i="1"/>
  <c r="J82" i="1"/>
  <c r="D56" i="1"/>
  <c r="E42" i="1"/>
  <c r="E43" i="1" s="1"/>
  <c r="E26" i="1"/>
  <c r="E24" i="1"/>
  <c r="E7" i="1"/>
  <c r="H101" i="1"/>
  <c r="H72" i="1"/>
  <c r="H87" i="1"/>
  <c r="D97" i="1" l="1"/>
  <c r="D98" i="1"/>
  <c r="D99" i="1"/>
  <c r="D93" i="1"/>
  <c r="D94" i="1"/>
  <c r="D95" i="1"/>
  <c r="D96" i="1"/>
  <c r="C92" i="1"/>
  <c r="J86" i="1" s="1"/>
  <c r="D85" i="1"/>
  <c r="I71" i="1" s="1"/>
  <c r="D83" i="1"/>
  <c r="D82" i="1"/>
  <c r="D81" i="1"/>
  <c r="D79" i="1"/>
  <c r="C78" i="1"/>
  <c r="J71" i="1" s="1"/>
  <c r="D84" i="1"/>
  <c r="D80" i="1"/>
  <c r="J76" i="1"/>
  <c r="J77" i="1"/>
  <c r="C76" i="1" s="1"/>
  <c r="J75" i="1"/>
  <c r="J78" i="1"/>
  <c r="J79" i="1" s="1"/>
  <c r="J84" i="1" s="1"/>
  <c r="J100" i="1"/>
  <c r="J104" i="1"/>
  <c r="D113" i="1"/>
  <c r="D111" i="1"/>
  <c r="D109" i="1"/>
  <c r="D107" i="1"/>
  <c r="J105" i="1"/>
  <c r="C104" i="1" s="1"/>
  <c r="J103" i="1"/>
  <c r="J106" i="1"/>
  <c r="J107" i="1" s="1"/>
  <c r="J112" i="1" s="1"/>
  <c r="D112" i="1"/>
  <c r="D110" i="1"/>
  <c r="D108" i="1"/>
  <c r="J92" i="1"/>
  <c r="J93" i="1" s="1"/>
  <c r="J98" i="1" s="1"/>
  <c r="J90" i="1"/>
  <c r="J91" i="1"/>
  <c r="C90" i="1" s="1"/>
  <c r="J89" i="1"/>
  <c r="J108" i="1" l="1"/>
  <c r="J113" i="1" s="1"/>
  <c r="C105" i="1" s="1"/>
  <c r="J94" i="1"/>
  <c r="J95" i="1" s="1"/>
  <c r="J80" i="1"/>
  <c r="J81" i="1" s="1"/>
  <c r="D106" i="1"/>
  <c r="J102" i="1"/>
  <c r="D104" i="1"/>
  <c r="D92" i="1"/>
  <c r="J88" i="1"/>
  <c r="D78" i="1"/>
  <c r="J73" i="1"/>
  <c r="D76" i="1"/>
  <c r="D90" i="1"/>
  <c r="E104" i="1" l="1"/>
  <c r="D105" i="1"/>
  <c r="I101" i="1" s="1"/>
  <c r="G104" i="1"/>
  <c r="D69" i="1" s="1"/>
  <c r="J101" i="1"/>
  <c r="J99" i="1"/>
  <c r="C91" i="1" s="1"/>
  <c r="J85" i="1"/>
  <c r="C77" i="1" s="1"/>
  <c r="H143" i="1"/>
  <c r="E90" i="1" l="1"/>
  <c r="D91" i="1"/>
  <c r="I87" i="1" s="1"/>
  <c r="I88" i="1" s="1"/>
  <c r="G90" i="1"/>
  <c r="J87" i="1"/>
  <c r="E76" i="1"/>
  <c r="G76" i="1"/>
  <c r="D77" i="1"/>
  <c r="J72" i="1"/>
  <c r="J142" i="1"/>
  <c r="J144" i="1" s="1"/>
  <c r="D153" i="1"/>
  <c r="D149" i="1"/>
  <c r="D155" i="1"/>
  <c r="D151" i="1"/>
  <c r="J147" i="1"/>
  <c r="J145" i="1"/>
  <c r="D154" i="1"/>
  <c r="D150" i="1"/>
  <c r="J146" i="1"/>
  <c r="J148" i="1"/>
  <c r="J149" i="1" s="1"/>
  <c r="J154" i="1" s="1"/>
  <c r="D152" i="1"/>
  <c r="I102" i="1"/>
  <c r="I100" i="1" s="1"/>
  <c r="C102" i="1" s="1"/>
  <c r="H115" i="1"/>
  <c r="I72" i="1" l="1"/>
  <c r="I73" i="1" s="1"/>
  <c r="J150" i="1"/>
  <c r="J151" i="1" s="1"/>
  <c r="I86" i="1"/>
  <c r="C88" i="1" s="1"/>
  <c r="F70" i="1"/>
  <c r="D70" i="1"/>
  <c r="D148" i="1"/>
  <c r="E146" i="1"/>
  <c r="D147" i="1"/>
  <c r="G146" i="1"/>
  <c r="D146" i="1"/>
  <c r="D126" i="1"/>
  <c r="J118" i="1"/>
  <c r="D125" i="1"/>
  <c r="D121" i="1"/>
  <c r="J114" i="1"/>
  <c r="J116" i="1" s="1"/>
  <c r="J119" i="1"/>
  <c r="C118" i="1" s="1"/>
  <c r="D122" i="1"/>
  <c r="J120" i="1"/>
  <c r="J121" i="1" s="1"/>
  <c r="J126" i="1" s="1"/>
  <c r="D124" i="1"/>
  <c r="D127" i="1"/>
  <c r="D123" i="1"/>
  <c r="J117" i="1"/>
  <c r="J155" i="1" l="1"/>
  <c r="D118" i="1"/>
  <c r="J122" i="1"/>
  <c r="J127" i="1" s="1"/>
  <c r="C119" i="1" s="1"/>
  <c r="G118" i="1" s="1"/>
  <c r="I143" i="1"/>
  <c r="I144" i="1" s="1"/>
  <c r="J143" i="1"/>
  <c r="D120" i="1"/>
  <c r="H129" i="1"/>
  <c r="D141" i="1" l="1"/>
  <c r="D135" i="1"/>
  <c r="J134" i="1"/>
  <c r="J135" i="1" s="1"/>
  <c r="D140" i="1"/>
  <c r="D134" i="1"/>
  <c r="J133" i="1"/>
  <c r="C132" i="1" s="1"/>
  <c r="D132" i="1" s="1"/>
  <c r="D139" i="1"/>
  <c r="J131" i="1"/>
  <c r="D137" i="1"/>
  <c r="D136" i="1"/>
  <c r="D138" i="1"/>
  <c r="J132" i="1"/>
  <c r="J128" i="1"/>
  <c r="J130" i="1" s="1"/>
  <c r="D119" i="1"/>
  <c r="I115" i="1" s="1"/>
  <c r="I116" i="1" s="1"/>
  <c r="E118" i="1"/>
  <c r="J115" i="1"/>
  <c r="I142" i="1"/>
  <c r="C144" i="1" s="1"/>
  <c r="J136" i="1" l="1"/>
  <c r="J141" i="1" s="1"/>
  <c r="C133" i="1" s="1"/>
  <c r="I114" i="1"/>
  <c r="C116" i="1" s="1"/>
  <c r="E132" i="1" l="1"/>
  <c r="D133" i="1"/>
  <c r="I129" i="1" s="1"/>
  <c r="G132" i="1"/>
  <c r="J129" i="1"/>
  <c r="I130" i="1" l="1"/>
  <c r="I128" i="1" s="1"/>
  <c r="C130" i="1" s="1"/>
</calcChain>
</file>

<file path=xl/sharedStrings.xml><?xml version="1.0" encoding="utf-8"?>
<sst xmlns="http://schemas.openxmlformats.org/spreadsheetml/2006/main" count="737" uniqueCount="313">
  <si>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</si>
  <si>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</si>
  <si>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</si>
  <si>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</si>
  <si>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</si>
  <si>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</si>
  <si>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</si>
  <si>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</si>
  <si>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</si>
  <si>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</si>
  <si>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</si>
  <si>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</si>
  <si>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</si>
  <si>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</si>
  <si>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</si>
  <si>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</si>
  <si>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</si>
  <si>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</si>
  <si>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</si>
  <si>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</si>
  <si>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</si>
  <si>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</si>
  <si>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</si>
  <si>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</si>
  <si>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</si>
  <si>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</si>
  <si>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</si>
  <si>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</si>
  <si>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</si>
  <si>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</si>
  <si>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</si>
  <si>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</si>
  <si>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</si>
  <si>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</si>
  <si>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</si>
  <si>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</si>
  <si>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</si>
  <si>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</si>
  <si>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</si>
  <si>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</si>
  <si>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</si>
  <si>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</si>
  <si>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</si>
  <si>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</si>
  <si>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</si>
  <si>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</si>
  <si>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</si>
  <si>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</si>
  <si>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</si>
  <si>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</si>
  <si>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</si>
  <si>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</si>
  <si>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</si>
  <si>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</si>
  <si>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</si>
  <si>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</si>
  <si>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</si>
  <si>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</si>
  <si>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</si>
  <si>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</si>
  <si>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</si>
  <si>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</si>
  <si>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</si>
  <si>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</si>
  <si>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</si>
  <si>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</si>
  <si>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</si>
  <si>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</si>
  <si>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</si>
  <si>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</si>
  <si>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</si>
  <si>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</si>
  <si>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</si>
  <si>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</si>
  <si>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</si>
  <si>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</si>
  <si>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</si>
  <si>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</si>
  <si>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</si>
  <si>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</si>
  <si>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</si>
  <si>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</si>
  <si>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</si>
  <si>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</si>
  <si>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</si>
  <si>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</si>
  <si>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</si>
  <si>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</si>
  <si>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</si>
  <si>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</si>
  <si>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</si>
  <si>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</si>
  <si>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</si>
  <si>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</si>
  <si>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</si>
  <si>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</si>
  <si>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</si>
  <si>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</si>
  <si>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</si>
  <si>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</si>
  <si>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</si>
  <si>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</si>
  <si>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</si>
  <si>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</si>
  <si>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</si>
  <si>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</si>
  <si>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</si>
  <si>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</si>
  <si>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</si>
  <si>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</si>
  <si>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</si>
  <si>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</si>
  <si>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</si>
  <si>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</si>
  <si>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</si>
  <si>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</si>
  <si>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</si>
  <si>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</si>
  <si>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</si>
  <si>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</si>
  <si>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</si>
  <si>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</si>
  <si>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</si>
  <si>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</si>
  <si>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</si>
  <si>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</si>
  <si>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</si>
  <si>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</si>
  <si>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</si>
  <si>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</si>
  <si>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</si>
  <si>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</si>
  <si>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</si>
  <si>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</si>
  <si>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</si>
  <si>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</si>
  <si>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</si>
  <si>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</si>
  <si>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</si>
  <si>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</si>
  <si>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</si>
  <si>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</si>
  <si>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</si>
  <si>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</si>
  <si>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</si>
  <si>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</si>
  <si>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</si>
  <si>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</si>
  <si>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</si>
  <si>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</si>
  <si>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</si>
  <si>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</si>
  <si>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</si>
  <si>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</si>
  <si>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</si>
  <si>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</si>
  <si>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</si>
  <si>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</si>
  <si>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</si>
  <si>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</si>
  <si>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</si>
  <si>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</si>
  <si>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</si>
  <si>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</si>
  <si>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</si>
  <si>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</si>
  <si>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</si>
  <si>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</si>
  <si>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Village</t>
  </si>
  <si>
    <t xml:space="preserve">O. Certificate No.: 
Approved upto : </t>
  </si>
  <si>
    <t xml:space="preserve">Ground Floor </t>
  </si>
  <si>
    <t>2nd Basement Level Floor for Parking</t>
  </si>
  <si>
    <t>1st Basement Level Floor for Parking</t>
  </si>
  <si>
    <t>Ground Floor for Parking</t>
  </si>
  <si>
    <t>1st to 3rd Podium Floor for Parking</t>
  </si>
  <si>
    <t>4th Podium Floor for Double Height Lobby / Stilt Lobby</t>
  </si>
  <si>
    <t>5th Podium Floor (Eco Deck) for Residential</t>
  </si>
  <si>
    <t>Entrance Lobby</t>
  </si>
  <si>
    <t>6th, 9th to 13th, 16th to 20th, 23rd to 27th &amp; 30th to 34th Floor</t>
  </si>
  <si>
    <t>1RK</t>
  </si>
  <si>
    <t>7th, 14th, 21st, 28th &amp; 35th Floor</t>
  </si>
  <si>
    <t>4BHK (Duplex With Upper Floor)</t>
  </si>
  <si>
    <t>8th, 15th, 22nd &amp; 29th Floor (Part Refuge Area)</t>
  </si>
  <si>
    <t>Refuge Area</t>
  </si>
  <si>
    <t>37th to 41st &amp; 44th to 48th Floor</t>
  </si>
  <si>
    <t>42nd &amp; 49th Floor</t>
  </si>
  <si>
    <t>36th, 43rd &amp; 50th Floor (Part Refuge Area)</t>
  </si>
  <si>
    <t>56th Floor</t>
  </si>
  <si>
    <t>57th Floor (Part Refuge Area)</t>
  </si>
  <si>
    <t>51th to 55th &amp; 58th Floor</t>
  </si>
  <si>
    <t>59th Floor (Terrace Floor)</t>
  </si>
  <si>
    <t>Municipal Corporation of Greater Mumbai (MCGM)</t>
  </si>
  <si>
    <t>CHE/WSII/0505/R1/337(NEW)</t>
  </si>
  <si>
    <t>Axis Sanpada</t>
  </si>
  <si>
    <t>M/s. Incline Realty Private Limited</t>
  </si>
  <si>
    <t>Skycity (Ten Towers)</t>
  </si>
  <si>
    <t>Approved Plans, CC.</t>
  </si>
  <si>
    <t>107/E, 141, 142, 155 &amp; 155/1 to 12</t>
  </si>
  <si>
    <t>CTS No.</t>
  </si>
  <si>
    <t>Borivali East</t>
  </si>
  <si>
    <t>Western Express Highway</t>
  </si>
  <si>
    <t xml:space="preserve">Borivali </t>
  </si>
  <si>
    <t>Mumbai</t>
  </si>
  <si>
    <t>Datta Park</t>
  </si>
  <si>
    <t>A to J Towers</t>
  </si>
  <si>
    <t>Megathane</t>
  </si>
  <si>
    <t xml:space="preserve">2.1KM Distance
from Borivali Railway Station
</t>
  </si>
  <si>
    <t>Western express highway</t>
  </si>
  <si>
    <t>Discovery Complex</t>
  </si>
  <si>
    <t>Slum</t>
  </si>
  <si>
    <t>Dattapada road</t>
  </si>
  <si>
    <t>https://goo.gl/maps/JcXefMBQ4gPLzgNL7</t>
  </si>
  <si>
    <t>We considered Gross carpet area = Net carpet + Balcony + Utility Area.</t>
  </si>
  <si>
    <t>rate sheet</t>
  </si>
  <si>
    <t>Electric/Water meter charges</t>
  </si>
  <si>
    <t>Development charges</t>
  </si>
  <si>
    <t>3rd to 1st Basement Level Floor for Parking</t>
  </si>
  <si>
    <t>1st Podium Floor for Parking</t>
  </si>
  <si>
    <t>2nd to 5th Podium Floor for Residential</t>
  </si>
  <si>
    <t>Podium Level</t>
  </si>
  <si>
    <t xml:space="preserve">7th Floor </t>
  </si>
  <si>
    <t>8th &amp; 15th Floor (Part Refuge Area)</t>
  </si>
  <si>
    <t>Duplex with 7th &amp; 14th Floor</t>
  </si>
  <si>
    <t>6th Floor</t>
  </si>
  <si>
    <t>9th to 13th, 16th to 21st, 24th to 28th, 31st to 34th Floor</t>
  </si>
  <si>
    <t>22nd Floor (Part Refuge Area)</t>
  </si>
  <si>
    <t>23rd Floor for Fire Check Floor</t>
  </si>
  <si>
    <t>30th Floor (Part Refuge Area)</t>
  </si>
  <si>
    <t>Duplex with 29th Floor</t>
  </si>
  <si>
    <t>44th Floor (Part Refuge Area)</t>
  </si>
  <si>
    <t>46th Floor for Fire Check Floor</t>
  </si>
  <si>
    <t>36th &amp; 51st Floor</t>
  </si>
  <si>
    <t>37th &amp; 52nd Floor</t>
  </si>
  <si>
    <t>Duplex with 36th Floor</t>
  </si>
  <si>
    <t>59th Floor (Part Refuge Area)</t>
  </si>
  <si>
    <t>6th &amp; 7th Floor</t>
  </si>
  <si>
    <t>MP Room</t>
  </si>
  <si>
    <t>9th to 14th, 16th to 21st, 24th to 29th &amp; 31st to 34th Floor</t>
  </si>
  <si>
    <t>35th, 36th, 38th to 43rd, 45th, 47th to 51th, 53rd to 58th, 60th &amp; 61st Floor</t>
  </si>
  <si>
    <t>7th Podium Floor for Residential</t>
  </si>
  <si>
    <t xml:space="preserve">6th Floor </t>
  </si>
  <si>
    <t>35th, 38th to 43rd, 45th, 47th to 50th, 53rd to 58th, 60th &amp; 61th Floor</t>
  </si>
  <si>
    <t>37th &amp; 52nd Floor (Part Refuge Area)</t>
  </si>
  <si>
    <t>Duplex with 36th &amp; 51th Floor</t>
  </si>
  <si>
    <t>1st to 5th Podium Floor for Residential</t>
  </si>
  <si>
    <t>6th, 7th, 9th to 14th, 16th to 21st, 24th to 29th &amp; 31st to 34th Floor</t>
  </si>
  <si>
    <t>6th, 9th to 13th, 16th to 21st, 24th to 28th, 31st to 34th Floor</t>
  </si>
  <si>
    <t>Tower A</t>
  </si>
  <si>
    <t>Tower B</t>
  </si>
  <si>
    <t>Tower C</t>
  </si>
  <si>
    <t>Tower D</t>
  </si>
  <si>
    <t>Tower E</t>
  </si>
  <si>
    <t>Tower F</t>
  </si>
  <si>
    <t>10 Buildings</t>
  </si>
  <si>
    <t>Tower A to D = 3 level Basement + G/St + 1st to 4th Floor (Podium) + 5th Floor (Eco deck) + 6th to 61st Floor</t>
  </si>
  <si>
    <t>Tower E = 3 level Basement + G/St + 1st to 4th Floor (Podium) + 5th Floor (Eco deck) + 6th to 61st Floor</t>
  </si>
  <si>
    <t>Tower F = 2 level Basement + G/St + 1st to 4th Floor (Podium) + 5th Floor (Eco deck) + 6th to 65th Floor</t>
  </si>
  <si>
    <t>Tower I &amp; J = 3 level Basement + G/St + 6 Podium  + 7th to 65th Floor</t>
  </si>
  <si>
    <t>14th &amp; 29th Floor</t>
  </si>
  <si>
    <t>4BHK (Duplex with 8th Floor)</t>
  </si>
  <si>
    <t>4BHK (Duplex with 15th &amp; 30th Floor)</t>
  </si>
  <si>
    <t>4BHK (Duplex With 37th &amp; 52nd Floor)</t>
  </si>
  <si>
    <t>4BHK (Duplex with 37th &amp; 52nd Floor)</t>
  </si>
  <si>
    <t>Tower G</t>
  </si>
  <si>
    <t>2nd &amp; 1st Basement Level Floor for Domestic Tank, Pump Room &amp; Others</t>
  </si>
  <si>
    <t>3BHK</t>
  </si>
  <si>
    <t>Towers A to D = P51800003582
Tower E = P51800018404
Tower F = P51800028419
Tower G = P51800047575
Towers H to J = Not Registered on RERA</t>
  </si>
  <si>
    <t>100/-.from 6th floor</t>
  </si>
  <si>
    <t>22000 to 22800</t>
  </si>
  <si>
    <t xml:space="preserve">Nikhil </t>
  </si>
  <si>
    <t>Cost sheet</t>
  </si>
  <si>
    <t xml:space="preserve">Approved Floor plan No.
for Wing A to F, H, I &amp; J  </t>
  </si>
  <si>
    <t xml:space="preserve">Approved Floor plan No.
for Wing G  </t>
  </si>
  <si>
    <t>P-13194/2022/(107/E And Other)/R/C
Ward/MAGATHANE R/C/337/1/New</t>
  </si>
  <si>
    <t>Tower A to E = 3 level Basement + G/St + 1st to 4th Floor (Podium) + 5th Floor (Eco deck) + 6th to 61st Floor
Tower F = 2 level Basement + G/St + 1st to 4th Floor (Podium) + 5th Floor (Eco deck) + 6th to 58th Floor
Wing G = 2B + G + 4P + 5th Eco-Deck + 6th to 50th(Part) Floor
Tower H = Basement + G/St + 1st to 4th Floor (Podium) + 5th Floor (Eco deck) + 6th &amp; 7th Floor</t>
  </si>
  <si>
    <t>Wing G = 2B + G + 4P + 5th Eco-Deck + 6th to 65th Floor
Tower H = Basement + G/St + 1st to 4th Floor (Podium) + 5th Floor (Eco deck) + 6th &amp; 65th Floor</t>
  </si>
  <si>
    <t>2nd Podium Floor for Hall &amp; Parking</t>
  </si>
  <si>
    <t>3rd &amp; 4th Podium Floor for Parking</t>
  </si>
  <si>
    <t>5th Podium Floor (Eco Deck)</t>
  </si>
  <si>
    <t>6th, 7th, 9th to 14th, 16th to 21st, 23rd to 28th &amp; 30th to 34th Floor for Residential</t>
  </si>
  <si>
    <t>Room</t>
  </si>
  <si>
    <t>35th, 37th to 42nd &amp; 44th to 49th Floor</t>
  </si>
  <si>
    <t>36th &amp; 43rd Floor (Part Refuge Area)</t>
  </si>
  <si>
    <t>50th Floor (Part Terrace Area)</t>
  </si>
  <si>
    <t>Terrace Area</t>
  </si>
  <si>
    <t>We have updated approved plan of Tower G. (on 10/05/2023)</t>
  </si>
  <si>
    <t>Flats - 2552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</si>
  <si>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</si>
  <si>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Site Meet Person Contact Details ( Name &amp; Contact No.)</t>
  </si>
  <si>
    <t>Tower H = 2B + G/St + 4P + 5th Floor (Eco deck) + 6th to 65th Floor</t>
  </si>
  <si>
    <t xml:space="preserve"> </t>
  </si>
  <si>
    <t>We have updated lateast approved CC (on 08/11/2023).</t>
  </si>
  <si>
    <t>22800 to 23200 by nikhil sanjay nilesh on 18/10/2023</t>
  </si>
  <si>
    <t>19.2225649,72.863647</t>
  </si>
  <si>
    <t>Latitude, Longitude</t>
  </si>
  <si>
    <t>Mr. Swaroop 9004613866</t>
  </si>
  <si>
    <t>Please Check stages of Tower H thoroughly.</t>
  </si>
  <si>
    <t>Mr. Pratik 8657745321</t>
  </si>
  <si>
    <t>Tower A to E = 3 level Basement + G/St + 1st to 4th Floor (Podium) + 5th Floor (Eco deck) + 6th to 61st Floor</t>
  </si>
  <si>
    <t>All Work Completed. OC Received.</t>
  </si>
  <si>
    <t>Bldg No.1 (Tower A to E) = 3 level Basement + G/St + 1st to 4th Floor (Podium) + 5th Floor (Eco deck) + 6th to 61st Floor</t>
  </si>
  <si>
    <t>CHE/WSII/0505/R1/337(NEW)/OCC/1/New</t>
  </si>
  <si>
    <t>We have updated approved OC from MCGM site on 18/11/2024</t>
  </si>
  <si>
    <t>We have updated approved OC For (Wing A to E) from RERA site on 18/11/2024</t>
  </si>
  <si>
    <t>As per RERA - 
Tower A to E = Completed
Tower F = 30/06/2027
Tower G = 31/12/2027</t>
  </si>
  <si>
    <t>60 Years After Completion</t>
  </si>
  <si>
    <t>Miss. Anuja Patel : 8657958503</t>
  </si>
  <si>
    <t>Rahul Salve</t>
  </si>
  <si>
    <t>P-13194/2022/(107/E And Other)/R/C
Ward/MAGATHANE R/C/FCC/2/Amend</t>
  </si>
  <si>
    <r>
      <t xml:space="preserve">This C.C. is granted and further extended for Residential Building No.2 (Tower F, G &amp; H) comprising of </t>
    </r>
    <r>
      <rPr>
        <b/>
        <sz val="12"/>
        <rFont val="Times New Roman"/>
        <family val="1"/>
      </rPr>
      <t>Tower ‘F’</t>
    </r>
    <r>
      <rPr>
        <sz val="12"/>
        <rFont val="Times New Roman"/>
        <family val="1"/>
      </rPr>
      <t xml:space="preserve"> 2 level Basements + Ground floor + 1st to 4th floor Podium + 5th to 65th upper floors, </t>
    </r>
    <r>
      <rPr>
        <b/>
        <sz val="12"/>
        <rFont val="Times New Roman"/>
        <family val="1"/>
      </rPr>
      <t>Tower ‘G’</t>
    </r>
    <r>
      <rPr>
        <sz val="12"/>
        <rFont val="Times New Roman"/>
        <family val="1"/>
      </rPr>
      <t xml:space="preserve"> 2 level basements + Ground floor + 1st to 4th floor Podium + 5th to 53rd upper floors &amp; </t>
    </r>
    <r>
      <rPr>
        <b/>
        <sz val="12"/>
        <rFont val="Times New Roman"/>
        <family val="1"/>
      </rPr>
      <t>Tower ‘H’</t>
    </r>
    <r>
      <rPr>
        <sz val="12"/>
        <rFont val="Times New Roman"/>
        <family val="1"/>
      </rPr>
      <t xml:space="preserve"> 3 level Basement + Ground floor + 1st to 4th floor Podium + 5th to 18th upper floors as per approved plans dtd. 27.06.2025</t>
    </r>
  </si>
  <si>
    <t>Tower A to E - All Work Completed. OC Received.
Tower F, G  - Construction work is in process at the time of visit. Internal photographs was not allowed.
Tower H - Construction work is in process at the time of visit. Internal photographs was not allowed.
Tower I &amp; J - Work not yet started.</t>
  </si>
  <si>
    <t>We have updated latest CC from MCGM site (On 21/08/2025).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</si>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</sst>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dd\/mm\/yyyy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272727"/>
      <name val="Arial"/>
      <family val="2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8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7" fillId="0" borderId="0" xfId="1" applyFont="1" applyAlignment="1">
      <alignment horizontal="left" vertical="center"/>
    </xf>
    <xf numFmtId="0" fontId="12" fillId="0" borderId="1" xfId="1" applyFont="1" applyBorder="1" applyAlignment="1" applyProtection="1">
      <alignment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68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0" fontId="24" fillId="0" borderId="30" xfId="0" applyFont="1" applyBorder="1"/>
    <xf numFmtId="0" fontId="27" fillId="0" borderId="0" xfId="0" applyFont="1"/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68" fontId="6" fillId="0" borderId="1" xfId="1" applyNumberFormat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10" fillId="0" borderId="0" xfId="1" applyFont="1"/>
    <xf numFmtId="0" fontId="13" fillId="0" borderId="0" xfId="1" applyFont="1"/>
    <xf numFmtId="1" fontId="16" fillId="0" borderId="1" xfId="0" applyNumberFormat="1" applyFont="1" applyBorder="1" applyAlignment="1">
      <alignment horizontal="center" vertical="center"/>
    </xf>
    <xf numFmtId="1" fontId="28" fillId="0" borderId="8" xfId="0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/>
    <xf numFmtId="0" fontId="25" fillId="0" borderId="10" xfId="0" applyFont="1" applyBorder="1"/>
    <xf numFmtId="0" fontId="12" fillId="0" borderId="16" xfId="1" applyFont="1" applyBorder="1" applyAlignment="1" applyProtection="1">
      <alignment horizontal="center" vertical="top" wrapText="1"/>
      <protection locked="0"/>
    </xf>
    <xf numFmtId="0" fontId="24" fillId="0" borderId="15" xfId="0" applyFont="1" applyBorder="1"/>
    <xf numFmtId="0" fontId="25" fillId="0" borderId="9" xfId="0" applyFont="1" applyBorder="1"/>
    <xf numFmtId="0" fontId="12" fillId="0" borderId="3" xfId="1" applyFont="1" applyBorder="1" applyAlignment="1" applyProtection="1">
      <alignment horizontal="center" vertical="top" wrapText="1"/>
      <protection locked="0"/>
    </xf>
    <xf numFmtId="9" fontId="12" fillId="0" borderId="3" xfId="8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28" fillId="0" borderId="17" xfId="0" applyNumberFormat="1" applyFont="1" applyBorder="1" applyAlignment="1">
      <alignment horizontal="center" vertical="center" wrapText="1"/>
    </xf>
    <xf numFmtId="1" fontId="28" fillId="0" borderId="24" xfId="0" applyNumberFormat="1" applyFont="1" applyBorder="1" applyAlignment="1">
      <alignment horizontal="center" vertical="center" wrapText="1"/>
    </xf>
    <xf numFmtId="1" fontId="28" fillId="0" borderId="18" xfId="0" applyNumberFormat="1" applyFont="1" applyBorder="1" applyAlignment="1">
      <alignment horizontal="center" vertical="center" wrapText="1"/>
    </xf>
    <xf numFmtId="1" fontId="28" fillId="0" borderId="19" xfId="0" applyNumberFormat="1" applyFont="1" applyBorder="1" applyAlignment="1">
      <alignment horizontal="center" vertical="center" wrapText="1"/>
    </xf>
    <xf numFmtId="1" fontId="28" fillId="0" borderId="2" xfId="0" applyNumberFormat="1" applyFont="1" applyBorder="1" applyAlignment="1">
      <alignment horizontal="center" vertical="center" wrapText="1"/>
    </xf>
    <xf numFmtId="1" fontId="28" fillId="0" borderId="20" xfId="0" applyNumberFormat="1" applyFont="1" applyBorder="1" applyAlignment="1">
      <alignment horizontal="center" vertical="center" wrapText="1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68" fontId="12" fillId="0" borderId="8" xfId="1" applyNumberFormat="1" applyFont="1" applyBorder="1" applyAlignment="1" applyProtection="1">
      <alignment horizontal="center" vertical="center" wrapText="1"/>
      <protection locked="0"/>
    </xf>
    <xf numFmtId="168" fontId="12" fillId="0" borderId="21" xfId="1" applyNumberFormat="1" applyFont="1" applyBorder="1" applyAlignment="1" applyProtection="1">
      <alignment horizontal="center" vertical="center" wrapText="1"/>
      <protection locked="0"/>
    </xf>
    <xf numFmtId="168" fontId="12" fillId="0" borderId="9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24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68" fontId="6" fillId="0" borderId="2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8" fontId="6" fillId="0" borderId="25" xfId="1" applyNumberFormat="1" applyFont="1" applyBorder="1" applyAlignment="1" applyProtection="1">
      <alignment horizontal="center" vertical="center" wrapText="1"/>
      <protection locked="0"/>
    </xf>
    <xf numFmtId="168" fontId="6" fillId="0" borderId="0" xfId="1" applyNumberFormat="1" applyFont="1" applyAlignment="1" applyProtection="1">
      <alignment horizontal="center" vertical="center" wrapText="1"/>
      <protection locked="0"/>
    </xf>
    <xf numFmtId="168" fontId="6" fillId="0" borderId="26" xfId="1" applyNumberFormat="1" applyFont="1" applyBorder="1" applyAlignment="1" applyProtection="1">
      <alignment horizontal="center" vertical="center" wrapText="1"/>
      <protection locked="0"/>
    </xf>
    <xf numFmtId="168" fontId="12" fillId="0" borderId="17" xfId="1" applyNumberFormat="1" applyFont="1" applyBorder="1" applyAlignment="1" applyProtection="1">
      <alignment horizontal="center" vertical="center" wrapText="1"/>
      <protection locked="0"/>
    </xf>
    <xf numFmtId="168" fontId="12" fillId="0" borderId="24" xfId="1" applyNumberFormat="1" applyFont="1" applyBorder="1" applyAlignment="1" applyProtection="1">
      <alignment horizontal="center" vertical="center" wrapText="1"/>
      <protection locked="0"/>
    </xf>
    <xf numFmtId="168" fontId="12" fillId="0" borderId="18" xfId="1" applyNumberFormat="1" applyFont="1" applyBorder="1" applyAlignment="1" applyProtection="1">
      <alignment horizontal="center" vertical="center" wrapText="1"/>
      <protection locked="0"/>
    </xf>
    <xf numFmtId="168" fontId="12" fillId="0" borderId="25" xfId="1" applyNumberFormat="1" applyFont="1" applyBorder="1" applyAlignment="1" applyProtection="1">
      <alignment horizontal="center" vertical="center" wrapText="1"/>
      <protection locked="0"/>
    </xf>
    <xf numFmtId="168" fontId="12" fillId="0" borderId="0" xfId="1" applyNumberFormat="1" applyFont="1" applyAlignment="1" applyProtection="1">
      <alignment horizontal="center" vertical="center" wrapText="1"/>
      <protection locked="0"/>
    </xf>
    <xf numFmtId="168" fontId="12" fillId="0" borderId="26" xfId="1" applyNumberFormat="1" applyFont="1" applyBorder="1" applyAlignment="1" applyProtection="1">
      <alignment horizontal="center" vertical="center" wrapText="1"/>
      <protection locked="0"/>
    </xf>
    <xf numFmtId="168" fontId="12" fillId="0" borderId="19" xfId="1" applyNumberFormat="1" applyFont="1" applyBorder="1" applyAlignment="1" applyProtection="1">
      <alignment horizontal="center" vertical="center" wrapText="1"/>
      <protection locked="0"/>
    </xf>
    <xf numFmtId="168" fontId="12" fillId="0" borderId="2" xfId="1" applyNumberFormat="1" applyFont="1" applyBorder="1" applyAlignment="1" applyProtection="1">
      <alignment horizontal="center" vertical="center" wrapText="1"/>
      <protection locked="0"/>
    </xf>
    <xf numFmtId="168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38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3" fillId="0" borderId="39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40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1" fontId="8" fillId="0" borderId="41" xfId="0" applyNumberFormat="1" applyFont="1" applyBorder="1" applyAlignment="1" applyProtection="1">
      <alignment horizontal="center" vertical="center" wrapText="1"/>
      <protection locked="0"/>
    </xf>
    <xf numFmtId="1" fontId="8" fillId="0" borderId="42" xfId="0" applyNumberFormat="1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1" fontId="10" fillId="0" borderId="42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righ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9" fontId="12" fillId="0" borderId="8" xfId="1" applyNumberFormat="1" applyFont="1" applyBorder="1" applyAlignment="1" applyProtection="1">
      <alignment horizontal="left" vertical="top" wrapText="1"/>
      <protection locked="0"/>
    </xf>
    <xf numFmtId="169" fontId="12" fillId="0" borderId="9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9" fontId="12" fillId="0" borderId="1" xfId="1" applyNumberFormat="1" applyFont="1" applyBorder="1" applyAlignment="1" applyProtection="1">
      <alignment horizontal="left" vertical="top" wrapText="1"/>
      <protection locked="0"/>
    </xf>
    <xf numFmtId="169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7" xfId="1" applyFont="1" applyBorder="1" applyAlignment="1" applyProtection="1">
      <alignment horizontal="center" vertical="top" wrapText="1"/>
      <protection locked="0"/>
    </xf>
    <xf numFmtId="0" fontId="13" fillId="0" borderId="24" xfId="1" applyFont="1" applyBorder="1" applyAlignment="1" applyProtection="1">
      <alignment horizontal="center" vertical="top" wrapText="1"/>
      <protection locked="0"/>
    </xf>
    <xf numFmtId="0" fontId="13" fillId="0" borderId="18" xfId="1" applyFont="1" applyBorder="1" applyAlignment="1" applyProtection="1">
      <alignment horizontal="center" vertical="top" wrapText="1"/>
      <protection locked="0"/>
    </xf>
    <xf numFmtId="0" fontId="13" fillId="0" borderId="25" xfId="1" applyFont="1" applyBorder="1" applyAlignment="1" applyProtection="1">
      <alignment horizontal="center" vertical="top" wrapText="1"/>
      <protection locked="0"/>
    </xf>
    <xf numFmtId="0" fontId="13" fillId="0" borderId="0" xfId="1" applyFont="1" applyAlignment="1" applyProtection="1">
      <alignment horizontal="center" vertical="top" wrapText="1"/>
      <protection locked="0"/>
    </xf>
    <xf numFmtId="0" fontId="13" fillId="0" borderId="26" xfId="1" applyFont="1" applyBorder="1" applyAlignment="1" applyProtection="1">
      <alignment horizontal="center" vertical="top" wrapText="1"/>
      <protection locked="0"/>
    </xf>
    <xf numFmtId="0" fontId="13" fillId="0" borderId="19" xfId="1" applyFont="1" applyBorder="1" applyAlignment="1" applyProtection="1">
      <alignment horizontal="center" vertical="top" wrapText="1"/>
      <protection locked="0"/>
    </xf>
    <xf numFmtId="0" fontId="13" fillId="0" borderId="2" xfId="1" applyFont="1" applyBorder="1" applyAlignment="1" applyProtection="1">
      <alignment horizontal="center" vertical="top" wrapText="1"/>
      <protection locked="0"/>
    </xf>
    <xf numFmtId="0" fontId="13" fillId="0" borderId="20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horizontal="left" vertical="top" wrapText="1"/>
      <protection locked="0"/>
    </xf>
    <xf numFmtId="1" fontId="13" fillId="0" borderId="21" xfId="0" applyNumberFormat="1" applyFont="1" applyBorder="1" applyAlignment="1" applyProtection="1">
      <alignment horizontal="left" vertical="top" wrapText="1"/>
      <protection locked="0"/>
    </xf>
    <xf numFmtId="1" fontId="13" fillId="0" borderId="9" xfId="0" applyNumberFormat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169" fontId="8" fillId="0" borderId="8" xfId="1" applyNumberFormat="1" applyFont="1" applyBorder="1" applyAlignment="1" applyProtection="1">
      <alignment horizontal="left" vertical="top"/>
      <protection locked="0"/>
    </xf>
    <xf numFmtId="169" fontId="8" fillId="0" borderId="9" xfId="1" applyNumberFormat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vertical="top"/>
      <protection locked="0"/>
    </xf>
    <xf numFmtId="0" fontId="6" fillId="0" borderId="21" xfId="1" applyFont="1" applyBorder="1" applyAlignment="1" applyProtection="1">
      <alignment vertical="top"/>
      <protection locked="0"/>
    </xf>
    <xf numFmtId="0" fontId="6" fillId="0" borderId="9" xfId="1" applyFont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vertical="top"/>
      <protection locked="0"/>
    </xf>
    <xf numFmtId="0" fontId="13" fillId="0" borderId="21" xfId="1" applyFont="1" applyBorder="1" applyAlignment="1" applyProtection="1">
      <alignment vertical="top"/>
      <protection locked="0"/>
    </xf>
    <xf numFmtId="0" fontId="13" fillId="0" borderId="9" xfId="1" applyFont="1" applyBorder="1" applyAlignment="1" applyProtection="1">
      <alignment vertical="top"/>
      <protection locked="0"/>
    </xf>
    <xf numFmtId="0" fontId="12" fillId="0" borderId="32" xfId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10" fillId="0" borderId="43" xfId="0" applyNumberFormat="1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" fontId="7" fillId="0" borderId="3" xfId="0" applyNumberFormat="1" applyFont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9" fontId="13" fillId="0" borderId="34" xfId="1" applyNumberFormat="1" applyFont="1" applyBorder="1" applyAlignment="1" applyProtection="1">
      <alignment horizontal="center" vertical="top" wrapText="1"/>
      <protection locked="0"/>
    </xf>
    <xf numFmtId="0" fontId="13" fillId="0" borderId="35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left" vertical="center"/>
      <protection locked="0"/>
    </xf>
    <xf numFmtId="0" fontId="10" fillId="0" borderId="21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horizontal="left" vertical="center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3" xfId="1" applyFont="1" applyBorder="1" applyAlignment="1" applyProtection="1">
      <alignment horizontal="center" vertical="top" wrapText="1"/>
      <protection locked="0"/>
    </xf>
    <xf numFmtId="0" fontId="13" fillId="0" borderId="36" xfId="1" applyFont="1" applyBorder="1" applyAlignment="1" applyProtection="1">
      <alignment horizontal="center" vertical="top" wrapText="1"/>
      <protection locked="0"/>
    </xf>
    <xf numFmtId="0" fontId="13" fillId="0" borderId="37" xfId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883</xdr:row>
      <xdr:rowOff>19050</xdr:rowOff>
    </xdr:from>
    <xdr:to>
      <xdr:col>6</xdr:col>
      <xdr:colOff>653452</xdr:colOff>
      <xdr:row>900</xdr:row>
      <xdr:rowOff>189959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751" y="174717075"/>
          <a:ext cx="4882551" cy="35713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228600</xdr:colOff>
      <xdr:row>902</xdr:row>
      <xdr:rowOff>5571</xdr:rowOff>
    </xdr:from>
    <xdr:to>
      <xdr:col>6</xdr:col>
      <xdr:colOff>653451</xdr:colOff>
      <xdr:row>919</xdr:row>
      <xdr:rowOff>193735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750" y="178504071"/>
          <a:ext cx="4882551" cy="35885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438978</xdr:colOff>
      <xdr:row>153</xdr:row>
      <xdr:rowOff>140805</xdr:rowOff>
    </xdr:from>
    <xdr:to>
      <xdr:col>28</xdr:col>
      <xdr:colOff>482037</xdr:colOff>
      <xdr:row>176</xdr:row>
      <xdr:rowOff>25194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93217" y="40501957"/>
          <a:ext cx="8830907" cy="2476846"/>
        </a:xfrm>
        <a:prstGeom prst="rect">
          <a:avLst/>
        </a:prstGeom>
      </xdr:spPr>
    </xdr:pic>
    <xdr:clientData/>
  </xdr:twoCellAnchor>
  <xdr:twoCellAnchor>
    <xdr:from>
      <xdr:col>9</xdr:col>
      <xdr:colOff>150743</xdr:colOff>
      <xdr:row>856</xdr:row>
      <xdr:rowOff>108429</xdr:rowOff>
    </xdr:from>
    <xdr:to>
      <xdr:col>9</xdr:col>
      <xdr:colOff>433112</xdr:colOff>
      <xdr:row>858</xdr:row>
      <xdr:rowOff>19529</xdr:rowOff>
    </xdr:to>
    <xdr:sp macro="" textlink="">
      <xdr:nvSpPr>
        <xdr:cNvPr id="46" name="TextBox 1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751404" y="182153542"/>
          <a:ext cx="282369" cy="30866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/>
            <a:t>G</a:t>
          </a:r>
          <a:endParaRPr lang="en-IN" sz="1400" b="1"/>
        </a:p>
      </xdr:txBody>
    </xdr:sp>
    <xdr:clientData/>
  </xdr:twoCellAnchor>
  <xdr:twoCellAnchor>
    <xdr:from>
      <xdr:col>9</xdr:col>
      <xdr:colOff>212295</xdr:colOff>
      <xdr:row>856</xdr:row>
      <xdr:rowOff>101941</xdr:rowOff>
    </xdr:from>
    <xdr:to>
      <xdr:col>9</xdr:col>
      <xdr:colOff>511229</xdr:colOff>
      <xdr:row>857</xdr:row>
      <xdr:rowOff>179871</xdr:rowOff>
    </xdr:to>
    <xdr:sp macro="" textlink="">
      <xdr:nvSpPr>
        <xdr:cNvPr id="47" name="TextBox 1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565720" y="178952866"/>
          <a:ext cx="298934" cy="27795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/>
            <a:t>H</a:t>
          </a:r>
          <a:endParaRPr lang="en-IN" sz="1400" b="1"/>
        </a:p>
      </xdr:txBody>
    </xdr:sp>
    <xdr:clientData/>
  </xdr:twoCellAnchor>
  <xdr:twoCellAnchor>
    <xdr:from>
      <xdr:col>3</xdr:col>
      <xdr:colOff>106016</xdr:colOff>
      <xdr:row>855</xdr:row>
      <xdr:rowOff>112986</xdr:rowOff>
    </xdr:from>
    <xdr:to>
      <xdr:col>3</xdr:col>
      <xdr:colOff>489501</xdr:colOff>
      <xdr:row>857</xdr:row>
      <xdr:rowOff>179318</xdr:rowOff>
    </xdr:to>
    <xdr:sp macro="" textlink="">
      <xdr:nvSpPr>
        <xdr:cNvPr id="13" name="TextBox 18">
          <a:extLst>
            <a:ext uri="{FF2B5EF4-FFF2-40B4-BE49-F238E27FC236}">
              <a16:creationId xmlns:a16="http://schemas.microsoft.com/office/drawing/2014/main" id="{B13D48EC-369D-FC04-4B0A-F98F7210B1C2}"/>
            </a:ext>
          </a:extLst>
        </xdr:cNvPr>
        <xdr:cNvSpPr txBox="1"/>
      </xdr:nvSpPr>
      <xdr:spPr>
        <a:xfrm>
          <a:off x="2515841" y="178763886"/>
          <a:ext cx="383485" cy="46638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2400" b="1"/>
        </a:p>
      </xdr:txBody>
    </xdr:sp>
    <xdr:clientData/>
  </xdr:twoCellAnchor>
  <xdr:twoCellAnchor>
    <xdr:from>
      <xdr:col>8</xdr:col>
      <xdr:colOff>955040</xdr:colOff>
      <xdr:row>836</xdr:row>
      <xdr:rowOff>142240</xdr:rowOff>
    </xdr:from>
    <xdr:to>
      <xdr:col>15</xdr:col>
      <xdr:colOff>800302</xdr:colOff>
      <xdr:row>874</xdr:row>
      <xdr:rowOff>158476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691120" y="173482000"/>
          <a:ext cx="6367982" cy="7537176"/>
          <a:chOff x="139700" y="173615350"/>
          <a:chExt cx="6467042" cy="7490186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47217" y="179305536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9018" y="1736153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9700" y="176472969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4359" y="176459529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9018" y="176459529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2330" y="179305536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7745" y="179305536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9700" y="1736153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4359" y="1736153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708660</xdr:colOff>
      <xdr:row>840</xdr:row>
      <xdr:rowOff>99061</xdr:rowOff>
    </xdr:from>
    <xdr:to>
      <xdr:col>7</xdr:col>
      <xdr:colOff>403860</xdr:colOff>
      <xdr:row>880</xdr:row>
      <xdr:rowOff>129541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64388AD3-607B-EE98-585E-98E622F566CD}"/>
            </a:ext>
          </a:extLst>
        </xdr:cNvPr>
        <xdr:cNvGrpSpPr/>
      </xdr:nvGrpSpPr>
      <xdr:grpSpPr>
        <a:xfrm>
          <a:off x="708660" y="174231301"/>
          <a:ext cx="5577840" cy="7947660"/>
          <a:chOff x="640080" y="636270"/>
          <a:chExt cx="5577840" cy="7871461"/>
        </a:xfrm>
      </xdr:grpSpPr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04AE683C-0BC1-B636-92C2-78B70CFA44F7}"/>
              </a:ext>
            </a:extLst>
          </xdr:cNvPr>
          <xdr:cNvGrpSpPr/>
        </xdr:nvGrpSpPr>
        <xdr:grpSpPr>
          <a:xfrm>
            <a:off x="1348910" y="7084613"/>
            <a:ext cx="4162570" cy="1423118"/>
            <a:chOff x="756314" y="7340442"/>
            <a:chExt cx="4441418" cy="1620000"/>
          </a:xfrm>
        </xdr:grpSpPr>
        <xdr:pic>
          <xdr:nvPicPr>
            <xdr:cNvPr id="50" name="Picture 49">
              <a:extLst>
                <a:ext uri="{FF2B5EF4-FFF2-40B4-BE49-F238E27FC236}">
                  <a16:creationId xmlns:a16="http://schemas.microsoft.com/office/drawing/2014/main" id="{A37CF517-4D52-4520-9FA1-C19A9E078F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56314" y="7340442"/>
              <a:ext cx="2157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id="{6FF79DEB-E55C-E668-E1D1-9981D208DD4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048692" y="7340442"/>
              <a:ext cx="214904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44D5322-286A-76FB-71B8-C9AA4C4670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1640" y="636270"/>
            <a:ext cx="1776280" cy="221373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131D0715-95B8-F859-1CDD-F121EA9F37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8336" y="5067113"/>
            <a:ext cx="1522526" cy="189749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2AB49307-618A-F175-4957-82F10F6B88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2056" y="636270"/>
            <a:ext cx="1776280" cy="221373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D0AD1150-5EFA-DA0F-D28F-C759769006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8336" y="3009816"/>
            <a:ext cx="1522526" cy="189749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928B606F-41DB-C6A8-CBE7-3B7C4802EF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8932" y="5067113"/>
            <a:ext cx="1522526" cy="189749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AE86101A-3F6C-3B10-F6D5-B16607352B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40080" y="636270"/>
            <a:ext cx="1776280" cy="221373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285E5939-183B-68DA-BC6A-ABDC6BCFAA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9529" y="3009816"/>
            <a:ext cx="1522526" cy="189749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A705F123-4BBC-DFDB-7A57-45442FC1CF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9528" y="5067113"/>
            <a:ext cx="1522526" cy="189749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DC5F9000-A0E6-EA16-361F-E096E90448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8932" y="3009816"/>
            <a:ext cx="1522526" cy="189749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6" name="TextBox 14">
            <a:extLst>
              <a:ext uri="{FF2B5EF4-FFF2-40B4-BE49-F238E27FC236}">
                <a16:creationId xmlns:a16="http://schemas.microsoft.com/office/drawing/2014/main" id="{78CED3CB-43FD-AABF-985C-CB29DFA2D5C0}"/>
              </a:ext>
            </a:extLst>
          </xdr:cNvPr>
          <xdr:cNvSpPr txBox="1"/>
        </xdr:nvSpPr>
        <xdr:spPr>
          <a:xfrm>
            <a:off x="640080" y="701705"/>
            <a:ext cx="652743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Tower F</a:t>
            </a:r>
            <a:endParaRPr lang="en-IN" sz="1100" b="1"/>
          </a:p>
        </xdr:txBody>
      </xdr:sp>
      <xdr:sp macro="" textlink="">
        <xdr:nvSpPr>
          <xdr:cNvPr id="41" name="TextBox 15">
            <a:extLst>
              <a:ext uri="{FF2B5EF4-FFF2-40B4-BE49-F238E27FC236}">
                <a16:creationId xmlns:a16="http://schemas.microsoft.com/office/drawing/2014/main" id="{BB9208E4-2876-1F4D-E773-32B56495BFCD}"/>
              </a:ext>
            </a:extLst>
          </xdr:cNvPr>
          <xdr:cNvSpPr txBox="1"/>
        </xdr:nvSpPr>
        <xdr:spPr>
          <a:xfrm>
            <a:off x="2781369" y="701705"/>
            <a:ext cx="678391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Tower G</a:t>
            </a:r>
            <a:endParaRPr lang="en-IN" sz="1100" b="1"/>
          </a:p>
        </xdr:txBody>
      </xdr:sp>
      <xdr:sp macro="" textlink="">
        <xdr:nvSpPr>
          <xdr:cNvPr id="42" name="TextBox 16">
            <a:extLst>
              <a:ext uri="{FF2B5EF4-FFF2-40B4-BE49-F238E27FC236}">
                <a16:creationId xmlns:a16="http://schemas.microsoft.com/office/drawing/2014/main" id="{385F32CD-CE15-9A65-3883-623FB10604EB}"/>
              </a:ext>
            </a:extLst>
          </xdr:cNvPr>
          <xdr:cNvSpPr txBox="1"/>
        </xdr:nvSpPr>
        <xdr:spPr>
          <a:xfrm>
            <a:off x="4740663" y="654722"/>
            <a:ext cx="678391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Tower H</a:t>
            </a:r>
            <a:endParaRPr lang="en-IN" sz="1100" b="1"/>
          </a:p>
        </xdr:txBody>
      </xdr:sp>
      <xdr:sp macro="" textlink="">
        <xdr:nvSpPr>
          <xdr:cNvPr id="43" name="TextBox 18">
            <a:extLst>
              <a:ext uri="{FF2B5EF4-FFF2-40B4-BE49-F238E27FC236}">
                <a16:creationId xmlns:a16="http://schemas.microsoft.com/office/drawing/2014/main" id="{C121A454-554F-DA61-4260-F8B5FDD4196C}"/>
              </a:ext>
            </a:extLst>
          </xdr:cNvPr>
          <xdr:cNvSpPr txBox="1"/>
        </xdr:nvSpPr>
        <xdr:spPr>
          <a:xfrm>
            <a:off x="2717743" y="5122556"/>
            <a:ext cx="652743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Tower E</a:t>
            </a:r>
            <a:endParaRPr lang="en-IN" sz="1100" b="1"/>
          </a:p>
        </xdr:txBody>
      </xdr:sp>
      <xdr:sp macro="" textlink="">
        <xdr:nvSpPr>
          <xdr:cNvPr id="44" name="TextBox 19">
            <a:extLst>
              <a:ext uri="{FF2B5EF4-FFF2-40B4-BE49-F238E27FC236}">
                <a16:creationId xmlns:a16="http://schemas.microsoft.com/office/drawing/2014/main" id="{BD473A7D-0186-D26D-8E60-B77DE5612C77}"/>
              </a:ext>
            </a:extLst>
          </xdr:cNvPr>
          <xdr:cNvSpPr txBox="1"/>
        </xdr:nvSpPr>
        <xdr:spPr>
          <a:xfrm>
            <a:off x="1503106" y="6651219"/>
            <a:ext cx="676788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>
                <a:solidFill>
                  <a:srgbClr val="FFFF00"/>
                </a:solidFill>
              </a:rPr>
              <a:t>Tower D</a:t>
            </a:r>
            <a:endParaRPr lang="en-IN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45" name="TextBox 20">
            <a:extLst>
              <a:ext uri="{FF2B5EF4-FFF2-40B4-BE49-F238E27FC236}">
                <a16:creationId xmlns:a16="http://schemas.microsoft.com/office/drawing/2014/main" id="{D65BA313-4AA8-8C6B-25AD-7AF028A73FBE}"/>
              </a:ext>
            </a:extLst>
          </xdr:cNvPr>
          <xdr:cNvSpPr txBox="1"/>
        </xdr:nvSpPr>
        <xdr:spPr>
          <a:xfrm>
            <a:off x="5267084" y="3017842"/>
            <a:ext cx="663964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Tower C</a:t>
            </a:r>
            <a:endParaRPr lang="en-IN" sz="1100" b="1"/>
          </a:p>
        </xdr:txBody>
      </xdr:sp>
      <xdr:sp macro="" textlink="">
        <xdr:nvSpPr>
          <xdr:cNvPr id="48" name="TextBox 21">
            <a:extLst>
              <a:ext uri="{FF2B5EF4-FFF2-40B4-BE49-F238E27FC236}">
                <a16:creationId xmlns:a16="http://schemas.microsoft.com/office/drawing/2014/main" id="{839419F7-24E3-72AD-E013-AC6EB9F7ACCD}"/>
              </a:ext>
            </a:extLst>
          </xdr:cNvPr>
          <xdr:cNvSpPr txBox="1"/>
        </xdr:nvSpPr>
        <xdr:spPr>
          <a:xfrm>
            <a:off x="3212342" y="2945250"/>
            <a:ext cx="667170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Tower B</a:t>
            </a:r>
            <a:endParaRPr lang="en-IN" sz="1100" b="1"/>
          </a:p>
        </xdr:txBody>
      </xdr:sp>
      <xdr:sp macro="" textlink="">
        <xdr:nvSpPr>
          <xdr:cNvPr id="49" name="TextBox 22">
            <a:extLst>
              <a:ext uri="{FF2B5EF4-FFF2-40B4-BE49-F238E27FC236}">
                <a16:creationId xmlns:a16="http://schemas.microsoft.com/office/drawing/2014/main" id="{F23673CA-F6A9-981C-2E32-B84605820049}"/>
              </a:ext>
            </a:extLst>
          </xdr:cNvPr>
          <xdr:cNvSpPr txBox="1"/>
        </xdr:nvSpPr>
        <xdr:spPr>
          <a:xfrm>
            <a:off x="1952750" y="3009815"/>
            <a:ext cx="673582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Tower A</a:t>
            </a:r>
            <a:endParaRPr lang="en-IN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cXefMBQ4gPLzgNL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882"/>
  <sheetViews>
    <sheetView tabSelected="1" showWhiteSpace="0" view="pageBreakPreview" topLeftCell="A802" zoomScaleNormal="100" zoomScaleSheetLayoutView="100" zoomScalePageLayoutView="85" workbookViewId="0">
      <selection activeCell="J812" sqref="J812"/>
    </sheetView>
  </sheetViews>
  <sheetFormatPr defaultColWidth="9.21875" defaultRowHeight="15.6" x14ac:dyDescent="0.3"/>
  <cols>
    <col min="1" max="1" width="11.44140625" style="36" customWidth="1"/>
    <col min="2" max="2" width="12" style="36" customWidth="1"/>
    <col min="3" max="3" width="12.77734375" style="36" customWidth="1"/>
    <col min="4" max="4" width="14.21875" style="36" customWidth="1"/>
    <col min="5" max="7" width="11.77734375" style="36" customWidth="1"/>
    <col min="8" max="8" width="12.44140625" style="36" customWidth="1"/>
    <col min="9" max="9" width="27.21875" style="17" customWidth="1"/>
    <col min="10" max="10" width="11.44140625" style="17" customWidth="1"/>
    <col min="11" max="11" width="11.77734375" style="17" bestFit="1" customWidth="1"/>
    <col min="12" max="12" width="10.5546875" style="17" customWidth="1"/>
    <col min="13" max="13" width="11.77734375" style="17" customWidth="1"/>
    <col min="14" max="14" width="12.5546875" style="17" customWidth="1"/>
    <col min="15" max="15" width="9.77734375" style="17" customWidth="1"/>
    <col min="16" max="16" width="11.77734375" style="17" customWidth="1"/>
    <col min="17" max="247" width="9.21875" style="17"/>
    <col min="248" max="248" width="8.77734375" style="17" customWidth="1"/>
    <col min="249" max="249" width="9.77734375" style="17" customWidth="1"/>
    <col min="250" max="250" width="14.44140625" style="17" customWidth="1"/>
    <col min="251" max="251" width="7.21875" style="17" customWidth="1"/>
    <col min="252" max="252" width="5.5546875" style="17" customWidth="1"/>
    <col min="253" max="253" width="9" style="17" customWidth="1"/>
    <col min="254" max="255" width="9.77734375" style="17" customWidth="1"/>
    <col min="256" max="256" width="11.21875" style="17" customWidth="1"/>
    <col min="257" max="257" width="2.77734375" style="17" customWidth="1"/>
    <col min="258" max="258" width="3.5546875" style="17" customWidth="1"/>
    <col min="259" max="503" width="9.21875" style="17"/>
    <col min="504" max="504" width="8.77734375" style="17" customWidth="1"/>
    <col min="505" max="505" width="9.77734375" style="17" customWidth="1"/>
    <col min="506" max="506" width="14.44140625" style="17" customWidth="1"/>
    <col min="507" max="507" width="7.21875" style="17" customWidth="1"/>
    <col min="508" max="508" width="5.5546875" style="17" customWidth="1"/>
    <col min="509" max="509" width="9" style="17" customWidth="1"/>
    <col min="510" max="511" width="9.77734375" style="17" customWidth="1"/>
    <col min="512" max="512" width="11.21875" style="17" customWidth="1"/>
    <col min="513" max="513" width="2.77734375" style="17" customWidth="1"/>
    <col min="514" max="514" width="3.5546875" style="17" customWidth="1"/>
    <col min="515" max="759" width="9.21875" style="17"/>
    <col min="760" max="760" width="8.77734375" style="17" customWidth="1"/>
    <col min="761" max="761" width="9.77734375" style="17" customWidth="1"/>
    <col min="762" max="762" width="14.44140625" style="17" customWidth="1"/>
    <col min="763" max="763" width="7.21875" style="17" customWidth="1"/>
    <col min="764" max="764" width="5.5546875" style="17" customWidth="1"/>
    <col min="765" max="765" width="9" style="17" customWidth="1"/>
    <col min="766" max="767" width="9.77734375" style="17" customWidth="1"/>
    <col min="768" max="768" width="11.21875" style="17" customWidth="1"/>
    <col min="769" max="769" width="2.77734375" style="17" customWidth="1"/>
    <col min="770" max="770" width="3.5546875" style="17" customWidth="1"/>
    <col min="771" max="1015" width="9.21875" style="17"/>
    <col min="1016" max="1016" width="8.77734375" style="17" customWidth="1"/>
    <col min="1017" max="1017" width="9.77734375" style="17" customWidth="1"/>
    <col min="1018" max="1018" width="14.44140625" style="17" customWidth="1"/>
    <col min="1019" max="1019" width="7.21875" style="17" customWidth="1"/>
    <col min="1020" max="1020" width="5.5546875" style="17" customWidth="1"/>
    <col min="1021" max="1021" width="9" style="17" customWidth="1"/>
    <col min="1022" max="1023" width="9.77734375" style="17" customWidth="1"/>
    <col min="1024" max="1024" width="11.21875" style="17" customWidth="1"/>
    <col min="1025" max="1025" width="2.77734375" style="17" customWidth="1"/>
    <col min="1026" max="1026" width="3.5546875" style="17" customWidth="1"/>
    <col min="1027" max="1271" width="9.21875" style="17"/>
    <col min="1272" max="1272" width="8.77734375" style="17" customWidth="1"/>
    <col min="1273" max="1273" width="9.77734375" style="17" customWidth="1"/>
    <col min="1274" max="1274" width="14.44140625" style="17" customWidth="1"/>
    <col min="1275" max="1275" width="7.21875" style="17" customWidth="1"/>
    <col min="1276" max="1276" width="5.5546875" style="17" customWidth="1"/>
    <col min="1277" max="1277" width="9" style="17" customWidth="1"/>
    <col min="1278" max="1279" width="9.77734375" style="17" customWidth="1"/>
    <col min="1280" max="1280" width="11.21875" style="17" customWidth="1"/>
    <col min="1281" max="1281" width="2.77734375" style="17" customWidth="1"/>
    <col min="1282" max="1282" width="3.5546875" style="17" customWidth="1"/>
    <col min="1283" max="1527" width="9.21875" style="17"/>
    <col min="1528" max="1528" width="8.77734375" style="17" customWidth="1"/>
    <col min="1529" max="1529" width="9.77734375" style="17" customWidth="1"/>
    <col min="1530" max="1530" width="14.44140625" style="17" customWidth="1"/>
    <col min="1531" max="1531" width="7.21875" style="17" customWidth="1"/>
    <col min="1532" max="1532" width="5.5546875" style="17" customWidth="1"/>
    <col min="1533" max="1533" width="9" style="17" customWidth="1"/>
    <col min="1534" max="1535" width="9.77734375" style="17" customWidth="1"/>
    <col min="1536" max="1536" width="11.21875" style="17" customWidth="1"/>
    <col min="1537" max="1537" width="2.77734375" style="17" customWidth="1"/>
    <col min="1538" max="1538" width="3.5546875" style="17" customWidth="1"/>
    <col min="1539" max="1783" width="9.21875" style="17"/>
    <col min="1784" max="1784" width="8.77734375" style="17" customWidth="1"/>
    <col min="1785" max="1785" width="9.77734375" style="17" customWidth="1"/>
    <col min="1786" max="1786" width="14.44140625" style="17" customWidth="1"/>
    <col min="1787" max="1787" width="7.21875" style="17" customWidth="1"/>
    <col min="1788" max="1788" width="5.5546875" style="17" customWidth="1"/>
    <col min="1789" max="1789" width="9" style="17" customWidth="1"/>
    <col min="1790" max="1791" width="9.77734375" style="17" customWidth="1"/>
    <col min="1792" max="1792" width="11.21875" style="17" customWidth="1"/>
    <col min="1793" max="1793" width="2.77734375" style="17" customWidth="1"/>
    <col min="1794" max="1794" width="3.5546875" style="17" customWidth="1"/>
    <col min="1795" max="2039" width="9.21875" style="17"/>
    <col min="2040" max="2040" width="8.77734375" style="17" customWidth="1"/>
    <col min="2041" max="2041" width="9.77734375" style="17" customWidth="1"/>
    <col min="2042" max="2042" width="14.44140625" style="17" customWidth="1"/>
    <col min="2043" max="2043" width="7.21875" style="17" customWidth="1"/>
    <col min="2044" max="2044" width="5.5546875" style="17" customWidth="1"/>
    <col min="2045" max="2045" width="9" style="17" customWidth="1"/>
    <col min="2046" max="2047" width="9.77734375" style="17" customWidth="1"/>
    <col min="2048" max="2048" width="11.21875" style="17" customWidth="1"/>
    <col min="2049" max="2049" width="2.77734375" style="17" customWidth="1"/>
    <col min="2050" max="2050" width="3.5546875" style="17" customWidth="1"/>
    <col min="2051" max="2295" width="9.21875" style="17"/>
    <col min="2296" max="2296" width="8.77734375" style="17" customWidth="1"/>
    <col min="2297" max="2297" width="9.77734375" style="17" customWidth="1"/>
    <col min="2298" max="2298" width="14.44140625" style="17" customWidth="1"/>
    <col min="2299" max="2299" width="7.21875" style="17" customWidth="1"/>
    <col min="2300" max="2300" width="5.5546875" style="17" customWidth="1"/>
    <col min="2301" max="2301" width="9" style="17" customWidth="1"/>
    <col min="2302" max="2303" width="9.77734375" style="17" customWidth="1"/>
    <col min="2304" max="2304" width="11.21875" style="17" customWidth="1"/>
    <col min="2305" max="2305" width="2.77734375" style="17" customWidth="1"/>
    <col min="2306" max="2306" width="3.5546875" style="17" customWidth="1"/>
    <col min="2307" max="2551" width="9.21875" style="17"/>
    <col min="2552" max="2552" width="8.77734375" style="17" customWidth="1"/>
    <col min="2553" max="2553" width="9.77734375" style="17" customWidth="1"/>
    <col min="2554" max="2554" width="14.44140625" style="17" customWidth="1"/>
    <col min="2555" max="2555" width="7.21875" style="17" customWidth="1"/>
    <col min="2556" max="2556" width="5.5546875" style="17" customWidth="1"/>
    <col min="2557" max="2557" width="9" style="17" customWidth="1"/>
    <col min="2558" max="2559" width="9.77734375" style="17" customWidth="1"/>
    <col min="2560" max="2560" width="11.21875" style="17" customWidth="1"/>
    <col min="2561" max="2561" width="2.77734375" style="17" customWidth="1"/>
    <col min="2562" max="2562" width="3.5546875" style="17" customWidth="1"/>
    <col min="2563" max="2807" width="9.21875" style="17"/>
    <col min="2808" max="2808" width="8.77734375" style="17" customWidth="1"/>
    <col min="2809" max="2809" width="9.77734375" style="17" customWidth="1"/>
    <col min="2810" max="2810" width="14.44140625" style="17" customWidth="1"/>
    <col min="2811" max="2811" width="7.21875" style="17" customWidth="1"/>
    <col min="2812" max="2812" width="5.5546875" style="17" customWidth="1"/>
    <col min="2813" max="2813" width="9" style="17" customWidth="1"/>
    <col min="2814" max="2815" width="9.77734375" style="17" customWidth="1"/>
    <col min="2816" max="2816" width="11.21875" style="17" customWidth="1"/>
    <col min="2817" max="2817" width="2.77734375" style="17" customWidth="1"/>
    <col min="2818" max="2818" width="3.5546875" style="17" customWidth="1"/>
    <col min="2819" max="3063" width="9.21875" style="17"/>
    <col min="3064" max="3064" width="8.77734375" style="17" customWidth="1"/>
    <col min="3065" max="3065" width="9.77734375" style="17" customWidth="1"/>
    <col min="3066" max="3066" width="14.44140625" style="17" customWidth="1"/>
    <col min="3067" max="3067" width="7.21875" style="17" customWidth="1"/>
    <col min="3068" max="3068" width="5.5546875" style="17" customWidth="1"/>
    <col min="3069" max="3069" width="9" style="17" customWidth="1"/>
    <col min="3070" max="3071" width="9.77734375" style="17" customWidth="1"/>
    <col min="3072" max="3072" width="11.21875" style="17" customWidth="1"/>
    <col min="3073" max="3073" width="2.77734375" style="17" customWidth="1"/>
    <col min="3074" max="3074" width="3.5546875" style="17" customWidth="1"/>
    <col min="3075" max="3319" width="9.21875" style="17"/>
    <col min="3320" max="3320" width="8.77734375" style="17" customWidth="1"/>
    <col min="3321" max="3321" width="9.77734375" style="17" customWidth="1"/>
    <col min="3322" max="3322" width="14.44140625" style="17" customWidth="1"/>
    <col min="3323" max="3323" width="7.21875" style="17" customWidth="1"/>
    <col min="3324" max="3324" width="5.5546875" style="17" customWidth="1"/>
    <col min="3325" max="3325" width="9" style="17" customWidth="1"/>
    <col min="3326" max="3327" width="9.77734375" style="17" customWidth="1"/>
    <col min="3328" max="3328" width="11.21875" style="17" customWidth="1"/>
    <col min="3329" max="3329" width="2.77734375" style="17" customWidth="1"/>
    <col min="3330" max="3330" width="3.5546875" style="17" customWidth="1"/>
    <col min="3331" max="3575" width="9.21875" style="17"/>
    <col min="3576" max="3576" width="8.77734375" style="17" customWidth="1"/>
    <col min="3577" max="3577" width="9.77734375" style="17" customWidth="1"/>
    <col min="3578" max="3578" width="14.44140625" style="17" customWidth="1"/>
    <col min="3579" max="3579" width="7.21875" style="17" customWidth="1"/>
    <col min="3580" max="3580" width="5.5546875" style="17" customWidth="1"/>
    <col min="3581" max="3581" width="9" style="17" customWidth="1"/>
    <col min="3582" max="3583" width="9.77734375" style="17" customWidth="1"/>
    <col min="3584" max="3584" width="11.21875" style="17" customWidth="1"/>
    <col min="3585" max="3585" width="2.77734375" style="17" customWidth="1"/>
    <col min="3586" max="3586" width="3.5546875" style="17" customWidth="1"/>
    <col min="3587" max="3831" width="9.21875" style="17"/>
    <col min="3832" max="3832" width="8.77734375" style="17" customWidth="1"/>
    <col min="3833" max="3833" width="9.77734375" style="17" customWidth="1"/>
    <col min="3834" max="3834" width="14.44140625" style="17" customWidth="1"/>
    <col min="3835" max="3835" width="7.21875" style="17" customWidth="1"/>
    <col min="3836" max="3836" width="5.5546875" style="17" customWidth="1"/>
    <col min="3837" max="3837" width="9" style="17" customWidth="1"/>
    <col min="3838" max="3839" width="9.77734375" style="17" customWidth="1"/>
    <col min="3840" max="3840" width="11.21875" style="17" customWidth="1"/>
    <col min="3841" max="3841" width="2.77734375" style="17" customWidth="1"/>
    <col min="3842" max="3842" width="3.5546875" style="17" customWidth="1"/>
    <col min="3843" max="4087" width="9.21875" style="17"/>
    <col min="4088" max="4088" width="8.77734375" style="17" customWidth="1"/>
    <col min="4089" max="4089" width="9.77734375" style="17" customWidth="1"/>
    <col min="4090" max="4090" width="14.44140625" style="17" customWidth="1"/>
    <col min="4091" max="4091" width="7.21875" style="17" customWidth="1"/>
    <col min="4092" max="4092" width="5.5546875" style="17" customWidth="1"/>
    <col min="4093" max="4093" width="9" style="17" customWidth="1"/>
    <col min="4094" max="4095" width="9.77734375" style="17" customWidth="1"/>
    <col min="4096" max="4096" width="11.21875" style="17" customWidth="1"/>
    <col min="4097" max="4097" width="2.77734375" style="17" customWidth="1"/>
    <col min="4098" max="4098" width="3.5546875" style="17" customWidth="1"/>
    <col min="4099" max="4343" width="9.21875" style="17"/>
    <col min="4344" max="4344" width="8.77734375" style="17" customWidth="1"/>
    <col min="4345" max="4345" width="9.77734375" style="17" customWidth="1"/>
    <col min="4346" max="4346" width="14.44140625" style="17" customWidth="1"/>
    <col min="4347" max="4347" width="7.21875" style="17" customWidth="1"/>
    <col min="4348" max="4348" width="5.5546875" style="17" customWidth="1"/>
    <col min="4349" max="4349" width="9" style="17" customWidth="1"/>
    <col min="4350" max="4351" width="9.77734375" style="17" customWidth="1"/>
    <col min="4352" max="4352" width="11.21875" style="17" customWidth="1"/>
    <col min="4353" max="4353" width="2.77734375" style="17" customWidth="1"/>
    <col min="4354" max="4354" width="3.5546875" style="17" customWidth="1"/>
    <col min="4355" max="4599" width="9.21875" style="17"/>
    <col min="4600" max="4600" width="8.77734375" style="17" customWidth="1"/>
    <col min="4601" max="4601" width="9.77734375" style="17" customWidth="1"/>
    <col min="4602" max="4602" width="14.44140625" style="17" customWidth="1"/>
    <col min="4603" max="4603" width="7.21875" style="17" customWidth="1"/>
    <col min="4604" max="4604" width="5.5546875" style="17" customWidth="1"/>
    <col min="4605" max="4605" width="9" style="17" customWidth="1"/>
    <col min="4606" max="4607" width="9.77734375" style="17" customWidth="1"/>
    <col min="4608" max="4608" width="11.21875" style="17" customWidth="1"/>
    <col min="4609" max="4609" width="2.77734375" style="17" customWidth="1"/>
    <col min="4610" max="4610" width="3.5546875" style="17" customWidth="1"/>
    <col min="4611" max="4855" width="9.21875" style="17"/>
    <col min="4856" max="4856" width="8.77734375" style="17" customWidth="1"/>
    <col min="4857" max="4857" width="9.77734375" style="17" customWidth="1"/>
    <col min="4858" max="4858" width="14.44140625" style="17" customWidth="1"/>
    <col min="4859" max="4859" width="7.21875" style="17" customWidth="1"/>
    <col min="4860" max="4860" width="5.5546875" style="17" customWidth="1"/>
    <col min="4861" max="4861" width="9" style="17" customWidth="1"/>
    <col min="4862" max="4863" width="9.77734375" style="17" customWidth="1"/>
    <col min="4864" max="4864" width="11.21875" style="17" customWidth="1"/>
    <col min="4865" max="4865" width="2.77734375" style="17" customWidth="1"/>
    <col min="4866" max="4866" width="3.5546875" style="17" customWidth="1"/>
    <col min="4867" max="5111" width="9.21875" style="17"/>
    <col min="5112" max="5112" width="8.77734375" style="17" customWidth="1"/>
    <col min="5113" max="5113" width="9.77734375" style="17" customWidth="1"/>
    <col min="5114" max="5114" width="14.44140625" style="17" customWidth="1"/>
    <col min="5115" max="5115" width="7.21875" style="17" customWidth="1"/>
    <col min="5116" max="5116" width="5.5546875" style="17" customWidth="1"/>
    <col min="5117" max="5117" width="9" style="17" customWidth="1"/>
    <col min="5118" max="5119" width="9.77734375" style="17" customWidth="1"/>
    <col min="5120" max="5120" width="11.21875" style="17" customWidth="1"/>
    <col min="5121" max="5121" width="2.77734375" style="17" customWidth="1"/>
    <col min="5122" max="5122" width="3.5546875" style="17" customWidth="1"/>
    <col min="5123" max="5367" width="9.21875" style="17"/>
    <col min="5368" max="5368" width="8.77734375" style="17" customWidth="1"/>
    <col min="5369" max="5369" width="9.77734375" style="17" customWidth="1"/>
    <col min="5370" max="5370" width="14.44140625" style="17" customWidth="1"/>
    <col min="5371" max="5371" width="7.21875" style="17" customWidth="1"/>
    <col min="5372" max="5372" width="5.5546875" style="17" customWidth="1"/>
    <col min="5373" max="5373" width="9" style="17" customWidth="1"/>
    <col min="5374" max="5375" width="9.77734375" style="17" customWidth="1"/>
    <col min="5376" max="5376" width="11.21875" style="17" customWidth="1"/>
    <col min="5377" max="5377" width="2.77734375" style="17" customWidth="1"/>
    <col min="5378" max="5378" width="3.5546875" style="17" customWidth="1"/>
    <col min="5379" max="5623" width="9.21875" style="17"/>
    <col min="5624" max="5624" width="8.77734375" style="17" customWidth="1"/>
    <col min="5625" max="5625" width="9.77734375" style="17" customWidth="1"/>
    <col min="5626" max="5626" width="14.44140625" style="17" customWidth="1"/>
    <col min="5627" max="5627" width="7.21875" style="17" customWidth="1"/>
    <col min="5628" max="5628" width="5.5546875" style="17" customWidth="1"/>
    <col min="5629" max="5629" width="9" style="17" customWidth="1"/>
    <col min="5630" max="5631" width="9.77734375" style="17" customWidth="1"/>
    <col min="5632" max="5632" width="11.21875" style="17" customWidth="1"/>
    <col min="5633" max="5633" width="2.77734375" style="17" customWidth="1"/>
    <col min="5634" max="5634" width="3.5546875" style="17" customWidth="1"/>
    <col min="5635" max="5879" width="9.21875" style="17"/>
    <col min="5880" max="5880" width="8.77734375" style="17" customWidth="1"/>
    <col min="5881" max="5881" width="9.77734375" style="17" customWidth="1"/>
    <col min="5882" max="5882" width="14.44140625" style="17" customWidth="1"/>
    <col min="5883" max="5883" width="7.21875" style="17" customWidth="1"/>
    <col min="5884" max="5884" width="5.5546875" style="17" customWidth="1"/>
    <col min="5885" max="5885" width="9" style="17" customWidth="1"/>
    <col min="5886" max="5887" width="9.77734375" style="17" customWidth="1"/>
    <col min="5888" max="5888" width="11.21875" style="17" customWidth="1"/>
    <col min="5889" max="5889" width="2.77734375" style="17" customWidth="1"/>
    <col min="5890" max="5890" width="3.5546875" style="17" customWidth="1"/>
    <col min="5891" max="6135" width="9.21875" style="17"/>
    <col min="6136" max="6136" width="8.77734375" style="17" customWidth="1"/>
    <col min="6137" max="6137" width="9.77734375" style="17" customWidth="1"/>
    <col min="6138" max="6138" width="14.44140625" style="17" customWidth="1"/>
    <col min="6139" max="6139" width="7.21875" style="17" customWidth="1"/>
    <col min="6140" max="6140" width="5.5546875" style="17" customWidth="1"/>
    <col min="6141" max="6141" width="9" style="17" customWidth="1"/>
    <col min="6142" max="6143" width="9.77734375" style="17" customWidth="1"/>
    <col min="6144" max="6144" width="11.21875" style="17" customWidth="1"/>
    <col min="6145" max="6145" width="2.77734375" style="17" customWidth="1"/>
    <col min="6146" max="6146" width="3.5546875" style="17" customWidth="1"/>
    <col min="6147" max="6391" width="9.21875" style="17"/>
    <col min="6392" max="6392" width="8.77734375" style="17" customWidth="1"/>
    <col min="6393" max="6393" width="9.77734375" style="17" customWidth="1"/>
    <col min="6394" max="6394" width="14.44140625" style="17" customWidth="1"/>
    <col min="6395" max="6395" width="7.21875" style="17" customWidth="1"/>
    <col min="6396" max="6396" width="5.5546875" style="17" customWidth="1"/>
    <col min="6397" max="6397" width="9" style="17" customWidth="1"/>
    <col min="6398" max="6399" width="9.77734375" style="17" customWidth="1"/>
    <col min="6400" max="6400" width="11.21875" style="17" customWidth="1"/>
    <col min="6401" max="6401" width="2.77734375" style="17" customWidth="1"/>
    <col min="6402" max="6402" width="3.5546875" style="17" customWidth="1"/>
    <col min="6403" max="6647" width="9.21875" style="17"/>
    <col min="6648" max="6648" width="8.77734375" style="17" customWidth="1"/>
    <col min="6649" max="6649" width="9.77734375" style="17" customWidth="1"/>
    <col min="6650" max="6650" width="14.44140625" style="17" customWidth="1"/>
    <col min="6651" max="6651" width="7.21875" style="17" customWidth="1"/>
    <col min="6652" max="6652" width="5.5546875" style="17" customWidth="1"/>
    <col min="6653" max="6653" width="9" style="17" customWidth="1"/>
    <col min="6654" max="6655" width="9.77734375" style="17" customWidth="1"/>
    <col min="6656" max="6656" width="11.21875" style="17" customWidth="1"/>
    <col min="6657" max="6657" width="2.77734375" style="17" customWidth="1"/>
    <col min="6658" max="6658" width="3.5546875" style="17" customWidth="1"/>
    <col min="6659" max="6903" width="9.21875" style="17"/>
    <col min="6904" max="6904" width="8.77734375" style="17" customWidth="1"/>
    <col min="6905" max="6905" width="9.77734375" style="17" customWidth="1"/>
    <col min="6906" max="6906" width="14.44140625" style="17" customWidth="1"/>
    <col min="6907" max="6907" width="7.21875" style="17" customWidth="1"/>
    <col min="6908" max="6908" width="5.5546875" style="17" customWidth="1"/>
    <col min="6909" max="6909" width="9" style="17" customWidth="1"/>
    <col min="6910" max="6911" width="9.77734375" style="17" customWidth="1"/>
    <col min="6912" max="6912" width="11.21875" style="17" customWidth="1"/>
    <col min="6913" max="6913" width="2.77734375" style="17" customWidth="1"/>
    <col min="6914" max="6914" width="3.5546875" style="17" customWidth="1"/>
    <col min="6915" max="7159" width="9.21875" style="17"/>
    <col min="7160" max="7160" width="8.77734375" style="17" customWidth="1"/>
    <col min="7161" max="7161" width="9.77734375" style="17" customWidth="1"/>
    <col min="7162" max="7162" width="14.44140625" style="17" customWidth="1"/>
    <col min="7163" max="7163" width="7.21875" style="17" customWidth="1"/>
    <col min="7164" max="7164" width="5.5546875" style="17" customWidth="1"/>
    <col min="7165" max="7165" width="9" style="17" customWidth="1"/>
    <col min="7166" max="7167" width="9.77734375" style="17" customWidth="1"/>
    <col min="7168" max="7168" width="11.21875" style="17" customWidth="1"/>
    <col min="7169" max="7169" width="2.77734375" style="17" customWidth="1"/>
    <col min="7170" max="7170" width="3.5546875" style="17" customWidth="1"/>
    <col min="7171" max="7415" width="9.21875" style="17"/>
    <col min="7416" max="7416" width="8.77734375" style="17" customWidth="1"/>
    <col min="7417" max="7417" width="9.77734375" style="17" customWidth="1"/>
    <col min="7418" max="7418" width="14.44140625" style="17" customWidth="1"/>
    <col min="7419" max="7419" width="7.21875" style="17" customWidth="1"/>
    <col min="7420" max="7420" width="5.5546875" style="17" customWidth="1"/>
    <col min="7421" max="7421" width="9" style="17" customWidth="1"/>
    <col min="7422" max="7423" width="9.77734375" style="17" customWidth="1"/>
    <col min="7424" max="7424" width="11.21875" style="17" customWidth="1"/>
    <col min="7425" max="7425" width="2.77734375" style="17" customWidth="1"/>
    <col min="7426" max="7426" width="3.5546875" style="17" customWidth="1"/>
    <col min="7427" max="7671" width="9.21875" style="17"/>
    <col min="7672" max="7672" width="8.77734375" style="17" customWidth="1"/>
    <col min="7673" max="7673" width="9.77734375" style="17" customWidth="1"/>
    <col min="7674" max="7674" width="14.44140625" style="17" customWidth="1"/>
    <col min="7675" max="7675" width="7.21875" style="17" customWidth="1"/>
    <col min="7676" max="7676" width="5.5546875" style="17" customWidth="1"/>
    <col min="7677" max="7677" width="9" style="17" customWidth="1"/>
    <col min="7678" max="7679" width="9.77734375" style="17" customWidth="1"/>
    <col min="7680" max="7680" width="11.21875" style="17" customWidth="1"/>
    <col min="7681" max="7681" width="2.77734375" style="17" customWidth="1"/>
    <col min="7682" max="7682" width="3.5546875" style="17" customWidth="1"/>
    <col min="7683" max="7927" width="9.21875" style="17"/>
    <col min="7928" max="7928" width="8.77734375" style="17" customWidth="1"/>
    <col min="7929" max="7929" width="9.77734375" style="17" customWidth="1"/>
    <col min="7930" max="7930" width="14.44140625" style="17" customWidth="1"/>
    <col min="7931" max="7931" width="7.21875" style="17" customWidth="1"/>
    <col min="7932" max="7932" width="5.5546875" style="17" customWidth="1"/>
    <col min="7933" max="7933" width="9" style="17" customWidth="1"/>
    <col min="7934" max="7935" width="9.77734375" style="17" customWidth="1"/>
    <col min="7936" max="7936" width="11.21875" style="17" customWidth="1"/>
    <col min="7937" max="7937" width="2.77734375" style="17" customWidth="1"/>
    <col min="7938" max="7938" width="3.5546875" style="17" customWidth="1"/>
    <col min="7939" max="8183" width="9.21875" style="17"/>
    <col min="8184" max="8184" width="8.77734375" style="17" customWidth="1"/>
    <col min="8185" max="8185" width="9.77734375" style="17" customWidth="1"/>
    <col min="8186" max="8186" width="14.44140625" style="17" customWidth="1"/>
    <col min="8187" max="8187" width="7.21875" style="17" customWidth="1"/>
    <col min="8188" max="8188" width="5.5546875" style="17" customWidth="1"/>
    <col min="8189" max="8189" width="9" style="17" customWidth="1"/>
    <col min="8190" max="8191" width="9.77734375" style="17" customWidth="1"/>
    <col min="8192" max="8192" width="11.21875" style="17" customWidth="1"/>
    <col min="8193" max="8193" width="2.77734375" style="17" customWidth="1"/>
    <col min="8194" max="8194" width="3.5546875" style="17" customWidth="1"/>
    <col min="8195" max="8439" width="9.21875" style="17"/>
    <col min="8440" max="8440" width="8.77734375" style="17" customWidth="1"/>
    <col min="8441" max="8441" width="9.77734375" style="17" customWidth="1"/>
    <col min="8442" max="8442" width="14.44140625" style="17" customWidth="1"/>
    <col min="8443" max="8443" width="7.21875" style="17" customWidth="1"/>
    <col min="8444" max="8444" width="5.5546875" style="17" customWidth="1"/>
    <col min="8445" max="8445" width="9" style="17" customWidth="1"/>
    <col min="8446" max="8447" width="9.77734375" style="17" customWidth="1"/>
    <col min="8448" max="8448" width="11.21875" style="17" customWidth="1"/>
    <col min="8449" max="8449" width="2.77734375" style="17" customWidth="1"/>
    <col min="8450" max="8450" width="3.5546875" style="17" customWidth="1"/>
    <col min="8451" max="8695" width="9.21875" style="17"/>
    <col min="8696" max="8696" width="8.77734375" style="17" customWidth="1"/>
    <col min="8697" max="8697" width="9.77734375" style="17" customWidth="1"/>
    <col min="8698" max="8698" width="14.44140625" style="17" customWidth="1"/>
    <col min="8699" max="8699" width="7.21875" style="17" customWidth="1"/>
    <col min="8700" max="8700" width="5.5546875" style="17" customWidth="1"/>
    <col min="8701" max="8701" width="9" style="17" customWidth="1"/>
    <col min="8702" max="8703" width="9.77734375" style="17" customWidth="1"/>
    <col min="8704" max="8704" width="11.21875" style="17" customWidth="1"/>
    <col min="8705" max="8705" width="2.77734375" style="17" customWidth="1"/>
    <col min="8706" max="8706" width="3.5546875" style="17" customWidth="1"/>
    <col min="8707" max="8951" width="9.21875" style="17"/>
    <col min="8952" max="8952" width="8.77734375" style="17" customWidth="1"/>
    <col min="8953" max="8953" width="9.77734375" style="17" customWidth="1"/>
    <col min="8954" max="8954" width="14.44140625" style="17" customWidth="1"/>
    <col min="8955" max="8955" width="7.21875" style="17" customWidth="1"/>
    <col min="8956" max="8956" width="5.5546875" style="17" customWidth="1"/>
    <col min="8957" max="8957" width="9" style="17" customWidth="1"/>
    <col min="8958" max="8959" width="9.77734375" style="17" customWidth="1"/>
    <col min="8960" max="8960" width="11.21875" style="17" customWidth="1"/>
    <col min="8961" max="8961" width="2.77734375" style="17" customWidth="1"/>
    <col min="8962" max="8962" width="3.5546875" style="17" customWidth="1"/>
    <col min="8963" max="9207" width="9.21875" style="17"/>
    <col min="9208" max="9208" width="8.77734375" style="17" customWidth="1"/>
    <col min="9209" max="9209" width="9.77734375" style="17" customWidth="1"/>
    <col min="9210" max="9210" width="14.44140625" style="17" customWidth="1"/>
    <col min="9211" max="9211" width="7.21875" style="17" customWidth="1"/>
    <col min="9212" max="9212" width="5.5546875" style="17" customWidth="1"/>
    <col min="9213" max="9213" width="9" style="17" customWidth="1"/>
    <col min="9214" max="9215" width="9.77734375" style="17" customWidth="1"/>
    <col min="9216" max="9216" width="11.21875" style="17" customWidth="1"/>
    <col min="9217" max="9217" width="2.77734375" style="17" customWidth="1"/>
    <col min="9218" max="9218" width="3.5546875" style="17" customWidth="1"/>
    <col min="9219" max="9463" width="9.21875" style="17"/>
    <col min="9464" max="9464" width="8.77734375" style="17" customWidth="1"/>
    <col min="9465" max="9465" width="9.77734375" style="17" customWidth="1"/>
    <col min="9466" max="9466" width="14.44140625" style="17" customWidth="1"/>
    <col min="9467" max="9467" width="7.21875" style="17" customWidth="1"/>
    <col min="9468" max="9468" width="5.5546875" style="17" customWidth="1"/>
    <col min="9469" max="9469" width="9" style="17" customWidth="1"/>
    <col min="9470" max="9471" width="9.77734375" style="17" customWidth="1"/>
    <col min="9472" max="9472" width="11.21875" style="17" customWidth="1"/>
    <col min="9473" max="9473" width="2.77734375" style="17" customWidth="1"/>
    <col min="9474" max="9474" width="3.5546875" style="17" customWidth="1"/>
    <col min="9475" max="9719" width="9.21875" style="17"/>
    <col min="9720" max="9720" width="8.77734375" style="17" customWidth="1"/>
    <col min="9721" max="9721" width="9.77734375" style="17" customWidth="1"/>
    <col min="9722" max="9722" width="14.44140625" style="17" customWidth="1"/>
    <col min="9723" max="9723" width="7.21875" style="17" customWidth="1"/>
    <col min="9724" max="9724" width="5.5546875" style="17" customWidth="1"/>
    <col min="9725" max="9725" width="9" style="17" customWidth="1"/>
    <col min="9726" max="9727" width="9.77734375" style="17" customWidth="1"/>
    <col min="9728" max="9728" width="11.21875" style="17" customWidth="1"/>
    <col min="9729" max="9729" width="2.77734375" style="17" customWidth="1"/>
    <col min="9730" max="9730" width="3.5546875" style="17" customWidth="1"/>
    <col min="9731" max="9975" width="9.21875" style="17"/>
    <col min="9976" max="9976" width="8.77734375" style="17" customWidth="1"/>
    <col min="9977" max="9977" width="9.77734375" style="17" customWidth="1"/>
    <col min="9978" max="9978" width="14.44140625" style="17" customWidth="1"/>
    <col min="9979" max="9979" width="7.21875" style="17" customWidth="1"/>
    <col min="9980" max="9980" width="5.5546875" style="17" customWidth="1"/>
    <col min="9981" max="9981" width="9" style="17" customWidth="1"/>
    <col min="9982" max="9983" width="9.77734375" style="17" customWidth="1"/>
    <col min="9984" max="9984" width="11.21875" style="17" customWidth="1"/>
    <col min="9985" max="9985" width="2.77734375" style="17" customWidth="1"/>
    <col min="9986" max="9986" width="3.5546875" style="17" customWidth="1"/>
    <col min="9987" max="10231" width="9.21875" style="17"/>
    <col min="10232" max="10232" width="8.77734375" style="17" customWidth="1"/>
    <col min="10233" max="10233" width="9.77734375" style="17" customWidth="1"/>
    <col min="10234" max="10234" width="14.44140625" style="17" customWidth="1"/>
    <col min="10235" max="10235" width="7.21875" style="17" customWidth="1"/>
    <col min="10236" max="10236" width="5.5546875" style="17" customWidth="1"/>
    <col min="10237" max="10237" width="9" style="17" customWidth="1"/>
    <col min="10238" max="10239" width="9.77734375" style="17" customWidth="1"/>
    <col min="10240" max="10240" width="11.21875" style="17" customWidth="1"/>
    <col min="10241" max="10241" width="2.77734375" style="17" customWidth="1"/>
    <col min="10242" max="10242" width="3.5546875" style="17" customWidth="1"/>
    <col min="10243" max="10487" width="9.21875" style="17"/>
    <col min="10488" max="10488" width="8.77734375" style="17" customWidth="1"/>
    <col min="10489" max="10489" width="9.77734375" style="17" customWidth="1"/>
    <col min="10490" max="10490" width="14.44140625" style="17" customWidth="1"/>
    <col min="10491" max="10491" width="7.21875" style="17" customWidth="1"/>
    <col min="10492" max="10492" width="5.5546875" style="17" customWidth="1"/>
    <col min="10493" max="10493" width="9" style="17" customWidth="1"/>
    <col min="10494" max="10495" width="9.77734375" style="17" customWidth="1"/>
    <col min="10496" max="10496" width="11.21875" style="17" customWidth="1"/>
    <col min="10497" max="10497" width="2.77734375" style="17" customWidth="1"/>
    <col min="10498" max="10498" width="3.5546875" style="17" customWidth="1"/>
    <col min="10499" max="10743" width="9.21875" style="17"/>
    <col min="10744" max="10744" width="8.77734375" style="17" customWidth="1"/>
    <col min="10745" max="10745" width="9.77734375" style="17" customWidth="1"/>
    <col min="10746" max="10746" width="14.44140625" style="17" customWidth="1"/>
    <col min="10747" max="10747" width="7.21875" style="17" customWidth="1"/>
    <col min="10748" max="10748" width="5.5546875" style="17" customWidth="1"/>
    <col min="10749" max="10749" width="9" style="17" customWidth="1"/>
    <col min="10750" max="10751" width="9.77734375" style="17" customWidth="1"/>
    <col min="10752" max="10752" width="11.21875" style="17" customWidth="1"/>
    <col min="10753" max="10753" width="2.77734375" style="17" customWidth="1"/>
    <col min="10754" max="10754" width="3.5546875" style="17" customWidth="1"/>
    <col min="10755" max="10999" width="9.21875" style="17"/>
    <col min="11000" max="11000" width="8.77734375" style="17" customWidth="1"/>
    <col min="11001" max="11001" width="9.77734375" style="17" customWidth="1"/>
    <col min="11002" max="11002" width="14.44140625" style="17" customWidth="1"/>
    <col min="11003" max="11003" width="7.21875" style="17" customWidth="1"/>
    <col min="11004" max="11004" width="5.5546875" style="17" customWidth="1"/>
    <col min="11005" max="11005" width="9" style="17" customWidth="1"/>
    <col min="11006" max="11007" width="9.77734375" style="17" customWidth="1"/>
    <col min="11008" max="11008" width="11.21875" style="17" customWidth="1"/>
    <col min="11009" max="11009" width="2.77734375" style="17" customWidth="1"/>
    <col min="11010" max="11010" width="3.5546875" style="17" customWidth="1"/>
    <col min="11011" max="11255" width="9.21875" style="17"/>
    <col min="11256" max="11256" width="8.77734375" style="17" customWidth="1"/>
    <col min="11257" max="11257" width="9.77734375" style="17" customWidth="1"/>
    <col min="11258" max="11258" width="14.44140625" style="17" customWidth="1"/>
    <col min="11259" max="11259" width="7.21875" style="17" customWidth="1"/>
    <col min="11260" max="11260" width="5.5546875" style="17" customWidth="1"/>
    <col min="11261" max="11261" width="9" style="17" customWidth="1"/>
    <col min="11262" max="11263" width="9.77734375" style="17" customWidth="1"/>
    <col min="11264" max="11264" width="11.21875" style="17" customWidth="1"/>
    <col min="11265" max="11265" width="2.77734375" style="17" customWidth="1"/>
    <col min="11266" max="11266" width="3.5546875" style="17" customWidth="1"/>
    <col min="11267" max="11511" width="9.21875" style="17"/>
    <col min="11512" max="11512" width="8.77734375" style="17" customWidth="1"/>
    <col min="11513" max="11513" width="9.77734375" style="17" customWidth="1"/>
    <col min="11514" max="11514" width="14.44140625" style="17" customWidth="1"/>
    <col min="11515" max="11515" width="7.21875" style="17" customWidth="1"/>
    <col min="11516" max="11516" width="5.5546875" style="17" customWidth="1"/>
    <col min="11517" max="11517" width="9" style="17" customWidth="1"/>
    <col min="11518" max="11519" width="9.77734375" style="17" customWidth="1"/>
    <col min="11520" max="11520" width="11.21875" style="17" customWidth="1"/>
    <col min="11521" max="11521" width="2.77734375" style="17" customWidth="1"/>
    <col min="11522" max="11522" width="3.5546875" style="17" customWidth="1"/>
    <col min="11523" max="11767" width="9.21875" style="17"/>
    <col min="11768" max="11768" width="8.77734375" style="17" customWidth="1"/>
    <col min="11769" max="11769" width="9.77734375" style="17" customWidth="1"/>
    <col min="11770" max="11770" width="14.44140625" style="17" customWidth="1"/>
    <col min="11771" max="11771" width="7.21875" style="17" customWidth="1"/>
    <col min="11772" max="11772" width="5.5546875" style="17" customWidth="1"/>
    <col min="11773" max="11773" width="9" style="17" customWidth="1"/>
    <col min="11774" max="11775" width="9.77734375" style="17" customWidth="1"/>
    <col min="11776" max="11776" width="11.21875" style="17" customWidth="1"/>
    <col min="11777" max="11777" width="2.77734375" style="17" customWidth="1"/>
    <col min="11778" max="11778" width="3.5546875" style="17" customWidth="1"/>
    <col min="11779" max="12023" width="9.21875" style="17"/>
    <col min="12024" max="12024" width="8.77734375" style="17" customWidth="1"/>
    <col min="12025" max="12025" width="9.77734375" style="17" customWidth="1"/>
    <col min="12026" max="12026" width="14.44140625" style="17" customWidth="1"/>
    <col min="12027" max="12027" width="7.21875" style="17" customWidth="1"/>
    <col min="12028" max="12028" width="5.5546875" style="17" customWidth="1"/>
    <col min="12029" max="12029" width="9" style="17" customWidth="1"/>
    <col min="12030" max="12031" width="9.77734375" style="17" customWidth="1"/>
    <col min="12032" max="12032" width="11.21875" style="17" customWidth="1"/>
    <col min="12033" max="12033" width="2.77734375" style="17" customWidth="1"/>
    <col min="12034" max="12034" width="3.5546875" style="17" customWidth="1"/>
    <col min="12035" max="12279" width="9.21875" style="17"/>
    <col min="12280" max="12280" width="8.77734375" style="17" customWidth="1"/>
    <col min="12281" max="12281" width="9.77734375" style="17" customWidth="1"/>
    <col min="12282" max="12282" width="14.44140625" style="17" customWidth="1"/>
    <col min="12283" max="12283" width="7.21875" style="17" customWidth="1"/>
    <col min="12284" max="12284" width="5.5546875" style="17" customWidth="1"/>
    <col min="12285" max="12285" width="9" style="17" customWidth="1"/>
    <col min="12286" max="12287" width="9.77734375" style="17" customWidth="1"/>
    <col min="12288" max="12288" width="11.21875" style="17" customWidth="1"/>
    <col min="12289" max="12289" width="2.77734375" style="17" customWidth="1"/>
    <col min="12290" max="12290" width="3.5546875" style="17" customWidth="1"/>
    <col min="12291" max="12535" width="9.21875" style="17"/>
    <col min="12536" max="12536" width="8.77734375" style="17" customWidth="1"/>
    <col min="12537" max="12537" width="9.77734375" style="17" customWidth="1"/>
    <col min="12538" max="12538" width="14.44140625" style="17" customWidth="1"/>
    <col min="12539" max="12539" width="7.21875" style="17" customWidth="1"/>
    <col min="12540" max="12540" width="5.5546875" style="17" customWidth="1"/>
    <col min="12541" max="12541" width="9" style="17" customWidth="1"/>
    <col min="12542" max="12543" width="9.77734375" style="17" customWidth="1"/>
    <col min="12544" max="12544" width="11.21875" style="17" customWidth="1"/>
    <col min="12545" max="12545" width="2.77734375" style="17" customWidth="1"/>
    <col min="12546" max="12546" width="3.5546875" style="17" customWidth="1"/>
    <col min="12547" max="12791" width="9.21875" style="17"/>
    <col min="12792" max="12792" width="8.77734375" style="17" customWidth="1"/>
    <col min="12793" max="12793" width="9.77734375" style="17" customWidth="1"/>
    <col min="12794" max="12794" width="14.44140625" style="17" customWidth="1"/>
    <col min="12795" max="12795" width="7.21875" style="17" customWidth="1"/>
    <col min="12796" max="12796" width="5.5546875" style="17" customWidth="1"/>
    <col min="12797" max="12797" width="9" style="17" customWidth="1"/>
    <col min="12798" max="12799" width="9.77734375" style="17" customWidth="1"/>
    <col min="12800" max="12800" width="11.21875" style="17" customWidth="1"/>
    <col min="12801" max="12801" width="2.77734375" style="17" customWidth="1"/>
    <col min="12802" max="12802" width="3.5546875" style="17" customWidth="1"/>
    <col min="12803" max="13047" width="9.21875" style="17"/>
    <col min="13048" max="13048" width="8.77734375" style="17" customWidth="1"/>
    <col min="13049" max="13049" width="9.77734375" style="17" customWidth="1"/>
    <col min="13050" max="13050" width="14.44140625" style="17" customWidth="1"/>
    <col min="13051" max="13051" width="7.21875" style="17" customWidth="1"/>
    <col min="13052" max="13052" width="5.5546875" style="17" customWidth="1"/>
    <col min="13053" max="13053" width="9" style="17" customWidth="1"/>
    <col min="13054" max="13055" width="9.77734375" style="17" customWidth="1"/>
    <col min="13056" max="13056" width="11.21875" style="17" customWidth="1"/>
    <col min="13057" max="13057" width="2.77734375" style="17" customWidth="1"/>
    <col min="13058" max="13058" width="3.5546875" style="17" customWidth="1"/>
    <col min="13059" max="13303" width="9.21875" style="17"/>
    <col min="13304" max="13304" width="8.77734375" style="17" customWidth="1"/>
    <col min="13305" max="13305" width="9.77734375" style="17" customWidth="1"/>
    <col min="13306" max="13306" width="14.44140625" style="17" customWidth="1"/>
    <col min="13307" max="13307" width="7.21875" style="17" customWidth="1"/>
    <col min="13308" max="13308" width="5.5546875" style="17" customWidth="1"/>
    <col min="13309" max="13309" width="9" style="17" customWidth="1"/>
    <col min="13310" max="13311" width="9.77734375" style="17" customWidth="1"/>
    <col min="13312" max="13312" width="11.21875" style="17" customWidth="1"/>
    <col min="13313" max="13313" width="2.77734375" style="17" customWidth="1"/>
    <col min="13314" max="13314" width="3.5546875" style="17" customWidth="1"/>
    <col min="13315" max="13559" width="9.21875" style="17"/>
    <col min="13560" max="13560" width="8.77734375" style="17" customWidth="1"/>
    <col min="13561" max="13561" width="9.77734375" style="17" customWidth="1"/>
    <col min="13562" max="13562" width="14.44140625" style="17" customWidth="1"/>
    <col min="13563" max="13563" width="7.21875" style="17" customWidth="1"/>
    <col min="13564" max="13564" width="5.5546875" style="17" customWidth="1"/>
    <col min="13565" max="13565" width="9" style="17" customWidth="1"/>
    <col min="13566" max="13567" width="9.77734375" style="17" customWidth="1"/>
    <col min="13568" max="13568" width="11.21875" style="17" customWidth="1"/>
    <col min="13569" max="13569" width="2.77734375" style="17" customWidth="1"/>
    <col min="13570" max="13570" width="3.5546875" style="17" customWidth="1"/>
    <col min="13571" max="13815" width="9.21875" style="17"/>
    <col min="13816" max="13816" width="8.77734375" style="17" customWidth="1"/>
    <col min="13817" max="13817" width="9.77734375" style="17" customWidth="1"/>
    <col min="13818" max="13818" width="14.44140625" style="17" customWidth="1"/>
    <col min="13819" max="13819" width="7.21875" style="17" customWidth="1"/>
    <col min="13820" max="13820" width="5.5546875" style="17" customWidth="1"/>
    <col min="13821" max="13821" width="9" style="17" customWidth="1"/>
    <col min="13822" max="13823" width="9.77734375" style="17" customWidth="1"/>
    <col min="13824" max="13824" width="11.21875" style="17" customWidth="1"/>
    <col min="13825" max="13825" width="2.77734375" style="17" customWidth="1"/>
    <col min="13826" max="13826" width="3.5546875" style="17" customWidth="1"/>
    <col min="13827" max="14071" width="9.21875" style="17"/>
    <col min="14072" max="14072" width="8.77734375" style="17" customWidth="1"/>
    <col min="14073" max="14073" width="9.77734375" style="17" customWidth="1"/>
    <col min="14074" max="14074" width="14.44140625" style="17" customWidth="1"/>
    <col min="14075" max="14075" width="7.21875" style="17" customWidth="1"/>
    <col min="14076" max="14076" width="5.5546875" style="17" customWidth="1"/>
    <col min="14077" max="14077" width="9" style="17" customWidth="1"/>
    <col min="14078" max="14079" width="9.77734375" style="17" customWidth="1"/>
    <col min="14080" max="14080" width="11.21875" style="17" customWidth="1"/>
    <col min="14081" max="14081" width="2.77734375" style="17" customWidth="1"/>
    <col min="14082" max="14082" width="3.5546875" style="17" customWidth="1"/>
    <col min="14083" max="14327" width="9.21875" style="17"/>
    <col min="14328" max="14328" width="8.77734375" style="17" customWidth="1"/>
    <col min="14329" max="14329" width="9.77734375" style="17" customWidth="1"/>
    <col min="14330" max="14330" width="14.44140625" style="17" customWidth="1"/>
    <col min="14331" max="14331" width="7.21875" style="17" customWidth="1"/>
    <col min="14332" max="14332" width="5.5546875" style="17" customWidth="1"/>
    <col min="14333" max="14333" width="9" style="17" customWidth="1"/>
    <col min="14334" max="14335" width="9.77734375" style="17" customWidth="1"/>
    <col min="14336" max="14336" width="11.21875" style="17" customWidth="1"/>
    <col min="14337" max="14337" width="2.77734375" style="17" customWidth="1"/>
    <col min="14338" max="14338" width="3.5546875" style="17" customWidth="1"/>
    <col min="14339" max="14583" width="9.21875" style="17"/>
    <col min="14584" max="14584" width="8.77734375" style="17" customWidth="1"/>
    <col min="14585" max="14585" width="9.77734375" style="17" customWidth="1"/>
    <col min="14586" max="14586" width="14.44140625" style="17" customWidth="1"/>
    <col min="14587" max="14587" width="7.21875" style="17" customWidth="1"/>
    <col min="14588" max="14588" width="5.5546875" style="17" customWidth="1"/>
    <col min="14589" max="14589" width="9" style="17" customWidth="1"/>
    <col min="14590" max="14591" width="9.77734375" style="17" customWidth="1"/>
    <col min="14592" max="14592" width="11.21875" style="17" customWidth="1"/>
    <col min="14593" max="14593" width="2.77734375" style="17" customWidth="1"/>
    <col min="14594" max="14594" width="3.5546875" style="17" customWidth="1"/>
    <col min="14595" max="14839" width="9.21875" style="17"/>
    <col min="14840" max="14840" width="8.77734375" style="17" customWidth="1"/>
    <col min="14841" max="14841" width="9.77734375" style="17" customWidth="1"/>
    <col min="14842" max="14842" width="14.44140625" style="17" customWidth="1"/>
    <col min="14843" max="14843" width="7.21875" style="17" customWidth="1"/>
    <col min="14844" max="14844" width="5.5546875" style="17" customWidth="1"/>
    <col min="14845" max="14845" width="9" style="17" customWidth="1"/>
    <col min="14846" max="14847" width="9.77734375" style="17" customWidth="1"/>
    <col min="14848" max="14848" width="11.21875" style="17" customWidth="1"/>
    <col min="14849" max="14849" width="2.77734375" style="17" customWidth="1"/>
    <col min="14850" max="14850" width="3.5546875" style="17" customWidth="1"/>
    <col min="14851" max="15095" width="9.21875" style="17"/>
    <col min="15096" max="15096" width="8.77734375" style="17" customWidth="1"/>
    <col min="15097" max="15097" width="9.77734375" style="17" customWidth="1"/>
    <col min="15098" max="15098" width="14.44140625" style="17" customWidth="1"/>
    <col min="15099" max="15099" width="7.21875" style="17" customWidth="1"/>
    <col min="15100" max="15100" width="5.5546875" style="17" customWidth="1"/>
    <col min="15101" max="15101" width="9" style="17" customWidth="1"/>
    <col min="15102" max="15103" width="9.77734375" style="17" customWidth="1"/>
    <col min="15104" max="15104" width="11.21875" style="17" customWidth="1"/>
    <col min="15105" max="15105" width="2.77734375" style="17" customWidth="1"/>
    <col min="15106" max="15106" width="3.5546875" style="17" customWidth="1"/>
    <col min="15107" max="15351" width="9.21875" style="17"/>
    <col min="15352" max="15352" width="8.77734375" style="17" customWidth="1"/>
    <col min="15353" max="15353" width="9.77734375" style="17" customWidth="1"/>
    <col min="15354" max="15354" width="14.44140625" style="17" customWidth="1"/>
    <col min="15355" max="15355" width="7.21875" style="17" customWidth="1"/>
    <col min="15356" max="15356" width="5.5546875" style="17" customWidth="1"/>
    <col min="15357" max="15357" width="9" style="17" customWidth="1"/>
    <col min="15358" max="15359" width="9.77734375" style="17" customWidth="1"/>
    <col min="15360" max="15360" width="11.21875" style="17" customWidth="1"/>
    <col min="15361" max="15361" width="2.77734375" style="17" customWidth="1"/>
    <col min="15362" max="15362" width="3.5546875" style="17" customWidth="1"/>
    <col min="15363" max="15607" width="9.21875" style="17"/>
    <col min="15608" max="15608" width="8.77734375" style="17" customWidth="1"/>
    <col min="15609" max="15609" width="9.77734375" style="17" customWidth="1"/>
    <col min="15610" max="15610" width="14.44140625" style="17" customWidth="1"/>
    <col min="15611" max="15611" width="7.21875" style="17" customWidth="1"/>
    <col min="15612" max="15612" width="5.5546875" style="17" customWidth="1"/>
    <col min="15613" max="15613" width="9" style="17" customWidth="1"/>
    <col min="15614" max="15615" width="9.77734375" style="17" customWidth="1"/>
    <col min="15616" max="15616" width="11.21875" style="17" customWidth="1"/>
    <col min="15617" max="15617" width="2.77734375" style="17" customWidth="1"/>
    <col min="15618" max="15618" width="3.5546875" style="17" customWidth="1"/>
    <col min="15619" max="15863" width="9.21875" style="17"/>
    <col min="15864" max="15864" width="8.77734375" style="17" customWidth="1"/>
    <col min="15865" max="15865" width="9.77734375" style="17" customWidth="1"/>
    <col min="15866" max="15866" width="14.44140625" style="17" customWidth="1"/>
    <col min="15867" max="15867" width="7.21875" style="17" customWidth="1"/>
    <col min="15868" max="15868" width="5.5546875" style="17" customWidth="1"/>
    <col min="15869" max="15869" width="9" style="17" customWidth="1"/>
    <col min="15870" max="15871" width="9.77734375" style="17" customWidth="1"/>
    <col min="15872" max="15872" width="11.21875" style="17" customWidth="1"/>
    <col min="15873" max="15873" width="2.77734375" style="17" customWidth="1"/>
    <col min="15874" max="15874" width="3.5546875" style="17" customWidth="1"/>
    <col min="15875" max="16119" width="9.21875" style="17"/>
    <col min="16120" max="16120" width="8.77734375" style="17" customWidth="1"/>
    <col min="16121" max="16121" width="9.77734375" style="17" customWidth="1"/>
    <col min="16122" max="16122" width="14.44140625" style="17" customWidth="1"/>
    <col min="16123" max="16123" width="7.21875" style="17" customWidth="1"/>
    <col min="16124" max="16124" width="5.5546875" style="17" customWidth="1"/>
    <col min="16125" max="16125" width="9" style="17" customWidth="1"/>
    <col min="16126" max="16127" width="9.77734375" style="17" customWidth="1"/>
    <col min="16128" max="16128" width="11.21875" style="17" customWidth="1"/>
    <col min="16129" max="16129" width="2.77734375" style="17" customWidth="1"/>
    <col min="16130" max="16130" width="3.5546875" style="17" customWidth="1"/>
    <col min="16131" max="16384" width="9.21875" style="17"/>
  </cols>
  <sheetData>
    <row r="1" spans="1:12" ht="46.5" customHeight="1" x14ac:dyDescent="0.3">
      <c r="A1" s="202" t="s">
        <v>287</v>
      </c>
      <c r="B1" s="202"/>
      <c r="C1" s="202"/>
      <c r="D1" s="202"/>
      <c r="E1" s="202"/>
      <c r="F1" s="202"/>
      <c r="G1" s="202"/>
      <c r="H1" s="202"/>
    </row>
    <row r="2" spans="1:12" ht="16.5" customHeight="1" x14ac:dyDescent="0.3">
      <c r="A2" s="125" t="s">
        <v>0</v>
      </c>
      <c r="B2" s="125"/>
      <c r="C2" s="125"/>
      <c r="D2" s="125"/>
      <c r="E2" s="125"/>
      <c r="F2" s="125"/>
      <c r="G2" s="125"/>
      <c r="H2" s="125"/>
    </row>
    <row r="3" spans="1:12" x14ac:dyDescent="0.3">
      <c r="A3" s="180" t="s">
        <v>1</v>
      </c>
      <c r="B3" s="180"/>
      <c r="C3" s="180"/>
      <c r="D3" s="180"/>
      <c r="E3" s="180" t="str">
        <f ca="1">TEXT(TODAY(),"DD/MM/YYYY")</f>
        <v>21/08/2025</v>
      </c>
      <c r="F3" s="180"/>
      <c r="G3" s="180"/>
      <c r="H3" s="180"/>
    </row>
    <row r="4" spans="1:12" ht="15" customHeight="1" x14ac:dyDescent="0.3">
      <c r="A4" s="180" t="s">
        <v>2</v>
      </c>
      <c r="B4" s="180"/>
      <c r="C4" s="180"/>
      <c r="D4" s="180"/>
      <c r="E4" s="180" t="s">
        <v>193</v>
      </c>
      <c r="F4" s="180"/>
      <c r="G4" s="180"/>
      <c r="H4" s="180"/>
    </row>
    <row r="5" spans="1:12" x14ac:dyDescent="0.3">
      <c r="A5" s="180" t="s">
        <v>3</v>
      </c>
      <c r="B5" s="180"/>
      <c r="C5" s="180"/>
      <c r="D5" s="180"/>
      <c r="E5" s="200">
        <v>45889</v>
      </c>
      <c r="F5" s="201"/>
      <c r="G5" s="201"/>
      <c r="H5" s="201"/>
    </row>
    <row r="6" spans="1:12" ht="16.5" customHeight="1" x14ac:dyDescent="0.3">
      <c r="A6" s="180" t="s">
        <v>4</v>
      </c>
      <c r="B6" s="180"/>
      <c r="C6" s="180"/>
      <c r="D6" s="180"/>
      <c r="E6" s="180" t="s">
        <v>194</v>
      </c>
      <c r="F6" s="180"/>
      <c r="G6" s="180"/>
      <c r="H6" s="180"/>
    </row>
    <row r="7" spans="1:12" ht="15" customHeight="1" x14ac:dyDescent="0.3">
      <c r="A7" s="180" t="s">
        <v>5</v>
      </c>
      <c r="B7" s="180"/>
      <c r="C7" s="180"/>
      <c r="D7" s="180"/>
      <c r="E7" s="180" t="str">
        <f>E6</f>
        <v>M/s. Incline Realty Private Limited</v>
      </c>
      <c r="F7" s="180"/>
      <c r="G7" s="180"/>
      <c r="H7" s="180"/>
    </row>
    <row r="8" spans="1:12" x14ac:dyDescent="0.3">
      <c r="A8" s="180" t="s">
        <v>6</v>
      </c>
      <c r="B8" s="180"/>
      <c r="C8" s="180"/>
      <c r="D8" s="180"/>
      <c r="E8" s="151" t="s">
        <v>195</v>
      </c>
      <c r="F8" s="151"/>
      <c r="G8" s="151"/>
      <c r="H8" s="151"/>
    </row>
    <row r="9" spans="1:12" x14ac:dyDescent="0.3">
      <c r="A9" s="180" t="s">
        <v>122</v>
      </c>
      <c r="B9" s="180"/>
      <c r="C9" s="180"/>
      <c r="D9" s="180"/>
      <c r="E9" s="180" t="s">
        <v>295</v>
      </c>
      <c r="F9" s="180"/>
      <c r="G9" s="180"/>
      <c r="H9" s="180"/>
    </row>
    <row r="10" spans="1:12" x14ac:dyDescent="0.3">
      <c r="A10" s="180" t="s">
        <v>288</v>
      </c>
      <c r="B10" s="180"/>
      <c r="C10" s="180"/>
      <c r="D10" s="180"/>
      <c r="E10" s="180" t="s">
        <v>306</v>
      </c>
      <c r="F10" s="180"/>
      <c r="G10" s="180"/>
      <c r="H10" s="180"/>
      <c r="I10" s="180" t="s">
        <v>297</v>
      </c>
      <c r="J10" s="180"/>
      <c r="K10" s="180"/>
      <c r="L10" s="180"/>
    </row>
    <row r="11" spans="1:12" x14ac:dyDescent="0.3">
      <c r="A11" s="180" t="s">
        <v>7</v>
      </c>
      <c r="B11" s="180"/>
      <c r="C11" s="180"/>
      <c r="D11" s="180"/>
      <c r="E11" s="180" t="s">
        <v>204</v>
      </c>
      <c r="F11" s="180"/>
      <c r="G11" s="180"/>
      <c r="H11" s="180"/>
    </row>
    <row r="12" spans="1:12" x14ac:dyDescent="0.3">
      <c r="A12" s="180" t="s">
        <v>8</v>
      </c>
      <c r="B12" s="180"/>
      <c r="C12" s="180"/>
      <c r="D12" s="180"/>
      <c r="E12" s="185" t="s">
        <v>196</v>
      </c>
      <c r="F12" s="185"/>
      <c r="G12" s="185"/>
      <c r="H12" s="185"/>
    </row>
    <row r="13" spans="1:12" ht="81" customHeight="1" x14ac:dyDescent="0.3">
      <c r="A13" s="180" t="s">
        <v>9</v>
      </c>
      <c r="B13" s="180"/>
      <c r="C13" s="180"/>
      <c r="D13" s="180"/>
      <c r="E13" s="185" t="s">
        <v>266</v>
      </c>
      <c r="F13" s="180"/>
      <c r="G13" s="180"/>
      <c r="H13" s="180"/>
    </row>
    <row r="14" spans="1:12" ht="48.75" customHeight="1" x14ac:dyDescent="0.3">
      <c r="A14" s="185" t="s">
        <v>10</v>
      </c>
      <c r="B14" s="185"/>
      <c r="C14" s="18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Skycity (Ten Towers), CTS No..107/E, 141, 142, 155 &amp; 155/1 to 12, near Datta Park, Western Express Highway, Borivali , Megathane, Borivali East, Borivali , Mumbai - 400066.</v>
      </c>
      <c r="D14" s="185"/>
      <c r="E14" s="185"/>
      <c r="F14" s="185"/>
      <c r="G14" s="185"/>
      <c r="H14" s="185"/>
    </row>
    <row r="15" spans="1:12" x14ac:dyDescent="0.3">
      <c r="A15" s="185" t="s">
        <v>198</v>
      </c>
      <c r="B15" s="185"/>
      <c r="C15" s="185" t="s">
        <v>197</v>
      </c>
      <c r="D15" s="185"/>
      <c r="E15" s="185"/>
      <c r="F15" s="185"/>
      <c r="G15" s="185"/>
      <c r="H15" s="185"/>
    </row>
    <row r="16" spans="1:12" ht="15.75" customHeight="1" x14ac:dyDescent="0.3">
      <c r="A16" s="197" t="s">
        <v>167</v>
      </c>
      <c r="B16" s="198"/>
      <c r="C16" s="197" t="s">
        <v>201</v>
      </c>
      <c r="D16" s="199"/>
      <c r="E16" s="199"/>
      <c r="F16" s="199"/>
      <c r="G16" s="199"/>
      <c r="H16" s="198"/>
    </row>
    <row r="17" spans="1:8" ht="15.75" customHeight="1" x14ac:dyDescent="0.3">
      <c r="A17" s="185" t="s">
        <v>11</v>
      </c>
      <c r="B17" s="185"/>
      <c r="C17" s="180" t="s">
        <v>200</v>
      </c>
      <c r="D17" s="180"/>
      <c r="E17" s="185" t="s">
        <v>168</v>
      </c>
      <c r="F17" s="185"/>
      <c r="G17" s="185" t="s">
        <v>205</v>
      </c>
      <c r="H17" s="185"/>
    </row>
    <row r="18" spans="1:8" x14ac:dyDescent="0.3">
      <c r="A18" s="140" t="s">
        <v>13</v>
      </c>
      <c r="B18" s="140"/>
      <c r="C18" s="185" t="s">
        <v>199</v>
      </c>
      <c r="D18" s="185"/>
      <c r="E18" s="184" t="s">
        <v>12</v>
      </c>
      <c r="F18" s="184"/>
      <c r="G18" s="196" t="s">
        <v>202</v>
      </c>
      <c r="H18" s="196"/>
    </row>
    <row r="19" spans="1:8" x14ac:dyDescent="0.3">
      <c r="A19" s="140" t="s">
        <v>73</v>
      </c>
      <c r="B19" s="140"/>
      <c r="C19" s="185" t="s">
        <v>201</v>
      </c>
      <c r="D19" s="185"/>
      <c r="E19" s="184" t="s">
        <v>14</v>
      </c>
      <c r="F19" s="184"/>
      <c r="G19" s="185">
        <v>400066</v>
      </c>
      <c r="H19" s="185"/>
    </row>
    <row r="20" spans="1:8" ht="32.25" customHeight="1" x14ac:dyDescent="0.3">
      <c r="A20" s="140" t="s">
        <v>124</v>
      </c>
      <c r="B20" s="140"/>
      <c r="C20" s="185" t="s">
        <v>203</v>
      </c>
      <c r="D20" s="185"/>
      <c r="E20" s="184" t="s">
        <v>15</v>
      </c>
      <c r="F20" s="184"/>
      <c r="G20" s="185" t="s">
        <v>206</v>
      </c>
      <c r="H20" s="185"/>
    </row>
    <row r="21" spans="1:8" ht="15" customHeight="1" x14ac:dyDescent="0.3">
      <c r="A21" s="184" t="s">
        <v>76</v>
      </c>
      <c r="B21" s="184"/>
      <c r="C21" s="184"/>
      <c r="D21" s="184"/>
      <c r="E21" s="180" t="s">
        <v>16</v>
      </c>
      <c r="F21" s="180"/>
      <c r="G21" s="180"/>
      <c r="H21" s="180"/>
    </row>
    <row r="22" spans="1:8" ht="18.75" customHeight="1" x14ac:dyDescent="0.3">
      <c r="A22" s="184"/>
      <c r="B22" s="184"/>
      <c r="C22" s="184"/>
      <c r="D22" s="184"/>
      <c r="E22" s="180"/>
      <c r="F22" s="180"/>
      <c r="G22" s="180"/>
      <c r="H22" s="180"/>
    </row>
    <row r="23" spans="1:8" ht="15" customHeight="1" x14ac:dyDescent="0.3">
      <c r="A23" s="184" t="s">
        <v>17</v>
      </c>
      <c r="B23" s="184"/>
      <c r="C23" s="184"/>
      <c r="D23" s="184"/>
      <c r="E23" s="185" t="s">
        <v>18</v>
      </c>
      <c r="F23" s="185"/>
      <c r="G23" s="185"/>
      <c r="H23" s="185"/>
    </row>
    <row r="24" spans="1:8" ht="15" customHeight="1" x14ac:dyDescent="0.3">
      <c r="A24" s="140" t="s">
        <v>19</v>
      </c>
      <c r="B24" s="140"/>
      <c r="C24" s="140"/>
      <c r="D24" s="140"/>
      <c r="E24" s="185" t="str">
        <f>IF(AND(G18="Mumbai"),"Upper Class","Middle Class")</f>
        <v>Upper Class</v>
      </c>
      <c r="F24" s="185"/>
      <c r="G24" s="185"/>
      <c r="H24" s="185"/>
    </row>
    <row r="25" spans="1:8" x14ac:dyDescent="0.3">
      <c r="A25" s="140" t="s">
        <v>20</v>
      </c>
      <c r="B25" s="140"/>
      <c r="C25" s="140"/>
      <c r="D25" s="140"/>
      <c r="E25" s="185" t="s">
        <v>21</v>
      </c>
      <c r="F25" s="185"/>
      <c r="G25" s="185"/>
      <c r="H25" s="185"/>
    </row>
    <row r="26" spans="1:8" ht="15.75" customHeight="1" x14ac:dyDescent="0.3">
      <c r="A26" s="140" t="s">
        <v>22</v>
      </c>
      <c r="B26" s="140"/>
      <c r="C26" s="140"/>
      <c r="D26" s="140"/>
      <c r="E26" s="185" t="str">
        <f>IF(AND(G18="Mumbai"),"Developed","Developing")</f>
        <v>Developed</v>
      </c>
      <c r="F26" s="185"/>
      <c r="G26" s="185"/>
      <c r="H26" s="185"/>
    </row>
    <row r="27" spans="1:8" x14ac:dyDescent="0.3">
      <c r="A27" s="140" t="s">
        <v>23</v>
      </c>
      <c r="B27" s="140"/>
      <c r="C27" s="140"/>
      <c r="D27" s="140"/>
      <c r="E27" s="185" t="s">
        <v>24</v>
      </c>
      <c r="F27" s="185"/>
      <c r="G27" s="185"/>
      <c r="H27" s="185"/>
    </row>
    <row r="28" spans="1:8" ht="15.75" customHeight="1" x14ac:dyDescent="0.3">
      <c r="A28" s="140" t="s">
        <v>81</v>
      </c>
      <c r="B28" s="140"/>
      <c r="C28" s="140"/>
      <c r="D28" s="140"/>
      <c r="E28" s="185" t="s">
        <v>82</v>
      </c>
      <c r="F28" s="185"/>
      <c r="G28" s="185"/>
      <c r="H28" s="185"/>
    </row>
    <row r="29" spans="1:8" ht="15" customHeight="1" x14ac:dyDescent="0.3">
      <c r="A29" s="140" t="s">
        <v>33</v>
      </c>
      <c r="B29" s="140"/>
      <c r="C29" s="140"/>
      <c r="D29" s="140"/>
      <c r="E29" s="185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29" s="185"/>
      <c r="G29" s="185"/>
      <c r="H29" s="185"/>
    </row>
    <row r="30" spans="1:8" ht="15.75" customHeight="1" x14ac:dyDescent="0.3">
      <c r="A30" s="140" t="s">
        <v>93</v>
      </c>
      <c r="B30" s="140"/>
      <c r="C30" s="140"/>
      <c r="D30" s="140"/>
      <c r="E30" s="185" t="s">
        <v>34</v>
      </c>
      <c r="F30" s="185"/>
      <c r="G30" s="185"/>
      <c r="H30" s="185"/>
    </row>
    <row r="31" spans="1:8" s="18" customFormat="1" x14ac:dyDescent="0.3">
      <c r="A31" s="195" t="s">
        <v>94</v>
      </c>
      <c r="B31" s="195"/>
      <c r="C31" s="106" t="s">
        <v>29</v>
      </c>
      <c r="D31" s="106"/>
      <c r="E31" s="106"/>
      <c r="F31" s="106" t="s">
        <v>31</v>
      </c>
      <c r="G31" s="106"/>
      <c r="H31" s="106"/>
    </row>
    <row r="32" spans="1:8" s="18" customFormat="1" x14ac:dyDescent="0.3">
      <c r="A32" s="173" t="s">
        <v>25</v>
      </c>
      <c r="B32" s="173" t="s">
        <v>30</v>
      </c>
      <c r="C32" s="174" t="s">
        <v>30</v>
      </c>
      <c r="D32" s="174"/>
      <c r="E32" s="174"/>
      <c r="F32" s="174" t="s">
        <v>207</v>
      </c>
      <c r="G32" s="174"/>
      <c r="H32" s="174"/>
    </row>
    <row r="33" spans="1:10" x14ac:dyDescent="0.3">
      <c r="A33" s="173" t="s">
        <v>26</v>
      </c>
      <c r="B33" s="173" t="s">
        <v>30</v>
      </c>
      <c r="C33" s="174" t="s">
        <v>30</v>
      </c>
      <c r="D33" s="174"/>
      <c r="E33" s="174"/>
      <c r="F33" s="174" t="s">
        <v>208</v>
      </c>
      <c r="G33" s="174"/>
      <c r="H33" s="174"/>
    </row>
    <row r="34" spans="1:10" s="18" customFormat="1" x14ac:dyDescent="0.3">
      <c r="A34" s="173" t="s">
        <v>28</v>
      </c>
      <c r="B34" s="173" t="s">
        <v>30</v>
      </c>
      <c r="C34" s="174" t="s">
        <v>30</v>
      </c>
      <c r="D34" s="174"/>
      <c r="E34" s="174"/>
      <c r="F34" s="174" t="s">
        <v>209</v>
      </c>
      <c r="G34" s="174"/>
      <c r="H34" s="174"/>
    </row>
    <row r="35" spans="1:10" x14ac:dyDescent="0.3">
      <c r="A35" s="173" t="s">
        <v>27</v>
      </c>
      <c r="B35" s="173" t="s">
        <v>30</v>
      </c>
      <c r="C35" s="174" t="s">
        <v>30</v>
      </c>
      <c r="D35" s="174"/>
      <c r="E35" s="174"/>
      <c r="F35" s="174" t="s">
        <v>210</v>
      </c>
      <c r="G35" s="174"/>
      <c r="H35" s="174"/>
    </row>
    <row r="36" spans="1:10" x14ac:dyDescent="0.3">
      <c r="A36" s="140" t="s">
        <v>32</v>
      </c>
      <c r="B36" s="140"/>
      <c r="C36" s="140"/>
      <c r="D36" s="140"/>
      <c r="E36" s="140"/>
      <c r="F36" s="140"/>
      <c r="G36" s="140"/>
      <c r="H36" s="140"/>
    </row>
    <row r="37" spans="1:10" ht="15.75" customHeight="1" x14ac:dyDescent="0.3">
      <c r="A37" s="140" t="s">
        <v>294</v>
      </c>
      <c r="B37" s="140"/>
      <c r="C37" s="272" t="s">
        <v>293</v>
      </c>
      <c r="D37" s="273"/>
      <c r="E37" s="273"/>
      <c r="F37" s="273"/>
      <c r="G37" s="273"/>
      <c r="H37" s="274"/>
    </row>
    <row r="38" spans="1:10" x14ac:dyDescent="0.3">
      <c r="A38" s="140" t="s">
        <v>166</v>
      </c>
      <c r="B38" s="140"/>
      <c r="C38" s="186" t="s">
        <v>211</v>
      </c>
      <c r="D38" s="187"/>
      <c r="E38" s="187"/>
      <c r="F38" s="187"/>
      <c r="G38" s="187"/>
      <c r="H38" s="187"/>
    </row>
    <row r="39" spans="1:10" x14ac:dyDescent="0.3">
      <c r="A39" s="176" t="s">
        <v>35</v>
      </c>
      <c r="B39" s="176"/>
      <c r="C39" s="176"/>
      <c r="D39" s="176"/>
      <c r="E39" s="176"/>
      <c r="F39" s="176"/>
      <c r="G39" s="176"/>
      <c r="H39" s="176"/>
    </row>
    <row r="40" spans="1:10" x14ac:dyDescent="0.3">
      <c r="A40" s="140" t="s">
        <v>36</v>
      </c>
      <c r="B40" s="140"/>
      <c r="C40" s="140"/>
      <c r="D40" s="140"/>
      <c r="E40" s="175">
        <v>109125.32</v>
      </c>
      <c r="F40" s="175"/>
      <c r="G40" s="175"/>
      <c r="H40" s="175"/>
    </row>
    <row r="41" spans="1:10" x14ac:dyDescent="0.3">
      <c r="A41" s="140" t="s">
        <v>37</v>
      </c>
      <c r="B41" s="140"/>
      <c r="C41" s="140"/>
      <c r="D41" s="140"/>
      <c r="E41" s="178">
        <v>1</v>
      </c>
      <c r="F41" s="178"/>
      <c r="G41" s="178"/>
      <c r="H41" s="178"/>
    </row>
    <row r="42" spans="1:10" x14ac:dyDescent="0.3">
      <c r="A42" s="140" t="s">
        <v>38</v>
      </c>
      <c r="B42" s="140"/>
      <c r="C42" s="140"/>
      <c r="D42" s="140"/>
      <c r="E42" s="178">
        <f>E44/E40-E41</f>
        <v>1.3336961577752988</v>
      </c>
      <c r="F42" s="178"/>
      <c r="G42" s="178"/>
      <c r="H42" s="178"/>
    </row>
    <row r="43" spans="1:10" x14ac:dyDescent="0.3">
      <c r="A43" s="140" t="s">
        <v>39</v>
      </c>
      <c r="B43" s="140"/>
      <c r="C43" s="140"/>
      <c r="D43" s="140"/>
      <c r="E43" s="178">
        <f>E41+E42</f>
        <v>2.3336961577752988</v>
      </c>
      <c r="F43" s="178"/>
      <c r="G43" s="178"/>
      <c r="H43" s="178"/>
    </row>
    <row r="44" spans="1:10" x14ac:dyDescent="0.3">
      <c r="A44" s="140" t="s">
        <v>92</v>
      </c>
      <c r="B44" s="140"/>
      <c r="C44" s="140"/>
      <c r="D44" s="140"/>
      <c r="E44" s="179">
        <v>254665.34</v>
      </c>
      <c r="F44" s="179"/>
      <c r="G44" s="179"/>
      <c r="H44" s="179"/>
    </row>
    <row r="45" spans="1:10" x14ac:dyDescent="0.3">
      <c r="A45" s="180" t="s">
        <v>40</v>
      </c>
      <c r="B45" s="180"/>
      <c r="C45" s="180"/>
      <c r="D45" s="180"/>
      <c r="E45" s="180" t="s">
        <v>253</v>
      </c>
      <c r="F45" s="180"/>
      <c r="G45" s="180"/>
      <c r="H45" s="180"/>
    </row>
    <row r="46" spans="1:10" x14ac:dyDescent="0.3">
      <c r="A46" s="151" t="s">
        <v>41</v>
      </c>
      <c r="B46" s="151"/>
      <c r="C46" s="151"/>
      <c r="D46" s="151"/>
      <c r="E46" s="151"/>
      <c r="F46" s="151"/>
      <c r="G46" s="151"/>
      <c r="H46" s="151"/>
    </row>
    <row r="47" spans="1:10" ht="33.75" customHeight="1" x14ac:dyDescent="0.3">
      <c r="A47" s="197" t="s">
        <v>154</v>
      </c>
      <c r="B47" s="198"/>
      <c r="C47" s="226" t="s">
        <v>191</v>
      </c>
      <c r="D47" s="227"/>
      <c r="E47" s="227"/>
      <c r="F47" s="227"/>
      <c r="G47" s="227"/>
      <c r="H47" s="228"/>
    </row>
    <row r="48" spans="1:10" ht="38.25" customHeight="1" x14ac:dyDescent="0.3">
      <c r="A48" s="197" t="s">
        <v>42</v>
      </c>
      <c r="B48" s="198"/>
      <c r="C48" s="197" t="s">
        <v>273</v>
      </c>
      <c r="D48" s="199"/>
      <c r="E48" s="198"/>
      <c r="F48" s="42" t="s">
        <v>43</v>
      </c>
      <c r="G48" s="181">
        <v>44895</v>
      </c>
      <c r="H48" s="182"/>
      <c r="J48" s="62"/>
    </row>
    <row r="49" spans="1:14" ht="35.25" customHeight="1" x14ac:dyDescent="0.3">
      <c r="A49" s="197" t="s">
        <v>271</v>
      </c>
      <c r="B49" s="198"/>
      <c r="C49" s="197" t="s">
        <v>192</v>
      </c>
      <c r="D49" s="199"/>
      <c r="E49" s="198"/>
      <c r="F49" s="42" t="s">
        <v>43</v>
      </c>
      <c r="G49" s="181">
        <v>44552</v>
      </c>
      <c r="H49" s="182"/>
    </row>
    <row r="50" spans="1:14" ht="33" customHeight="1" x14ac:dyDescent="0.3">
      <c r="A50" s="197" t="s">
        <v>272</v>
      </c>
      <c r="B50" s="198"/>
      <c r="C50" s="197" t="s">
        <v>273</v>
      </c>
      <c r="D50" s="199"/>
      <c r="E50" s="198"/>
      <c r="F50" s="42" t="s">
        <v>43</v>
      </c>
      <c r="G50" s="181">
        <v>44895</v>
      </c>
      <c r="H50" s="182"/>
    </row>
    <row r="51" spans="1:14" s="19" customFormat="1" ht="33.75" customHeight="1" x14ac:dyDescent="0.3">
      <c r="A51" s="188" t="s">
        <v>158</v>
      </c>
      <c r="B51" s="189"/>
      <c r="C51" s="197" t="s">
        <v>308</v>
      </c>
      <c r="D51" s="199"/>
      <c r="E51" s="198"/>
      <c r="F51" s="42" t="s">
        <v>43</v>
      </c>
      <c r="G51" s="181">
        <v>45845</v>
      </c>
      <c r="H51" s="182"/>
      <c r="J51" s="63"/>
    </row>
    <row r="52" spans="1:14" s="19" customFormat="1" ht="175.95" customHeight="1" x14ac:dyDescent="0.3">
      <c r="A52" s="190"/>
      <c r="B52" s="191"/>
      <c r="C52" s="197" t="s">
        <v>309</v>
      </c>
      <c r="D52" s="199"/>
      <c r="E52" s="198"/>
      <c r="F52" s="42" t="s">
        <v>123</v>
      </c>
      <c r="G52" s="181">
        <v>46012</v>
      </c>
      <c r="H52" s="182"/>
    </row>
    <row r="53" spans="1:14" ht="34.950000000000003" customHeight="1" x14ac:dyDescent="0.3">
      <c r="A53" s="234" t="s">
        <v>169</v>
      </c>
      <c r="B53" s="235"/>
      <c r="C53" s="229" t="s">
        <v>301</v>
      </c>
      <c r="D53" s="230"/>
      <c r="E53" s="231"/>
      <c r="F53" s="49" t="s">
        <v>43</v>
      </c>
      <c r="G53" s="232">
        <v>45280</v>
      </c>
      <c r="H53" s="233"/>
    </row>
    <row r="54" spans="1:14" ht="40.950000000000003" customHeight="1" x14ac:dyDescent="0.3">
      <c r="A54" s="236"/>
      <c r="B54" s="237"/>
      <c r="C54" s="229" t="s">
        <v>300</v>
      </c>
      <c r="D54" s="230"/>
      <c r="E54" s="230"/>
      <c r="F54" s="230"/>
      <c r="G54" s="230"/>
      <c r="H54" s="231"/>
    </row>
    <row r="55" spans="1:14" x14ac:dyDescent="0.3">
      <c r="A55" s="183" t="s">
        <v>45</v>
      </c>
      <c r="B55" s="183"/>
      <c r="C55" s="183"/>
      <c r="D55" s="183"/>
      <c r="E55" s="183"/>
      <c r="F55" s="183"/>
      <c r="G55" s="183"/>
      <c r="H55" s="183"/>
    </row>
    <row r="56" spans="1:14" x14ac:dyDescent="0.3">
      <c r="A56" s="184" t="s">
        <v>91</v>
      </c>
      <c r="B56" s="184"/>
      <c r="C56" s="184"/>
      <c r="D56" s="140">
        <f>E44</f>
        <v>254665.34</v>
      </c>
      <c r="E56" s="140"/>
      <c r="F56" s="140"/>
      <c r="G56" s="140"/>
      <c r="H56" s="140"/>
    </row>
    <row r="57" spans="1:14" x14ac:dyDescent="0.3">
      <c r="A57" s="185" t="s">
        <v>46</v>
      </c>
      <c r="B57" s="180"/>
      <c r="C57" s="180"/>
      <c r="D57" s="180" t="s">
        <v>286</v>
      </c>
      <c r="E57" s="180"/>
      <c r="F57" s="180"/>
      <c r="G57" s="180"/>
      <c r="H57" s="180"/>
      <c r="I57" s="20"/>
    </row>
    <row r="58" spans="1:14" ht="113.25" customHeight="1" x14ac:dyDescent="0.3">
      <c r="A58" s="188" t="s">
        <v>47</v>
      </c>
      <c r="B58" s="238"/>
      <c r="C58" s="189"/>
      <c r="D58" s="185" t="s">
        <v>274</v>
      </c>
      <c r="E58" s="180"/>
      <c r="F58" s="180"/>
      <c r="G58" s="180"/>
      <c r="H58" s="180"/>
    </row>
    <row r="59" spans="1:14" ht="33" customHeight="1" x14ac:dyDescent="0.3">
      <c r="A59" s="185" t="s">
        <v>89</v>
      </c>
      <c r="B59" s="185"/>
      <c r="C59" s="185"/>
      <c r="D59" s="192" t="s">
        <v>254</v>
      </c>
      <c r="E59" s="192"/>
      <c r="F59" s="192"/>
      <c r="G59" s="192"/>
      <c r="H59" s="192"/>
    </row>
    <row r="60" spans="1:14" ht="32.25" customHeight="1" x14ac:dyDescent="0.3">
      <c r="A60" s="185"/>
      <c r="B60" s="185"/>
      <c r="C60" s="185"/>
      <c r="D60" s="192" t="s">
        <v>255</v>
      </c>
      <c r="E60" s="192"/>
      <c r="F60" s="192"/>
      <c r="G60" s="192"/>
      <c r="H60" s="193"/>
    </row>
    <row r="61" spans="1:14" ht="32.25" customHeight="1" x14ac:dyDescent="0.3">
      <c r="A61" s="185"/>
      <c r="B61" s="185"/>
      <c r="C61" s="185"/>
      <c r="D61" s="192" t="s">
        <v>256</v>
      </c>
      <c r="E61" s="192"/>
      <c r="F61" s="192"/>
      <c r="G61" s="192"/>
      <c r="H61" s="192"/>
    </row>
    <row r="62" spans="1:14" ht="47.25" customHeight="1" x14ac:dyDescent="0.3">
      <c r="A62" s="185"/>
      <c r="B62" s="185"/>
      <c r="C62" s="185"/>
      <c r="D62" s="192" t="s">
        <v>275</v>
      </c>
      <c r="E62" s="192"/>
      <c r="F62" s="192"/>
      <c r="G62" s="192"/>
      <c r="H62" s="193"/>
    </row>
    <row r="63" spans="1:14" ht="30.75" customHeight="1" x14ac:dyDescent="0.3">
      <c r="A63" s="185"/>
      <c r="B63" s="185"/>
      <c r="C63" s="185"/>
      <c r="D63" s="194" t="s">
        <v>257</v>
      </c>
      <c r="E63" s="194"/>
      <c r="F63" s="194"/>
      <c r="G63" s="194"/>
      <c r="H63" s="191"/>
    </row>
    <row r="64" spans="1:14" ht="66" customHeight="1" x14ac:dyDescent="0.3">
      <c r="A64" s="140" t="s">
        <v>44</v>
      </c>
      <c r="B64" s="140"/>
      <c r="C64" s="140"/>
      <c r="D64" s="177" t="s">
        <v>304</v>
      </c>
      <c r="E64" s="177"/>
      <c r="F64" s="177"/>
      <c r="G64" s="177"/>
      <c r="H64" s="177"/>
      <c r="J64" s="21"/>
      <c r="K64" s="20"/>
      <c r="N64" s="20"/>
    </row>
    <row r="65" spans="1:14" ht="15.75" customHeight="1" x14ac:dyDescent="0.3">
      <c r="A65" s="140" t="s">
        <v>87</v>
      </c>
      <c r="B65" s="140"/>
      <c r="C65" s="140"/>
      <c r="D65" s="76" t="s">
        <v>305</v>
      </c>
      <c r="E65" s="76"/>
      <c r="F65" s="76"/>
      <c r="G65" s="76"/>
      <c r="H65" s="76"/>
      <c r="I65" s="76" t="str">
        <f>(IF(L53="NA","60 Years After Completion",IF(L53&lt;&gt;"NA",""&amp;60-ROUNDDOWN((J3-L53)/360,0)&amp;" Years"," ")))</f>
        <v>60 Years</v>
      </c>
      <c r="J65" s="76"/>
      <c r="K65" s="76"/>
      <c r="L65" s="76"/>
      <c r="M65" s="76"/>
      <c r="N65" s="20"/>
    </row>
    <row r="66" spans="1:14" ht="15.75" customHeight="1" x14ac:dyDescent="0.3">
      <c r="A66" s="140" t="s">
        <v>88</v>
      </c>
      <c r="B66" s="140"/>
      <c r="C66" s="140"/>
      <c r="D66" s="184" t="s">
        <v>24</v>
      </c>
      <c r="E66" s="184"/>
      <c r="F66" s="184"/>
      <c r="G66" s="184"/>
      <c r="H66" s="184"/>
      <c r="I66" s="17" t="s">
        <v>305</v>
      </c>
      <c r="J66" s="22"/>
      <c r="K66" s="22"/>
    </row>
    <row r="67" spans="1:14" ht="15" hidden="1" customHeight="1" x14ac:dyDescent="0.3">
      <c r="A67" s="140" t="s">
        <v>74</v>
      </c>
      <c r="B67" s="140"/>
      <c r="C67" s="140"/>
      <c r="D67" s="185" t="s">
        <v>150</v>
      </c>
      <c r="E67" s="184"/>
      <c r="F67" s="184"/>
      <c r="G67" s="184"/>
      <c r="H67" s="184"/>
    </row>
    <row r="68" spans="1:14" x14ac:dyDescent="0.3">
      <c r="A68" s="184" t="s">
        <v>151</v>
      </c>
      <c r="B68" s="184"/>
      <c r="C68" s="184"/>
      <c r="D68" s="184" t="s">
        <v>30</v>
      </c>
      <c r="E68" s="184"/>
      <c r="F68" s="184"/>
      <c r="G68" s="184"/>
      <c r="H68" s="184"/>
      <c r="I68" s="23"/>
      <c r="J68" s="23"/>
      <c r="K68" s="23"/>
      <c r="L68" s="23"/>
      <c r="M68" s="23"/>
      <c r="N68" s="23"/>
    </row>
    <row r="69" spans="1:14" ht="15.75" customHeight="1" x14ac:dyDescent="0.3">
      <c r="A69" s="275" t="s">
        <v>86</v>
      </c>
      <c r="B69" s="275"/>
      <c r="C69" s="275"/>
      <c r="D69" s="259" t="str">
        <f ca="1">(IF(G104&gt;95%,"Nothing",IF(G104&gt;0%,"Cement, Aggregate, Steel, etc",IF(G104=0%,"Work not yet Started"))))</f>
        <v>Cement, Aggregate, Steel, etc</v>
      </c>
      <c r="E69" s="259"/>
      <c r="F69" s="259"/>
      <c r="G69" s="259"/>
      <c r="H69" s="259"/>
      <c r="J69" s="22"/>
    </row>
    <row r="70" spans="1:14" ht="33.75" customHeight="1" thickBot="1" x14ac:dyDescent="0.35">
      <c r="A70" s="258" t="s">
        <v>117</v>
      </c>
      <c r="B70" s="258"/>
      <c r="C70" s="258"/>
      <c r="D70" s="259" t="str">
        <f ca="1">(IF(D69="Nothing","Yes",IF(D69="Cement, Aggregate, Steel, etc","Under Construction",IF(D69="Work not yet Started","Work not yet Started"))))</f>
        <v>Under Construction</v>
      </c>
      <c r="E70" s="259"/>
      <c r="F70" s="259" t="str">
        <f ca="1">(IF(D69="Nothing","Yes",IF(D69="Cement, Aggregate, Steel, etc","Under Construction",IF(D69="Work not yet Started","Work not yet Started"))))</f>
        <v>Under Construction</v>
      </c>
      <c r="G70" s="259"/>
      <c r="H70" s="259"/>
    </row>
    <row r="71" spans="1:14" ht="33.75" customHeight="1" x14ac:dyDescent="0.3">
      <c r="A71" s="243" t="s">
        <v>142</v>
      </c>
      <c r="B71" s="244"/>
      <c r="C71" s="245" t="s">
        <v>298</v>
      </c>
      <c r="D71" s="246"/>
      <c r="E71" s="246"/>
      <c r="F71" s="246"/>
      <c r="G71" s="246"/>
      <c r="H71" s="247"/>
      <c r="I71" s="56" t="str">
        <f ca="1">IF(D85=100%,"All work Completed. Possession granted to the Building.",IF(D84=100%,"All work Completed, Waiting for OC",I72&amp;""&amp;I73&amp;""&amp;J72&amp;""&amp;J71&amp;" "&amp;J73))</f>
        <v>All work Completed. Possession granted to the Building.</v>
      </c>
      <c r="J71" s="38" t="str">
        <f ca="1">(IF(C78=(D72+F72+H72),"",IF(C78&gt;0,", RCC upto "&amp;C78&amp;" Slab","")))&amp;(IF(C79=H72,"",IF(C79&gt;0,", Brickwork upto "&amp;C79&amp;" Floor","")))&amp;(IF(C80=H72,"",IF(C80&gt;0,", Internal Plaster upto "&amp;C80&amp;" Floor","")))&amp;(IF(C81=H72,"",IF(C81&gt;0,", External Plaster upto "&amp;C81&amp;" Floor","")))&amp;(IF(C82=H72,"",IF(C82&gt;0,", Flooring upto "&amp;C82&amp;" Floor","")))&amp;(IF(C83=H72,"",IF(C83&gt;0,", Painting upto "&amp;C83&amp;" Floor","")))&amp;(IF(C84=H72,"",IF(C84&gt;0,", Finishing upto "&amp;C84&amp;" Floor","")))&amp;(IF(C85=H72,"",IF(C85&gt;0,", Possession upto "&amp;C85&amp;" Floor","")))</f>
        <v/>
      </c>
    </row>
    <row r="72" spans="1:14" x14ac:dyDescent="0.3">
      <c r="A72" s="15" t="s">
        <v>144</v>
      </c>
      <c r="B72" s="51">
        <v>3</v>
      </c>
      <c r="C72" s="51" t="s">
        <v>72</v>
      </c>
      <c r="D72" s="51">
        <v>1</v>
      </c>
      <c r="E72" s="51" t="s">
        <v>71</v>
      </c>
      <c r="F72" s="51">
        <v>0</v>
      </c>
      <c r="G72" s="51" t="s">
        <v>80</v>
      </c>
      <c r="H72" s="16">
        <f ca="1">--TRIM(RIGHT(SUBSTITUTE(LEFT(C71,_xlfn.AGGREGATE(16,6,FIND({0,1,2,3,4,5,6,7,8,9},C71,ROW(INDIRECT("1:"&amp;LEN(C71)))),1))," ",REPT(" ",LEN(C71))),LEN(C71)))</f>
        <v>61</v>
      </c>
      <c r="I72" s="39" t="str">
        <f ca="1">IF(D76=100%,"Excavation","")&amp;IF(D77=100%,", Plinth","")&amp;IF(D78=100%,", RCC Slab","")&amp;IF(D79=100%,", Brickwork","")&amp;IF(D80=100%,", Internal Plaster","")&amp;IF(D81=100%,", External Plaster","")&amp;IF(D82=100%,", Flooring","")&amp;IF(D83=100%,", Painting","")&amp;IF(D84=100%,", Building common Amenities","")</f>
        <v>Excavation, Plinth, RCC Slab, Brickwork, Internal Plaster, External Plaster, Flooring, Painting, Building common Amenities</v>
      </c>
      <c r="J72" s="40" t="str">
        <f ca="1">(IF(C76=0,"Work not yet Started.",IF(D76=25%,"Piling work in process",IF(D76=50%,"Excavation work in process",IF(D76=100%,"","0")))))&amp;(IF(C77=0%,"",IF(C77=J78,", Footing work is process",IF(C77=J79,", Footing work Completed",IF(C77=J80,", 1st Basement Completed",IF(C77=J81,", 1st &amp; 2nd Basement Completed",IF(C77=J82,", 1st to 3rd Basement Completed",IF(C77=J83,", 1st to 4th Basement Completed",IF(C77=J84,", Plinth work is process",IF(C77=J85,"","0"))))))))))</f>
        <v/>
      </c>
    </row>
    <row r="73" spans="1:14" x14ac:dyDescent="0.3">
      <c r="A73" s="150" t="s">
        <v>90</v>
      </c>
      <c r="B73" s="151"/>
      <c r="C73" s="152" t="s">
        <v>299</v>
      </c>
      <c r="D73" s="152"/>
      <c r="E73" s="152"/>
      <c r="F73" s="152"/>
      <c r="G73" s="152"/>
      <c r="H73" s="153"/>
      <c r="I73" s="39" t="str">
        <f ca="1">IF(I72&lt;&gt;""," Completed","")</f>
        <v xml:space="preserve"> Completed</v>
      </c>
      <c r="J73" s="40" t="str">
        <f ca="1">IF(J71&lt;&gt;"","Completed","")</f>
        <v/>
      </c>
    </row>
    <row r="74" spans="1:14" ht="16.2" thickBot="1" x14ac:dyDescent="0.35">
      <c r="A74" s="267" t="s">
        <v>85</v>
      </c>
      <c r="B74" s="268"/>
      <c r="C74" s="269">
        <v>1</v>
      </c>
      <c r="D74" s="270"/>
      <c r="E74" s="268" t="s">
        <v>84</v>
      </c>
      <c r="F74" s="277"/>
      <c r="G74" s="269">
        <v>1</v>
      </c>
      <c r="H74" s="278"/>
      <c r="I74" s="67"/>
      <c r="J74" s="68"/>
    </row>
    <row r="75" spans="1:14" ht="15.75" hidden="1" customHeight="1" x14ac:dyDescent="0.3">
      <c r="A75" s="256" t="s">
        <v>48</v>
      </c>
      <c r="B75" s="257"/>
      <c r="C75" s="69" t="s">
        <v>141</v>
      </c>
      <c r="D75" s="69" t="s">
        <v>83</v>
      </c>
      <c r="E75" s="257" t="s">
        <v>85</v>
      </c>
      <c r="F75" s="257"/>
      <c r="G75" s="257" t="s">
        <v>84</v>
      </c>
      <c r="H75" s="276"/>
      <c r="I75" s="13" t="s">
        <v>143</v>
      </c>
      <c r="J75" s="24">
        <f ca="1">H72*25%</f>
        <v>15.25</v>
      </c>
    </row>
    <row r="76" spans="1:14" hidden="1" x14ac:dyDescent="0.3">
      <c r="A76" s="141" t="s">
        <v>130</v>
      </c>
      <c r="B76" s="142"/>
      <c r="C76" s="46">
        <f ca="1">J77</f>
        <v>61</v>
      </c>
      <c r="D76" s="43">
        <f ca="1">((100/H72)*C76)/100</f>
        <v>1</v>
      </c>
      <c r="E76" s="159">
        <f ca="1">(((C77/H72*10)+(40/(D72+F72+H72)*C78)+(7.5/(H72)*C79)+(7.5/(H72)*C80)+(10/H72*C81)+(10/H72*C82)+(5/H72*C83)+(5/H72*C84)+(5/H72*C85))/100)</f>
        <v>1</v>
      </c>
      <c r="F76" s="241"/>
      <c r="G76" s="159">
        <f ca="1">((((C76/H72)*20)+((C77/H72)*25)+(30/(H72+F72+D72)*C78)+(5/H72*C79)+(5/H72*C80)+(5/H72*C81)+(5/H72*C82)+(0/H72*C83)+(0/H72*C84)+(5/H72*C85))/100)</f>
        <v>1</v>
      </c>
      <c r="H76" s="160"/>
      <c r="I76" s="13" t="s">
        <v>100</v>
      </c>
      <c r="J76" s="25">
        <f ca="1">H72*50%</f>
        <v>30.5</v>
      </c>
    </row>
    <row r="77" spans="1:14" hidden="1" x14ac:dyDescent="0.3">
      <c r="A77" s="141" t="s">
        <v>49</v>
      </c>
      <c r="B77" s="142"/>
      <c r="C77" s="46">
        <f ca="1">J85</f>
        <v>60.999999999999993</v>
      </c>
      <c r="D77" s="43">
        <f ca="1">((100/H72)*C77)/100</f>
        <v>0.99999999999999989</v>
      </c>
      <c r="E77" s="161"/>
      <c r="F77" s="242"/>
      <c r="G77" s="161"/>
      <c r="H77" s="162"/>
      <c r="I77" s="13" t="s">
        <v>101</v>
      </c>
      <c r="J77" s="25">
        <f ca="1">H72</f>
        <v>61</v>
      </c>
    </row>
    <row r="78" spans="1:14" ht="15.75" hidden="1" customHeight="1" x14ac:dyDescent="0.3">
      <c r="A78" s="141" t="s">
        <v>131</v>
      </c>
      <c r="B78" s="142"/>
      <c r="C78" s="46">
        <f ca="1">D72+H72</f>
        <v>62</v>
      </c>
      <c r="D78" s="43">
        <f ca="1">((100/(D72+F72+H72))*C78)/100</f>
        <v>1</v>
      </c>
      <c r="E78" s="161"/>
      <c r="F78" s="242"/>
      <c r="G78" s="161"/>
      <c r="H78" s="162"/>
      <c r="I78" s="13" t="s">
        <v>102</v>
      </c>
      <c r="J78" s="26">
        <f ca="1">(IF(B72&gt;1,(H72/(B72+2)),H72/4))</f>
        <v>12.2</v>
      </c>
    </row>
    <row r="79" spans="1:14" ht="15.75" hidden="1" customHeight="1" x14ac:dyDescent="0.3">
      <c r="A79" s="141" t="s">
        <v>138</v>
      </c>
      <c r="B79" s="142" t="s">
        <v>132</v>
      </c>
      <c r="C79" s="46">
        <v>61</v>
      </c>
      <c r="D79" s="43">
        <f ca="1">((100/H72)*C79)/100</f>
        <v>1</v>
      </c>
      <c r="E79" s="161"/>
      <c r="F79" s="242"/>
      <c r="G79" s="161"/>
      <c r="H79" s="162"/>
      <c r="I79" s="13" t="s">
        <v>103</v>
      </c>
      <c r="J79" s="26">
        <f ca="1">(IF(B72&gt;1,(H72/(B72+2)+J78),H72/4+J78))</f>
        <v>24.4</v>
      </c>
    </row>
    <row r="80" spans="1:14" ht="15.75" hidden="1" customHeight="1" x14ac:dyDescent="0.3">
      <c r="A80" s="141" t="s">
        <v>139</v>
      </c>
      <c r="B80" s="142" t="s">
        <v>132</v>
      </c>
      <c r="C80" s="46">
        <v>61</v>
      </c>
      <c r="D80" s="43">
        <f ca="1">((100/H72)*C80)/100</f>
        <v>1</v>
      </c>
      <c r="E80" s="161"/>
      <c r="F80" s="242"/>
      <c r="G80" s="161"/>
      <c r="H80" s="162"/>
      <c r="I80" s="13" t="s">
        <v>148</v>
      </c>
      <c r="J80" s="26">
        <f ca="1">(IF(B72&gt;1,(H72/(B72+2)+J79),0))</f>
        <v>36.599999999999994</v>
      </c>
    </row>
    <row r="81" spans="1:17" ht="15" hidden="1" customHeight="1" x14ac:dyDescent="0.3">
      <c r="A81" s="141" t="s">
        <v>137</v>
      </c>
      <c r="B81" s="142" t="s">
        <v>134</v>
      </c>
      <c r="C81" s="46">
        <v>61</v>
      </c>
      <c r="D81" s="43">
        <f ca="1">((100/(H72))*C81)/100</f>
        <v>1</v>
      </c>
      <c r="E81" s="161"/>
      <c r="F81" s="242"/>
      <c r="G81" s="161"/>
      <c r="H81" s="162"/>
      <c r="I81" s="13" t="s">
        <v>145</v>
      </c>
      <c r="J81" s="26">
        <f ca="1">(IF(B72&gt;2,(H72/(B72+2)+J80),0))</f>
        <v>48.8</v>
      </c>
    </row>
    <row r="82" spans="1:17" ht="15.75" hidden="1" customHeight="1" x14ac:dyDescent="0.3">
      <c r="A82" s="141" t="s">
        <v>133</v>
      </c>
      <c r="B82" s="142" t="s">
        <v>133</v>
      </c>
      <c r="C82" s="46">
        <v>61</v>
      </c>
      <c r="D82" s="43">
        <f ca="1">((100/H72)*C82)/100</f>
        <v>1</v>
      </c>
      <c r="E82" s="161"/>
      <c r="F82" s="242"/>
      <c r="G82" s="161"/>
      <c r="H82" s="162"/>
      <c r="I82" s="13" t="s">
        <v>146</v>
      </c>
      <c r="J82" s="27">
        <f>(IF(B72&gt;3,(H72/(B72+2)+J81),0))</f>
        <v>0</v>
      </c>
    </row>
    <row r="83" spans="1:17" ht="15.75" hidden="1" customHeight="1" x14ac:dyDescent="0.3">
      <c r="A83" s="141" t="s">
        <v>140</v>
      </c>
      <c r="B83" s="142"/>
      <c r="C83" s="46">
        <v>61</v>
      </c>
      <c r="D83" s="43">
        <f ca="1">((100/H72)*C83)/100</f>
        <v>1</v>
      </c>
      <c r="E83" s="161"/>
      <c r="F83" s="242"/>
      <c r="G83" s="161"/>
      <c r="H83" s="162"/>
      <c r="I83" s="13" t="s">
        <v>147</v>
      </c>
      <c r="J83" s="26">
        <f>(IF(B72&gt;4,(H72/(B72+2)+J82),0))</f>
        <v>0</v>
      </c>
    </row>
    <row r="84" spans="1:17" ht="15.75" hidden="1" customHeight="1" x14ac:dyDescent="0.3">
      <c r="A84" s="141" t="s">
        <v>135</v>
      </c>
      <c r="B84" s="142" t="s">
        <v>135</v>
      </c>
      <c r="C84" s="46">
        <v>61</v>
      </c>
      <c r="D84" s="43">
        <f ca="1">((100/(H72))*C84)/100</f>
        <v>1</v>
      </c>
      <c r="E84" s="161"/>
      <c r="F84" s="242"/>
      <c r="G84" s="161"/>
      <c r="H84" s="162"/>
      <c r="I84" s="13" t="s">
        <v>149</v>
      </c>
      <c r="J84" s="26">
        <f>(IF(B72=1,(H72/(B72+3)+J79),IF(B72=0,(H72/4+J79),IF(B72&gt;1,0))))</f>
        <v>0</v>
      </c>
    </row>
    <row r="85" spans="1:17" ht="16.2" hidden="1" thickBot="1" x14ac:dyDescent="0.35">
      <c r="A85" s="239" t="s">
        <v>136</v>
      </c>
      <c r="B85" s="240"/>
      <c r="C85" s="47">
        <v>61</v>
      </c>
      <c r="D85" s="44">
        <f ca="1">((100/(H72))*C85)/100</f>
        <v>1</v>
      </c>
      <c r="E85" s="163"/>
      <c r="F85" s="248"/>
      <c r="G85" s="163"/>
      <c r="H85" s="164"/>
      <c r="I85" s="14" t="s">
        <v>104</v>
      </c>
      <c r="J85" s="28">
        <f ca="1">(IF(B72&gt;1.5,(H72/(B72+2)+J79+MAX(0,J80-J79)+MAX(0,J81-J80)+MAX(0,J82-J81)+MAX(0,J83-J82)+MAX(0,J84-J83)),IF(B72=1,(H72/(B72+3)+J84),IF(B72=0,H72/4+J84))))</f>
        <v>60.999999999999993</v>
      </c>
    </row>
    <row r="86" spans="1:17" ht="34.5" hidden="1" customHeight="1" x14ac:dyDescent="0.3">
      <c r="A86" s="243" t="s">
        <v>142</v>
      </c>
      <c r="B86" s="244"/>
      <c r="C86" s="245" t="str">
        <f>D60</f>
        <v>Tower E = 3 level Basement + G/St + 1st to 4th Floor (Podium) + 5th Floor (Eco deck) + 6th to 61st Floor</v>
      </c>
      <c r="D86" s="246"/>
      <c r="E86" s="246"/>
      <c r="F86" s="246"/>
      <c r="G86" s="246"/>
      <c r="H86" s="247"/>
      <c r="I86" s="56" t="str">
        <f ca="1">IF(D99=100%,"All work Completed. Possession granted to the Building.",IF(D98=100%,"All work Completed, Waiting for OC",I87&amp;""&amp;I88&amp;""&amp;J87&amp;""&amp;J86&amp;" "&amp;J88))</f>
        <v>All work Completed. Possession granted to the Building.</v>
      </c>
      <c r="J86" s="38" t="str">
        <f ca="1">(IF(C92=(D87+F87+H87),"",IF(C92&gt;0,", RCC upto "&amp;C92&amp;" Slab","")))&amp;(IF(C93=H87,"",IF(C93&gt;0,", Brickwork upto "&amp;C93&amp;" Floor","")))&amp;(IF(C94=H87,"",IF(C94&gt;0,", Internal Plaster upto "&amp;C94&amp;" Floor","")))&amp;(IF(C95=H87,"",IF(C95&gt;0,", External Plaster upto "&amp;C95&amp;" Floor","")))&amp;(IF(C96=H87,"",IF(C96&gt;0,", Flooring upto "&amp;C96&amp;" Floor","")))&amp;(IF(C97=H87,"",IF(C97&gt;0,", Painting upto "&amp;C97&amp;" Floor","")))&amp;(IF(C98=H87,"",IF(C98&gt;0,", Finishing upto "&amp;C98&amp;" Floor","")))&amp;(IF(C99=H87,"",IF(C99&gt;0,", Possession upto "&amp;C99&amp;" Floor","")))</f>
        <v/>
      </c>
      <c r="Q86" s="17">
        <v>9</v>
      </c>
    </row>
    <row r="87" spans="1:17" hidden="1" x14ac:dyDescent="0.3">
      <c r="A87" s="15" t="s">
        <v>144</v>
      </c>
      <c r="B87" s="51">
        <v>3</v>
      </c>
      <c r="C87" s="51" t="s">
        <v>72</v>
      </c>
      <c r="D87" s="51">
        <v>1</v>
      </c>
      <c r="E87" s="51" t="s">
        <v>71</v>
      </c>
      <c r="F87" s="51">
        <v>0</v>
      </c>
      <c r="G87" s="51" t="s">
        <v>80</v>
      </c>
      <c r="H87" s="16">
        <f ca="1">--TRIM(RIGHT(SUBSTITUTE(LEFT(C86,_xlfn.AGGREGATE(16,6,FIND({0,1,2,3,4,5,6,7,8,9},C86,ROW(INDIRECT("1:"&amp;LEN(C86)))),1))," ",REPT(" ",LEN(C86))),LEN(C86)))</f>
        <v>61</v>
      </c>
      <c r="I87" s="39" t="str">
        <f ca="1">IF(D90=100%,"Excavation","")&amp;IF(D91=100%,", Plinth","")&amp;IF(D92=100%,", RCC Slab","")&amp;IF(D93=100%,", Brickwork","")&amp;IF(D94=100%,", Internal Plaster","")&amp;IF(D95=100%,", External Plaster","")&amp;IF(D96=100%,", Flooring","")&amp;IF(D97=100%,", Painting","")&amp;IF(D98=100%,", Building common Amenities","")</f>
        <v>Excavation, Plinth, RCC Slab, Brickwork, Internal Plaster, External Plaster, Flooring, Painting, Building common Amenities</v>
      </c>
      <c r="J87" s="40" t="str">
        <f ca="1">(IF(C90=0,"Work not yet Started.",IF(D90=25%,"Piling work in process",IF(D90=50%,"Excavation work in process",IF(D90=100%,"","0")))))&amp;(IF(C91=0%,"",IF(C91=J92,", Footing work is process",IF(C91=J93,", Footing work Completed",IF(C91=J94,", 1st Basement Completed",IF(C91=J95,", 1st &amp; 2nd Basement Completed",IF(C91=J96,", 1st to 3rd Basement Completed",IF(C91=J97,", 1st to 4th Basement Completed",IF(C91=J98,", Plinth work is process",IF(C91=J99,"","0"))))))))))</f>
        <v/>
      </c>
    </row>
    <row r="88" spans="1:17" ht="15.75" hidden="1" customHeight="1" x14ac:dyDescent="0.3">
      <c r="A88" s="150" t="s">
        <v>90</v>
      </c>
      <c r="B88" s="151"/>
      <c r="C88" s="152" t="str">
        <f ca="1">I86</f>
        <v>All work Completed. Possession granted to the Building.</v>
      </c>
      <c r="D88" s="152"/>
      <c r="E88" s="152"/>
      <c r="F88" s="152"/>
      <c r="G88" s="152"/>
      <c r="H88" s="153"/>
      <c r="I88" s="39" t="str">
        <f ca="1">IF(I87&lt;&gt;""," Completed","")</f>
        <v xml:space="preserve"> Completed</v>
      </c>
      <c r="J88" s="40" t="str">
        <f ca="1">IF(J86&lt;&gt;"","Completed","")</f>
        <v/>
      </c>
    </row>
    <row r="89" spans="1:17" ht="15.75" hidden="1" customHeight="1" x14ac:dyDescent="0.3">
      <c r="A89" s="141" t="s">
        <v>48</v>
      </c>
      <c r="B89" s="142"/>
      <c r="C89" s="46" t="s">
        <v>141</v>
      </c>
      <c r="D89" s="46" t="s">
        <v>83</v>
      </c>
      <c r="E89" s="142" t="s">
        <v>85</v>
      </c>
      <c r="F89" s="142"/>
      <c r="G89" s="142" t="s">
        <v>84</v>
      </c>
      <c r="H89" s="158"/>
      <c r="I89" s="13" t="s">
        <v>143</v>
      </c>
      <c r="J89" s="24">
        <f ca="1">H87*25%</f>
        <v>15.25</v>
      </c>
    </row>
    <row r="90" spans="1:17" hidden="1" x14ac:dyDescent="0.3">
      <c r="A90" s="141" t="s">
        <v>130</v>
      </c>
      <c r="B90" s="142"/>
      <c r="C90" s="46">
        <f ca="1">J91</f>
        <v>61</v>
      </c>
      <c r="D90" s="43">
        <f ca="1">((100/H87)*C90)/100</f>
        <v>1</v>
      </c>
      <c r="E90" s="159">
        <f ca="1">(((C91/H87*10)+(40/(D87+F87+H87)*C92)+(7.5/(H87)*C93)+(7.5/(H87)*C94)+(10/H87*C95)+(10/H87*C96)+(5/H87*C97)+(5/H87*C98)+(5/H87*C99))/100)</f>
        <v>1</v>
      </c>
      <c r="F90" s="241"/>
      <c r="G90" s="159">
        <f ca="1">((((C90/H87)*20)+((C91/H87)*25)+(30/(H87+F87+D87)*C92)+(5/H87*C93)+(5/H87*C94)+(5/H87*C95)+(5/H87*C96)+(0/H87*C97)+(0/H87*C98)+(5/H87*C99))/100)</f>
        <v>1</v>
      </c>
      <c r="H90" s="160"/>
      <c r="I90" s="13" t="s">
        <v>100</v>
      </c>
      <c r="J90" s="25">
        <f ca="1">H87*50%</f>
        <v>30.5</v>
      </c>
    </row>
    <row r="91" spans="1:17" hidden="1" x14ac:dyDescent="0.3">
      <c r="A91" s="141" t="s">
        <v>49</v>
      </c>
      <c r="B91" s="142"/>
      <c r="C91" s="46">
        <f ca="1">J99</f>
        <v>60.999999999999993</v>
      </c>
      <c r="D91" s="43">
        <f ca="1">((100/H87)*C91)/100</f>
        <v>0.99999999999999989</v>
      </c>
      <c r="E91" s="161"/>
      <c r="F91" s="242"/>
      <c r="G91" s="161"/>
      <c r="H91" s="162"/>
      <c r="I91" s="13" t="s">
        <v>101</v>
      </c>
      <c r="J91" s="25">
        <f ca="1">H87</f>
        <v>61</v>
      </c>
    </row>
    <row r="92" spans="1:17" ht="15.75" hidden="1" customHeight="1" x14ac:dyDescent="0.3">
      <c r="A92" s="141" t="s">
        <v>131</v>
      </c>
      <c r="B92" s="142"/>
      <c r="C92" s="46">
        <f ca="1">D87+H87</f>
        <v>62</v>
      </c>
      <c r="D92" s="43">
        <f ca="1">((100/(D87+F87+H87))*C92)/100</f>
        <v>1</v>
      </c>
      <c r="E92" s="161"/>
      <c r="F92" s="242"/>
      <c r="G92" s="161"/>
      <c r="H92" s="162"/>
      <c r="I92" s="13" t="s">
        <v>102</v>
      </c>
      <c r="J92" s="26">
        <f ca="1">(IF(B87&gt;1,(H87/(B87+2)),H87/4))</f>
        <v>12.2</v>
      </c>
    </row>
    <row r="93" spans="1:17" ht="15.75" hidden="1" customHeight="1" x14ac:dyDescent="0.3">
      <c r="A93" s="141" t="s">
        <v>138</v>
      </c>
      <c r="B93" s="142" t="s">
        <v>132</v>
      </c>
      <c r="C93" s="46">
        <v>61</v>
      </c>
      <c r="D93" s="43">
        <f ca="1">((100/H87)*C93)/100</f>
        <v>1</v>
      </c>
      <c r="E93" s="161"/>
      <c r="F93" s="242"/>
      <c r="G93" s="161"/>
      <c r="H93" s="162"/>
      <c r="I93" s="13" t="s">
        <v>103</v>
      </c>
      <c r="J93" s="26">
        <f ca="1">(IF(B87&gt;1,(H87/(B87+2)+J92),H87/4+J92))</f>
        <v>24.4</v>
      </c>
    </row>
    <row r="94" spans="1:17" ht="15.75" hidden="1" customHeight="1" x14ac:dyDescent="0.3">
      <c r="A94" s="141" t="s">
        <v>139</v>
      </c>
      <c r="B94" s="142" t="s">
        <v>132</v>
      </c>
      <c r="C94" s="46">
        <v>61</v>
      </c>
      <c r="D94" s="43">
        <f ca="1">((100/H87)*C94)/100</f>
        <v>1</v>
      </c>
      <c r="E94" s="161"/>
      <c r="F94" s="242"/>
      <c r="G94" s="161"/>
      <c r="H94" s="162"/>
      <c r="I94" s="13" t="s">
        <v>148</v>
      </c>
      <c r="J94" s="26">
        <f ca="1">(IF(B87&gt;1,(H87/(B87+2)+J93),0))</f>
        <v>36.599999999999994</v>
      </c>
    </row>
    <row r="95" spans="1:17" ht="15" hidden="1" customHeight="1" x14ac:dyDescent="0.3">
      <c r="A95" s="141" t="s">
        <v>137</v>
      </c>
      <c r="B95" s="142" t="s">
        <v>134</v>
      </c>
      <c r="C95" s="46">
        <v>61</v>
      </c>
      <c r="D95" s="43">
        <f ca="1">((100/(H87))*C95)/100</f>
        <v>1</v>
      </c>
      <c r="E95" s="161"/>
      <c r="F95" s="242"/>
      <c r="G95" s="161"/>
      <c r="H95" s="162"/>
      <c r="I95" s="13" t="s">
        <v>145</v>
      </c>
      <c r="J95" s="26">
        <f ca="1">(IF(B87&gt;2,(H87/(B87+2)+J94),0))</f>
        <v>48.8</v>
      </c>
    </row>
    <row r="96" spans="1:17" ht="15.75" hidden="1" customHeight="1" x14ac:dyDescent="0.3">
      <c r="A96" s="141" t="s">
        <v>133</v>
      </c>
      <c r="B96" s="142" t="s">
        <v>133</v>
      </c>
      <c r="C96" s="46">
        <v>61</v>
      </c>
      <c r="D96" s="43">
        <f ca="1">((100/H87)*C96)/100</f>
        <v>1</v>
      </c>
      <c r="E96" s="161"/>
      <c r="F96" s="242"/>
      <c r="G96" s="161"/>
      <c r="H96" s="162"/>
      <c r="I96" s="13" t="s">
        <v>146</v>
      </c>
      <c r="J96" s="27">
        <f>(IF(B87&gt;3,(H87/(B87+2)+J95),0))</f>
        <v>0</v>
      </c>
    </row>
    <row r="97" spans="1:11" ht="15.75" hidden="1" customHeight="1" x14ac:dyDescent="0.3">
      <c r="A97" s="141" t="s">
        <v>140</v>
      </c>
      <c r="B97" s="142"/>
      <c r="C97" s="46">
        <v>61</v>
      </c>
      <c r="D97" s="43">
        <f ca="1">((100/H87)*C97)/100</f>
        <v>1</v>
      </c>
      <c r="E97" s="161"/>
      <c r="F97" s="242"/>
      <c r="G97" s="161"/>
      <c r="H97" s="162"/>
      <c r="I97" s="13" t="s">
        <v>147</v>
      </c>
      <c r="J97" s="26">
        <f>(IF(B87&gt;4,(H87/(B87+2)+J96),0))</f>
        <v>0</v>
      </c>
    </row>
    <row r="98" spans="1:11" ht="15.75" hidden="1" customHeight="1" x14ac:dyDescent="0.3">
      <c r="A98" s="141" t="s">
        <v>135</v>
      </c>
      <c r="B98" s="142" t="s">
        <v>135</v>
      </c>
      <c r="C98" s="46">
        <v>61</v>
      </c>
      <c r="D98" s="43">
        <f ca="1">((100/(H87))*C98)/100</f>
        <v>1</v>
      </c>
      <c r="E98" s="161"/>
      <c r="F98" s="242"/>
      <c r="G98" s="161"/>
      <c r="H98" s="162"/>
      <c r="I98" s="13" t="s">
        <v>149</v>
      </c>
      <c r="J98" s="26">
        <f>(IF(B87=1,(H87/(B87+3)+J93),IF(B87=0,(H87/4+J93),IF(B87&gt;1,0))))</f>
        <v>0</v>
      </c>
    </row>
    <row r="99" spans="1:11" ht="16.2" hidden="1" thickBot="1" x14ac:dyDescent="0.35">
      <c r="A99" s="239" t="s">
        <v>136</v>
      </c>
      <c r="B99" s="240"/>
      <c r="C99" s="47">
        <v>61</v>
      </c>
      <c r="D99" s="44">
        <f ca="1">((100/(H87))*C99)/100</f>
        <v>1</v>
      </c>
      <c r="E99" s="163"/>
      <c r="F99" s="248"/>
      <c r="G99" s="163"/>
      <c r="H99" s="164"/>
      <c r="I99" s="14" t="s">
        <v>104</v>
      </c>
      <c r="J99" s="28">
        <f ca="1">(IF(B87&gt;1.5,(H87/(B87+2)+J93+MAX(0,J94-J93)+MAX(0,J95-J94)+MAX(0,J96-J95)+MAX(0,J97-J96)+MAX(0,J98-J97)),IF(B87=1,(H87/(B87+3)+J98),IF(B87=0,H87/4+J98))))</f>
        <v>60.999999999999993</v>
      </c>
    </row>
    <row r="100" spans="1:11" ht="33" customHeight="1" x14ac:dyDescent="0.3">
      <c r="A100" s="243" t="s">
        <v>142</v>
      </c>
      <c r="B100" s="244"/>
      <c r="C100" s="245" t="str">
        <f>D61</f>
        <v>Tower F = 2 level Basement + G/St + 1st to 4th Floor (Podium) + 5th Floor (Eco deck) + 6th to 65th Floor</v>
      </c>
      <c r="D100" s="246"/>
      <c r="E100" s="246"/>
      <c r="F100" s="246"/>
      <c r="G100" s="246"/>
      <c r="H100" s="247"/>
      <c r="I100" s="56" t="str">
        <f ca="1">IF(D113=100%,"All work Completed. Possession granted to the Building.",IF(D112=100%,"All work Completed, Waiting for OC",I101&amp;""&amp;I102&amp;""&amp;J101&amp;""&amp;J100&amp;" "&amp;J102))</f>
        <v>Excavation, Plinth Completed, RCC upto 64 Slab, Brickwork upto 62 Floor, Internal Plaster upto 43.4 Floor, External Plaster upto 43.4 Floor, Flooring upto 14 Floor Completed</v>
      </c>
      <c r="J100" s="38" t="str">
        <f ca="1">(IF(C106=(D101+F101+H101),"",IF(C106&gt;0,", RCC upto "&amp;C106&amp;" Slab","")))&amp;(IF(C107=H101,"",IF(C107&gt;0,", Brickwork upto "&amp;C107&amp;" Floor","")))&amp;(IF(C108=H101,"",IF(C108&gt;0,", Internal Plaster upto "&amp;C108&amp;" Floor","")))&amp;(IF(C109=H101,"",IF(C109&gt;0,", External Plaster upto "&amp;C109&amp;" Floor","")))&amp;(IF(C110=H101,"",IF(C110&gt;0,", Flooring upto "&amp;C110&amp;" Floor","")))&amp;(IF(C111=H101,"",IF(C111&gt;0,", Painting upto "&amp;C111&amp;" Floor","")))&amp;(IF(C112=H101,"",IF(C112&gt;0,", Finishing upto "&amp;C112&amp;" Floor","")))&amp;(IF(C113=H101,"",IF(C113&gt;0,", Possession upto "&amp;C113&amp;" Floor","")))</f>
        <v>, RCC upto 64 Slab, Brickwork upto 62 Floor, Internal Plaster upto 43.4 Floor, External Plaster upto 43.4 Floor, Flooring upto 14 Floor</v>
      </c>
    </row>
    <row r="101" spans="1:11" x14ac:dyDescent="0.3">
      <c r="A101" s="15" t="s">
        <v>144</v>
      </c>
      <c r="B101" s="51">
        <v>2</v>
      </c>
      <c r="C101" s="51" t="s">
        <v>72</v>
      </c>
      <c r="D101" s="51">
        <v>1</v>
      </c>
      <c r="E101" s="51" t="s">
        <v>71</v>
      </c>
      <c r="F101" s="51">
        <v>0</v>
      </c>
      <c r="G101" s="51" t="s">
        <v>80</v>
      </c>
      <c r="H101" s="16">
        <f ca="1">--TRIM(RIGHT(SUBSTITUTE(LEFT(C100,_xlfn.AGGREGATE(16,6,FIND({0,1,2,3,4,5,6,7,8,9},C100,ROW(INDIRECT("1:"&amp;LEN(C100)))),1))," ",REPT(" ",LEN(C100))),LEN(C100)))</f>
        <v>65</v>
      </c>
      <c r="I101" s="39" t="str">
        <f ca="1">IF(D104=100%,"Excavation","")&amp;IF(D105=100%,", Plinth","")&amp;IF(D106=100%,", RCC Slab","")&amp;IF(D107=100%,", Brickwork","")&amp;IF(D108=100%,", Internal Plaster","")&amp;IF(D109=100%,", External Plaster","")&amp;IF(D110=100%,", Flooring","")&amp;IF(D111=100%,", Painting","")&amp;IF(D112=100%,", Building common Amenities","")</f>
        <v>Excavation, Plinth</v>
      </c>
      <c r="J101" s="40" t="str">
        <f ca="1">(IF(C104=0,"Work not yet Started.",IF(D104=25%,"Piling work in process",IF(D104=50%,"Excavation work in process",IF(D104=100%,"","0")))))&amp;(IF(C105=0%,"",IF(C105=J106,", Footing work is process",IF(C105=J107,", Footing work Completed",IF(C105=J108,", 1st Basement Completed",IF(C105=J109,", 1st &amp; 2nd Basement Completed",IF(C105=J110,", 1st to 3rd Basement Completed",IF(C105=J111,", 1st to 4th Basement Completed",IF(C105=J112,", Plinth work is process",IF(C105=J113,"","0"))))))))))</f>
        <v/>
      </c>
    </row>
    <row r="102" spans="1:11" ht="49.2" customHeight="1" x14ac:dyDescent="0.3">
      <c r="A102" s="150" t="s">
        <v>90</v>
      </c>
      <c r="B102" s="151"/>
      <c r="C102" s="152" t="str">
        <f ca="1">(IF($C$54=C100,"All work Completed. OC Received.",I100))</f>
        <v>Excavation, Plinth Completed, RCC upto 64 Slab, Brickwork upto 62 Floor, Internal Plaster upto 43.4 Floor, External Plaster upto 43.4 Floor, Flooring upto 14 Floor Completed</v>
      </c>
      <c r="D102" s="152"/>
      <c r="E102" s="152"/>
      <c r="F102" s="152"/>
      <c r="G102" s="152"/>
      <c r="H102" s="153"/>
      <c r="I102" s="39" t="str">
        <f ca="1">IF(I101&lt;&gt;""," Completed","")</f>
        <v xml:space="preserve"> Completed</v>
      </c>
      <c r="J102" s="40" t="str">
        <f ca="1">IF(J100&lt;&gt;"","Completed","")</f>
        <v>Completed</v>
      </c>
    </row>
    <row r="103" spans="1:11" ht="15.75" customHeight="1" x14ac:dyDescent="0.3">
      <c r="A103" s="141" t="s">
        <v>48</v>
      </c>
      <c r="B103" s="142"/>
      <c r="C103" s="46" t="s">
        <v>141</v>
      </c>
      <c r="D103" s="46" t="s">
        <v>83</v>
      </c>
      <c r="E103" s="142" t="s">
        <v>85</v>
      </c>
      <c r="F103" s="142"/>
      <c r="G103" s="142" t="s">
        <v>84</v>
      </c>
      <c r="H103" s="158"/>
      <c r="I103" s="13" t="s">
        <v>143</v>
      </c>
      <c r="J103" s="24">
        <f ca="1">H101*25%</f>
        <v>16.25</v>
      </c>
    </row>
    <row r="104" spans="1:11" x14ac:dyDescent="0.3">
      <c r="A104" s="141" t="s">
        <v>130</v>
      </c>
      <c r="B104" s="142"/>
      <c r="C104" s="46">
        <f ca="1">J105</f>
        <v>65</v>
      </c>
      <c r="D104" s="43">
        <f ca="1">((100/H101)*C104)/100</f>
        <v>1</v>
      </c>
      <c r="E104" s="159">
        <f ca="1">(((C105/H101*10)+(40/(D101+F101+H101)*C106)+(7.5/(H101)*C107)+(7.5/(H101)*C108)+(10/H101*C109)+(10/H101*C110)+(5/H101*C111)+(5/H101*C112)+(5/H101*C113))/100)</f>
        <v>0.6978018648018649</v>
      </c>
      <c r="F104" s="241"/>
      <c r="G104" s="159">
        <f ca="1">((((C104/H101)*20)+((C105/H101)*25)+(30/(H101+F101+D101)*C106)+(5/H101*C107)+(5/H101*C108)+(5/H101*C109)+(5/H101*C110)+(0/H101*C111)+(0/H101*C112)+(5/H101*C113))/100)</f>
        <v>0.86613986013986033</v>
      </c>
      <c r="H104" s="160"/>
      <c r="I104" s="13" t="s">
        <v>100</v>
      </c>
      <c r="J104" s="25">
        <f ca="1">H101*50%</f>
        <v>32.5</v>
      </c>
    </row>
    <row r="105" spans="1:11" x14ac:dyDescent="0.3">
      <c r="A105" s="141" t="s">
        <v>49</v>
      </c>
      <c r="B105" s="142"/>
      <c r="C105" s="46">
        <f ca="1">J113</f>
        <v>65</v>
      </c>
      <c r="D105" s="43">
        <f ca="1">((100/H101)*C105)/100</f>
        <v>1</v>
      </c>
      <c r="E105" s="161"/>
      <c r="F105" s="242"/>
      <c r="G105" s="161"/>
      <c r="H105" s="162"/>
      <c r="I105" s="13" t="s">
        <v>101</v>
      </c>
      <c r="J105" s="25">
        <f ca="1">H101</f>
        <v>65</v>
      </c>
    </row>
    <row r="106" spans="1:11" ht="15.75" customHeight="1" x14ac:dyDescent="0.3">
      <c r="A106" s="141" t="s">
        <v>131</v>
      </c>
      <c r="B106" s="142"/>
      <c r="C106" s="46">
        <v>64</v>
      </c>
      <c r="D106" s="43">
        <f ca="1">((100/(D101+F101+H101))*C106)/100</f>
        <v>0.96969696969696972</v>
      </c>
      <c r="E106" s="161"/>
      <c r="F106" s="242"/>
      <c r="G106" s="161"/>
      <c r="H106" s="162"/>
      <c r="I106" s="13" t="s">
        <v>102</v>
      </c>
      <c r="J106" s="26">
        <f ca="1">(IF(B101&gt;1,(H101/(B101+2)),H101/4))</f>
        <v>16.25</v>
      </c>
      <c r="K106" s="17">
        <f>0.94*66</f>
        <v>62.04</v>
      </c>
    </row>
    <row r="107" spans="1:11" ht="15.75" customHeight="1" x14ac:dyDescent="0.3">
      <c r="A107" s="141" t="s">
        <v>138</v>
      </c>
      <c r="B107" s="142" t="s">
        <v>132</v>
      </c>
      <c r="C107" s="46">
        <f>C106-2</f>
        <v>62</v>
      </c>
      <c r="D107" s="43">
        <f ca="1">((100/H101)*C107)/100</f>
        <v>0.9538461538461539</v>
      </c>
      <c r="E107" s="161"/>
      <c r="F107" s="242"/>
      <c r="G107" s="161"/>
      <c r="H107" s="162"/>
      <c r="I107" s="13" t="s">
        <v>103</v>
      </c>
      <c r="J107" s="26">
        <f ca="1">(IF(B101&gt;1,(H101/(B101+2)+J106),H101/4+J106))</f>
        <v>32.5</v>
      </c>
    </row>
    <row r="108" spans="1:11" ht="15.75" customHeight="1" x14ac:dyDescent="0.3">
      <c r="A108" s="141" t="s">
        <v>139</v>
      </c>
      <c r="B108" s="142" t="s">
        <v>132</v>
      </c>
      <c r="C108" s="58">
        <f>C107*0.7</f>
        <v>43.4</v>
      </c>
      <c r="D108" s="43">
        <f ca="1">((100/H101)*C108)/100</f>
        <v>0.6676923076923077</v>
      </c>
      <c r="E108" s="161"/>
      <c r="F108" s="242"/>
      <c r="G108" s="161"/>
      <c r="H108" s="162"/>
      <c r="I108" s="13" t="s">
        <v>148</v>
      </c>
      <c r="J108" s="26">
        <f ca="1">(IF(B101&gt;1,(H101/(B101+2)+J107),0))</f>
        <v>48.75</v>
      </c>
    </row>
    <row r="109" spans="1:11" ht="15" customHeight="1" x14ac:dyDescent="0.3">
      <c r="A109" s="141" t="s">
        <v>137</v>
      </c>
      <c r="B109" s="142" t="s">
        <v>134</v>
      </c>
      <c r="C109" s="58">
        <f>C108</f>
        <v>43.4</v>
      </c>
      <c r="D109" s="43">
        <f ca="1">((100/(H101))*C109)/100</f>
        <v>0.6676923076923077</v>
      </c>
      <c r="E109" s="161"/>
      <c r="F109" s="242"/>
      <c r="G109" s="161"/>
      <c r="H109" s="162"/>
      <c r="I109" s="13" t="s">
        <v>145</v>
      </c>
      <c r="J109" s="26">
        <f>(IF(B101&gt;2,(H101/(B101+2)+J108),0))</f>
        <v>0</v>
      </c>
    </row>
    <row r="110" spans="1:11" ht="15.75" customHeight="1" x14ac:dyDescent="0.3">
      <c r="A110" s="141" t="s">
        <v>133</v>
      </c>
      <c r="B110" s="142" t="s">
        <v>133</v>
      </c>
      <c r="C110" s="46">
        <v>14</v>
      </c>
      <c r="D110" s="43">
        <f ca="1">((100/H101)*C110)/100</f>
        <v>0.2153846153846154</v>
      </c>
      <c r="E110" s="161"/>
      <c r="F110" s="242"/>
      <c r="G110" s="161"/>
      <c r="H110" s="162"/>
      <c r="I110" s="13" t="s">
        <v>146</v>
      </c>
      <c r="J110" s="27">
        <f>(IF(B101&gt;3,(H101/(B101+2)+J109),0))</f>
        <v>0</v>
      </c>
    </row>
    <row r="111" spans="1:11" ht="15.75" customHeight="1" x14ac:dyDescent="0.3">
      <c r="A111" s="141" t="s">
        <v>140</v>
      </c>
      <c r="B111" s="142"/>
      <c r="C111" s="46">
        <v>0</v>
      </c>
      <c r="D111" s="43">
        <f ca="1">((100/H101)*C111)/100</f>
        <v>0</v>
      </c>
      <c r="E111" s="161"/>
      <c r="F111" s="242"/>
      <c r="G111" s="161"/>
      <c r="H111" s="162"/>
      <c r="I111" s="13" t="s">
        <v>147</v>
      </c>
      <c r="J111" s="26">
        <f>(IF(B101&gt;4,(H101/(B101+2)+J110),0))</f>
        <v>0</v>
      </c>
    </row>
    <row r="112" spans="1:11" ht="15.75" customHeight="1" x14ac:dyDescent="0.3">
      <c r="A112" s="141" t="s">
        <v>135</v>
      </c>
      <c r="B112" s="142" t="s">
        <v>135</v>
      </c>
      <c r="C112" s="46">
        <v>0</v>
      </c>
      <c r="D112" s="43">
        <f ca="1">((100/(H101))*C112)/100</f>
        <v>0</v>
      </c>
      <c r="E112" s="161"/>
      <c r="F112" s="242"/>
      <c r="G112" s="161"/>
      <c r="H112" s="162"/>
      <c r="I112" s="13" t="s">
        <v>149</v>
      </c>
      <c r="J112" s="26">
        <f>(IF(B101=1,(H101/(B101+3)+J107),IF(B101=0,(H101/4+J107),IF(B101&gt;1,0))))</f>
        <v>0</v>
      </c>
    </row>
    <row r="113" spans="1:12" ht="16.2" thickBot="1" x14ac:dyDescent="0.35">
      <c r="A113" s="239" t="s">
        <v>136</v>
      </c>
      <c r="B113" s="240"/>
      <c r="C113" s="47">
        <v>0</v>
      </c>
      <c r="D113" s="44">
        <f ca="1">((100/(H101))*C113)/100</f>
        <v>0</v>
      </c>
      <c r="E113" s="163"/>
      <c r="F113" s="248"/>
      <c r="G113" s="163"/>
      <c r="H113" s="164"/>
      <c r="I113" s="14" t="s">
        <v>104</v>
      </c>
      <c r="J113" s="28">
        <f ca="1">(IF(B101&gt;1.5,(H101/(B101+2)+J107+MAX(0,J108-J107)+MAX(0,J109-J108)+MAX(0,J110-J109)+MAX(0,J111-J110)+MAX(0,J112-J111)),IF(B101=1,(H101/(B101+3)+J112),IF(B101=0,H101/4+J112))))</f>
        <v>65</v>
      </c>
    </row>
    <row r="114" spans="1:12" ht="17.25" customHeight="1" x14ac:dyDescent="0.3">
      <c r="A114" s="243" t="s">
        <v>142</v>
      </c>
      <c r="B114" s="244"/>
      <c r="C114" s="245" t="str">
        <f>D62</f>
        <v>Wing G = 2B + G + 4P + 5th Eco-Deck + 6th to 65th Floor
Tower H = Basement + G/St + 1st to 4th Floor (Podium) + 5th Floor (Eco deck) + 6th &amp; 65th Floor</v>
      </c>
      <c r="D114" s="246"/>
      <c r="E114" s="246"/>
      <c r="F114" s="246"/>
      <c r="G114" s="246"/>
      <c r="H114" s="247"/>
      <c r="I114" s="56" t="str">
        <f ca="1">IF(D127=100%,"All work Completed. Possession granted to the Building.",IF(D126=100%,"All work Completed, Waiting for OC",I115&amp;""&amp;I116&amp;""&amp;J115&amp;""&amp;J114&amp;" "&amp;J116))</f>
        <v>Excavation, Plinth Completed, RCC upto 54 Slab, Brickwork upto 52 Floor, Internal Plaster upto 36.4 Floor, External Plaster upto 36.4 Floor Completed</v>
      </c>
      <c r="J114" s="38" t="str">
        <f ca="1">(IF(C120=(D115+F115+H115),"",IF(C120&gt;0,", RCC upto "&amp;C120&amp;" Slab","")))&amp;(IF(C121=H115,"",IF(C121&gt;0,", Brickwork upto "&amp;C121&amp;" Floor","")))&amp;(IF(C122=H115,"",IF(C122&gt;0,", Internal Plaster upto "&amp;C122&amp;" Floor","")))&amp;(IF(C123=H115,"",IF(C123&gt;0,", External Plaster upto "&amp;C123&amp;" Floor","")))&amp;(IF(C124=H115,"",IF(C124&gt;0,", Flooring upto "&amp;C124&amp;" Floor","")))&amp;(IF(C125=H115,"",IF(C125&gt;0,", Painting upto "&amp;C125&amp;" Floor","")))&amp;(IF(C126=H115,"",IF(C126&gt;0,", Finishing upto "&amp;C126&amp;" Floor","")))&amp;(IF(C127=H115,"",IF(C127&gt;0,", Possession upto "&amp;C127&amp;" Floor","")))</f>
        <v>, RCC upto 54 Slab, Brickwork upto 52 Floor, Internal Plaster upto 36.4 Floor, External Plaster upto 36.4 Floor</v>
      </c>
    </row>
    <row r="115" spans="1:12" x14ac:dyDescent="0.3">
      <c r="A115" s="15" t="s">
        <v>144</v>
      </c>
      <c r="B115" s="51">
        <v>2</v>
      </c>
      <c r="C115" s="51" t="s">
        <v>72</v>
      </c>
      <c r="D115" s="51">
        <v>1</v>
      </c>
      <c r="E115" s="51" t="s">
        <v>71</v>
      </c>
      <c r="F115" s="51">
        <v>0</v>
      </c>
      <c r="G115" s="51" t="s">
        <v>80</v>
      </c>
      <c r="H115" s="16">
        <f ca="1">--TRIM(RIGHT(SUBSTITUTE(LEFT(C114,_xlfn.AGGREGATE(16,6,FIND({0,1,2,3,4,5,6,7,8,9},C114,ROW(INDIRECT("1:"&amp;LEN(C114)))),1))," ",REPT(" ",LEN(C114))),LEN(C114)))</f>
        <v>65</v>
      </c>
      <c r="I115" s="39" t="str">
        <f ca="1">IF(D118=100%,"Excavation","")&amp;IF(D119=100%,", Plinth","")&amp;IF(D120=100%,", RCC Slab","")&amp;IF(D121=100%,", Brickwork","")&amp;IF(D122=100%,", Internal Plaster","")&amp;IF(D123=100%,", External Plaster","")&amp;IF(D124=100%,", Flooring","")&amp;IF(D125=100%,", Painting","")&amp;IF(D126=100%,", Building common Amenities","")</f>
        <v>Excavation, Plinth</v>
      </c>
      <c r="J115" s="40" t="str">
        <f ca="1">(IF(C118=0,"Work not yet Started.",IF(D118=25%,"Piling work in process",IF(D118=50%,"Excavation work in process",IF(D118=100%,"","0")))))&amp;(IF(C119=0%,"",IF(C119=J120,", Footing work is process",IF(C119=J121,", Footing work Completed",IF(C119=J122,", 1st Basement Completed",IF(C119=J123,", 1st &amp; 2nd Basement Completed",IF(C119=J124,", 1st to 3rd Basement Completed",IF(C119=J125,", 1st to 4th Basement Completed",IF(C119=J126,", Plinth work is process",IF(C119=J127,"","0"))))))))))</f>
        <v/>
      </c>
    </row>
    <row r="116" spans="1:12" ht="34.200000000000003" customHeight="1" x14ac:dyDescent="0.3">
      <c r="A116" s="150" t="s">
        <v>90</v>
      </c>
      <c r="B116" s="151"/>
      <c r="C116" s="152" t="str">
        <f ca="1">(IF($C$54=C114,"All work Completed. OC Received.",I114))</f>
        <v>Excavation, Plinth Completed, RCC upto 54 Slab, Brickwork upto 52 Floor, Internal Plaster upto 36.4 Floor, External Plaster upto 36.4 Floor Completed</v>
      </c>
      <c r="D116" s="152"/>
      <c r="E116" s="152"/>
      <c r="F116" s="152"/>
      <c r="G116" s="152"/>
      <c r="H116" s="153"/>
      <c r="I116" s="39" t="str">
        <f ca="1">IF(I115&lt;&gt;""," Completed","")</f>
        <v xml:space="preserve"> Completed</v>
      </c>
      <c r="J116" s="40" t="str">
        <f ca="1">IF(J114&lt;&gt;"","Completed","")</f>
        <v>Completed</v>
      </c>
    </row>
    <row r="117" spans="1:12" ht="15.75" customHeight="1" x14ac:dyDescent="0.3">
      <c r="A117" s="141" t="s">
        <v>48</v>
      </c>
      <c r="B117" s="142"/>
      <c r="C117" s="46" t="s">
        <v>141</v>
      </c>
      <c r="D117" s="46" t="s">
        <v>83</v>
      </c>
      <c r="E117" s="142" t="s">
        <v>85</v>
      </c>
      <c r="F117" s="142"/>
      <c r="G117" s="142" t="s">
        <v>84</v>
      </c>
      <c r="H117" s="158"/>
      <c r="I117" s="13" t="s">
        <v>143</v>
      </c>
      <c r="J117" s="24">
        <f ca="1">H115*25%</f>
        <v>16.25</v>
      </c>
    </row>
    <row r="118" spans="1:12" x14ac:dyDescent="0.3">
      <c r="A118" s="141" t="s">
        <v>130</v>
      </c>
      <c r="B118" s="142"/>
      <c r="C118" s="46">
        <f ca="1">J119</f>
        <v>65</v>
      </c>
      <c r="D118" s="43">
        <f ca="1">((100/H115)*C118)/100</f>
        <v>1</v>
      </c>
      <c r="E118" s="159">
        <f ca="1">(((C119/H115*10)+(40/(D115+F115+H115)*C120)+(7.5/(H115)*C121)+(7.5/(H115)*C122)+(10/H115*C123)+(10/H115*C124)+(5/H115*C125)+(5/H115*C126)+(5/H115*C127))/100)</f>
        <v>0.58527272727272728</v>
      </c>
      <c r="F118" s="241"/>
      <c r="G118" s="159">
        <f ca="1">((((C118/H115)*20)+((C119/H115)*25)+(30/(H115+F115+D115)*C120)+(5/H115*C121)+(5/H115*C122)+(5/H115*C123)+(5/H115*C124)+(0/H115*C125)+(0/H115*C126)+(5/H115*C127))/100)</f>
        <v>0.79145454545454541</v>
      </c>
      <c r="H118" s="160"/>
      <c r="I118" s="13" t="s">
        <v>100</v>
      </c>
      <c r="J118" s="25">
        <f ca="1">H115*50%</f>
        <v>32.5</v>
      </c>
    </row>
    <row r="119" spans="1:12" x14ac:dyDescent="0.3">
      <c r="A119" s="141" t="s">
        <v>49</v>
      </c>
      <c r="B119" s="142"/>
      <c r="C119" s="58">
        <f ca="1">J127</f>
        <v>65</v>
      </c>
      <c r="D119" s="43">
        <f ca="1">((100/H115)*C119)/100</f>
        <v>1</v>
      </c>
      <c r="E119" s="161"/>
      <c r="F119" s="242"/>
      <c r="G119" s="161"/>
      <c r="H119" s="162"/>
      <c r="I119" s="13" t="s">
        <v>101</v>
      </c>
      <c r="J119" s="25">
        <f ca="1">H115</f>
        <v>65</v>
      </c>
    </row>
    <row r="120" spans="1:12" ht="15.75" customHeight="1" x14ac:dyDescent="0.3">
      <c r="A120" s="141" t="s">
        <v>131</v>
      </c>
      <c r="B120" s="142"/>
      <c r="C120" s="46">
        <v>54</v>
      </c>
      <c r="D120" s="43">
        <f ca="1">((100/(D115+F115+H115))*C120)/100</f>
        <v>0.81818181818181812</v>
      </c>
      <c r="E120" s="161"/>
      <c r="F120" s="242"/>
      <c r="G120" s="161"/>
      <c r="H120" s="162"/>
      <c r="I120" s="13" t="s">
        <v>102</v>
      </c>
      <c r="J120" s="26">
        <f ca="1">(IF(B115&gt;1,(H115/(B115+2)),H115/4))</f>
        <v>16.25</v>
      </c>
      <c r="K120" s="17">
        <f>0.76*66</f>
        <v>50.160000000000004</v>
      </c>
    </row>
    <row r="121" spans="1:12" ht="15.75" customHeight="1" x14ac:dyDescent="0.3">
      <c r="A121" s="141" t="s">
        <v>138</v>
      </c>
      <c r="B121" s="142" t="s">
        <v>132</v>
      </c>
      <c r="C121" s="46">
        <f>C120-2</f>
        <v>52</v>
      </c>
      <c r="D121" s="43">
        <f ca="1">((100/H115)*C121)/100</f>
        <v>0.8</v>
      </c>
      <c r="E121" s="161"/>
      <c r="F121" s="242"/>
      <c r="G121" s="161"/>
      <c r="H121" s="162"/>
      <c r="I121" s="13" t="s">
        <v>103</v>
      </c>
      <c r="J121" s="26">
        <f ca="1">(IF(B115&gt;1,(H115/(B115+2)+J120),H115/4+J120))</f>
        <v>32.5</v>
      </c>
    </row>
    <row r="122" spans="1:12" ht="15.75" customHeight="1" x14ac:dyDescent="0.3">
      <c r="A122" s="141" t="s">
        <v>139</v>
      </c>
      <c r="B122" s="142" t="s">
        <v>132</v>
      </c>
      <c r="C122" s="58">
        <f>C121*0.7</f>
        <v>36.4</v>
      </c>
      <c r="D122" s="43">
        <f ca="1">((100/H115)*C122)/100</f>
        <v>0.56000000000000005</v>
      </c>
      <c r="E122" s="161"/>
      <c r="F122" s="242"/>
      <c r="G122" s="161"/>
      <c r="H122" s="162"/>
      <c r="I122" s="13" t="s">
        <v>148</v>
      </c>
      <c r="J122" s="26">
        <f ca="1">(IF(B115&gt;1,(H115/(B115+2)+J121),0))</f>
        <v>48.75</v>
      </c>
    </row>
    <row r="123" spans="1:12" ht="15" customHeight="1" x14ac:dyDescent="0.3">
      <c r="A123" s="141" t="s">
        <v>137</v>
      </c>
      <c r="B123" s="142" t="s">
        <v>134</v>
      </c>
      <c r="C123" s="58">
        <f>C122</f>
        <v>36.4</v>
      </c>
      <c r="D123" s="43">
        <f ca="1">((100/(H115))*C123)/100</f>
        <v>0.56000000000000005</v>
      </c>
      <c r="E123" s="161"/>
      <c r="F123" s="242"/>
      <c r="G123" s="161"/>
      <c r="H123" s="162"/>
      <c r="I123" s="13" t="s">
        <v>145</v>
      </c>
      <c r="J123" s="26">
        <f>(IF(B115&gt;2,(H115/(B115+2)+J122),0))</f>
        <v>0</v>
      </c>
    </row>
    <row r="124" spans="1:12" ht="15.75" customHeight="1" x14ac:dyDescent="0.3">
      <c r="A124" s="141" t="s">
        <v>133</v>
      </c>
      <c r="B124" s="142" t="s">
        <v>133</v>
      </c>
      <c r="C124" s="46">
        <v>0</v>
      </c>
      <c r="D124" s="43">
        <f ca="1">((100/H115)*C124)/100</f>
        <v>0</v>
      </c>
      <c r="E124" s="161"/>
      <c r="F124" s="242"/>
      <c r="G124" s="161"/>
      <c r="H124" s="162"/>
      <c r="I124" s="13" t="s">
        <v>146</v>
      </c>
      <c r="J124" s="27">
        <f>(IF(B115&gt;3,(H115/(B115+2)+J123),0))</f>
        <v>0</v>
      </c>
    </row>
    <row r="125" spans="1:12" ht="15.75" customHeight="1" x14ac:dyDescent="0.3">
      <c r="A125" s="141" t="s">
        <v>140</v>
      </c>
      <c r="B125" s="142"/>
      <c r="C125" s="46">
        <v>0</v>
      </c>
      <c r="D125" s="43">
        <f ca="1">((100/H115)*C125)/100</f>
        <v>0</v>
      </c>
      <c r="E125" s="161"/>
      <c r="F125" s="242"/>
      <c r="G125" s="161"/>
      <c r="H125" s="162"/>
      <c r="I125" s="13" t="s">
        <v>147</v>
      </c>
      <c r="J125" s="26">
        <f>(IF(B115&gt;4,(H115/(B115+2)+J124),0))</f>
        <v>0</v>
      </c>
    </row>
    <row r="126" spans="1:12" ht="15.75" customHeight="1" x14ac:dyDescent="0.3">
      <c r="A126" s="141" t="s">
        <v>135</v>
      </c>
      <c r="B126" s="142" t="s">
        <v>135</v>
      </c>
      <c r="C126" s="46">
        <v>0</v>
      </c>
      <c r="D126" s="43">
        <f ca="1">((100/(H115))*C126)/100</f>
        <v>0</v>
      </c>
      <c r="E126" s="161"/>
      <c r="F126" s="242"/>
      <c r="G126" s="161"/>
      <c r="H126" s="162"/>
      <c r="I126" s="13" t="s">
        <v>149</v>
      </c>
      <c r="J126" s="26">
        <f>(IF(B115=1,(H115/(B115+3)+J121),IF(B115=0,(H115/4+J121),IF(B115&gt;1,0))))</f>
        <v>0</v>
      </c>
    </row>
    <row r="127" spans="1:12" ht="16.2" thickBot="1" x14ac:dyDescent="0.35">
      <c r="A127" s="143" t="s">
        <v>136</v>
      </c>
      <c r="B127" s="144"/>
      <c r="C127" s="72">
        <v>0</v>
      </c>
      <c r="D127" s="73">
        <f ca="1">((100/(H115))*C127)/100</f>
        <v>0</v>
      </c>
      <c r="E127" s="161"/>
      <c r="F127" s="242"/>
      <c r="G127" s="161"/>
      <c r="H127" s="162"/>
      <c r="I127" s="14" t="s">
        <v>104</v>
      </c>
      <c r="J127" s="28">
        <f ca="1">(IF(B115&gt;1.5,(H115/(B115+2)+J121+MAX(0,J122-J121)+MAX(0,J123-J122)+MAX(0,J124-J123)+MAX(0,J125-J124)+MAX(0,J126-J125)),IF(B115=1,(H115/(B115+3)+J126),IF(B115=0,H115/4+J126))))</f>
        <v>65</v>
      </c>
    </row>
    <row r="128" spans="1:12" x14ac:dyDescent="0.3">
      <c r="A128" s="152" t="s">
        <v>142</v>
      </c>
      <c r="B128" s="152"/>
      <c r="C128" s="152" t="s">
        <v>289</v>
      </c>
      <c r="D128" s="152"/>
      <c r="E128" s="152"/>
      <c r="F128" s="152"/>
      <c r="G128" s="152"/>
      <c r="H128" s="152"/>
      <c r="I128" s="70" t="str">
        <f ca="1">IF(D141=100%,"All work Completed. Possession granted to the Building.",IF(D140=100%,"All work Completed, Waiting for OC",I129&amp;""&amp;I130&amp;""&amp;J129&amp;""&amp;J128&amp;" "&amp;J130))</f>
        <v>Excavation, Plinth Completed, RCC upto 18 Slab, Brickwork upto 16 Floor, Internal Plaster upto 11.2 Floor, External Plaster upto 11.2 Floor Completed</v>
      </c>
      <c r="J128" s="38" t="str">
        <f ca="1">(IF(C134=(D129+F129+H129),"",IF(C134&gt;0,", RCC upto "&amp;C134&amp;" Slab","")))&amp;(IF(C135=H129,"",IF(C135&gt;0,", Brickwork upto "&amp;C135&amp;" Floor","")))&amp;(IF(C136=H129,"",IF(C136&gt;0,", Internal Plaster upto "&amp;C136&amp;" Floor","")))&amp;(IF(C137=H129,"",IF(C137&gt;0,", External Plaster upto "&amp;C137&amp;" Floor","")))&amp;(IF(C138=H129,"",IF(C138&gt;0,", Flooring upto "&amp;C138&amp;" Floor","")))&amp;(IF(C139=H129,"",IF(C139&gt;0,", Painting upto "&amp;C139&amp;" Floor","")))&amp;(IF(C140=H129,"",IF(C140&gt;0,", Finishing upto "&amp;C140&amp;" Floor","")))&amp;(IF(C141=H129,"",IF(C141&gt;0,", Possession upto "&amp;C141&amp;" Floor","")))</f>
        <v>, RCC upto 18 Slab, Brickwork upto 16 Floor, Internal Plaster upto 11.2 Floor, External Plaster upto 11.2 Floor</v>
      </c>
      <c r="L128" s="17" t="s">
        <v>296</v>
      </c>
    </row>
    <row r="129" spans="1:10" x14ac:dyDescent="0.3">
      <c r="A129" s="51" t="s">
        <v>144</v>
      </c>
      <c r="B129" s="51">
        <v>2</v>
      </c>
      <c r="C129" s="51" t="s">
        <v>72</v>
      </c>
      <c r="D129" s="51">
        <v>1</v>
      </c>
      <c r="E129" s="51" t="s">
        <v>71</v>
      </c>
      <c r="F129" s="51">
        <v>0</v>
      </c>
      <c r="G129" s="51" t="s">
        <v>80</v>
      </c>
      <c r="H129" s="51">
        <f ca="1">--TRIM(RIGHT(SUBSTITUTE(LEFT(C128,_xlfn.AGGREGATE(16,6,FIND({0,1,2,3,4,5,6,7,8,9},C128,ROW(INDIRECT("1:"&amp;LEN(C128)))),1))," ",REPT(" ",LEN(C128))),LEN(C128)))</f>
        <v>65</v>
      </c>
      <c r="I129" s="71" t="str">
        <f ca="1">IF(D132=100%,"Excavation","")&amp;IF(D133=100%,", Plinth","")&amp;IF(D134=100%,", RCC Slab","")&amp;IF(D135=100%,", Brickwork","")&amp;IF(D136=100%,", Internal Plaster","")&amp;IF(D137=100%,", External Plaster","")&amp;IF(D138=100%,", Flooring","")&amp;IF(D139=100%,", Painting","")&amp;IF(D140=100%,", Building common Amenities","")</f>
        <v>Excavation, Plinth</v>
      </c>
      <c r="J129" s="40" t="str">
        <f ca="1">(IF(C132=0,"Work not yet Started.",IF(D132=25%,"Piling work in process",IF(D132=50%,"Excavation work in process",IF(D132=100%,"","0")))))&amp;(IF(C133=0%,"",IF(C133=J134,", Footing work is process",IF(C133=J135,", Footing work Completed",IF(C133=J136,", 1st Basement Completed",IF(C133=J137,", 1st &amp; 2nd Basement Completed",IF(C133=J138,", 1st to 3rd Basement Completed",IF(C133=J139,", 1st to 4th Basement Completed",IF(C133=J140,", Plinth work is process",IF(C133=J141,"","0"))))))))))</f>
        <v/>
      </c>
    </row>
    <row r="130" spans="1:10" ht="36" customHeight="1" x14ac:dyDescent="0.3">
      <c r="A130" s="151" t="s">
        <v>90</v>
      </c>
      <c r="B130" s="151"/>
      <c r="C130" s="152" t="str">
        <f ca="1">(IF($C$54=C128,"All work Completed. OC Received.",I128))</f>
        <v>Excavation, Plinth Completed, RCC upto 18 Slab, Brickwork upto 16 Floor, Internal Plaster upto 11.2 Floor, External Plaster upto 11.2 Floor Completed</v>
      </c>
      <c r="D130" s="152"/>
      <c r="E130" s="152"/>
      <c r="F130" s="152"/>
      <c r="G130" s="152"/>
      <c r="H130" s="152"/>
      <c r="I130" s="71" t="str">
        <f ca="1">IF(I129&lt;&gt;""," Completed","")</f>
        <v xml:space="preserve"> Completed</v>
      </c>
      <c r="J130" s="40" t="str">
        <f ca="1">IF(J128&lt;&gt;"","Completed","")</f>
        <v>Completed</v>
      </c>
    </row>
    <row r="131" spans="1:10" ht="15.75" customHeight="1" x14ac:dyDescent="0.3">
      <c r="A131" s="142" t="s">
        <v>48</v>
      </c>
      <c r="B131" s="142"/>
      <c r="C131" s="46" t="s">
        <v>141</v>
      </c>
      <c r="D131" s="46" t="s">
        <v>83</v>
      </c>
      <c r="E131" s="142" t="s">
        <v>85</v>
      </c>
      <c r="F131" s="142"/>
      <c r="G131" s="142" t="s">
        <v>84</v>
      </c>
      <c r="H131" s="142"/>
      <c r="I131" s="13" t="s">
        <v>143</v>
      </c>
      <c r="J131" s="24">
        <f ca="1">H129*25%</f>
        <v>16.25</v>
      </c>
    </row>
    <row r="132" spans="1:10" x14ac:dyDescent="0.3">
      <c r="A132" s="142" t="s">
        <v>130</v>
      </c>
      <c r="B132" s="142"/>
      <c r="C132" s="46">
        <f ca="1">J133</f>
        <v>65</v>
      </c>
      <c r="D132" s="43">
        <f ca="1">((100/H129)*C132)/100</f>
        <v>1</v>
      </c>
      <c r="E132" s="271">
        <f ca="1">(((C133/H129*10)+(40/(D129+F129+H129)*C134)+(7.5/(H129)*C135)+(7.5/(H129)*C136)+(10/H129*C137)+(10/H129*C138)+(5/H129*C139)+(5/H129*C140)+(5/H129*C141))/100)</f>
        <v>0.25770629370629372</v>
      </c>
      <c r="F132" s="271"/>
      <c r="G132" s="271">
        <f ca="1">((((C132/H129)*20)+((C133/H129)*25)+(30/(H129+F129+D129)*C134)+(5/H129*C135)+(5/H129*C136)+(5/H129*C137)+(5/H129*C138)+(0/H129*C139)+(0/H129*C140)+(5/H129*C141))/100)</f>
        <v>0.56135664335664326</v>
      </c>
      <c r="H132" s="271"/>
      <c r="I132" s="13" t="s">
        <v>100</v>
      </c>
      <c r="J132" s="25">
        <f ca="1">H129*50%</f>
        <v>32.5</v>
      </c>
    </row>
    <row r="133" spans="1:10" x14ac:dyDescent="0.3">
      <c r="A133" s="142" t="s">
        <v>49</v>
      </c>
      <c r="B133" s="142"/>
      <c r="C133" s="58">
        <f ca="1">J141</f>
        <v>65</v>
      </c>
      <c r="D133" s="43">
        <f ca="1">((100/H129)*C133)/100</f>
        <v>1</v>
      </c>
      <c r="E133" s="271"/>
      <c r="F133" s="271"/>
      <c r="G133" s="271"/>
      <c r="H133" s="271"/>
      <c r="I133" s="13" t="s">
        <v>101</v>
      </c>
      <c r="J133" s="25">
        <f ca="1">H129</f>
        <v>65</v>
      </c>
    </row>
    <row r="134" spans="1:10" ht="15.75" customHeight="1" x14ac:dyDescent="0.3">
      <c r="A134" s="142" t="s">
        <v>131</v>
      </c>
      <c r="B134" s="142"/>
      <c r="C134" s="46">
        <v>18</v>
      </c>
      <c r="D134" s="43">
        <f ca="1">((100/(D129+F129+H129))*C134)/100</f>
        <v>0.27272727272727271</v>
      </c>
      <c r="E134" s="271"/>
      <c r="F134" s="271"/>
      <c r="G134" s="271"/>
      <c r="H134" s="271"/>
      <c r="I134" s="13" t="s">
        <v>102</v>
      </c>
      <c r="J134" s="26">
        <f ca="1">(IF(B129&gt;1,(H129/(B129+2)),H129/4))</f>
        <v>16.25</v>
      </c>
    </row>
    <row r="135" spans="1:10" ht="15.75" customHeight="1" x14ac:dyDescent="0.3">
      <c r="A135" s="142" t="s">
        <v>138</v>
      </c>
      <c r="B135" s="142" t="s">
        <v>132</v>
      </c>
      <c r="C135" s="46">
        <f>C134-2</f>
        <v>16</v>
      </c>
      <c r="D135" s="43">
        <f ca="1">((100/H129)*C135)/100</f>
        <v>0.24615384615384617</v>
      </c>
      <c r="E135" s="271"/>
      <c r="F135" s="271"/>
      <c r="G135" s="271"/>
      <c r="H135" s="271"/>
      <c r="I135" s="13" t="s">
        <v>103</v>
      </c>
      <c r="J135" s="26">
        <f ca="1">(IF(B129&gt;1,(H129/(B129+2)+J134),H129/4+J134))</f>
        <v>32.5</v>
      </c>
    </row>
    <row r="136" spans="1:10" ht="15.75" customHeight="1" x14ac:dyDescent="0.3">
      <c r="A136" s="142" t="s">
        <v>139</v>
      </c>
      <c r="B136" s="142" t="s">
        <v>132</v>
      </c>
      <c r="C136" s="58">
        <f>C135*0.7</f>
        <v>11.2</v>
      </c>
      <c r="D136" s="43">
        <f ca="1">((100/H129)*C136)/100</f>
        <v>0.1723076923076923</v>
      </c>
      <c r="E136" s="271"/>
      <c r="F136" s="271"/>
      <c r="G136" s="271"/>
      <c r="H136" s="271"/>
      <c r="I136" s="13" t="s">
        <v>148</v>
      </c>
      <c r="J136" s="26">
        <f ca="1">(IF(B129&gt;1,(H129/(B129+2)+J135),0))</f>
        <v>48.75</v>
      </c>
    </row>
    <row r="137" spans="1:10" ht="15" customHeight="1" x14ac:dyDescent="0.3">
      <c r="A137" s="142" t="s">
        <v>137</v>
      </c>
      <c r="B137" s="142" t="s">
        <v>134</v>
      </c>
      <c r="C137" s="58">
        <f>C136</f>
        <v>11.2</v>
      </c>
      <c r="D137" s="43">
        <f ca="1">((100/(H129))*C137)/100</f>
        <v>0.1723076923076923</v>
      </c>
      <c r="E137" s="271"/>
      <c r="F137" s="271"/>
      <c r="G137" s="271"/>
      <c r="H137" s="271"/>
      <c r="I137" s="13" t="s">
        <v>145</v>
      </c>
      <c r="J137" s="26">
        <f>(IF(B129&gt;2,(H129/(B129+2)+J136),0))</f>
        <v>0</v>
      </c>
    </row>
    <row r="138" spans="1:10" ht="15.75" customHeight="1" x14ac:dyDescent="0.3">
      <c r="A138" s="142" t="s">
        <v>133</v>
      </c>
      <c r="B138" s="142" t="s">
        <v>133</v>
      </c>
      <c r="C138" s="46">
        <v>0</v>
      </c>
      <c r="D138" s="43">
        <f ca="1">((100/H129)*C138)/100</f>
        <v>0</v>
      </c>
      <c r="E138" s="271"/>
      <c r="F138" s="271"/>
      <c r="G138" s="271"/>
      <c r="H138" s="271"/>
      <c r="I138" s="13" t="s">
        <v>146</v>
      </c>
      <c r="J138" s="27">
        <f>(IF(B129&gt;3,(H129/(B129+2)+J137),0))</f>
        <v>0</v>
      </c>
    </row>
    <row r="139" spans="1:10" ht="15.75" customHeight="1" x14ac:dyDescent="0.3">
      <c r="A139" s="142" t="s">
        <v>140</v>
      </c>
      <c r="B139" s="142"/>
      <c r="C139" s="46">
        <v>0</v>
      </c>
      <c r="D139" s="43">
        <f ca="1">((100/H129)*C139)/100</f>
        <v>0</v>
      </c>
      <c r="E139" s="271"/>
      <c r="F139" s="271"/>
      <c r="G139" s="271"/>
      <c r="H139" s="271"/>
      <c r="I139" s="13" t="s">
        <v>147</v>
      </c>
      <c r="J139" s="26">
        <f>(IF(B129&gt;4,(H129/(B129+2)+J138),0))</f>
        <v>0</v>
      </c>
    </row>
    <row r="140" spans="1:10" ht="15.75" customHeight="1" x14ac:dyDescent="0.3">
      <c r="A140" s="142" t="s">
        <v>135</v>
      </c>
      <c r="B140" s="142" t="s">
        <v>135</v>
      </c>
      <c r="C140" s="46">
        <v>0</v>
      </c>
      <c r="D140" s="43">
        <f ca="1">((100/(H129))*C140)/100</f>
        <v>0</v>
      </c>
      <c r="E140" s="271"/>
      <c r="F140" s="271"/>
      <c r="G140" s="271"/>
      <c r="H140" s="271"/>
      <c r="I140" s="13" t="s">
        <v>149</v>
      </c>
      <c r="J140" s="26">
        <f>(IF(B129=1,(H129/(B129+3)+J135),IF(B129=0,(H129/4+J135),IF(B129&gt;1,0))))</f>
        <v>0</v>
      </c>
    </row>
    <row r="141" spans="1:10" ht="16.2" thickBot="1" x14ac:dyDescent="0.35">
      <c r="A141" s="142" t="s">
        <v>136</v>
      </c>
      <c r="B141" s="142"/>
      <c r="C141" s="46">
        <v>0</v>
      </c>
      <c r="D141" s="43">
        <f ca="1">((100/(H129))*C141)/100</f>
        <v>0</v>
      </c>
      <c r="E141" s="271"/>
      <c r="F141" s="271"/>
      <c r="G141" s="271"/>
      <c r="H141" s="271"/>
      <c r="I141" s="14" t="s">
        <v>104</v>
      </c>
      <c r="J141" s="28">
        <f ca="1">(IF(B129&gt;1.5,(H129/(B129+2)+J135+MAX(0,J136-J135)+MAX(0,J137-J136)+MAX(0,J138-J137)+MAX(0,J139-J138)+MAX(0,J140-J139)),IF(B129=1,(H129/(B129+3)+J140),IF(B129=0,H129/4+J140))))</f>
        <v>65</v>
      </c>
    </row>
    <row r="142" spans="1:10" x14ac:dyDescent="0.3">
      <c r="A142" s="145" t="s">
        <v>142</v>
      </c>
      <c r="B142" s="146"/>
      <c r="C142" s="147" t="str">
        <f>D63</f>
        <v>Tower I &amp; J = 3 level Basement + G/St + 6 Podium  + 7th to 65th Floor</v>
      </c>
      <c r="D142" s="148"/>
      <c r="E142" s="148"/>
      <c r="F142" s="148"/>
      <c r="G142" s="148"/>
      <c r="H142" s="149"/>
      <c r="I142" s="56" t="str">
        <f ca="1">IF(D155=100%,"All work Completed. Possession granted to the Building.",IF(D154=100%,"All work Completed, Waiting for OC",I143&amp;""&amp;I144&amp;""&amp;J143&amp;""&amp;J142&amp;" "&amp;J144))</f>
        <v xml:space="preserve">Work not yet Started. </v>
      </c>
      <c r="J142" s="38" t="str">
        <f ca="1">(IF(C148=(D143+F143+H143),"",IF(C148&gt;0,", RCC upto "&amp;C148&amp;" Slab","")))&amp;(IF(C149=H143,"",IF(C149&gt;0,", Brickwork upto "&amp;C149&amp;" Floor","")))&amp;(IF(C150=H143,"",IF(C150&gt;0,", Internal Plaster upto "&amp;C150&amp;" Floor","")))&amp;(IF(C151=H143,"",IF(C151&gt;0,", External Plaster upto "&amp;C151&amp;" Floor","")))&amp;(IF(C152=H143,"",IF(C152&gt;0,", Flooring upto "&amp;C152&amp;" Floor","")))&amp;(IF(C153=H143,"",IF(C153&gt;0,", Painting upto "&amp;C153&amp;" Floor","")))&amp;(IF(C154=H143,"",IF(C154&gt;0,", Finishing upto "&amp;C154&amp;" Floor","")))&amp;(IF(C155=H143,"",IF(C155&gt;0,", Possession upto "&amp;C155&amp;" Floor","")))</f>
        <v/>
      </c>
    </row>
    <row r="143" spans="1:10" x14ac:dyDescent="0.3">
      <c r="A143" s="15" t="s">
        <v>144</v>
      </c>
      <c r="B143" s="51">
        <v>3</v>
      </c>
      <c r="C143" s="51" t="s">
        <v>72</v>
      </c>
      <c r="D143" s="51">
        <v>1</v>
      </c>
      <c r="E143" s="51" t="s">
        <v>71</v>
      </c>
      <c r="F143" s="51">
        <v>0</v>
      </c>
      <c r="G143" s="51" t="s">
        <v>80</v>
      </c>
      <c r="H143" s="16">
        <f ca="1">--TRIM(RIGHT(SUBSTITUTE(LEFT(C142,_xlfn.AGGREGATE(16,6,FIND({0,1,2,3,4,5,6,7,8,9},C142,ROW(INDIRECT("1:"&amp;LEN(C142)))),1))," ",REPT(" ",LEN(C142))),LEN(C142)))</f>
        <v>65</v>
      </c>
      <c r="I143" s="39" t="str">
        <f ca="1">IF(D146=100%,"Excavation","")&amp;IF(D147=100%,", Plinth","")&amp;IF(D148=100%,", RCC Slab","")&amp;IF(D149=100%,", Brickwork","")&amp;IF(D150=100%,", Internal Plaster","")&amp;IF(D151=100%,", External Plaster","")&amp;IF(D152=100%,", Flooring","")&amp;IF(D153=100%,", Painting","")&amp;IF(D154=100%,", Building common Amenities","")</f>
        <v/>
      </c>
      <c r="J143" s="40" t="str">
        <f>(IF(C146=0,"Work not yet Started.",IF(D146=25%,"Piling work in process",IF(D146=50%,"Excavation work in process",IF(D146=100%,"","0")))))&amp;(IF(C147=0%,"",IF(C147=J148,", Footing work is process",IF(C147=J149,", Footing work Completed",IF(C147=J150,", 1st Basement Completed",IF(C147=J151,", 1st &amp; 2nd Basement Completed",IF(C147=J152,", 1st to 3rd Basement Completed",IF(C147=J153,", 1st to 4th Basement Completed",IF(C147=J154,", Plinth work is process",IF(C147=J155,"","0"))))))))))</f>
        <v>Work not yet Started.</v>
      </c>
    </row>
    <row r="144" spans="1:10" x14ac:dyDescent="0.3">
      <c r="A144" s="150" t="s">
        <v>90</v>
      </c>
      <c r="B144" s="151"/>
      <c r="C144" s="152" t="str">
        <f ca="1">(IF($C$54=C142,"All work Completed. OC Received.",I142))</f>
        <v xml:space="preserve">Work not yet Started. </v>
      </c>
      <c r="D144" s="152"/>
      <c r="E144" s="152"/>
      <c r="F144" s="152"/>
      <c r="G144" s="152"/>
      <c r="H144" s="153"/>
      <c r="I144" s="39" t="str">
        <f ca="1">IF(I143&lt;&gt;""," Completed","")</f>
        <v/>
      </c>
      <c r="J144" s="40" t="str">
        <f ca="1">IF(J142&lt;&gt;"","Completed","")</f>
        <v/>
      </c>
    </row>
    <row r="145" spans="1:12" ht="15.75" customHeight="1" x14ac:dyDescent="0.3">
      <c r="A145" s="141" t="s">
        <v>48</v>
      </c>
      <c r="B145" s="142"/>
      <c r="C145" s="46" t="s">
        <v>141</v>
      </c>
      <c r="D145" s="46" t="s">
        <v>83</v>
      </c>
      <c r="E145" s="142" t="s">
        <v>85</v>
      </c>
      <c r="F145" s="142"/>
      <c r="G145" s="142" t="s">
        <v>84</v>
      </c>
      <c r="H145" s="158"/>
      <c r="I145" s="13" t="s">
        <v>143</v>
      </c>
      <c r="J145" s="24">
        <f ca="1">H143*25%</f>
        <v>16.25</v>
      </c>
    </row>
    <row r="146" spans="1:12" x14ac:dyDescent="0.3">
      <c r="A146" s="141" t="s">
        <v>130</v>
      </c>
      <c r="B146" s="142"/>
      <c r="C146" s="46">
        <v>0</v>
      </c>
      <c r="D146" s="43">
        <f ca="1">((100/H143)*C146)/100</f>
        <v>0</v>
      </c>
      <c r="E146" s="159">
        <f ca="1">(((C147/H143*10)+(40/(D143+F143+H143)*C148)+(7.5/(H143)*C149)+(7.5/(H143)*C150)+(10/H143*C151)+(10/H143*C152)+(5/H143*C153)+(5/H143*C154)+(5/H143*C155))/100)</f>
        <v>0</v>
      </c>
      <c r="F146" s="241"/>
      <c r="G146" s="159">
        <f ca="1">((((C146/H143)*20)+((C147/H143)*25)+(30/(H143+F143+D143)*C148)+(5/H143*C149)+(5/H143*C150)+(5/H143*C151)+(5/H143*C152)+(0/H143*C153)+(0/H143*C154)+(5/H143*C155))/100)</f>
        <v>0</v>
      </c>
      <c r="H146" s="160"/>
      <c r="I146" s="13" t="s">
        <v>100</v>
      </c>
      <c r="J146" s="25">
        <f ca="1">H143*50%</f>
        <v>32.5</v>
      </c>
    </row>
    <row r="147" spans="1:12" x14ac:dyDescent="0.3">
      <c r="A147" s="141" t="s">
        <v>49</v>
      </c>
      <c r="B147" s="142"/>
      <c r="C147" s="46">
        <v>0</v>
      </c>
      <c r="D147" s="43">
        <f ca="1">((100/H143)*C147)/100</f>
        <v>0</v>
      </c>
      <c r="E147" s="161"/>
      <c r="F147" s="242"/>
      <c r="G147" s="161"/>
      <c r="H147" s="162"/>
      <c r="I147" s="13" t="s">
        <v>101</v>
      </c>
      <c r="J147" s="25">
        <f ca="1">H143</f>
        <v>65</v>
      </c>
    </row>
    <row r="148" spans="1:12" ht="15.75" customHeight="1" x14ac:dyDescent="0.3">
      <c r="A148" s="141" t="s">
        <v>131</v>
      </c>
      <c r="B148" s="142"/>
      <c r="C148" s="46">
        <v>0</v>
      </c>
      <c r="D148" s="43">
        <f ca="1">((100/(D143+F143+H143))*C148)/100</f>
        <v>0</v>
      </c>
      <c r="E148" s="161"/>
      <c r="F148" s="242"/>
      <c r="G148" s="161"/>
      <c r="H148" s="162"/>
      <c r="I148" s="13" t="s">
        <v>102</v>
      </c>
      <c r="J148" s="26">
        <f ca="1">(IF(B143&gt;1,(H143/(B143+2)),H143/4))</f>
        <v>13</v>
      </c>
    </row>
    <row r="149" spans="1:12" ht="15.75" customHeight="1" x14ac:dyDescent="0.3">
      <c r="A149" s="141" t="s">
        <v>138</v>
      </c>
      <c r="B149" s="142" t="s">
        <v>132</v>
      </c>
      <c r="C149" s="46">
        <v>0</v>
      </c>
      <c r="D149" s="43">
        <f ca="1">((100/H143)*C149)/100</f>
        <v>0</v>
      </c>
      <c r="E149" s="161"/>
      <c r="F149" s="242"/>
      <c r="G149" s="161"/>
      <c r="H149" s="162"/>
      <c r="I149" s="13" t="s">
        <v>103</v>
      </c>
      <c r="J149" s="26">
        <f ca="1">(IF(B143&gt;1,(H143/(B143+2)+J148),H143/4+J148))</f>
        <v>26</v>
      </c>
    </row>
    <row r="150" spans="1:12" ht="15.75" customHeight="1" x14ac:dyDescent="0.3">
      <c r="A150" s="141" t="s">
        <v>139</v>
      </c>
      <c r="B150" s="142" t="s">
        <v>132</v>
      </c>
      <c r="C150" s="46">
        <v>0</v>
      </c>
      <c r="D150" s="43">
        <f ca="1">((100/H143)*C150)/100</f>
        <v>0</v>
      </c>
      <c r="E150" s="161"/>
      <c r="F150" s="242"/>
      <c r="G150" s="161"/>
      <c r="H150" s="162"/>
      <c r="I150" s="13" t="s">
        <v>148</v>
      </c>
      <c r="J150" s="26">
        <f ca="1">(IF(B143&gt;1,(H143/(B143+2)+J149),0))</f>
        <v>39</v>
      </c>
    </row>
    <row r="151" spans="1:12" ht="15" customHeight="1" x14ac:dyDescent="0.3">
      <c r="A151" s="141" t="s">
        <v>137</v>
      </c>
      <c r="B151" s="142" t="s">
        <v>134</v>
      </c>
      <c r="C151" s="46">
        <v>0</v>
      </c>
      <c r="D151" s="43">
        <f ca="1">((100/(H143))*C151)/100</f>
        <v>0</v>
      </c>
      <c r="E151" s="161"/>
      <c r="F151" s="242"/>
      <c r="G151" s="161"/>
      <c r="H151" s="162"/>
      <c r="I151" s="13" t="s">
        <v>145</v>
      </c>
      <c r="J151" s="26">
        <f ca="1">(IF(B143&gt;2,(H143/(B143+2)+J150),0))</f>
        <v>52</v>
      </c>
    </row>
    <row r="152" spans="1:12" ht="15.75" customHeight="1" x14ac:dyDescent="0.3">
      <c r="A152" s="141" t="s">
        <v>133</v>
      </c>
      <c r="B152" s="142" t="s">
        <v>133</v>
      </c>
      <c r="C152" s="46">
        <v>0</v>
      </c>
      <c r="D152" s="43">
        <f ca="1">((100/H143)*C152)/100</f>
        <v>0</v>
      </c>
      <c r="E152" s="161"/>
      <c r="F152" s="242"/>
      <c r="G152" s="161"/>
      <c r="H152" s="162"/>
      <c r="I152" s="13" t="s">
        <v>146</v>
      </c>
      <c r="J152" s="27">
        <f>(IF(B143&gt;3,(H143/(B143+2)+J151),0))</f>
        <v>0</v>
      </c>
    </row>
    <row r="153" spans="1:12" ht="15.75" customHeight="1" x14ac:dyDescent="0.3">
      <c r="A153" s="141" t="s">
        <v>140</v>
      </c>
      <c r="B153" s="142"/>
      <c r="C153" s="46">
        <v>0</v>
      </c>
      <c r="D153" s="43">
        <f ca="1">((100/H143)*C153)/100</f>
        <v>0</v>
      </c>
      <c r="E153" s="161"/>
      <c r="F153" s="242"/>
      <c r="G153" s="161"/>
      <c r="H153" s="162"/>
      <c r="I153" s="13" t="s">
        <v>147</v>
      </c>
      <c r="J153" s="26">
        <f>(IF(B143&gt;4,(H143/(B143+2)+J152),0))</f>
        <v>0</v>
      </c>
    </row>
    <row r="154" spans="1:12" ht="15.75" customHeight="1" x14ac:dyDescent="0.3">
      <c r="A154" s="141" t="s">
        <v>135</v>
      </c>
      <c r="B154" s="142" t="s">
        <v>135</v>
      </c>
      <c r="C154" s="46">
        <v>0</v>
      </c>
      <c r="D154" s="43">
        <f ca="1">((100/(H143))*C154)/100</f>
        <v>0</v>
      </c>
      <c r="E154" s="161"/>
      <c r="F154" s="242"/>
      <c r="G154" s="161"/>
      <c r="H154" s="162"/>
      <c r="I154" s="13" t="s">
        <v>149</v>
      </c>
      <c r="J154" s="26">
        <f>(IF(B143=1,(H143/(B143+3)+J149),IF(B143=0,(H143/4+J149),IF(B143&gt;1,0))))</f>
        <v>0</v>
      </c>
    </row>
    <row r="155" spans="1:12" ht="16.2" thickBot="1" x14ac:dyDescent="0.35">
      <c r="A155" s="239" t="s">
        <v>136</v>
      </c>
      <c r="B155" s="240"/>
      <c r="C155" s="47">
        <v>0</v>
      </c>
      <c r="D155" s="44">
        <f ca="1">((100/(H143))*C155)/100</f>
        <v>0</v>
      </c>
      <c r="E155" s="163"/>
      <c r="F155" s="248"/>
      <c r="G155" s="163"/>
      <c r="H155" s="164"/>
      <c r="I155" s="14" t="s">
        <v>104</v>
      </c>
      <c r="J155" s="28">
        <f ca="1">(IF(B143&gt;1.5,(H143/(B143+2)+J149+MAX(0,J150-J149)+MAX(0,J151-J150)+MAX(0,J152-J151)+MAX(0,J153-J152)+MAX(0,J154-J153)),IF(B143=1,(H143/(B143+3)+J154),IF(B143=0,H143/4+J154))))</f>
        <v>65</v>
      </c>
    </row>
    <row r="156" spans="1:12" x14ac:dyDescent="0.3">
      <c r="A156" s="157" t="s">
        <v>160</v>
      </c>
      <c r="B156" s="157"/>
      <c r="C156" s="157"/>
      <c r="D156" s="157"/>
      <c r="E156" s="157"/>
      <c r="F156" s="260" t="s">
        <v>165</v>
      </c>
      <c r="G156" s="260"/>
      <c r="H156" s="260"/>
    </row>
    <row r="157" spans="1:12" x14ac:dyDescent="0.3">
      <c r="A157" s="140" t="s">
        <v>163</v>
      </c>
      <c r="B157" s="140"/>
      <c r="C157" s="140"/>
      <c r="D157" s="140"/>
      <c r="E157" s="140"/>
      <c r="F157" s="252">
        <v>23200</v>
      </c>
      <c r="G157" s="252"/>
      <c r="H157" s="252"/>
      <c r="I157" s="60" t="s">
        <v>268</v>
      </c>
      <c r="J157" s="60" t="s">
        <v>269</v>
      </c>
      <c r="K157" s="61">
        <v>44959</v>
      </c>
      <c r="L157" s="60" t="s">
        <v>270</v>
      </c>
    </row>
    <row r="158" spans="1:12" hidden="1" x14ac:dyDescent="0.3">
      <c r="A158" s="140" t="s">
        <v>162</v>
      </c>
      <c r="B158" s="140"/>
      <c r="C158" s="140"/>
      <c r="D158" s="140"/>
      <c r="E158" s="140"/>
      <c r="F158" s="139"/>
      <c r="G158" s="139"/>
      <c r="H158" s="139"/>
    </row>
    <row r="159" spans="1:12" hidden="1" x14ac:dyDescent="0.3">
      <c r="A159" s="140" t="s">
        <v>164</v>
      </c>
      <c r="B159" s="140"/>
      <c r="C159" s="140"/>
      <c r="D159" s="140"/>
      <c r="E159" s="140"/>
      <c r="F159" s="139"/>
      <c r="G159" s="139"/>
      <c r="H159" s="139"/>
    </row>
    <row r="160" spans="1:12" s="29" customFormat="1" x14ac:dyDescent="0.25">
      <c r="A160" s="140" t="s">
        <v>161</v>
      </c>
      <c r="B160" s="140"/>
      <c r="C160" s="140"/>
      <c r="D160" s="140"/>
      <c r="E160" s="140"/>
      <c r="F160" s="170" t="s">
        <v>267</v>
      </c>
      <c r="G160" s="170"/>
      <c r="H160" s="170"/>
      <c r="K160" s="29" t="s">
        <v>292</v>
      </c>
    </row>
    <row r="161" spans="1:10" s="29" customFormat="1" x14ac:dyDescent="0.25">
      <c r="A161" s="140" t="s">
        <v>214</v>
      </c>
      <c r="B161" s="140"/>
      <c r="C161" s="140"/>
      <c r="D161" s="140"/>
      <c r="E161" s="140"/>
      <c r="F161" s="139">
        <v>150000</v>
      </c>
      <c r="G161" s="139"/>
      <c r="H161" s="139"/>
    </row>
    <row r="162" spans="1:10" s="29" customFormat="1" x14ac:dyDescent="0.25">
      <c r="A162" s="140" t="s">
        <v>95</v>
      </c>
      <c r="B162" s="140"/>
      <c r="C162" s="140"/>
      <c r="D162" s="140"/>
      <c r="E162" s="140"/>
      <c r="F162" s="139">
        <v>450000</v>
      </c>
      <c r="G162" s="139"/>
      <c r="H162" s="139"/>
    </row>
    <row r="163" spans="1:10" s="29" customFormat="1" x14ac:dyDescent="0.25">
      <c r="A163" s="140" t="s">
        <v>215</v>
      </c>
      <c r="B163" s="140"/>
      <c r="C163" s="140"/>
      <c r="D163" s="140"/>
      <c r="E163" s="140"/>
      <c r="F163" s="139">
        <v>375000</v>
      </c>
      <c r="G163" s="139"/>
      <c r="H163" s="139"/>
    </row>
    <row r="164" spans="1:10" s="29" customFormat="1" hidden="1" x14ac:dyDescent="0.25">
      <c r="A164" s="140" t="s">
        <v>96</v>
      </c>
      <c r="B164" s="140"/>
      <c r="C164" s="140"/>
      <c r="D164" s="140"/>
      <c r="E164" s="140"/>
      <c r="F164" s="139"/>
      <c r="G164" s="139"/>
      <c r="H164" s="139"/>
    </row>
    <row r="165" spans="1:10" s="29" customFormat="1" hidden="1" x14ac:dyDescent="0.25">
      <c r="A165" s="140" t="s">
        <v>97</v>
      </c>
      <c r="B165" s="140"/>
      <c r="C165" s="140"/>
      <c r="D165" s="140"/>
      <c r="E165" s="140"/>
      <c r="F165" s="139"/>
      <c r="G165" s="139"/>
      <c r="H165" s="139"/>
    </row>
    <row r="166" spans="1:10" s="29" customFormat="1" x14ac:dyDescent="0.25">
      <c r="A166" s="140" t="s">
        <v>98</v>
      </c>
      <c r="B166" s="140"/>
      <c r="C166" s="140"/>
      <c r="D166" s="140"/>
      <c r="E166" s="140"/>
      <c r="F166" s="139">
        <v>25000</v>
      </c>
      <c r="G166" s="139"/>
      <c r="H166" s="139"/>
    </row>
    <row r="167" spans="1:10" s="29" customFormat="1" hidden="1" x14ac:dyDescent="0.25">
      <c r="A167" s="140" t="s">
        <v>99</v>
      </c>
      <c r="B167" s="140"/>
      <c r="C167" s="140"/>
      <c r="D167" s="140"/>
      <c r="E167" s="140"/>
      <c r="F167" s="139"/>
      <c r="G167" s="139"/>
      <c r="H167" s="139"/>
    </row>
    <row r="168" spans="1:10" x14ac:dyDescent="0.3">
      <c r="A168" s="140" t="s">
        <v>50</v>
      </c>
      <c r="B168" s="140"/>
      <c r="C168" s="140"/>
      <c r="D168" s="140"/>
      <c r="E168" s="140"/>
      <c r="F168" s="139">
        <v>1200000</v>
      </c>
      <c r="G168" s="139"/>
      <c r="H168" s="139"/>
    </row>
    <row r="169" spans="1:10" s="30" customFormat="1" x14ac:dyDescent="0.3">
      <c r="A169" s="176" t="s">
        <v>51</v>
      </c>
      <c r="B169" s="176"/>
      <c r="C169" s="176"/>
      <c r="D169" s="176"/>
      <c r="E169" s="176"/>
      <c r="F169" s="139">
        <f>F157*0.8</f>
        <v>18560</v>
      </c>
      <c r="G169" s="139"/>
      <c r="H169" s="139"/>
    </row>
    <row r="170" spans="1:10" s="31" customFormat="1" ht="15.75" hidden="1" customHeight="1" x14ac:dyDescent="0.3">
      <c r="A170" s="172" t="s">
        <v>75</v>
      </c>
      <c r="B170" s="172"/>
      <c r="C170" s="172"/>
      <c r="D170" s="172"/>
      <c r="E170" s="172"/>
      <c r="F170" s="172"/>
      <c r="G170" s="172"/>
      <c r="H170" s="172"/>
    </row>
    <row r="171" spans="1:10" s="31" customFormat="1" ht="15.75" hidden="1" customHeight="1" x14ac:dyDescent="0.3">
      <c r="A171" s="156" t="s">
        <v>52</v>
      </c>
      <c r="B171" s="156"/>
      <c r="C171" s="154" t="s">
        <v>78</v>
      </c>
      <c r="D171" s="154"/>
      <c r="E171" s="155" t="s">
        <v>53</v>
      </c>
      <c r="F171" s="155"/>
      <c r="G171" s="156" t="s">
        <v>54</v>
      </c>
      <c r="H171" s="156"/>
    </row>
    <row r="172" spans="1:10" s="31" customFormat="1" hidden="1" x14ac:dyDescent="0.3">
      <c r="A172" s="99"/>
      <c r="B172" s="99"/>
      <c r="C172" s="100"/>
      <c r="D172" s="100"/>
      <c r="E172" s="169"/>
      <c r="F172" s="169"/>
      <c r="G172" s="171"/>
      <c r="H172" s="171"/>
    </row>
    <row r="173" spans="1:10" s="31" customFormat="1" hidden="1" x14ac:dyDescent="0.3">
      <c r="A173" s="99"/>
      <c r="B173" s="99"/>
      <c r="C173" s="100"/>
      <c r="D173" s="100"/>
      <c r="E173" s="169"/>
      <c r="F173" s="169"/>
      <c r="G173" s="171"/>
      <c r="H173" s="171"/>
    </row>
    <row r="174" spans="1:10" s="31" customFormat="1" hidden="1" x14ac:dyDescent="0.3">
      <c r="A174" s="172" t="s">
        <v>153</v>
      </c>
      <c r="B174" s="172"/>
      <c r="C174" s="154"/>
      <c r="D174" s="154"/>
      <c r="E174" s="155"/>
      <c r="F174" s="155"/>
      <c r="G174" s="156"/>
      <c r="H174" s="156"/>
    </row>
    <row r="175" spans="1:10" s="31" customFormat="1" x14ac:dyDescent="0.3">
      <c r="A175" s="172" t="s">
        <v>70</v>
      </c>
      <c r="B175" s="172"/>
      <c r="C175" s="172"/>
      <c r="D175" s="172"/>
      <c r="E175" s="172"/>
      <c r="F175" s="172"/>
      <c r="G175" s="172"/>
      <c r="H175" s="172"/>
    </row>
    <row r="176" spans="1:10" s="31" customFormat="1" ht="15.75" customHeight="1" x14ac:dyDescent="0.3">
      <c r="A176" s="156" t="s">
        <v>52</v>
      </c>
      <c r="B176" s="156"/>
      <c r="C176" s="154" t="s">
        <v>78</v>
      </c>
      <c r="D176" s="154"/>
      <c r="E176" s="155" t="s">
        <v>53</v>
      </c>
      <c r="F176" s="155"/>
      <c r="G176" s="156" t="s">
        <v>54</v>
      </c>
      <c r="H176" s="156"/>
      <c r="J176" s="31" t="s">
        <v>213</v>
      </c>
    </row>
    <row r="177" spans="1:14" s="31" customFormat="1" x14ac:dyDescent="0.3">
      <c r="A177" s="99" t="s">
        <v>247</v>
      </c>
      <c r="B177" s="99"/>
      <c r="C177" s="100">
        <f>COUNT(D211:D212)*4+COUNT(D216:D221)+COUNT(D223:D228)+COUNT(D230:D231,D234:D235)*2+COUNT(D237:D242)*20+COUNT(D244:D249)*2+COUNT(D251:D252,D255:D256)+COUNT(D259:D260,D263:D264)+COUNT(D266:D271)*20+COUNT(D273:D274,D277:D278)+COUNT(D281:D286)*2+COUNT(D288:D289,D292:D293)*2+COUNT(D295:D297,D299:D300)</f>
        <v>317</v>
      </c>
      <c r="D177" s="100"/>
      <c r="E177" s="98">
        <f>SUM(D211:D212)*4+SUM(D216:D221)+SUM(D223:D228)+SUM(D230:D231,D234:D235)*2+SUM(D237:D242)*20+SUM(D244:D249)*2+SUM(D251:D252,D255:D256)+SUM(D259:D260,D263:D264)+SUM(D266:D271)*20+SUM(D273:D274,D277:D278)+SUM(D281:D286)*2+SUM(D288:D289,D292:D293)*2+SUM(D295:D297,D299:D300)</f>
        <v>341657.97120000003</v>
      </c>
      <c r="F177" s="98"/>
      <c r="G177" s="98">
        <f>SUM(F211:F212)*4+SUM(F216:F221)+SUM(F223:F228)+SUM(F230:F231,F234:F235)*2+SUM(F237:F242)*20+SUM(F244:F249)*2+SUM(F251:F252,F255:F256)+SUM(F259:F260,F263:F264)+SUM(F266:F271)*20+SUM(F273:F274,F277:F278)+SUM(F281:F286)*2+SUM(F288:F289,F292:F293)*2+SUM(F295:F297,F299:F300)</f>
        <v>512486.95680000004</v>
      </c>
      <c r="H177" s="98"/>
      <c r="J177" s="31">
        <v>24250</v>
      </c>
    </row>
    <row r="178" spans="1:14" s="31" customFormat="1" x14ac:dyDescent="0.3">
      <c r="A178" s="99" t="s">
        <v>248</v>
      </c>
      <c r="B178" s="99"/>
      <c r="C178" s="100">
        <f>COUNT(D310:D311)*4+COUNT(D315:D322)*2+COUNT(D324:D327,D330:D331)*2+COUNT(D333:D340)*22+COUNT(D342:D345,D348:D349)+COUNT(D351:D354,D357:D358)+COUNT(D361:D368)*22+COUNT(D370:D373,D376:D377)*2+COUNT(D379:D382,D385:D386)+COUNT(D389:D393,D395:D396)</f>
        <v>425</v>
      </c>
      <c r="D178" s="100"/>
      <c r="E178" s="98">
        <f>SUM(D310:D311)*4+SUM(D315:D322)*2+SUM(D324:D327,D330:D331)*2+SUM(D333:D340)*22+SUM(D342:D345,D348:D349)+SUM(D351:D354,D357:D358)+SUM(D361:D368)*22+SUM(D370:D373,D376:D377)*2+SUM(D379:D382,D385:D386)+SUM(D389:D393,D395:D396)</f>
        <v>364880.11715999997</v>
      </c>
      <c r="F178" s="98"/>
      <c r="G178" s="98">
        <f>SUM(F310:F311)*4+SUM(F315:F322)*2+SUM(F324:F327,F330:F331)*2+SUM(F333:F340)*22+SUM(F342:F345,F348:F349)+SUM(F351:F354,F357:F358)+SUM(F361:F368)*22+SUM(F370:F373,F376:F377)*2+SUM(F379:F382,F385:F386)+SUM(F389:F393,F395:F396)</f>
        <v>547320.17573999998</v>
      </c>
      <c r="H178" s="98"/>
      <c r="J178" s="31">
        <v>24250</v>
      </c>
    </row>
    <row r="179" spans="1:14" s="31" customFormat="1" x14ac:dyDescent="0.3">
      <c r="A179" s="99" t="s">
        <v>249</v>
      </c>
      <c r="B179" s="99"/>
      <c r="C179" s="100">
        <f>COUNT(D402:D406)*4+COUNT(D410:D416)+COUNT(D418:D419,D423:D424)*2+COUNT(D426:D432)+COUNT(D434:D440)*20+COUNT(D442:D448)*2+COUNT(D450:D451,D455:D456)+COUNT(D459:D460,D464:D465)+COUNT(D467:D473)*20+COUNT(D475:D481)*2+COUNT(D483:D484,D488:D489)*2+COUNT(D491:D492,D496:D497)+COUNT(D500:D502,D505:D506)</f>
        <v>375</v>
      </c>
      <c r="D179" s="100"/>
      <c r="E179" s="98">
        <f>SUM(D402:D406)*4+SUM(D410:D416)+SUM(D418:D419,D423:D424)*2+SUM(D426:D432)+SUM(D434:D440)*20+SUM(D442:D448)*2+SUM(D450:D451,D455:D456)+SUM(D459:D460,D464:D465)+SUM(D467:D473)*20+SUM(D475:D481)*2+SUM(D483:D484,D488:D489)*2+SUM(D491:D492,D496:D497)+SUM(D500:D502,D505:D506)</f>
        <v>364105.86263999995</v>
      </c>
      <c r="F179" s="98"/>
      <c r="G179" s="98">
        <f>SUM(F402:F406)*4+SUM(F410:F416)+SUM(F418:F419,F423:F424)*2+SUM(F426:F432)+SUM(F434:F440)*20+SUM(F442:F448)*2+SUM(F450:F451,F455:F456)+SUM(F459:F460,F464:F465)+SUM(F467:F473)*20+SUM(F475:F481)*2+SUM(F483:F484,F488:F489)*2+SUM(F491:F492,F496:F497)+SUM(F500:F502,F505:F506)</f>
        <v>546158.79396000004</v>
      </c>
      <c r="H179" s="98"/>
      <c r="J179" s="31">
        <v>24250</v>
      </c>
    </row>
    <row r="180" spans="1:14" s="31" customFormat="1" x14ac:dyDescent="0.3">
      <c r="A180" s="99" t="s">
        <v>250</v>
      </c>
      <c r="B180" s="99"/>
      <c r="C180" s="100">
        <f>COUNT(D515:D516)*5+COUNT(D520:D523,D526:D527)*2+COUNT(D529:D536)*24+COUNT(D538:D541,D544:D545)+COUNT(D547:D550,D553:D554)+COUNT(D557:D564)*22+COUNT(D566:D569,D572:D573)*2+COUNT(D575:D578,D581:D582)+COUNT(D585:D589,D591:D592)</f>
        <v>427</v>
      </c>
      <c r="D180" s="100"/>
      <c r="E180" s="98">
        <f>SUM(D515:D516)*5+SUM(D520:D523,D526:D527)*2+SUM(D529:D536)*24+SUM(D538:D541,D544:D545)+SUM(D547:D550,D553:D554)+SUM(D557:D564)*22+SUM(D566:D569,D572:D573)*2+SUM(D575:D578,D581:D582)+SUM(D585:D589,D591:D592)</f>
        <v>366806.22732000001</v>
      </c>
      <c r="F180" s="98"/>
      <c r="G180" s="98">
        <f>SUM(F515:F516)*5+SUM(F520:F523,F526:F527)*2+SUM(F529:F536)*24+SUM(F538:F541,F544:F545)+SUM(F547:F550,F553:F554)+SUM(F557:F564)*22+SUM(F566:F569,F572:F573)*2+SUM(F575:F578,F581:F582)+SUM(F585:F589,F591:F592)</f>
        <v>550209.34097999998</v>
      </c>
      <c r="H180" s="98"/>
      <c r="J180" s="31">
        <v>24250</v>
      </c>
    </row>
    <row r="181" spans="1:14" s="31" customFormat="1" x14ac:dyDescent="0.3">
      <c r="A181" s="99" t="s">
        <v>251</v>
      </c>
      <c r="B181" s="99"/>
      <c r="C181" s="100">
        <f>COUNT(D597:D598,D601:D602)+COUNT(D604:D609)+COUNT(D611:D614)*2+COUNT(D618:D623)*21+COUNT(D625:D630)*2+COUNT(D632:D635)+COUNT(D640:D643)+COUNT(D647:D652)*20+COUNT(D654:D657)+COUNT(D662:D667)*2+COUNT(D669:D672)*2+COUNT(D676:D679,D681)</f>
        <v>313</v>
      </c>
      <c r="D181" s="100"/>
      <c r="E181" s="98">
        <f>SUM(D597:D598,D601:D602)+SUM(D604:D609)+SUM(D611:D614)*2+SUM(D618:D623)*21+SUM(D625:D630)*2+SUM(D632:D635)+SUM(D640:D643)+SUM(D647:D652)*20+SUM(D654:D657)+SUM(D662:D667)*2+SUM(D669:D672)*2+SUM(D676:D679,D681)</f>
        <v>336340.5552</v>
      </c>
      <c r="F181" s="98"/>
      <c r="G181" s="98">
        <f>SUM(F597:F598,F601:F602)+SUM(F604:F609)+SUM(F611:F614)*2+SUM(F618:F623)*21+SUM(F625:F630)*2+SUM(F632:F635)+SUM(F640:F643)+SUM(F647:F652)*20+SUM(F654:F657)+SUM(F662:F667)*2+SUM(F669:F672)*2+SUM(F676:F679,F681)</f>
        <v>504510.83279999992</v>
      </c>
      <c r="H181" s="98"/>
      <c r="J181" s="31">
        <v>24250</v>
      </c>
    </row>
    <row r="182" spans="1:14" s="31" customFormat="1" x14ac:dyDescent="0.3">
      <c r="A182" s="99" t="s">
        <v>252</v>
      </c>
      <c r="B182" s="99"/>
      <c r="C182" s="100">
        <f>COUNT(D689:D692)+COUNT(D695:D701)*21+COUNT(D703:D709)*5+COUNT(D711:D714)*4+COUNT(D717:D723)*10+COUNT(D725:D731)*2+COUNT(D733:D736)*3+COUNT(D739:D745)*6+COUNT(D747:D753)+COUNT(D755:D758)</f>
        <v>351</v>
      </c>
      <c r="D182" s="100"/>
      <c r="E182" s="98">
        <f>SUM(D689:D692)+SUM(D695:D701)*21+SUM(D703:D709)*5+SUM(D711:D714)*4+SUM(D717:D723)*10+SUM(D725:D731)*2+SUM(D733:D736)*3+SUM(D739:D745)*6+SUM(D747:D753)+SUM(D755:D758)</f>
        <v>401737.78492613998</v>
      </c>
      <c r="F182" s="98"/>
      <c r="G182" s="98">
        <f>SUM(F689:F692)+SUM(F695:F701)*21+SUM(F703:F709)*5+SUM(F711:F714)*4+SUM(F717:F723)*10+SUM(F725:F731)*2+SUM(F733:F736)*3+SUM(F739:F745)*6+SUM(F747:F753)+SUM(F755:F758)</f>
        <v>602606.67738920997</v>
      </c>
      <c r="H182" s="98"/>
      <c r="J182" s="31">
        <v>24250</v>
      </c>
    </row>
    <row r="183" spans="1:14" s="31" customFormat="1" ht="16.2" thickBot="1" x14ac:dyDescent="0.35">
      <c r="A183" s="262" t="s">
        <v>263</v>
      </c>
      <c r="B183" s="262"/>
      <c r="C183" s="263">
        <f>COUNT(D769:D776)*25+COUNT(D778:D783)*4+COUNT(D787:D794)*13+COUNT(D796:D801)*2+COUNT(D805:D808)</f>
        <v>344</v>
      </c>
      <c r="D183" s="264"/>
      <c r="E183" s="265">
        <f>SUM(D769:D776)*25+SUM(D778:D783)*4+SUM(D787:D794)*13+SUM(D796:D801)*2+SUM(D805:D808)</f>
        <v>420152.39281079994</v>
      </c>
      <c r="F183" s="265"/>
      <c r="G183" s="265">
        <f>SUM(F769:F776)*25+SUM(F778:F783)*4+SUM(F787:F794)*13+SUM(F796:F801)*2+SUM(F805:F808)</f>
        <v>630228.58921619994</v>
      </c>
      <c r="H183" s="265"/>
      <c r="J183" s="31">
        <v>24250</v>
      </c>
    </row>
    <row r="184" spans="1:14" s="31" customFormat="1" x14ac:dyDescent="0.3">
      <c r="A184" s="165" t="s">
        <v>153</v>
      </c>
      <c r="B184" s="166"/>
      <c r="C184" s="167">
        <f>SUM(C177:C183)</f>
        <v>2552</v>
      </c>
      <c r="D184" s="167"/>
      <c r="E184" s="168">
        <f>SUM(E177:E183)</f>
        <v>2595680.9112569401</v>
      </c>
      <c r="F184" s="168"/>
      <c r="G184" s="168">
        <f>SUM(G177:G183)</f>
        <v>3893521.3668854097</v>
      </c>
      <c r="H184" s="261"/>
      <c r="J184" s="31">
        <v>24250</v>
      </c>
    </row>
    <row r="185" spans="1:14" s="30" customFormat="1" x14ac:dyDescent="0.3">
      <c r="A185" s="125" t="s">
        <v>55</v>
      </c>
      <c r="B185" s="125"/>
      <c r="C185" s="125"/>
      <c r="D185" s="125"/>
      <c r="E185" s="125"/>
      <c r="F185" s="125"/>
      <c r="G185" s="125"/>
      <c r="H185" s="125"/>
    </row>
    <row r="186" spans="1:14" x14ac:dyDescent="0.3">
      <c r="A186" s="125" t="s">
        <v>56</v>
      </c>
      <c r="B186" s="125"/>
      <c r="C186" s="125"/>
      <c r="D186" s="125"/>
      <c r="E186" s="125"/>
      <c r="F186" s="125"/>
      <c r="G186" s="125"/>
      <c r="H186" s="125"/>
    </row>
    <row r="187" spans="1:14" ht="47.25" hidden="1" customHeight="1" x14ac:dyDescent="0.3">
      <c r="A187" s="138" t="s">
        <v>119</v>
      </c>
      <c r="B187" s="138" t="s">
        <v>118</v>
      </c>
      <c r="C187" s="138" t="s">
        <v>57</v>
      </c>
      <c r="D187" s="138" t="s">
        <v>58</v>
      </c>
      <c r="E187" s="222" t="s">
        <v>159</v>
      </c>
      <c r="F187" s="74" t="s">
        <v>152</v>
      </c>
      <c r="G187" s="138" t="s">
        <v>60</v>
      </c>
      <c r="H187" s="138"/>
    </row>
    <row r="188" spans="1:14" s="33" customFormat="1" hidden="1" x14ac:dyDescent="0.3">
      <c r="A188" s="138"/>
      <c r="B188" s="138"/>
      <c r="C188" s="138"/>
      <c r="D188" s="138"/>
      <c r="E188" s="222"/>
      <c r="F188" s="75">
        <v>0.6</v>
      </c>
      <c r="G188" s="138"/>
      <c r="H188" s="138"/>
    </row>
    <row r="189" spans="1:14" s="33" customFormat="1" hidden="1" x14ac:dyDescent="0.3">
      <c r="A189" s="80" t="s">
        <v>170</v>
      </c>
      <c r="B189" s="80"/>
      <c r="C189" s="80"/>
      <c r="D189" s="80"/>
      <c r="E189" s="80"/>
      <c r="F189" s="80"/>
      <c r="G189" s="80"/>
      <c r="H189" s="80"/>
      <c r="J189" s="32"/>
    </row>
    <row r="190" spans="1:14" s="33" customFormat="1" hidden="1" x14ac:dyDescent="0.3">
      <c r="A190" s="81">
        <v>1</v>
      </c>
      <c r="B190" s="81"/>
      <c r="C190" s="48"/>
      <c r="D190" s="48"/>
      <c r="E190" s="48">
        <v>0</v>
      </c>
      <c r="F190" s="48">
        <f>(D190+E190)*(($F$188)+1)</f>
        <v>0</v>
      </c>
      <c r="G190" s="81" t="str">
        <f>A189</f>
        <v xml:space="preserve">Ground Floor </v>
      </c>
      <c r="H190" s="81"/>
      <c r="I190" s="32"/>
      <c r="L190" s="82"/>
      <c r="M190" s="82"/>
      <c r="N190" s="32"/>
    </row>
    <row r="191" spans="1:14" s="33" customFormat="1" hidden="1" x14ac:dyDescent="0.3">
      <c r="A191" s="81">
        <f t="shared" ref="A191:A201" si="0">A190+1</f>
        <v>2</v>
      </c>
      <c r="B191" s="81"/>
      <c r="C191" s="48"/>
      <c r="D191" s="48"/>
      <c r="E191" s="48">
        <v>0</v>
      </c>
      <c r="F191" s="48">
        <f t="shared" ref="F191:F193" si="1">(D191+E191)*(($F$188)+1)</f>
        <v>0</v>
      </c>
      <c r="G191" s="81" t="str">
        <f t="shared" ref="G191:G201" si="2">G190</f>
        <v xml:space="preserve">Ground Floor </v>
      </c>
      <c r="H191" s="81"/>
      <c r="I191" s="32"/>
      <c r="L191" s="82"/>
      <c r="M191" s="82"/>
      <c r="N191" s="32"/>
    </row>
    <row r="192" spans="1:14" s="33" customFormat="1" hidden="1" x14ac:dyDescent="0.3">
      <c r="A192" s="81">
        <f t="shared" si="0"/>
        <v>3</v>
      </c>
      <c r="B192" s="81"/>
      <c r="C192" s="48"/>
      <c r="D192" s="48"/>
      <c r="E192" s="48">
        <v>0</v>
      </c>
      <c r="F192" s="48">
        <f t="shared" si="1"/>
        <v>0</v>
      </c>
      <c r="G192" s="81" t="str">
        <f t="shared" si="2"/>
        <v xml:space="preserve">Ground Floor </v>
      </c>
      <c r="H192" s="81"/>
      <c r="I192" s="32"/>
      <c r="L192" s="82"/>
      <c r="M192" s="82"/>
      <c r="N192" s="32"/>
    </row>
    <row r="193" spans="1:14" s="33" customFormat="1" hidden="1" x14ac:dyDescent="0.3">
      <c r="A193" s="81">
        <f t="shared" si="0"/>
        <v>4</v>
      </c>
      <c r="B193" s="81"/>
      <c r="C193" s="48"/>
      <c r="D193" s="48"/>
      <c r="E193" s="48">
        <v>0</v>
      </c>
      <c r="F193" s="48">
        <f t="shared" si="1"/>
        <v>0</v>
      </c>
      <c r="G193" s="81" t="str">
        <f t="shared" si="2"/>
        <v xml:space="preserve">Ground Floor </v>
      </c>
      <c r="H193" s="81"/>
      <c r="I193" s="32"/>
      <c r="L193" s="82"/>
      <c r="M193" s="82"/>
      <c r="N193" s="32"/>
    </row>
    <row r="194" spans="1:14" s="33" customFormat="1" hidden="1" x14ac:dyDescent="0.3">
      <c r="A194" s="81">
        <f t="shared" si="0"/>
        <v>5</v>
      </c>
      <c r="B194" s="81"/>
      <c r="C194" s="48"/>
      <c r="D194" s="48"/>
      <c r="E194" s="48">
        <v>0</v>
      </c>
      <c r="F194" s="48">
        <f t="shared" ref="F194:F196" si="3">(D194+E194)*(($F$188)+1)</f>
        <v>0</v>
      </c>
      <c r="G194" s="81" t="str">
        <f t="shared" si="2"/>
        <v xml:space="preserve">Ground Floor </v>
      </c>
      <c r="H194" s="81"/>
      <c r="I194" s="32"/>
      <c r="L194" s="82"/>
      <c r="M194" s="82"/>
      <c r="N194" s="32"/>
    </row>
    <row r="195" spans="1:14" s="33" customFormat="1" hidden="1" x14ac:dyDescent="0.3">
      <c r="A195" s="81">
        <f t="shared" si="0"/>
        <v>6</v>
      </c>
      <c r="B195" s="81"/>
      <c r="C195" s="48"/>
      <c r="D195" s="48"/>
      <c r="E195" s="48">
        <v>0</v>
      </c>
      <c r="F195" s="48">
        <f t="shared" si="3"/>
        <v>0</v>
      </c>
      <c r="G195" s="81" t="str">
        <f t="shared" si="2"/>
        <v xml:space="preserve">Ground Floor </v>
      </c>
      <c r="H195" s="81"/>
      <c r="I195" s="32"/>
      <c r="L195" s="82"/>
      <c r="M195" s="82"/>
      <c r="N195" s="32"/>
    </row>
    <row r="196" spans="1:14" s="33" customFormat="1" hidden="1" x14ac:dyDescent="0.3">
      <c r="A196" s="81">
        <f t="shared" si="0"/>
        <v>7</v>
      </c>
      <c r="B196" s="81"/>
      <c r="C196" s="48"/>
      <c r="D196" s="48"/>
      <c r="E196" s="48">
        <v>0</v>
      </c>
      <c r="F196" s="48">
        <f t="shared" si="3"/>
        <v>0</v>
      </c>
      <c r="G196" s="81" t="str">
        <f t="shared" si="2"/>
        <v xml:space="preserve">Ground Floor </v>
      </c>
      <c r="H196" s="81"/>
      <c r="I196" s="32"/>
      <c r="L196" s="82"/>
      <c r="M196" s="82"/>
      <c r="N196" s="32"/>
    </row>
    <row r="197" spans="1:14" s="33" customFormat="1" hidden="1" x14ac:dyDescent="0.3">
      <c r="A197" s="81">
        <f t="shared" si="0"/>
        <v>8</v>
      </c>
      <c r="B197" s="81"/>
      <c r="C197" s="48"/>
      <c r="D197" s="48"/>
      <c r="E197" s="48">
        <v>0</v>
      </c>
      <c r="F197" s="48">
        <f t="shared" ref="F197:F198" si="4">(D197+E197)*(($F$188)+1)</f>
        <v>0</v>
      </c>
      <c r="G197" s="81" t="str">
        <f t="shared" si="2"/>
        <v xml:space="preserve">Ground Floor </v>
      </c>
      <c r="H197" s="81"/>
      <c r="I197" s="32"/>
      <c r="L197" s="82"/>
      <c r="M197" s="82"/>
      <c r="N197" s="32"/>
    </row>
    <row r="198" spans="1:14" s="33" customFormat="1" hidden="1" x14ac:dyDescent="0.3">
      <c r="A198" s="81">
        <f t="shared" si="0"/>
        <v>9</v>
      </c>
      <c r="B198" s="81"/>
      <c r="C198" s="48"/>
      <c r="D198" s="48"/>
      <c r="E198" s="48">
        <v>0</v>
      </c>
      <c r="F198" s="48">
        <f t="shared" si="4"/>
        <v>0</v>
      </c>
      <c r="G198" s="81" t="str">
        <f t="shared" si="2"/>
        <v xml:space="preserve">Ground Floor </v>
      </c>
      <c r="H198" s="81"/>
      <c r="I198" s="32"/>
      <c r="L198" s="82"/>
      <c r="M198" s="82"/>
      <c r="N198" s="32"/>
    </row>
    <row r="199" spans="1:14" s="33" customFormat="1" hidden="1" x14ac:dyDescent="0.3">
      <c r="A199" s="81">
        <f t="shared" si="0"/>
        <v>10</v>
      </c>
      <c r="B199" s="81"/>
      <c r="C199" s="48"/>
      <c r="D199" s="48"/>
      <c r="E199" s="48">
        <v>0</v>
      </c>
      <c r="F199" s="48">
        <f t="shared" ref="F199:F200" si="5">(D199+E199)*(($F$188)+1)</f>
        <v>0</v>
      </c>
      <c r="G199" s="81" t="str">
        <f t="shared" si="2"/>
        <v xml:space="preserve">Ground Floor </v>
      </c>
      <c r="H199" s="81"/>
      <c r="I199" s="32"/>
      <c r="L199" s="82"/>
      <c r="M199" s="82"/>
      <c r="N199" s="32"/>
    </row>
    <row r="200" spans="1:14" s="33" customFormat="1" hidden="1" x14ac:dyDescent="0.3">
      <c r="A200" s="81">
        <f t="shared" si="0"/>
        <v>11</v>
      </c>
      <c r="B200" s="81"/>
      <c r="C200" s="48"/>
      <c r="D200" s="48"/>
      <c r="E200" s="48">
        <v>0</v>
      </c>
      <c r="F200" s="48">
        <f t="shared" si="5"/>
        <v>0</v>
      </c>
      <c r="G200" s="81" t="str">
        <f t="shared" si="2"/>
        <v xml:space="preserve">Ground Floor </v>
      </c>
      <c r="H200" s="81"/>
      <c r="I200" s="32"/>
      <c r="L200" s="82"/>
      <c r="M200" s="82"/>
      <c r="N200" s="32"/>
    </row>
    <row r="201" spans="1:14" s="33" customFormat="1" hidden="1" x14ac:dyDescent="0.3">
      <c r="A201" s="81">
        <f t="shared" si="0"/>
        <v>12</v>
      </c>
      <c r="B201" s="81"/>
      <c r="C201" s="48"/>
      <c r="D201" s="48"/>
      <c r="E201" s="48">
        <v>0</v>
      </c>
      <c r="F201" s="48">
        <f t="shared" ref="F201" si="6">(D201+E201)*(($F$188)+1)</f>
        <v>0</v>
      </c>
      <c r="G201" s="81" t="str">
        <f t="shared" si="2"/>
        <v xml:space="preserve">Ground Floor </v>
      </c>
      <c r="H201" s="81"/>
      <c r="I201" s="32"/>
      <c r="L201" s="82"/>
      <c r="M201" s="82"/>
      <c r="N201" s="32"/>
    </row>
    <row r="202" spans="1:14" ht="47.25" customHeight="1" x14ac:dyDescent="0.3">
      <c r="A202" s="138" t="s">
        <v>120</v>
      </c>
      <c r="B202" s="138" t="s">
        <v>121</v>
      </c>
      <c r="C202" s="138" t="s">
        <v>57</v>
      </c>
      <c r="D202" s="138" t="s">
        <v>58</v>
      </c>
      <c r="E202" s="222" t="s">
        <v>59</v>
      </c>
      <c r="F202" s="74" t="s">
        <v>152</v>
      </c>
      <c r="G202" s="138" t="s">
        <v>60</v>
      </c>
      <c r="H202" s="138"/>
      <c r="I202" s="32"/>
    </row>
    <row r="203" spans="1:14" s="33" customFormat="1" x14ac:dyDescent="0.3">
      <c r="A203" s="138"/>
      <c r="B203" s="138"/>
      <c r="C203" s="138"/>
      <c r="D203" s="138"/>
      <c r="E203" s="222"/>
      <c r="F203" s="75">
        <v>0.5</v>
      </c>
      <c r="G203" s="138"/>
      <c r="H203" s="138"/>
      <c r="I203" s="32"/>
    </row>
    <row r="204" spans="1:14" x14ac:dyDescent="0.3">
      <c r="A204" s="125" t="s">
        <v>247</v>
      </c>
      <c r="B204" s="125"/>
      <c r="C204" s="125"/>
      <c r="D204" s="125"/>
      <c r="E204" s="125"/>
      <c r="F204" s="125"/>
      <c r="G204" s="125"/>
      <c r="H204" s="125"/>
    </row>
    <row r="205" spans="1:14" x14ac:dyDescent="0.3">
      <c r="A205" s="125" t="s">
        <v>216</v>
      </c>
      <c r="B205" s="125"/>
      <c r="C205" s="125"/>
      <c r="D205" s="125"/>
      <c r="E205" s="125"/>
      <c r="F205" s="125"/>
      <c r="G205" s="125"/>
      <c r="H205" s="125"/>
    </row>
    <row r="206" spans="1:14" x14ac:dyDescent="0.3">
      <c r="A206" s="125" t="s">
        <v>173</v>
      </c>
      <c r="B206" s="125"/>
      <c r="C206" s="125"/>
      <c r="D206" s="125"/>
      <c r="E206" s="125"/>
      <c r="F206" s="125"/>
      <c r="G206" s="125"/>
      <c r="H206" s="125"/>
    </row>
    <row r="207" spans="1:14" x14ac:dyDescent="0.3">
      <c r="A207" s="125" t="s">
        <v>217</v>
      </c>
      <c r="B207" s="125"/>
      <c r="C207" s="125"/>
      <c r="D207" s="125"/>
      <c r="E207" s="125"/>
      <c r="F207" s="125"/>
      <c r="G207" s="125"/>
      <c r="H207" s="125"/>
    </row>
    <row r="208" spans="1:14" s="33" customFormat="1" x14ac:dyDescent="0.3">
      <c r="A208" s="80" t="s">
        <v>218</v>
      </c>
      <c r="B208" s="80"/>
      <c r="C208" s="80"/>
      <c r="D208" s="80"/>
      <c r="E208" s="80"/>
      <c r="F208" s="80"/>
      <c r="G208" s="80"/>
      <c r="H208" s="80"/>
      <c r="J208" s="32"/>
    </row>
    <row r="209" spans="1:14" s="33" customFormat="1" ht="15.75" customHeight="1" x14ac:dyDescent="0.3">
      <c r="A209" s="101">
        <v>1</v>
      </c>
      <c r="B209" s="102"/>
      <c r="C209" s="118" t="s">
        <v>219</v>
      </c>
      <c r="D209" s="119"/>
      <c r="E209" s="119"/>
      <c r="F209" s="120"/>
      <c r="G209" s="89" t="str">
        <f>A208</f>
        <v>2nd to 5th Podium Floor for Residential</v>
      </c>
      <c r="H209" s="91"/>
      <c r="I209" s="32"/>
      <c r="L209" s="82"/>
      <c r="M209" s="82"/>
      <c r="N209" s="32"/>
    </row>
    <row r="210" spans="1:14" s="33" customFormat="1" ht="15.75" customHeight="1" x14ac:dyDescent="0.25">
      <c r="A210" s="101">
        <f t="shared" ref="A210:A214" si="7">A209+1</f>
        <v>2</v>
      </c>
      <c r="B210" s="102"/>
      <c r="C210" s="121"/>
      <c r="D210" s="122"/>
      <c r="E210" s="122"/>
      <c r="F210" s="123"/>
      <c r="G210" s="92"/>
      <c r="H210" s="94"/>
      <c r="I210" s="57"/>
      <c r="L210" s="82"/>
      <c r="M210" s="82"/>
      <c r="N210" s="32"/>
    </row>
    <row r="211" spans="1:14" s="33" customFormat="1" ht="15.75" customHeight="1" x14ac:dyDescent="0.3">
      <c r="A211" s="101">
        <f t="shared" si="7"/>
        <v>3</v>
      </c>
      <c r="B211" s="102"/>
      <c r="C211" s="52">
        <v>3</v>
      </c>
      <c r="D211" s="32">
        <f>(96.07)*10.764</f>
        <v>1034.0974799999999</v>
      </c>
      <c r="E211" s="48">
        <v>0</v>
      </c>
      <c r="F211" s="48">
        <f>D211*(($F$203)+1)+(IF(E211&lt;101,E211,IF(E211&lt;201,E211/2,IF(E211&lt;=301,E211/3,E211/4))))</f>
        <v>1551.1462199999999</v>
      </c>
      <c r="G211" s="92"/>
      <c r="H211" s="94"/>
      <c r="I211" s="32">
        <f>(96.07)*10.764</f>
        <v>1034.0974799999999</v>
      </c>
      <c r="L211" s="82"/>
      <c r="M211" s="82"/>
      <c r="N211" s="32"/>
    </row>
    <row r="212" spans="1:14" s="33" customFormat="1" ht="15.75" customHeight="1" x14ac:dyDescent="0.3">
      <c r="A212" s="101">
        <f t="shared" si="7"/>
        <v>4</v>
      </c>
      <c r="B212" s="102"/>
      <c r="C212" s="52">
        <v>3</v>
      </c>
      <c r="D212" s="53">
        <f>(96.07)*10.764</f>
        <v>1034.0974799999999</v>
      </c>
      <c r="E212" s="48">
        <v>0</v>
      </c>
      <c r="F212" s="48">
        <f>D212*(($F$203)+1)+(IF(E212&lt;101,E212,IF(E212&lt;201,E212/2,IF(E212&lt;=301,E212/3,E212/4))))</f>
        <v>1551.1462199999999</v>
      </c>
      <c r="G212" s="92"/>
      <c r="H212" s="94"/>
      <c r="I212" s="32"/>
      <c r="L212" s="82"/>
      <c r="M212" s="82"/>
      <c r="N212" s="32"/>
    </row>
    <row r="213" spans="1:14" s="33" customFormat="1" ht="15.75" customHeight="1" x14ac:dyDescent="0.3">
      <c r="A213" s="101">
        <f t="shared" si="7"/>
        <v>5</v>
      </c>
      <c r="B213" s="102"/>
      <c r="C213" s="118" t="s">
        <v>219</v>
      </c>
      <c r="D213" s="119"/>
      <c r="E213" s="119"/>
      <c r="F213" s="120"/>
      <c r="G213" s="92"/>
      <c r="H213" s="94"/>
      <c r="I213" s="32"/>
      <c r="L213" s="82"/>
      <c r="M213" s="82"/>
      <c r="N213" s="32"/>
    </row>
    <row r="214" spans="1:14" s="33" customFormat="1" ht="15.75" customHeight="1" x14ac:dyDescent="0.3">
      <c r="A214" s="101">
        <f t="shared" si="7"/>
        <v>6</v>
      </c>
      <c r="B214" s="102"/>
      <c r="C214" s="121"/>
      <c r="D214" s="122"/>
      <c r="E214" s="122"/>
      <c r="F214" s="123"/>
      <c r="G214" s="95"/>
      <c r="H214" s="97"/>
      <c r="I214" s="32"/>
      <c r="L214" s="82"/>
      <c r="M214" s="82"/>
      <c r="N214" s="32"/>
    </row>
    <row r="215" spans="1:14" s="33" customFormat="1" ht="15.75" customHeight="1" x14ac:dyDescent="0.3">
      <c r="A215" s="103" t="s">
        <v>223</v>
      </c>
      <c r="B215" s="104"/>
      <c r="C215" s="104"/>
      <c r="D215" s="104"/>
      <c r="E215" s="104"/>
      <c r="F215" s="104"/>
      <c r="G215" s="104"/>
      <c r="H215" s="105"/>
      <c r="I215" s="32"/>
    </row>
    <row r="216" spans="1:14" s="33" customFormat="1" x14ac:dyDescent="0.3">
      <c r="A216" s="101">
        <v>1</v>
      </c>
      <c r="B216" s="102"/>
      <c r="C216" s="52">
        <v>3</v>
      </c>
      <c r="D216" s="48">
        <f>(98.74)*10.764</f>
        <v>1062.83736</v>
      </c>
      <c r="E216" s="48">
        <v>0</v>
      </c>
      <c r="F216" s="48">
        <f t="shared" ref="F216:F221" si="8">D216*(($F$203)+1)+(IF(E216&lt;101,E216,IF(E216&lt;201,E216/2,IF(E216&lt;=301,E216/3,E216/4))))</f>
        <v>1594.25604</v>
      </c>
      <c r="G216" s="89" t="str">
        <f>A215</f>
        <v>6th Floor</v>
      </c>
      <c r="H216" s="91"/>
      <c r="I216" s="32">
        <f>30100000/F216</f>
        <v>18880.27973223172</v>
      </c>
    </row>
    <row r="217" spans="1:14" s="33" customFormat="1" x14ac:dyDescent="0.3">
      <c r="A217" s="101">
        <v>2</v>
      </c>
      <c r="B217" s="102"/>
      <c r="C217" s="52">
        <v>3</v>
      </c>
      <c r="D217" s="48">
        <f>(98.74)*10.764</f>
        <v>1062.83736</v>
      </c>
      <c r="E217" s="48">
        <v>0</v>
      </c>
      <c r="F217" s="48">
        <f t="shared" si="8"/>
        <v>1594.25604</v>
      </c>
      <c r="G217" s="92"/>
      <c r="H217" s="94"/>
      <c r="I217" s="32"/>
    </row>
    <row r="218" spans="1:14" s="33" customFormat="1" x14ac:dyDescent="0.3">
      <c r="A218" s="101">
        <v>3</v>
      </c>
      <c r="B218" s="102"/>
      <c r="C218" s="52">
        <v>3</v>
      </c>
      <c r="D218" s="48">
        <f>(96.07)*10.764</f>
        <v>1034.0974799999999</v>
      </c>
      <c r="E218" s="48">
        <v>0</v>
      </c>
      <c r="F218" s="48">
        <f t="shared" si="8"/>
        <v>1551.1462199999999</v>
      </c>
      <c r="G218" s="92"/>
      <c r="H218" s="94"/>
      <c r="I218" s="32"/>
    </row>
    <row r="219" spans="1:14" s="33" customFormat="1" ht="15.75" customHeight="1" x14ac:dyDescent="0.3">
      <c r="A219" s="101">
        <v>4</v>
      </c>
      <c r="B219" s="102"/>
      <c r="C219" s="52">
        <v>3</v>
      </c>
      <c r="D219" s="48">
        <f>(96.07)*10.764</f>
        <v>1034.0974799999999</v>
      </c>
      <c r="E219" s="48">
        <v>0</v>
      </c>
      <c r="F219" s="48">
        <f>D219*(($F$203)+1)+(IF(E219&lt;101,E219,IF(E219&lt;201,E219/2,IF(E219&lt;=301,E219/3,E219/4))))</f>
        <v>1551.1462199999999</v>
      </c>
      <c r="G219" s="92"/>
      <c r="H219" s="94"/>
      <c r="I219" s="32"/>
    </row>
    <row r="220" spans="1:14" s="33" customFormat="1" ht="15.75" customHeight="1" x14ac:dyDescent="0.3">
      <c r="A220" s="101">
        <v>5</v>
      </c>
      <c r="B220" s="102"/>
      <c r="C220" s="52">
        <v>3</v>
      </c>
      <c r="D220" s="48">
        <f>(98.74)*10.764</f>
        <v>1062.83736</v>
      </c>
      <c r="E220" s="48">
        <v>0</v>
      </c>
      <c r="F220" s="48">
        <f t="shared" si="8"/>
        <v>1594.25604</v>
      </c>
      <c r="G220" s="92"/>
      <c r="H220" s="94"/>
      <c r="I220" s="32"/>
    </row>
    <row r="221" spans="1:14" s="33" customFormat="1" ht="15.75" customHeight="1" x14ac:dyDescent="0.3">
      <c r="A221" s="101">
        <v>6</v>
      </c>
      <c r="B221" s="102"/>
      <c r="C221" s="52">
        <v>3</v>
      </c>
      <c r="D221" s="48">
        <f>(98.74)*10.764</f>
        <v>1062.83736</v>
      </c>
      <c r="E221" s="48">
        <v>0</v>
      </c>
      <c r="F221" s="48">
        <f t="shared" si="8"/>
        <v>1594.25604</v>
      </c>
      <c r="G221" s="95"/>
      <c r="H221" s="97"/>
      <c r="I221" s="32"/>
    </row>
    <row r="222" spans="1:14" s="33" customFormat="1" ht="15.75" customHeight="1" x14ac:dyDescent="0.3">
      <c r="A222" s="103" t="s">
        <v>220</v>
      </c>
      <c r="B222" s="104"/>
      <c r="C222" s="104"/>
      <c r="D222" s="104"/>
      <c r="E222" s="104"/>
      <c r="F222" s="104"/>
      <c r="G222" s="104"/>
      <c r="H222" s="105"/>
      <c r="I222" s="32"/>
    </row>
    <row r="223" spans="1:14" s="33" customFormat="1" x14ac:dyDescent="0.3">
      <c r="A223" s="101">
        <v>1</v>
      </c>
      <c r="B223" s="102"/>
      <c r="C223" s="52">
        <v>3</v>
      </c>
      <c r="D223" s="48">
        <f>(98.74)*10.764</f>
        <v>1062.83736</v>
      </c>
      <c r="E223" s="48">
        <v>0</v>
      </c>
      <c r="F223" s="48">
        <f t="shared" ref="F223:F228" si="9">D223*(($F$203)+1)+(IF(E223&lt;101,E223,IF(E223&lt;201,E223/2,IF(E223&lt;=301,E223/3,E223/4))))</f>
        <v>1594.25604</v>
      </c>
      <c r="G223" s="89" t="str">
        <f>A222</f>
        <v xml:space="preserve">7th Floor </v>
      </c>
      <c r="H223" s="91"/>
      <c r="I223" s="32">
        <f>30100000/F223</f>
        <v>18880.27973223172</v>
      </c>
    </row>
    <row r="224" spans="1:14" s="33" customFormat="1" x14ac:dyDescent="0.3">
      <c r="A224" s="101">
        <v>2</v>
      </c>
      <c r="B224" s="102"/>
      <c r="C224" s="52">
        <v>3</v>
      </c>
      <c r="D224" s="48">
        <f>(98.74)*10.764</f>
        <v>1062.83736</v>
      </c>
      <c r="E224" s="48">
        <v>0</v>
      </c>
      <c r="F224" s="48">
        <f t="shared" si="9"/>
        <v>1594.25604</v>
      </c>
      <c r="G224" s="92"/>
      <c r="H224" s="94"/>
      <c r="I224" s="32"/>
    </row>
    <row r="225" spans="1:9" s="33" customFormat="1" ht="51.75" customHeight="1" x14ac:dyDescent="0.3">
      <c r="A225" s="101">
        <v>3</v>
      </c>
      <c r="B225" s="102"/>
      <c r="C225" s="52" t="s">
        <v>259</v>
      </c>
      <c r="D225" s="48">
        <f>(96.66+80.33)*10.764</f>
        <v>1905.1203599999999</v>
      </c>
      <c r="E225" s="48">
        <v>0</v>
      </c>
      <c r="F225" s="48">
        <f t="shared" si="9"/>
        <v>2857.6805399999998</v>
      </c>
      <c r="G225" s="92"/>
      <c r="H225" s="94"/>
      <c r="I225" s="32"/>
    </row>
    <row r="226" spans="1:9" s="33" customFormat="1" ht="15.75" customHeight="1" x14ac:dyDescent="0.3">
      <c r="A226" s="101">
        <v>4</v>
      </c>
      <c r="B226" s="102"/>
      <c r="C226" s="52">
        <v>3</v>
      </c>
      <c r="D226" s="48">
        <f>(96.07)*10.764</f>
        <v>1034.0974799999999</v>
      </c>
      <c r="E226" s="48">
        <v>0</v>
      </c>
      <c r="F226" s="48">
        <f t="shared" si="9"/>
        <v>1551.1462199999999</v>
      </c>
      <c r="G226" s="92"/>
      <c r="H226" s="94"/>
      <c r="I226" s="32"/>
    </row>
    <row r="227" spans="1:9" s="33" customFormat="1" ht="15.75" customHeight="1" x14ac:dyDescent="0.3">
      <c r="A227" s="101">
        <v>5</v>
      </c>
      <c r="B227" s="102"/>
      <c r="C227" s="52">
        <v>3</v>
      </c>
      <c r="D227" s="48">
        <f>(98.74)*10.764</f>
        <v>1062.83736</v>
      </c>
      <c r="E227" s="48">
        <v>0</v>
      </c>
      <c r="F227" s="48">
        <f t="shared" si="9"/>
        <v>1594.25604</v>
      </c>
      <c r="G227" s="92"/>
      <c r="H227" s="94"/>
      <c r="I227" s="32"/>
    </row>
    <row r="228" spans="1:9" s="33" customFormat="1" ht="15.75" customHeight="1" x14ac:dyDescent="0.3">
      <c r="A228" s="101">
        <v>6</v>
      </c>
      <c r="B228" s="102"/>
      <c r="C228" s="52">
        <v>3</v>
      </c>
      <c r="D228" s="48">
        <f>(98.74)*10.764</f>
        <v>1062.83736</v>
      </c>
      <c r="E228" s="48">
        <v>0</v>
      </c>
      <c r="F228" s="48">
        <f t="shared" si="9"/>
        <v>1594.25604</v>
      </c>
      <c r="G228" s="95"/>
      <c r="H228" s="97"/>
      <c r="I228" s="32"/>
    </row>
    <row r="229" spans="1:9" s="33" customFormat="1" ht="15.75" customHeight="1" x14ac:dyDescent="0.3">
      <c r="A229" s="103" t="s">
        <v>221</v>
      </c>
      <c r="B229" s="104"/>
      <c r="C229" s="104"/>
      <c r="D229" s="104"/>
      <c r="E229" s="104"/>
      <c r="F229" s="104"/>
      <c r="G229" s="104"/>
      <c r="H229" s="105"/>
      <c r="I229" s="32"/>
    </row>
    <row r="230" spans="1:9" s="33" customFormat="1" ht="15.75" customHeight="1" x14ac:dyDescent="0.3">
      <c r="A230" s="101">
        <v>1</v>
      </c>
      <c r="B230" s="102"/>
      <c r="C230" s="52">
        <v>3</v>
      </c>
      <c r="D230" s="48">
        <f>(96.07)*10.764</f>
        <v>1034.0974799999999</v>
      </c>
      <c r="E230" s="48">
        <v>0</v>
      </c>
      <c r="F230" s="48">
        <f>D230*(($F$203)+1)+(IF(E230&lt;101,E230,IF(E230&lt;201,E230/2,IF(E230&lt;=301,E230/3,E230/4))))</f>
        <v>1551.1462199999999</v>
      </c>
      <c r="G230" s="89" t="str">
        <f>A229</f>
        <v>8th &amp; 15th Floor (Part Refuge Area)</v>
      </c>
      <c r="H230" s="91"/>
      <c r="I230" s="32">
        <f>30100000/F230</f>
        <v>19405.004900182783</v>
      </c>
    </row>
    <row r="231" spans="1:9" s="33" customFormat="1" ht="15.75" customHeight="1" x14ac:dyDescent="0.3">
      <c r="A231" s="101">
        <v>2</v>
      </c>
      <c r="B231" s="102"/>
      <c r="C231" s="52">
        <v>3</v>
      </c>
      <c r="D231" s="48">
        <f>(96.07)*10.764</f>
        <v>1034.0974799999999</v>
      </c>
      <c r="E231" s="48">
        <v>0</v>
      </c>
      <c r="F231" s="48">
        <f>D231*(($F$203)+1)+(IF(E231&lt;101,E231,IF(E231&lt;201,E231/2,IF(E231&lt;=301,E231/3,E231/4))))</f>
        <v>1551.1462199999999</v>
      </c>
      <c r="G231" s="92"/>
      <c r="H231" s="94"/>
      <c r="I231" s="32"/>
    </row>
    <row r="232" spans="1:9" s="33" customFormat="1" ht="15.75" customHeight="1" x14ac:dyDescent="0.3">
      <c r="A232" s="101">
        <v>3</v>
      </c>
      <c r="B232" s="102"/>
      <c r="C232" s="107" t="s">
        <v>222</v>
      </c>
      <c r="D232" s="108"/>
      <c r="E232" s="108"/>
      <c r="F232" s="109"/>
      <c r="G232" s="92"/>
      <c r="H232" s="94"/>
      <c r="I232" s="32"/>
    </row>
    <row r="233" spans="1:9" s="33" customFormat="1" ht="15.75" customHeight="1" x14ac:dyDescent="0.3">
      <c r="A233" s="101">
        <v>4</v>
      </c>
      <c r="B233" s="102"/>
      <c r="C233" s="107" t="s">
        <v>183</v>
      </c>
      <c r="D233" s="108"/>
      <c r="E233" s="108"/>
      <c r="F233" s="109"/>
      <c r="G233" s="92"/>
      <c r="H233" s="94"/>
      <c r="I233" s="32"/>
    </row>
    <row r="234" spans="1:9" s="33" customFormat="1" ht="15.75" customHeight="1" x14ac:dyDescent="0.3">
      <c r="A234" s="101">
        <v>5</v>
      </c>
      <c r="B234" s="102"/>
      <c r="C234" s="52">
        <v>3</v>
      </c>
      <c r="D234" s="48">
        <f>(96.07)*10.764</f>
        <v>1034.0974799999999</v>
      </c>
      <c r="E234" s="48">
        <v>0</v>
      </c>
      <c r="F234" s="48">
        <f>D234*(($F$203)+1)+(IF(E234&lt;101,E234,IF(E234&lt;201,E234/2,IF(E234&lt;=301,E234/3,E234/4))))</f>
        <v>1551.1462199999999</v>
      </c>
      <c r="G234" s="92"/>
      <c r="H234" s="94"/>
      <c r="I234" s="32"/>
    </row>
    <row r="235" spans="1:9" s="33" customFormat="1" ht="15.75" customHeight="1" x14ac:dyDescent="0.3">
      <c r="A235" s="101">
        <v>6</v>
      </c>
      <c r="B235" s="102"/>
      <c r="C235" s="52">
        <v>3</v>
      </c>
      <c r="D235" s="48">
        <f>(96.07)*10.764</f>
        <v>1034.0974799999999</v>
      </c>
      <c r="E235" s="48">
        <v>0</v>
      </c>
      <c r="F235" s="48">
        <f>D235*(($F$203)+1)+(IF(E235&lt;101,E235,IF(E235&lt;201,E235/2,IF(E235&lt;=301,E235/3,E235/4))))</f>
        <v>1551.1462199999999</v>
      </c>
      <c r="G235" s="95"/>
      <c r="H235" s="97"/>
      <c r="I235" s="32"/>
    </row>
    <row r="236" spans="1:9" s="33" customFormat="1" ht="15.75" customHeight="1" x14ac:dyDescent="0.3">
      <c r="A236" s="80" t="s">
        <v>224</v>
      </c>
      <c r="B236" s="80"/>
      <c r="C236" s="80"/>
      <c r="D236" s="80"/>
      <c r="E236" s="80"/>
      <c r="F236" s="80"/>
      <c r="G236" s="80"/>
      <c r="H236" s="80"/>
      <c r="I236" s="32"/>
    </row>
    <row r="237" spans="1:9" s="33" customFormat="1" ht="15.75" customHeight="1" x14ac:dyDescent="0.3">
      <c r="A237" s="81">
        <v>1</v>
      </c>
      <c r="B237" s="81"/>
      <c r="C237" s="52">
        <v>3</v>
      </c>
      <c r="D237" s="48">
        <f t="shared" ref="D237:D242" si="10">(96.07)*10.764</f>
        <v>1034.0974799999999</v>
      </c>
      <c r="E237" s="48">
        <v>0</v>
      </c>
      <c r="F237" s="48">
        <f t="shared" ref="F237:F242" si="11">D237*(($F$203)+1)+(IF(E237&lt;101,E237,IF(E237&lt;201,E237/2,IF(E237&lt;=301,E237/3,E237/4))))</f>
        <v>1551.1462199999999</v>
      </c>
      <c r="G237" s="81" t="str">
        <f>A236</f>
        <v>9th to 13th, 16th to 21st, 24th to 28th, 31st to 34th Floor</v>
      </c>
      <c r="H237" s="81"/>
      <c r="I237" s="32">
        <f>30100000/F237</f>
        <v>19405.004900182783</v>
      </c>
    </row>
    <row r="238" spans="1:9" s="33" customFormat="1" ht="15.75" customHeight="1" x14ac:dyDescent="0.3">
      <c r="A238" s="81">
        <v>2</v>
      </c>
      <c r="B238" s="81"/>
      <c r="C238" s="52">
        <v>3</v>
      </c>
      <c r="D238" s="48">
        <f t="shared" si="10"/>
        <v>1034.0974799999999</v>
      </c>
      <c r="E238" s="48">
        <v>0</v>
      </c>
      <c r="F238" s="48">
        <f t="shared" si="11"/>
        <v>1551.1462199999999</v>
      </c>
      <c r="G238" s="81"/>
      <c r="H238" s="81"/>
      <c r="I238" s="32"/>
    </row>
    <row r="239" spans="1:9" s="33" customFormat="1" ht="15.75" customHeight="1" x14ac:dyDescent="0.3">
      <c r="A239" s="81">
        <v>3</v>
      </c>
      <c r="B239" s="81"/>
      <c r="C239" s="52">
        <v>3</v>
      </c>
      <c r="D239" s="48">
        <f t="shared" si="10"/>
        <v>1034.0974799999999</v>
      </c>
      <c r="E239" s="48">
        <v>0</v>
      </c>
      <c r="F239" s="48">
        <f t="shared" si="11"/>
        <v>1551.1462199999999</v>
      </c>
      <c r="G239" s="81"/>
      <c r="H239" s="81"/>
      <c r="I239" s="32"/>
    </row>
    <row r="240" spans="1:9" s="33" customFormat="1" ht="15.75" customHeight="1" x14ac:dyDescent="0.3">
      <c r="A240" s="81">
        <v>4</v>
      </c>
      <c r="B240" s="81"/>
      <c r="C240" s="52">
        <v>3</v>
      </c>
      <c r="D240" s="48">
        <f t="shared" si="10"/>
        <v>1034.0974799999999</v>
      </c>
      <c r="E240" s="48">
        <v>0</v>
      </c>
      <c r="F240" s="48">
        <f t="shared" si="11"/>
        <v>1551.1462199999999</v>
      </c>
      <c r="G240" s="81"/>
      <c r="H240" s="81"/>
      <c r="I240" s="32"/>
    </row>
    <row r="241" spans="1:9" s="33" customFormat="1" ht="15.75" customHeight="1" x14ac:dyDescent="0.3">
      <c r="A241" s="81">
        <v>5</v>
      </c>
      <c r="B241" s="81"/>
      <c r="C241" s="52">
        <v>3</v>
      </c>
      <c r="D241" s="48">
        <f t="shared" si="10"/>
        <v>1034.0974799999999</v>
      </c>
      <c r="E241" s="48">
        <v>0</v>
      </c>
      <c r="F241" s="48">
        <f t="shared" si="11"/>
        <v>1551.1462199999999</v>
      </c>
      <c r="G241" s="81"/>
      <c r="H241" s="81"/>
      <c r="I241" s="32"/>
    </row>
    <row r="242" spans="1:9" s="33" customFormat="1" ht="15.75" customHeight="1" x14ac:dyDescent="0.3">
      <c r="A242" s="81">
        <v>6</v>
      </c>
      <c r="B242" s="81"/>
      <c r="C242" s="52">
        <v>3</v>
      </c>
      <c r="D242" s="48">
        <f t="shared" si="10"/>
        <v>1034.0974799999999</v>
      </c>
      <c r="E242" s="48">
        <v>0</v>
      </c>
      <c r="F242" s="48">
        <f t="shared" si="11"/>
        <v>1551.1462199999999</v>
      </c>
      <c r="G242" s="81"/>
      <c r="H242" s="81"/>
      <c r="I242" s="32"/>
    </row>
    <row r="243" spans="1:9" s="33" customFormat="1" ht="15.75" customHeight="1" x14ac:dyDescent="0.3">
      <c r="A243" s="80" t="s">
        <v>258</v>
      </c>
      <c r="B243" s="80"/>
      <c r="C243" s="80"/>
      <c r="D243" s="80"/>
      <c r="E243" s="80"/>
      <c r="F243" s="80"/>
      <c r="G243" s="80"/>
      <c r="H243" s="80"/>
      <c r="I243" s="32"/>
    </row>
    <row r="244" spans="1:9" s="33" customFormat="1" ht="15.75" customHeight="1" x14ac:dyDescent="0.3">
      <c r="A244" s="81">
        <v>1</v>
      </c>
      <c r="B244" s="81"/>
      <c r="C244" s="52">
        <v>3</v>
      </c>
      <c r="D244" s="48">
        <f>(96.07)*10.764</f>
        <v>1034.0974799999999</v>
      </c>
      <c r="E244" s="48">
        <v>0</v>
      </c>
      <c r="F244" s="48">
        <f t="shared" ref="F244:F249" si="12">D244*(($F$203)+1)+(IF(E244&lt;101,E244,IF(E244&lt;201,E244/2,IF(E244&lt;=301,E244/3,E244/4))))</f>
        <v>1551.1462199999999</v>
      </c>
      <c r="G244" s="81" t="str">
        <f>A243</f>
        <v>14th &amp; 29th Floor</v>
      </c>
      <c r="H244" s="81"/>
      <c r="I244" s="32">
        <f>30100000/F244</f>
        <v>19405.004900182783</v>
      </c>
    </row>
    <row r="245" spans="1:9" s="33" customFormat="1" ht="15.75" customHeight="1" x14ac:dyDescent="0.3">
      <c r="A245" s="81">
        <v>2</v>
      </c>
      <c r="B245" s="81"/>
      <c r="C245" s="52">
        <v>3</v>
      </c>
      <c r="D245" s="48">
        <f>(96.07)*10.764</f>
        <v>1034.0974799999999</v>
      </c>
      <c r="E245" s="48">
        <v>0</v>
      </c>
      <c r="F245" s="48">
        <f t="shared" si="12"/>
        <v>1551.1462199999999</v>
      </c>
      <c r="G245" s="81"/>
      <c r="H245" s="81"/>
      <c r="I245" s="32"/>
    </row>
    <row r="246" spans="1:9" s="33" customFormat="1" ht="62.4" x14ac:dyDescent="0.3">
      <c r="A246" s="81">
        <v>3</v>
      </c>
      <c r="B246" s="81"/>
      <c r="C246" s="52" t="s">
        <v>260</v>
      </c>
      <c r="D246" s="48">
        <f>(96.66+80.33)*10.764</f>
        <v>1905.1203599999999</v>
      </c>
      <c r="E246" s="48">
        <v>0</v>
      </c>
      <c r="F246" s="48">
        <f t="shared" si="12"/>
        <v>2857.6805399999998</v>
      </c>
      <c r="G246" s="81"/>
      <c r="H246" s="81"/>
      <c r="I246" s="32"/>
    </row>
    <row r="247" spans="1:9" s="33" customFormat="1" ht="15.75" customHeight="1" x14ac:dyDescent="0.3">
      <c r="A247" s="81">
        <v>4</v>
      </c>
      <c r="B247" s="81"/>
      <c r="C247" s="52">
        <v>3</v>
      </c>
      <c r="D247" s="48">
        <f>(96.07)*10.764</f>
        <v>1034.0974799999999</v>
      </c>
      <c r="E247" s="48">
        <v>0</v>
      </c>
      <c r="F247" s="48">
        <f t="shared" si="12"/>
        <v>1551.1462199999999</v>
      </c>
      <c r="G247" s="81"/>
      <c r="H247" s="81"/>
      <c r="I247" s="32"/>
    </row>
    <row r="248" spans="1:9" s="33" customFormat="1" ht="15.75" customHeight="1" x14ac:dyDescent="0.3">
      <c r="A248" s="81">
        <v>5</v>
      </c>
      <c r="B248" s="81"/>
      <c r="C248" s="52">
        <v>3</v>
      </c>
      <c r="D248" s="48">
        <f>(96.07)*10.764</f>
        <v>1034.0974799999999</v>
      </c>
      <c r="E248" s="48">
        <v>0</v>
      </c>
      <c r="F248" s="48">
        <f t="shared" si="12"/>
        <v>1551.1462199999999</v>
      </c>
      <c r="G248" s="81"/>
      <c r="H248" s="81"/>
      <c r="I248" s="32"/>
    </row>
    <row r="249" spans="1:9" s="33" customFormat="1" ht="15.75" customHeight="1" x14ac:dyDescent="0.3">
      <c r="A249" s="81">
        <v>6</v>
      </c>
      <c r="B249" s="81"/>
      <c r="C249" s="52">
        <v>3</v>
      </c>
      <c r="D249" s="48">
        <f>(96.07)*10.764</f>
        <v>1034.0974799999999</v>
      </c>
      <c r="E249" s="48">
        <v>0</v>
      </c>
      <c r="F249" s="48">
        <f t="shared" si="12"/>
        <v>1551.1462199999999</v>
      </c>
      <c r="G249" s="81"/>
      <c r="H249" s="81"/>
      <c r="I249" s="32"/>
    </row>
    <row r="250" spans="1:9" s="33" customFormat="1" ht="15.75" customHeight="1" x14ac:dyDescent="0.3">
      <c r="A250" s="103" t="s">
        <v>225</v>
      </c>
      <c r="B250" s="104"/>
      <c r="C250" s="104"/>
      <c r="D250" s="104"/>
      <c r="E250" s="104"/>
      <c r="F250" s="104"/>
      <c r="G250" s="104"/>
      <c r="H250" s="105"/>
      <c r="I250" s="32"/>
    </row>
    <row r="251" spans="1:9" s="33" customFormat="1" ht="15.75" customHeight="1" x14ac:dyDescent="0.3">
      <c r="A251" s="101">
        <v>1</v>
      </c>
      <c r="B251" s="102"/>
      <c r="C251" s="52">
        <v>3</v>
      </c>
      <c r="D251" s="48">
        <f>(96.07)*10.764</f>
        <v>1034.0974799999999</v>
      </c>
      <c r="E251" s="48">
        <v>0</v>
      </c>
      <c r="F251" s="48">
        <f>D251*(($F$203)+1)+(IF(E251&lt;101,E251,IF(E251&lt;201,E251/2,IF(E251&lt;=301,E251/3,E251/4))))</f>
        <v>1551.1462199999999</v>
      </c>
      <c r="G251" s="89" t="str">
        <f>A250</f>
        <v>22nd Floor (Part Refuge Area)</v>
      </c>
      <c r="H251" s="91"/>
      <c r="I251" s="32">
        <f>30100000/F251</f>
        <v>19405.004900182783</v>
      </c>
    </row>
    <row r="252" spans="1:9" s="33" customFormat="1" ht="15.75" customHeight="1" x14ac:dyDescent="0.3">
      <c r="A252" s="101">
        <v>2</v>
      </c>
      <c r="B252" s="102"/>
      <c r="C252" s="52">
        <v>3</v>
      </c>
      <c r="D252" s="48">
        <f>(96.07)*10.764</f>
        <v>1034.0974799999999</v>
      </c>
      <c r="E252" s="48">
        <v>0</v>
      </c>
      <c r="F252" s="48">
        <f>D252*(($F$203)+1)+(IF(E252&lt;101,E252,IF(E252&lt;201,E252/2,IF(E252&lt;=301,E252/3,E252/4))))</f>
        <v>1551.1462199999999</v>
      </c>
      <c r="G252" s="92"/>
      <c r="H252" s="94"/>
      <c r="I252" s="32"/>
    </row>
    <row r="253" spans="1:9" s="33" customFormat="1" ht="15.75" customHeight="1" x14ac:dyDescent="0.3">
      <c r="A253" s="101">
        <v>3</v>
      </c>
      <c r="B253" s="102"/>
      <c r="C253" s="118" t="s">
        <v>183</v>
      </c>
      <c r="D253" s="119"/>
      <c r="E253" s="119"/>
      <c r="F253" s="120"/>
      <c r="G253" s="92"/>
      <c r="H253" s="94"/>
      <c r="I253" s="32"/>
    </row>
    <row r="254" spans="1:9" s="33" customFormat="1" ht="15.75" customHeight="1" x14ac:dyDescent="0.3">
      <c r="A254" s="101">
        <v>4</v>
      </c>
      <c r="B254" s="102"/>
      <c r="C254" s="121"/>
      <c r="D254" s="122"/>
      <c r="E254" s="122"/>
      <c r="F254" s="123"/>
      <c r="G254" s="92"/>
      <c r="H254" s="94"/>
      <c r="I254" s="32"/>
    </row>
    <row r="255" spans="1:9" s="33" customFormat="1" ht="15.75" customHeight="1" x14ac:dyDescent="0.3">
      <c r="A255" s="101">
        <v>5</v>
      </c>
      <c r="B255" s="102"/>
      <c r="C255" s="52">
        <v>3</v>
      </c>
      <c r="D255" s="48">
        <f>(96.07)*10.764</f>
        <v>1034.0974799999999</v>
      </c>
      <c r="E255" s="48">
        <v>0</v>
      </c>
      <c r="F255" s="48">
        <f>D255*(($F$203)+1)+(IF(E255&lt;101,E255,IF(E255&lt;201,E255/2,IF(E255&lt;=301,E255/3,E255/4))))</f>
        <v>1551.1462199999999</v>
      </c>
      <c r="G255" s="92"/>
      <c r="H255" s="94"/>
      <c r="I255" s="32"/>
    </row>
    <row r="256" spans="1:9" s="33" customFormat="1" ht="15.75" customHeight="1" x14ac:dyDescent="0.3">
      <c r="A256" s="101">
        <v>6</v>
      </c>
      <c r="B256" s="102"/>
      <c r="C256" s="52">
        <v>3</v>
      </c>
      <c r="D256" s="48">
        <f>(96.07)*10.764</f>
        <v>1034.0974799999999</v>
      </c>
      <c r="E256" s="48">
        <v>0</v>
      </c>
      <c r="F256" s="48">
        <f>D256*(($F$203)+1)+(IF(E256&lt;101,E256,IF(E256&lt;201,E256/2,IF(E256&lt;=301,E256/3,E256/4))))</f>
        <v>1551.1462199999999</v>
      </c>
      <c r="G256" s="95"/>
      <c r="H256" s="97"/>
      <c r="I256" s="32"/>
    </row>
    <row r="257" spans="1:9" s="33" customFormat="1" ht="15.75" customHeight="1" x14ac:dyDescent="0.3">
      <c r="A257" s="103" t="s">
        <v>226</v>
      </c>
      <c r="B257" s="104"/>
      <c r="C257" s="104"/>
      <c r="D257" s="104"/>
      <c r="E257" s="104"/>
      <c r="F257" s="104"/>
      <c r="G257" s="104"/>
      <c r="H257" s="105"/>
      <c r="I257" s="32"/>
    </row>
    <row r="258" spans="1:9" s="33" customFormat="1" ht="15.75" customHeight="1" x14ac:dyDescent="0.3">
      <c r="A258" s="103" t="s">
        <v>227</v>
      </c>
      <c r="B258" s="104"/>
      <c r="C258" s="104"/>
      <c r="D258" s="104"/>
      <c r="E258" s="104"/>
      <c r="F258" s="104"/>
      <c r="G258" s="104"/>
      <c r="H258" s="105"/>
      <c r="I258" s="32"/>
    </row>
    <row r="259" spans="1:9" s="33" customFormat="1" ht="15.75" customHeight="1" x14ac:dyDescent="0.3">
      <c r="A259" s="101">
        <v>1</v>
      </c>
      <c r="B259" s="102"/>
      <c r="C259" s="52">
        <v>3</v>
      </c>
      <c r="D259" s="48">
        <f>(96.07)*10.764</f>
        <v>1034.0974799999999</v>
      </c>
      <c r="E259" s="48">
        <v>0</v>
      </c>
      <c r="F259" s="48">
        <f>D259*(($F$203)+1)+(IF(E259&lt;101,E259,IF(E259&lt;201,E259/2,IF(E259&lt;=301,E259/3,E259/4))))</f>
        <v>1551.1462199999999</v>
      </c>
      <c r="G259" s="89" t="str">
        <f>A258</f>
        <v>30th Floor (Part Refuge Area)</v>
      </c>
      <c r="H259" s="91"/>
      <c r="I259" s="32">
        <f>30100000/F259</f>
        <v>19405.004900182783</v>
      </c>
    </row>
    <row r="260" spans="1:9" s="33" customFormat="1" ht="15.75" customHeight="1" x14ac:dyDescent="0.3">
      <c r="A260" s="101">
        <v>2</v>
      </c>
      <c r="B260" s="102"/>
      <c r="C260" s="52">
        <v>3</v>
      </c>
      <c r="D260" s="48">
        <f>(96.07)*10.764</f>
        <v>1034.0974799999999</v>
      </c>
      <c r="E260" s="48">
        <v>0</v>
      </c>
      <c r="F260" s="48">
        <f>D260*(($F$203)+1)+(IF(E260&lt;101,E260,IF(E260&lt;201,E260/2,IF(E260&lt;=301,E260/3,E260/4))))</f>
        <v>1551.1462199999999</v>
      </c>
      <c r="G260" s="92"/>
      <c r="H260" s="94"/>
      <c r="I260" s="32"/>
    </row>
    <row r="261" spans="1:9" s="33" customFormat="1" ht="15.75" customHeight="1" x14ac:dyDescent="0.3">
      <c r="A261" s="101">
        <v>3</v>
      </c>
      <c r="B261" s="102"/>
      <c r="C261" s="107" t="s">
        <v>228</v>
      </c>
      <c r="D261" s="108"/>
      <c r="E261" s="108"/>
      <c r="F261" s="109"/>
      <c r="G261" s="92"/>
      <c r="H261" s="94"/>
      <c r="I261" s="32"/>
    </row>
    <row r="262" spans="1:9" s="33" customFormat="1" ht="15.75" customHeight="1" x14ac:dyDescent="0.3">
      <c r="A262" s="101">
        <v>4</v>
      </c>
      <c r="B262" s="102"/>
      <c r="C262" s="107" t="s">
        <v>183</v>
      </c>
      <c r="D262" s="108"/>
      <c r="E262" s="108"/>
      <c r="F262" s="109"/>
      <c r="G262" s="92"/>
      <c r="H262" s="94"/>
      <c r="I262" s="32"/>
    </row>
    <row r="263" spans="1:9" s="33" customFormat="1" ht="15.75" customHeight="1" x14ac:dyDescent="0.3">
      <c r="A263" s="101">
        <v>5</v>
      </c>
      <c r="B263" s="102"/>
      <c r="C263" s="52">
        <v>3</v>
      </c>
      <c r="D263" s="48">
        <f t="shared" ref="D263:D264" si="13">(96.07)*10.764</f>
        <v>1034.0974799999999</v>
      </c>
      <c r="E263" s="48">
        <v>0</v>
      </c>
      <c r="F263" s="48">
        <f>D263*(($F$203)+1)+(IF(E263&lt;101,E263,IF(E263&lt;201,E263/2,IF(E263&lt;=301,E263/3,E263/4))))</f>
        <v>1551.1462199999999</v>
      </c>
      <c r="G263" s="92"/>
      <c r="H263" s="94"/>
      <c r="I263" s="32"/>
    </row>
    <row r="264" spans="1:9" s="33" customFormat="1" ht="15.75" customHeight="1" x14ac:dyDescent="0.3">
      <c r="A264" s="101">
        <v>6</v>
      </c>
      <c r="B264" s="102"/>
      <c r="C264" s="52">
        <v>3</v>
      </c>
      <c r="D264" s="48">
        <f t="shared" si="13"/>
        <v>1034.0974799999999</v>
      </c>
      <c r="E264" s="48">
        <v>0</v>
      </c>
      <c r="F264" s="48">
        <f>D264*(($F$203)+1)+(IF(E264&lt;101,E264,IF(E264&lt;201,E264/2,IF(E264&lt;=301,E264/3,E264/4))))</f>
        <v>1551.1462199999999</v>
      </c>
      <c r="G264" s="95"/>
      <c r="H264" s="97"/>
      <c r="I264" s="32"/>
    </row>
    <row r="265" spans="1:9" s="33" customFormat="1" ht="15.75" customHeight="1" x14ac:dyDescent="0.3">
      <c r="A265" s="103" t="s">
        <v>241</v>
      </c>
      <c r="B265" s="104"/>
      <c r="C265" s="104"/>
      <c r="D265" s="104"/>
      <c r="E265" s="104"/>
      <c r="F265" s="104"/>
      <c r="G265" s="104"/>
      <c r="H265" s="105"/>
      <c r="I265" s="32"/>
    </row>
    <row r="266" spans="1:9" s="33" customFormat="1" ht="15.75" customHeight="1" x14ac:dyDescent="0.3">
      <c r="A266" s="101">
        <v>1</v>
      </c>
      <c r="B266" s="102"/>
      <c r="C266" s="52">
        <v>3</v>
      </c>
      <c r="D266" s="48">
        <f>(101.64)*10.764</f>
        <v>1094.05296</v>
      </c>
      <c r="E266" s="48">
        <v>0</v>
      </c>
      <c r="F266" s="48">
        <f t="shared" ref="F266:F271" si="14">D266*(($F$203)+1)+(IF(E266&lt;101,E266,IF(E266&lt;201,E266/2,IF(E266&lt;=301,E266/3,E266/4))))</f>
        <v>1641.07944</v>
      </c>
      <c r="G266" s="89" t="str">
        <f>A265</f>
        <v>35th, 38th to 43rd, 45th, 47th to 50th, 53rd to 58th, 60th &amp; 61th Floor</v>
      </c>
      <c r="H266" s="91"/>
      <c r="I266" s="32">
        <f>30100000/F266</f>
        <v>18341.586194023614</v>
      </c>
    </row>
    <row r="267" spans="1:9" s="33" customFormat="1" ht="15.75" customHeight="1" x14ac:dyDescent="0.3">
      <c r="A267" s="101">
        <v>2</v>
      </c>
      <c r="B267" s="102"/>
      <c r="C267" s="52">
        <v>3</v>
      </c>
      <c r="D267" s="48">
        <f t="shared" ref="D267:D271" si="15">(101.64)*10.764</f>
        <v>1094.05296</v>
      </c>
      <c r="E267" s="48">
        <v>0</v>
      </c>
      <c r="F267" s="48">
        <f t="shared" si="14"/>
        <v>1641.07944</v>
      </c>
      <c r="G267" s="92"/>
      <c r="H267" s="94"/>
      <c r="I267" s="32"/>
    </row>
    <row r="268" spans="1:9" s="33" customFormat="1" ht="15.75" customHeight="1" x14ac:dyDescent="0.3">
      <c r="A268" s="101">
        <v>3</v>
      </c>
      <c r="B268" s="102"/>
      <c r="C268" s="52">
        <v>3</v>
      </c>
      <c r="D268" s="48">
        <f t="shared" si="15"/>
        <v>1094.05296</v>
      </c>
      <c r="E268" s="48">
        <v>0</v>
      </c>
      <c r="F268" s="48">
        <f t="shared" si="14"/>
        <v>1641.07944</v>
      </c>
      <c r="G268" s="92"/>
      <c r="H268" s="94"/>
      <c r="I268" s="32"/>
    </row>
    <row r="269" spans="1:9" s="33" customFormat="1" ht="15.75" customHeight="1" x14ac:dyDescent="0.3">
      <c r="A269" s="101">
        <v>4</v>
      </c>
      <c r="B269" s="102"/>
      <c r="C269" s="52">
        <v>3</v>
      </c>
      <c r="D269" s="48">
        <f t="shared" si="15"/>
        <v>1094.05296</v>
      </c>
      <c r="E269" s="48">
        <v>0</v>
      </c>
      <c r="F269" s="48">
        <f t="shared" si="14"/>
        <v>1641.07944</v>
      </c>
      <c r="G269" s="92"/>
      <c r="H269" s="94"/>
      <c r="I269" s="32"/>
    </row>
    <row r="270" spans="1:9" s="33" customFormat="1" ht="15.75" customHeight="1" x14ac:dyDescent="0.3">
      <c r="A270" s="101">
        <v>5</v>
      </c>
      <c r="B270" s="102"/>
      <c r="C270" s="52">
        <v>3</v>
      </c>
      <c r="D270" s="48">
        <f t="shared" si="15"/>
        <v>1094.05296</v>
      </c>
      <c r="E270" s="48">
        <v>0</v>
      </c>
      <c r="F270" s="48">
        <f t="shared" si="14"/>
        <v>1641.07944</v>
      </c>
      <c r="G270" s="92"/>
      <c r="H270" s="94"/>
      <c r="I270" s="32"/>
    </row>
    <row r="271" spans="1:9" s="33" customFormat="1" ht="15.75" customHeight="1" x14ac:dyDescent="0.3">
      <c r="A271" s="101">
        <v>6</v>
      </c>
      <c r="B271" s="102"/>
      <c r="C271" s="52">
        <v>3</v>
      </c>
      <c r="D271" s="48">
        <f t="shared" si="15"/>
        <v>1094.05296</v>
      </c>
      <c r="E271" s="48">
        <v>0</v>
      </c>
      <c r="F271" s="48">
        <f t="shared" si="14"/>
        <v>1641.07944</v>
      </c>
      <c r="G271" s="95"/>
      <c r="H271" s="97"/>
      <c r="I271" s="32"/>
    </row>
    <row r="272" spans="1:9" s="33" customFormat="1" ht="15.75" customHeight="1" x14ac:dyDescent="0.3">
      <c r="A272" s="103" t="s">
        <v>229</v>
      </c>
      <c r="B272" s="104"/>
      <c r="C272" s="104"/>
      <c r="D272" s="104"/>
      <c r="E272" s="104"/>
      <c r="F272" s="104"/>
      <c r="G272" s="104"/>
      <c r="H272" s="105"/>
      <c r="I272" s="32"/>
    </row>
    <row r="273" spans="1:9" s="33" customFormat="1" ht="15.75" customHeight="1" x14ac:dyDescent="0.3">
      <c r="A273" s="101">
        <v>1</v>
      </c>
      <c r="B273" s="102"/>
      <c r="C273" s="52">
        <v>3</v>
      </c>
      <c r="D273" s="48">
        <f>(101.64)*10.764</f>
        <v>1094.05296</v>
      </c>
      <c r="E273" s="48">
        <v>0</v>
      </c>
      <c r="F273" s="48">
        <f>D273*(($F$203)+1)+(IF(E273&lt;101,E273,IF(E273&lt;201,E273/2,IF(E273&lt;=301,E273/3,E273/4))))</f>
        <v>1641.07944</v>
      </c>
      <c r="G273" s="89" t="str">
        <f>A272</f>
        <v>44th Floor (Part Refuge Area)</v>
      </c>
      <c r="H273" s="91"/>
      <c r="I273" s="32">
        <f>30100000/F273</f>
        <v>18341.586194023614</v>
      </c>
    </row>
    <row r="274" spans="1:9" s="33" customFormat="1" ht="15.75" customHeight="1" x14ac:dyDescent="0.3">
      <c r="A274" s="101">
        <v>2</v>
      </c>
      <c r="B274" s="102"/>
      <c r="C274" s="52">
        <v>3</v>
      </c>
      <c r="D274" s="48">
        <f t="shared" ref="D274:D278" si="16">(101.64)*10.764</f>
        <v>1094.05296</v>
      </c>
      <c r="E274" s="48">
        <v>0</v>
      </c>
      <c r="F274" s="48">
        <f>D274*(($F$203)+1)+(IF(E274&lt;101,E274,IF(E274&lt;201,E274/2,IF(E274&lt;=301,E274/3,E274/4))))</f>
        <v>1641.07944</v>
      </c>
      <c r="G274" s="92"/>
      <c r="H274" s="94"/>
      <c r="I274" s="32"/>
    </row>
    <row r="275" spans="1:9" s="33" customFormat="1" ht="15.75" customHeight="1" x14ac:dyDescent="0.3">
      <c r="A275" s="101">
        <v>3</v>
      </c>
      <c r="B275" s="102"/>
      <c r="C275" s="118" t="s">
        <v>183</v>
      </c>
      <c r="D275" s="119"/>
      <c r="E275" s="119"/>
      <c r="F275" s="120"/>
      <c r="G275" s="92"/>
      <c r="H275" s="94"/>
      <c r="I275" s="32"/>
    </row>
    <row r="276" spans="1:9" s="33" customFormat="1" ht="15.75" customHeight="1" x14ac:dyDescent="0.3">
      <c r="A276" s="101">
        <v>4</v>
      </c>
      <c r="B276" s="102"/>
      <c r="C276" s="121"/>
      <c r="D276" s="122"/>
      <c r="E276" s="122"/>
      <c r="F276" s="123"/>
      <c r="G276" s="92"/>
      <c r="H276" s="94"/>
      <c r="I276" s="32"/>
    </row>
    <row r="277" spans="1:9" s="33" customFormat="1" ht="15.75" customHeight="1" x14ac:dyDescent="0.3">
      <c r="A277" s="101">
        <v>5</v>
      </c>
      <c r="B277" s="102"/>
      <c r="C277" s="52">
        <v>3</v>
      </c>
      <c r="D277" s="48">
        <f t="shared" si="16"/>
        <v>1094.05296</v>
      </c>
      <c r="E277" s="48">
        <v>0</v>
      </c>
      <c r="F277" s="48">
        <f>D277*(($F$203)+1)+(IF(E277&lt;101,E277,IF(E277&lt;201,E277/2,IF(E277&lt;=301,E277/3,E277/4))))</f>
        <v>1641.07944</v>
      </c>
      <c r="G277" s="92"/>
      <c r="H277" s="94"/>
      <c r="I277" s="32"/>
    </row>
    <row r="278" spans="1:9" s="33" customFormat="1" ht="15.75" customHeight="1" x14ac:dyDescent="0.3">
      <c r="A278" s="101">
        <v>6</v>
      </c>
      <c r="B278" s="102"/>
      <c r="C278" s="52">
        <v>3</v>
      </c>
      <c r="D278" s="48">
        <f t="shared" si="16"/>
        <v>1094.05296</v>
      </c>
      <c r="E278" s="48">
        <v>0</v>
      </c>
      <c r="F278" s="48">
        <f>D278*(($F$203)+1)+(IF(E278&lt;101,E278,IF(E278&lt;201,E278/2,IF(E278&lt;=301,E278/3,E278/4))))</f>
        <v>1641.07944</v>
      </c>
      <c r="G278" s="95"/>
      <c r="H278" s="97"/>
      <c r="I278" s="32"/>
    </row>
    <row r="279" spans="1:9" s="33" customFormat="1" ht="15.75" customHeight="1" x14ac:dyDescent="0.3">
      <c r="A279" s="80" t="s">
        <v>230</v>
      </c>
      <c r="B279" s="80"/>
      <c r="C279" s="80"/>
      <c r="D279" s="80"/>
      <c r="E279" s="80"/>
      <c r="F279" s="80"/>
      <c r="G279" s="80"/>
      <c r="H279" s="80"/>
      <c r="I279" s="32"/>
    </row>
    <row r="280" spans="1:9" s="33" customFormat="1" ht="15.75" customHeight="1" x14ac:dyDescent="0.3">
      <c r="A280" s="80" t="s">
        <v>231</v>
      </c>
      <c r="B280" s="80"/>
      <c r="C280" s="80"/>
      <c r="D280" s="80"/>
      <c r="E280" s="80"/>
      <c r="F280" s="80"/>
      <c r="G280" s="80"/>
      <c r="H280" s="80"/>
      <c r="I280" s="32"/>
    </row>
    <row r="281" spans="1:9" s="33" customFormat="1" ht="15.75" customHeight="1" x14ac:dyDescent="0.3">
      <c r="A281" s="81">
        <v>1</v>
      </c>
      <c r="B281" s="81"/>
      <c r="C281" s="52">
        <v>3</v>
      </c>
      <c r="D281" s="48">
        <f>(101.64)*10.764</f>
        <v>1094.05296</v>
      </c>
      <c r="E281" s="48">
        <v>0</v>
      </c>
      <c r="F281" s="48">
        <f>D281*(($F$203)+1)+(IF(E281&lt;101,E281,IF(E281&lt;201,E281/2,IF(E281&lt;=301,E281/3,E281/4))))</f>
        <v>1641.07944</v>
      </c>
      <c r="G281" s="81" t="str">
        <f>A280</f>
        <v>36th &amp; 51st Floor</v>
      </c>
      <c r="H281" s="81"/>
      <c r="I281" s="32">
        <f>30100000/F281</f>
        <v>18341.586194023614</v>
      </c>
    </row>
    <row r="282" spans="1:9" s="33" customFormat="1" ht="15.75" customHeight="1" x14ac:dyDescent="0.3">
      <c r="A282" s="81">
        <v>2</v>
      </c>
      <c r="B282" s="81"/>
      <c r="C282" s="52">
        <v>3</v>
      </c>
      <c r="D282" s="48">
        <f t="shared" ref="D282:D286" si="17">(101.64)*10.764</f>
        <v>1094.05296</v>
      </c>
      <c r="E282" s="48">
        <v>0</v>
      </c>
      <c r="F282" s="48">
        <f>D282*(($F$203)+1)+(IF(E282&lt;101,E282,IF(E282&lt;201,E282/2,IF(E282&lt;=301,E282/3,E282/4))))</f>
        <v>1641.07944</v>
      </c>
      <c r="G282" s="81"/>
      <c r="H282" s="81"/>
      <c r="I282" s="32"/>
    </row>
    <row r="283" spans="1:9" s="33" customFormat="1" ht="65.25" customHeight="1" x14ac:dyDescent="0.3">
      <c r="A283" s="81">
        <v>3</v>
      </c>
      <c r="B283" s="81"/>
      <c r="C283" s="52" t="s">
        <v>261</v>
      </c>
      <c r="D283" s="48">
        <f>(102.23+80.33)*10.764</f>
        <v>1965.07584</v>
      </c>
      <c r="E283" s="48">
        <v>0</v>
      </c>
      <c r="F283" s="48">
        <f t="shared" ref="F283:F284" si="18">D283*(($F$203)+1)+(IF(E283&lt;101,E283,IF(E283&lt;201,E283/2,IF(E283&lt;=301,E283/3,E283/4))))</f>
        <v>2947.6137600000002</v>
      </c>
      <c r="G283" s="81"/>
      <c r="H283" s="81"/>
      <c r="I283" s="32"/>
    </row>
    <row r="284" spans="1:9" s="33" customFormat="1" ht="15.75" customHeight="1" x14ac:dyDescent="0.3">
      <c r="A284" s="81">
        <v>4</v>
      </c>
      <c r="B284" s="81"/>
      <c r="C284" s="52">
        <v>3</v>
      </c>
      <c r="D284" s="48">
        <f t="shared" si="17"/>
        <v>1094.05296</v>
      </c>
      <c r="E284" s="48">
        <v>0</v>
      </c>
      <c r="F284" s="48">
        <f t="shared" si="18"/>
        <v>1641.07944</v>
      </c>
      <c r="G284" s="81"/>
      <c r="H284" s="81"/>
      <c r="I284" s="32"/>
    </row>
    <row r="285" spans="1:9" s="33" customFormat="1" ht="15.75" customHeight="1" x14ac:dyDescent="0.3">
      <c r="A285" s="81">
        <v>5</v>
      </c>
      <c r="B285" s="81"/>
      <c r="C285" s="52">
        <v>3</v>
      </c>
      <c r="D285" s="48">
        <f t="shared" si="17"/>
        <v>1094.05296</v>
      </c>
      <c r="E285" s="48">
        <v>0</v>
      </c>
      <c r="F285" s="48">
        <f>D285*(($F$203)+1)+(IF(E285&lt;101,E285,IF(E285&lt;201,E285/2,IF(E285&lt;=301,E285/3,E285/4))))</f>
        <v>1641.07944</v>
      </c>
      <c r="G285" s="81"/>
      <c r="H285" s="81"/>
      <c r="I285" s="32"/>
    </row>
    <row r="286" spans="1:9" s="33" customFormat="1" ht="15.75" customHeight="1" x14ac:dyDescent="0.3">
      <c r="A286" s="81">
        <v>6</v>
      </c>
      <c r="B286" s="81"/>
      <c r="C286" s="52">
        <v>3</v>
      </c>
      <c r="D286" s="48">
        <f t="shared" si="17"/>
        <v>1094.05296</v>
      </c>
      <c r="E286" s="48">
        <v>0</v>
      </c>
      <c r="F286" s="48">
        <f>D286*(($F$203)+1)+(IF(E286&lt;101,E286,IF(E286&lt;201,E286/2,IF(E286&lt;=301,E286/3,E286/4))))</f>
        <v>1641.07944</v>
      </c>
      <c r="G286" s="81"/>
      <c r="H286" s="81"/>
      <c r="I286" s="32"/>
    </row>
    <row r="287" spans="1:9" s="33" customFormat="1" ht="15.75" customHeight="1" x14ac:dyDescent="0.3">
      <c r="A287" s="103" t="s">
        <v>232</v>
      </c>
      <c r="B287" s="104"/>
      <c r="C287" s="104"/>
      <c r="D287" s="104"/>
      <c r="E287" s="104"/>
      <c r="F287" s="104"/>
      <c r="G287" s="104"/>
      <c r="H287" s="105"/>
      <c r="I287" s="32"/>
    </row>
    <row r="288" spans="1:9" s="33" customFormat="1" ht="15.75" customHeight="1" x14ac:dyDescent="0.3">
      <c r="A288" s="101">
        <v>1</v>
      </c>
      <c r="B288" s="102"/>
      <c r="C288" s="52">
        <v>3</v>
      </c>
      <c r="D288" s="48">
        <f>(101.64)*10.764</f>
        <v>1094.05296</v>
      </c>
      <c r="E288" s="48">
        <v>0</v>
      </c>
      <c r="F288" s="48">
        <f>D288*(($F$203)+1)+(IF(E288&lt;101,E288,IF(E288&lt;201,E288/2,IF(E288&lt;=301,E288/3,E288/4))))</f>
        <v>1641.07944</v>
      </c>
      <c r="G288" s="89" t="str">
        <f>A287</f>
        <v>37th &amp; 52nd Floor</v>
      </c>
      <c r="H288" s="91"/>
      <c r="I288" s="32">
        <f>30100000/F288</f>
        <v>18341.586194023614</v>
      </c>
    </row>
    <row r="289" spans="1:9" s="33" customFormat="1" ht="15.75" customHeight="1" x14ac:dyDescent="0.3">
      <c r="A289" s="101">
        <v>2</v>
      </c>
      <c r="B289" s="102"/>
      <c r="C289" s="52">
        <v>3</v>
      </c>
      <c r="D289" s="48">
        <f t="shared" ref="D289:D293" si="19">(101.64)*10.764</f>
        <v>1094.05296</v>
      </c>
      <c r="E289" s="48">
        <v>0</v>
      </c>
      <c r="F289" s="48">
        <f>D289*(($F$203)+1)+(IF(E289&lt;101,E289,IF(E289&lt;201,E289/2,IF(E289&lt;=301,E289/3,E289/4))))</f>
        <v>1641.07944</v>
      </c>
      <c r="G289" s="92"/>
      <c r="H289" s="94"/>
      <c r="I289" s="32"/>
    </row>
    <row r="290" spans="1:9" s="33" customFormat="1" ht="15.75" customHeight="1" x14ac:dyDescent="0.3">
      <c r="A290" s="101">
        <v>3</v>
      </c>
      <c r="B290" s="102"/>
      <c r="C290" s="107" t="s">
        <v>233</v>
      </c>
      <c r="D290" s="108"/>
      <c r="E290" s="108"/>
      <c r="F290" s="109"/>
      <c r="G290" s="92"/>
      <c r="H290" s="94"/>
      <c r="I290" s="32"/>
    </row>
    <row r="291" spans="1:9" s="33" customFormat="1" ht="15.75" customHeight="1" x14ac:dyDescent="0.3">
      <c r="A291" s="101">
        <v>4</v>
      </c>
      <c r="B291" s="102"/>
      <c r="C291" s="107" t="s">
        <v>183</v>
      </c>
      <c r="D291" s="108"/>
      <c r="E291" s="108"/>
      <c r="F291" s="109"/>
      <c r="G291" s="92"/>
      <c r="H291" s="94"/>
      <c r="I291" s="32"/>
    </row>
    <row r="292" spans="1:9" s="33" customFormat="1" ht="15.75" customHeight="1" x14ac:dyDescent="0.3">
      <c r="A292" s="101">
        <v>5</v>
      </c>
      <c r="B292" s="102"/>
      <c r="C292" s="52">
        <v>3</v>
      </c>
      <c r="D292" s="48">
        <f t="shared" si="19"/>
        <v>1094.05296</v>
      </c>
      <c r="E292" s="48">
        <v>0</v>
      </c>
      <c r="F292" s="48">
        <f>D292*(($F$203)+1)+(IF(E292&lt;101,E292,IF(E292&lt;201,E292/2,IF(E292&lt;=301,E292/3,E292/4))))</f>
        <v>1641.07944</v>
      </c>
      <c r="G292" s="92"/>
      <c r="H292" s="94"/>
      <c r="I292" s="32"/>
    </row>
    <row r="293" spans="1:9" s="33" customFormat="1" ht="15.75" customHeight="1" x14ac:dyDescent="0.3">
      <c r="A293" s="101">
        <v>6</v>
      </c>
      <c r="B293" s="102"/>
      <c r="C293" s="52">
        <v>3</v>
      </c>
      <c r="D293" s="48">
        <f t="shared" si="19"/>
        <v>1094.05296</v>
      </c>
      <c r="E293" s="48">
        <v>0</v>
      </c>
      <c r="F293" s="48">
        <f>D293*(($F$203)+1)+(IF(E293&lt;101,E293,IF(E293&lt;201,E293/2,IF(E293&lt;=301,E293/3,E293/4))))</f>
        <v>1641.07944</v>
      </c>
      <c r="G293" s="95"/>
      <c r="H293" s="97"/>
      <c r="I293" s="32"/>
    </row>
    <row r="294" spans="1:9" s="33" customFormat="1" ht="15.75" customHeight="1" x14ac:dyDescent="0.3">
      <c r="A294" s="103" t="s">
        <v>234</v>
      </c>
      <c r="B294" s="104"/>
      <c r="C294" s="104"/>
      <c r="D294" s="104"/>
      <c r="E294" s="104"/>
      <c r="F294" s="104"/>
      <c r="G294" s="104"/>
      <c r="H294" s="105"/>
      <c r="I294" s="32"/>
    </row>
    <row r="295" spans="1:9" s="33" customFormat="1" ht="15.75" customHeight="1" x14ac:dyDescent="0.3">
      <c r="A295" s="101">
        <v>1</v>
      </c>
      <c r="B295" s="102"/>
      <c r="C295" s="52">
        <v>3</v>
      </c>
      <c r="D295" s="48">
        <f>(101.64)*10.764</f>
        <v>1094.05296</v>
      </c>
      <c r="E295" s="48">
        <v>0</v>
      </c>
      <c r="F295" s="48">
        <f>D295*(($F$203)+1)+(IF(E295&lt;101,E295,IF(E295&lt;201,E295/2,IF(E295&lt;=301,E295/3,E295/4))))</f>
        <v>1641.07944</v>
      </c>
      <c r="G295" s="89" t="str">
        <f>A294</f>
        <v>59th Floor (Part Refuge Area)</v>
      </c>
      <c r="H295" s="91"/>
      <c r="I295" s="32">
        <f>30100000/F295</f>
        <v>18341.586194023614</v>
      </c>
    </row>
    <row r="296" spans="1:9" s="33" customFormat="1" ht="15.75" customHeight="1" x14ac:dyDescent="0.3">
      <c r="A296" s="101">
        <v>2</v>
      </c>
      <c r="B296" s="102"/>
      <c r="C296" s="52">
        <v>3</v>
      </c>
      <c r="D296" s="48">
        <f t="shared" ref="D296:D300" si="20">(101.64)*10.764</f>
        <v>1094.05296</v>
      </c>
      <c r="E296" s="48">
        <v>0</v>
      </c>
      <c r="F296" s="48">
        <f>D296*(($F$203)+1)+(IF(E296&lt;101,E296,IF(E296&lt;201,E296/2,IF(E296&lt;=301,E296/3,E296/4))))</f>
        <v>1641.07944</v>
      </c>
      <c r="G296" s="92"/>
      <c r="H296" s="94"/>
      <c r="I296" s="32"/>
    </row>
    <row r="297" spans="1:9" s="33" customFormat="1" ht="15.75" customHeight="1" x14ac:dyDescent="0.3">
      <c r="A297" s="101">
        <v>3</v>
      </c>
      <c r="B297" s="102"/>
      <c r="C297" s="52">
        <v>3</v>
      </c>
      <c r="D297" s="48">
        <f>(132.36)*10.764</f>
        <v>1424.7230400000001</v>
      </c>
      <c r="E297" s="48">
        <v>0</v>
      </c>
      <c r="F297" s="48">
        <f>D297*(($F$203)+1)+(IF(E297&lt;101,E297,IF(E297&lt;201,E297/2,IF(E297&lt;=301,E297/3,E297/4))))</f>
        <v>2137.0845600000002</v>
      </c>
      <c r="G297" s="92"/>
      <c r="H297" s="94"/>
      <c r="I297" s="32"/>
    </row>
    <row r="298" spans="1:9" s="33" customFormat="1" ht="15.75" customHeight="1" x14ac:dyDescent="0.3">
      <c r="A298" s="101">
        <v>4</v>
      </c>
      <c r="B298" s="102"/>
      <c r="C298" s="107" t="s">
        <v>183</v>
      </c>
      <c r="D298" s="108"/>
      <c r="E298" s="108"/>
      <c r="F298" s="109"/>
      <c r="G298" s="92"/>
      <c r="H298" s="94"/>
      <c r="I298" s="32"/>
    </row>
    <row r="299" spans="1:9" s="33" customFormat="1" ht="15.75" customHeight="1" x14ac:dyDescent="0.3">
      <c r="A299" s="101">
        <v>5</v>
      </c>
      <c r="B299" s="102"/>
      <c r="C299" s="52">
        <v>3</v>
      </c>
      <c r="D299" s="48">
        <f t="shared" si="20"/>
        <v>1094.05296</v>
      </c>
      <c r="E299" s="48">
        <v>0</v>
      </c>
      <c r="F299" s="48">
        <f>D299*(($F$203)+1)+(IF(E299&lt;101,E299,IF(E299&lt;201,E299/2,IF(E299&lt;=301,E299/3,E299/4))))</f>
        <v>1641.07944</v>
      </c>
      <c r="G299" s="92"/>
      <c r="H299" s="94"/>
      <c r="I299" s="32"/>
    </row>
    <row r="300" spans="1:9" s="33" customFormat="1" ht="15.75" customHeight="1" x14ac:dyDescent="0.3">
      <c r="A300" s="101">
        <v>6</v>
      </c>
      <c r="B300" s="102"/>
      <c r="C300" s="52">
        <v>3</v>
      </c>
      <c r="D300" s="48">
        <f t="shared" si="20"/>
        <v>1094.05296</v>
      </c>
      <c r="E300" s="48">
        <v>0</v>
      </c>
      <c r="F300" s="48">
        <f>D300*(($F$203)+1)+(IF(E300&lt;101,E300,IF(E300&lt;201,E300/2,IF(E300&lt;=301,E300/3,E300/4))))</f>
        <v>1641.07944</v>
      </c>
      <c r="G300" s="95"/>
      <c r="H300" s="97"/>
      <c r="I300" s="32"/>
    </row>
    <row r="301" spans="1:9" x14ac:dyDescent="0.3">
      <c r="A301" s="125" t="s">
        <v>248</v>
      </c>
      <c r="B301" s="125"/>
      <c r="C301" s="125"/>
      <c r="D301" s="125"/>
      <c r="E301" s="125"/>
      <c r="F301" s="125"/>
      <c r="G301" s="125"/>
      <c r="H301" s="125"/>
    </row>
    <row r="302" spans="1:9" x14ac:dyDescent="0.3">
      <c r="A302" s="125" t="s">
        <v>216</v>
      </c>
      <c r="B302" s="125"/>
      <c r="C302" s="125"/>
      <c r="D302" s="125"/>
      <c r="E302" s="125"/>
      <c r="F302" s="125"/>
      <c r="G302" s="125"/>
      <c r="H302" s="125"/>
    </row>
    <row r="303" spans="1:9" x14ac:dyDescent="0.3">
      <c r="A303" s="125" t="s">
        <v>173</v>
      </c>
      <c r="B303" s="125"/>
      <c r="C303" s="125"/>
      <c r="D303" s="125"/>
      <c r="E303" s="125"/>
      <c r="F303" s="125"/>
      <c r="G303" s="125"/>
      <c r="H303" s="125"/>
    </row>
    <row r="304" spans="1:9" x14ac:dyDescent="0.3">
      <c r="A304" s="125" t="s">
        <v>217</v>
      </c>
      <c r="B304" s="125"/>
      <c r="C304" s="125"/>
      <c r="D304" s="125"/>
      <c r="E304" s="125"/>
      <c r="F304" s="125"/>
      <c r="G304" s="125"/>
      <c r="H304" s="125"/>
    </row>
    <row r="305" spans="1:14" s="33" customFormat="1" x14ac:dyDescent="0.3">
      <c r="A305" s="103" t="s">
        <v>218</v>
      </c>
      <c r="B305" s="104"/>
      <c r="C305" s="104"/>
      <c r="D305" s="104"/>
      <c r="E305" s="104"/>
      <c r="F305" s="104"/>
      <c r="G305" s="104"/>
      <c r="H305" s="105"/>
      <c r="J305" s="32"/>
    </row>
    <row r="306" spans="1:14" s="33" customFormat="1" ht="15.75" customHeight="1" x14ac:dyDescent="0.3">
      <c r="A306" s="101">
        <v>1</v>
      </c>
      <c r="B306" s="102"/>
      <c r="C306" s="118" t="s">
        <v>219</v>
      </c>
      <c r="D306" s="119"/>
      <c r="E306" s="119"/>
      <c r="F306" s="120"/>
      <c r="G306" s="89" t="str">
        <f>A305</f>
        <v>2nd to 5th Podium Floor for Residential</v>
      </c>
      <c r="H306" s="91"/>
      <c r="I306" s="32"/>
      <c r="L306" s="82"/>
      <c r="M306" s="82"/>
      <c r="N306" s="32"/>
    </row>
    <row r="307" spans="1:14" s="33" customFormat="1" ht="15.75" customHeight="1" x14ac:dyDescent="0.25">
      <c r="A307" s="101">
        <f t="shared" ref="A307:A313" si="21">A306+1</f>
        <v>2</v>
      </c>
      <c r="B307" s="102"/>
      <c r="C307" s="126"/>
      <c r="D307" s="127"/>
      <c r="E307" s="127"/>
      <c r="F307" s="128"/>
      <c r="G307" s="92"/>
      <c r="H307" s="94"/>
      <c r="I307" s="57"/>
      <c r="L307" s="82"/>
      <c r="M307" s="82"/>
      <c r="N307" s="32"/>
    </row>
    <row r="308" spans="1:14" s="33" customFormat="1" ht="15.75" customHeight="1" x14ac:dyDescent="0.3">
      <c r="A308" s="101">
        <f t="shared" si="21"/>
        <v>3</v>
      </c>
      <c r="B308" s="102"/>
      <c r="C308" s="126"/>
      <c r="D308" s="127"/>
      <c r="E308" s="127"/>
      <c r="F308" s="128"/>
      <c r="G308" s="92"/>
      <c r="H308" s="94"/>
      <c r="I308" s="32">
        <f>(96.07)*10.764</f>
        <v>1034.0974799999999</v>
      </c>
      <c r="L308" s="82"/>
      <c r="M308" s="82"/>
      <c r="N308" s="32"/>
    </row>
    <row r="309" spans="1:14" s="33" customFormat="1" ht="15.75" customHeight="1" x14ac:dyDescent="0.3">
      <c r="A309" s="101">
        <f t="shared" si="21"/>
        <v>4</v>
      </c>
      <c r="B309" s="102"/>
      <c r="C309" s="121"/>
      <c r="D309" s="122"/>
      <c r="E309" s="122"/>
      <c r="F309" s="123"/>
      <c r="G309" s="92"/>
      <c r="H309" s="94"/>
      <c r="I309" s="32"/>
      <c r="L309" s="82"/>
      <c r="M309" s="82"/>
      <c r="N309" s="32"/>
    </row>
    <row r="310" spans="1:14" s="33" customFormat="1" ht="15.75" customHeight="1" x14ac:dyDescent="0.3">
      <c r="A310" s="101">
        <f t="shared" si="21"/>
        <v>5</v>
      </c>
      <c r="B310" s="102"/>
      <c r="C310" s="52">
        <v>3</v>
      </c>
      <c r="D310" s="53">
        <f>(96.07)*10.764</f>
        <v>1034.0974799999999</v>
      </c>
      <c r="E310" s="48">
        <v>0</v>
      </c>
      <c r="F310" s="48">
        <f t="shared" ref="F310:F311" si="22">D310*(($F$203)+1)+(IF(E310&lt;101,E310,IF(E310&lt;201,E310/2,IF(E310&lt;=301,E310/3,E310/4))))</f>
        <v>1551.1462199999999</v>
      </c>
      <c r="G310" s="92"/>
      <c r="H310" s="94"/>
      <c r="I310" s="32"/>
      <c r="L310" s="82"/>
      <c r="M310" s="82"/>
      <c r="N310" s="32"/>
    </row>
    <row r="311" spans="1:14" s="33" customFormat="1" ht="15.75" customHeight="1" x14ac:dyDescent="0.3">
      <c r="A311" s="101">
        <f t="shared" si="21"/>
        <v>6</v>
      </c>
      <c r="B311" s="102"/>
      <c r="C311" s="52">
        <v>3</v>
      </c>
      <c r="D311" s="53">
        <f>(96.07)*10.764</f>
        <v>1034.0974799999999</v>
      </c>
      <c r="E311" s="48">
        <v>0</v>
      </c>
      <c r="F311" s="48">
        <f t="shared" si="22"/>
        <v>1551.1462199999999</v>
      </c>
      <c r="G311" s="92"/>
      <c r="H311" s="94"/>
      <c r="I311" s="32"/>
      <c r="L311" s="82"/>
      <c r="M311" s="82"/>
      <c r="N311" s="32"/>
    </row>
    <row r="312" spans="1:14" s="33" customFormat="1" ht="15.75" customHeight="1" x14ac:dyDescent="0.3">
      <c r="A312" s="101">
        <f t="shared" si="21"/>
        <v>7</v>
      </c>
      <c r="B312" s="102"/>
      <c r="C312" s="118" t="s">
        <v>219</v>
      </c>
      <c r="D312" s="119"/>
      <c r="E312" s="119"/>
      <c r="F312" s="120"/>
      <c r="G312" s="92"/>
      <c r="H312" s="94"/>
      <c r="I312" s="32"/>
      <c r="L312" s="82"/>
      <c r="M312" s="82"/>
      <c r="N312" s="32"/>
    </row>
    <row r="313" spans="1:14" s="33" customFormat="1" ht="15.75" customHeight="1" x14ac:dyDescent="0.3">
      <c r="A313" s="101">
        <f t="shared" si="21"/>
        <v>8</v>
      </c>
      <c r="B313" s="102"/>
      <c r="C313" s="121"/>
      <c r="D313" s="122"/>
      <c r="E313" s="122"/>
      <c r="F313" s="123"/>
      <c r="G313" s="95"/>
      <c r="H313" s="97"/>
      <c r="I313" s="32"/>
      <c r="L313" s="82"/>
      <c r="M313" s="82"/>
      <c r="N313" s="32"/>
    </row>
    <row r="314" spans="1:14" s="33" customFormat="1" x14ac:dyDescent="0.3">
      <c r="A314" s="103" t="s">
        <v>235</v>
      </c>
      <c r="B314" s="104"/>
      <c r="C314" s="104"/>
      <c r="D314" s="104"/>
      <c r="E314" s="104"/>
      <c r="F314" s="104"/>
      <c r="G314" s="104"/>
      <c r="H314" s="105"/>
      <c r="J314" s="32"/>
    </row>
    <row r="315" spans="1:14" s="33" customFormat="1" ht="15.75" customHeight="1" x14ac:dyDescent="0.3">
      <c r="A315" s="101">
        <v>1</v>
      </c>
      <c r="B315" s="102"/>
      <c r="C315" s="52">
        <v>3</v>
      </c>
      <c r="D315" s="53">
        <f>(99.16)*10.764</f>
        <v>1067.3582399999998</v>
      </c>
      <c r="E315" s="48">
        <v>0</v>
      </c>
      <c r="F315" s="48">
        <f t="shared" ref="F315:F316" si="23">D315*(($F$203)+1)+(IF(E315&lt;101,E315,IF(E315&lt;201,E315/2,IF(E315&lt;=301,E315/3,E315/4))))</f>
        <v>1601.0373599999998</v>
      </c>
      <c r="G315" s="89" t="str">
        <f>A314</f>
        <v>6th &amp; 7th Floor</v>
      </c>
      <c r="H315" s="91"/>
      <c r="I315" s="32"/>
      <c r="L315" s="82"/>
      <c r="M315" s="82"/>
      <c r="N315" s="32"/>
    </row>
    <row r="316" spans="1:14" s="33" customFormat="1" ht="15.75" customHeight="1" x14ac:dyDescent="0.25">
      <c r="A316" s="101">
        <f t="shared" ref="A316:A322" si="24">A315+1</f>
        <v>2</v>
      </c>
      <c r="B316" s="102"/>
      <c r="C316" s="52" t="s">
        <v>179</v>
      </c>
      <c r="D316" s="53">
        <f>(23.48)*10.764</f>
        <v>252.73872</v>
      </c>
      <c r="E316" s="48">
        <v>0</v>
      </c>
      <c r="F316" s="48">
        <f t="shared" si="23"/>
        <v>379.10807999999997</v>
      </c>
      <c r="G316" s="92"/>
      <c r="H316" s="94"/>
      <c r="I316" s="57"/>
      <c r="L316" s="82"/>
      <c r="M316" s="82"/>
      <c r="N316" s="32"/>
    </row>
    <row r="317" spans="1:14" s="33" customFormat="1" ht="15.75" customHeight="1" x14ac:dyDescent="0.3">
      <c r="A317" s="101">
        <f t="shared" si="24"/>
        <v>3</v>
      </c>
      <c r="B317" s="102"/>
      <c r="C317" s="52" t="s">
        <v>179</v>
      </c>
      <c r="D317" s="53">
        <f>(23.48)*10.764</f>
        <v>252.73872</v>
      </c>
      <c r="E317" s="48">
        <v>0</v>
      </c>
      <c r="F317" s="48">
        <f>D317*(($F$203)+1)+(IF(E317&lt;101,E317,IF(E317&lt;201,E317/2,IF(E317&lt;=301,E317/3,E317/4))))</f>
        <v>379.10807999999997</v>
      </c>
      <c r="G317" s="92"/>
      <c r="H317" s="94"/>
      <c r="I317" s="32">
        <f>(96.07)*10.764</f>
        <v>1034.0974799999999</v>
      </c>
      <c r="L317" s="82"/>
      <c r="M317" s="82"/>
      <c r="N317" s="32"/>
    </row>
    <row r="318" spans="1:14" s="33" customFormat="1" ht="15.75" customHeight="1" x14ac:dyDescent="0.3">
      <c r="A318" s="101">
        <f t="shared" si="24"/>
        <v>4</v>
      </c>
      <c r="B318" s="102"/>
      <c r="C318" s="52">
        <v>3</v>
      </c>
      <c r="D318" s="53">
        <f>(99.16)*10.764</f>
        <v>1067.3582399999998</v>
      </c>
      <c r="E318" s="48">
        <v>0</v>
      </c>
      <c r="F318" s="48">
        <f>D318*(($F$203)+1)+(IF(E318&lt;101,E318,IF(E318&lt;201,E318/2,IF(E318&lt;=301,E318/3,E318/4))))</f>
        <v>1601.0373599999998</v>
      </c>
      <c r="G318" s="92"/>
      <c r="H318" s="94"/>
      <c r="I318" s="32"/>
      <c r="L318" s="82"/>
      <c r="M318" s="82"/>
      <c r="N318" s="32"/>
    </row>
    <row r="319" spans="1:14" s="33" customFormat="1" ht="15.75" customHeight="1" x14ac:dyDescent="0.3">
      <c r="A319" s="101">
        <f t="shared" si="24"/>
        <v>5</v>
      </c>
      <c r="B319" s="102"/>
      <c r="C319" s="52">
        <v>3</v>
      </c>
      <c r="D319" s="53">
        <f>(96.07)*10.764</f>
        <v>1034.0974799999999</v>
      </c>
      <c r="E319" s="48">
        <v>0</v>
      </c>
      <c r="F319" s="48">
        <f t="shared" ref="F319:F320" si="25">D319*(($F$203)+1)+(IF(E319&lt;101,E319,IF(E319&lt;201,E319/2,IF(E319&lt;=301,E319/3,E319/4))))</f>
        <v>1551.1462199999999</v>
      </c>
      <c r="G319" s="92"/>
      <c r="H319" s="94"/>
      <c r="I319" s="32"/>
      <c r="L319" s="82"/>
      <c r="M319" s="82"/>
      <c r="N319" s="32"/>
    </row>
    <row r="320" spans="1:14" s="33" customFormat="1" ht="15.75" customHeight="1" x14ac:dyDescent="0.3">
      <c r="A320" s="101">
        <f t="shared" si="24"/>
        <v>6</v>
      </c>
      <c r="B320" s="102"/>
      <c r="C320" s="52">
        <v>3</v>
      </c>
      <c r="D320" s="53">
        <f>(96.07)*10.764</f>
        <v>1034.0974799999999</v>
      </c>
      <c r="E320" s="48">
        <v>0</v>
      </c>
      <c r="F320" s="48">
        <f t="shared" si="25"/>
        <v>1551.1462199999999</v>
      </c>
      <c r="G320" s="92"/>
      <c r="H320" s="94"/>
      <c r="I320" s="32"/>
      <c r="L320" s="82"/>
      <c r="M320" s="82"/>
      <c r="N320" s="32"/>
    </row>
    <row r="321" spans="1:14" s="33" customFormat="1" ht="15.75" customHeight="1" x14ac:dyDescent="0.3">
      <c r="A321" s="101">
        <f t="shared" si="24"/>
        <v>7</v>
      </c>
      <c r="B321" s="102"/>
      <c r="C321" s="52">
        <v>3</v>
      </c>
      <c r="D321" s="53">
        <f>(98.74)*10.764</f>
        <v>1062.83736</v>
      </c>
      <c r="E321" s="48">
        <v>0</v>
      </c>
      <c r="F321" s="48">
        <f t="shared" ref="F321:F322" si="26">D321*(($F$203)+1)+(IF(E321&lt;101,E321,IF(E321&lt;201,E321/2,IF(E321&lt;=301,E321/3,E321/4))))</f>
        <v>1594.25604</v>
      </c>
      <c r="G321" s="92"/>
      <c r="H321" s="94"/>
      <c r="I321" s="32"/>
      <c r="L321" s="82"/>
      <c r="M321" s="82"/>
      <c r="N321" s="32"/>
    </row>
    <row r="322" spans="1:14" s="33" customFormat="1" ht="15.75" customHeight="1" x14ac:dyDescent="0.3">
      <c r="A322" s="101">
        <f t="shared" si="24"/>
        <v>8</v>
      </c>
      <c r="B322" s="102"/>
      <c r="C322" s="52">
        <v>3</v>
      </c>
      <c r="D322" s="53">
        <f>(98.74)*10.764</f>
        <v>1062.83736</v>
      </c>
      <c r="E322" s="48">
        <v>0</v>
      </c>
      <c r="F322" s="48">
        <f t="shared" si="26"/>
        <v>1594.25604</v>
      </c>
      <c r="G322" s="95"/>
      <c r="H322" s="97"/>
      <c r="I322" s="32"/>
      <c r="L322" s="82"/>
      <c r="M322" s="82"/>
      <c r="N322" s="32"/>
    </row>
    <row r="323" spans="1:14" s="33" customFormat="1" x14ac:dyDescent="0.3">
      <c r="A323" s="103" t="s">
        <v>221</v>
      </c>
      <c r="B323" s="104"/>
      <c r="C323" s="104"/>
      <c r="D323" s="104"/>
      <c r="E323" s="104"/>
      <c r="F323" s="104"/>
      <c r="G323" s="104"/>
      <c r="H323" s="105"/>
      <c r="J323" s="32"/>
    </row>
    <row r="324" spans="1:14" s="33" customFormat="1" ht="15.75" customHeight="1" x14ac:dyDescent="0.3">
      <c r="A324" s="101">
        <v>1</v>
      </c>
      <c r="B324" s="102"/>
      <c r="C324" s="52">
        <v>3</v>
      </c>
      <c r="D324" s="53">
        <f>(96.8)*10.764</f>
        <v>1041.9551999999999</v>
      </c>
      <c r="E324" s="48">
        <v>0</v>
      </c>
      <c r="F324" s="48">
        <f t="shared" ref="F324:F325" si="27">D324*(($F$203)+1)+(IF(E324&lt;101,E324,IF(E324&lt;201,E324/2,IF(E324&lt;=301,E324/3,E324/4))))</f>
        <v>1562.9327999999998</v>
      </c>
      <c r="G324" s="89" t="str">
        <f>A323</f>
        <v>8th &amp; 15th Floor (Part Refuge Area)</v>
      </c>
      <c r="H324" s="91"/>
      <c r="I324" s="32"/>
      <c r="L324" s="82"/>
      <c r="M324" s="82"/>
      <c r="N324" s="32"/>
    </row>
    <row r="325" spans="1:14" s="33" customFormat="1" ht="15.75" customHeight="1" x14ac:dyDescent="0.25">
      <c r="A325" s="101">
        <f t="shared" ref="A325:A331" si="28">A324+1</f>
        <v>2</v>
      </c>
      <c r="B325" s="102"/>
      <c r="C325" s="52" t="s">
        <v>179</v>
      </c>
      <c r="D325" s="53">
        <f>(23.02)*10.764</f>
        <v>247.78727999999998</v>
      </c>
      <c r="E325" s="48">
        <v>0</v>
      </c>
      <c r="F325" s="48">
        <f t="shared" si="27"/>
        <v>371.68091999999996</v>
      </c>
      <c r="G325" s="92"/>
      <c r="H325" s="94"/>
      <c r="I325" s="57"/>
      <c r="L325" s="82"/>
      <c r="M325" s="82"/>
      <c r="N325" s="32"/>
    </row>
    <row r="326" spans="1:14" s="33" customFormat="1" ht="15.75" customHeight="1" x14ac:dyDescent="0.3">
      <c r="A326" s="101">
        <f t="shared" si="28"/>
        <v>3</v>
      </c>
      <c r="B326" s="102"/>
      <c r="C326" s="52" t="s">
        <v>179</v>
      </c>
      <c r="D326" s="53">
        <f>(23.02)*10.764</f>
        <v>247.78727999999998</v>
      </c>
      <c r="E326" s="48">
        <v>0</v>
      </c>
      <c r="F326" s="48">
        <f>D326*(($F$203)+1)+(IF(E326&lt;101,E326,IF(E326&lt;201,E326/2,IF(E326&lt;=301,E326/3,E326/4))))</f>
        <v>371.68091999999996</v>
      </c>
      <c r="G326" s="92"/>
      <c r="H326" s="94"/>
      <c r="I326" s="32">
        <f>(96.07)*10.764</f>
        <v>1034.0974799999999</v>
      </c>
      <c r="L326" s="82"/>
      <c r="M326" s="82"/>
      <c r="N326" s="32"/>
    </row>
    <row r="327" spans="1:14" s="33" customFormat="1" ht="15.75" customHeight="1" x14ac:dyDescent="0.3">
      <c r="A327" s="101">
        <f t="shared" si="28"/>
        <v>4</v>
      </c>
      <c r="B327" s="102"/>
      <c r="C327" s="52">
        <v>3</v>
      </c>
      <c r="D327" s="53">
        <f>(96.8)*10.764</f>
        <v>1041.9551999999999</v>
      </c>
      <c r="E327" s="48">
        <v>0</v>
      </c>
      <c r="F327" s="48">
        <f>D327*(($F$203)+1)+(IF(E327&lt;101,E327,IF(E327&lt;201,E327/2,IF(E327&lt;=301,E327/3,E327/4))))</f>
        <v>1562.9327999999998</v>
      </c>
      <c r="G327" s="92"/>
      <c r="H327" s="94"/>
      <c r="I327" s="32"/>
      <c r="L327" s="82"/>
      <c r="M327" s="82"/>
      <c r="N327" s="32"/>
    </row>
    <row r="328" spans="1:14" s="33" customFormat="1" ht="15.75" customHeight="1" x14ac:dyDescent="0.3">
      <c r="A328" s="101">
        <f t="shared" si="28"/>
        <v>5</v>
      </c>
      <c r="B328" s="102"/>
      <c r="C328" s="118" t="s">
        <v>183</v>
      </c>
      <c r="D328" s="119"/>
      <c r="E328" s="119"/>
      <c r="F328" s="120"/>
      <c r="G328" s="92"/>
      <c r="H328" s="94"/>
      <c r="I328" s="32"/>
      <c r="L328" s="82"/>
      <c r="M328" s="82"/>
      <c r="N328" s="32"/>
    </row>
    <row r="329" spans="1:14" s="33" customFormat="1" ht="15.75" customHeight="1" x14ac:dyDescent="0.3">
      <c r="A329" s="101">
        <f t="shared" si="28"/>
        <v>6</v>
      </c>
      <c r="B329" s="102"/>
      <c r="C329" s="121"/>
      <c r="D329" s="122"/>
      <c r="E329" s="122"/>
      <c r="F329" s="123"/>
      <c r="G329" s="92"/>
      <c r="H329" s="94"/>
      <c r="I329" s="32"/>
      <c r="L329" s="82"/>
      <c r="M329" s="82"/>
      <c r="N329" s="32"/>
    </row>
    <row r="330" spans="1:14" s="33" customFormat="1" ht="15.75" customHeight="1" x14ac:dyDescent="0.3">
      <c r="A330" s="101">
        <f t="shared" si="28"/>
        <v>7</v>
      </c>
      <c r="B330" s="102"/>
      <c r="C330" s="52">
        <v>3</v>
      </c>
      <c r="D330" s="53">
        <f>(96.07)*10.764</f>
        <v>1034.0974799999999</v>
      </c>
      <c r="E330" s="48">
        <v>0</v>
      </c>
      <c r="F330" s="48">
        <f t="shared" ref="F330:F331" si="29">D330*(($F$203)+1)+(IF(E330&lt;101,E330,IF(E330&lt;201,E330/2,IF(E330&lt;=301,E330/3,E330/4))))</f>
        <v>1551.1462199999999</v>
      </c>
      <c r="G330" s="92"/>
      <c r="H330" s="94"/>
      <c r="I330" s="32"/>
      <c r="L330" s="82"/>
      <c r="M330" s="82"/>
      <c r="N330" s="32"/>
    </row>
    <row r="331" spans="1:14" s="33" customFormat="1" ht="15.75" customHeight="1" x14ac:dyDescent="0.3">
      <c r="A331" s="101">
        <f t="shared" si="28"/>
        <v>8</v>
      </c>
      <c r="B331" s="102"/>
      <c r="C331" s="52">
        <v>3</v>
      </c>
      <c r="D331" s="53">
        <f>(96.07)*10.764</f>
        <v>1034.0974799999999</v>
      </c>
      <c r="E331" s="48">
        <v>0</v>
      </c>
      <c r="F331" s="48">
        <f t="shared" si="29"/>
        <v>1551.1462199999999</v>
      </c>
      <c r="G331" s="95"/>
      <c r="H331" s="97"/>
      <c r="I331" s="32"/>
      <c r="L331" s="82"/>
      <c r="M331" s="82"/>
      <c r="N331" s="32"/>
    </row>
    <row r="332" spans="1:14" s="33" customFormat="1" x14ac:dyDescent="0.3">
      <c r="A332" s="103" t="s">
        <v>237</v>
      </c>
      <c r="B332" s="104"/>
      <c r="C332" s="104"/>
      <c r="D332" s="104"/>
      <c r="E332" s="104"/>
      <c r="F332" s="104"/>
      <c r="G332" s="104"/>
      <c r="H332" s="105"/>
      <c r="J332" s="32"/>
    </row>
    <row r="333" spans="1:14" s="33" customFormat="1" ht="15.75" customHeight="1" x14ac:dyDescent="0.3">
      <c r="A333" s="101">
        <v>1</v>
      </c>
      <c r="B333" s="102"/>
      <c r="C333" s="52">
        <v>3</v>
      </c>
      <c r="D333" s="53">
        <f>(96.8)*10.764</f>
        <v>1041.9551999999999</v>
      </c>
      <c r="E333" s="48">
        <v>0</v>
      </c>
      <c r="F333" s="48">
        <f t="shared" ref="F333:F334" si="30">D333*(($F$203)+1)+(IF(E333&lt;101,E333,IF(E333&lt;201,E333/2,IF(E333&lt;=301,E333/3,E333/4))))</f>
        <v>1562.9327999999998</v>
      </c>
      <c r="G333" s="89" t="str">
        <f>A332</f>
        <v>9th to 14th, 16th to 21st, 24th to 29th &amp; 31st to 34th Floor</v>
      </c>
      <c r="H333" s="91"/>
      <c r="I333" s="32"/>
      <c r="L333" s="82"/>
      <c r="M333" s="82"/>
      <c r="N333" s="32"/>
    </row>
    <row r="334" spans="1:14" s="33" customFormat="1" ht="15.75" customHeight="1" x14ac:dyDescent="0.25">
      <c r="A334" s="101">
        <f t="shared" ref="A334:A340" si="31">A333+1</f>
        <v>2</v>
      </c>
      <c r="B334" s="102"/>
      <c r="C334" s="52" t="s">
        <v>179</v>
      </c>
      <c r="D334" s="53">
        <f>(23.02)*10.764</f>
        <v>247.78727999999998</v>
      </c>
      <c r="E334" s="48">
        <v>0</v>
      </c>
      <c r="F334" s="48">
        <f t="shared" si="30"/>
        <v>371.68091999999996</v>
      </c>
      <c r="G334" s="92"/>
      <c r="H334" s="94"/>
      <c r="I334" s="57"/>
      <c r="L334" s="82"/>
      <c r="M334" s="82"/>
      <c r="N334" s="32"/>
    </row>
    <row r="335" spans="1:14" s="33" customFormat="1" ht="15.75" customHeight="1" x14ac:dyDescent="0.3">
      <c r="A335" s="101">
        <f t="shared" si="31"/>
        <v>3</v>
      </c>
      <c r="B335" s="102"/>
      <c r="C335" s="52" t="s">
        <v>179</v>
      </c>
      <c r="D335" s="53">
        <f>(23.02)*10.764</f>
        <v>247.78727999999998</v>
      </c>
      <c r="E335" s="48">
        <v>0</v>
      </c>
      <c r="F335" s="48">
        <f>D335*(($F$203)+1)+(IF(E335&lt;101,E335,IF(E335&lt;201,E335/2,IF(E335&lt;=301,E335/3,E335/4))))</f>
        <v>371.68091999999996</v>
      </c>
      <c r="G335" s="92"/>
      <c r="H335" s="94"/>
      <c r="I335" s="32"/>
      <c r="L335" s="82"/>
      <c r="M335" s="82"/>
      <c r="N335" s="32"/>
    </row>
    <row r="336" spans="1:14" s="33" customFormat="1" ht="15.75" customHeight="1" x14ac:dyDescent="0.3">
      <c r="A336" s="101">
        <f t="shared" si="31"/>
        <v>4</v>
      </c>
      <c r="B336" s="102"/>
      <c r="C336" s="52">
        <v>3</v>
      </c>
      <c r="D336" s="53">
        <f>(96.8)*10.764</f>
        <v>1041.9551999999999</v>
      </c>
      <c r="E336" s="48">
        <v>0</v>
      </c>
      <c r="F336" s="48">
        <f>D336*(($F$203)+1)+(IF(E336&lt;101,E336,IF(E336&lt;201,E336/2,IF(E336&lt;=301,E336/3,E336/4))))</f>
        <v>1562.9327999999998</v>
      </c>
      <c r="G336" s="92"/>
      <c r="H336" s="94"/>
      <c r="I336" s="32"/>
      <c r="L336" s="82"/>
      <c r="M336" s="82"/>
      <c r="N336" s="32"/>
    </row>
    <row r="337" spans="1:14" s="33" customFormat="1" ht="15.75" customHeight="1" x14ac:dyDescent="0.3">
      <c r="A337" s="101">
        <f t="shared" si="31"/>
        <v>5</v>
      </c>
      <c r="B337" s="102"/>
      <c r="C337" s="52">
        <v>3</v>
      </c>
      <c r="D337" s="53">
        <f>(96.07)*10.764</f>
        <v>1034.0974799999999</v>
      </c>
      <c r="E337" s="48">
        <v>0</v>
      </c>
      <c r="F337" s="48">
        <f t="shared" ref="F337:F338" si="32">D337*(($F$203)+1)+(IF(E337&lt;101,E337,IF(E337&lt;201,E337/2,IF(E337&lt;=301,E337/3,E337/4))))</f>
        <v>1551.1462199999999</v>
      </c>
      <c r="G337" s="92"/>
      <c r="H337" s="94"/>
      <c r="I337" s="32"/>
      <c r="L337" s="82"/>
      <c r="M337" s="82"/>
      <c r="N337" s="32"/>
    </row>
    <row r="338" spans="1:14" s="33" customFormat="1" ht="15.75" customHeight="1" x14ac:dyDescent="0.3">
      <c r="A338" s="101">
        <f t="shared" si="31"/>
        <v>6</v>
      </c>
      <c r="B338" s="102"/>
      <c r="C338" s="52">
        <v>3</v>
      </c>
      <c r="D338" s="53">
        <f>(96.07)*10.764</f>
        <v>1034.0974799999999</v>
      </c>
      <c r="E338" s="48">
        <v>0</v>
      </c>
      <c r="F338" s="48">
        <f t="shared" si="32"/>
        <v>1551.1462199999999</v>
      </c>
      <c r="G338" s="92"/>
      <c r="H338" s="94"/>
      <c r="I338" s="32"/>
      <c r="L338" s="82"/>
      <c r="M338" s="82"/>
      <c r="N338" s="32"/>
    </row>
    <row r="339" spans="1:14" s="33" customFormat="1" ht="15.75" customHeight="1" x14ac:dyDescent="0.3">
      <c r="A339" s="101">
        <f t="shared" si="31"/>
        <v>7</v>
      </c>
      <c r="B339" s="102"/>
      <c r="C339" s="52">
        <v>3</v>
      </c>
      <c r="D339" s="53">
        <f>(96.07)*10.764</f>
        <v>1034.0974799999999</v>
      </c>
      <c r="E339" s="48">
        <v>0</v>
      </c>
      <c r="F339" s="48">
        <f t="shared" ref="F339:F340" si="33">D339*(($F$203)+1)+(IF(E339&lt;101,E339,IF(E339&lt;201,E339/2,IF(E339&lt;=301,E339/3,E339/4))))</f>
        <v>1551.1462199999999</v>
      </c>
      <c r="G339" s="92"/>
      <c r="H339" s="94"/>
      <c r="I339" s="32"/>
      <c r="L339" s="82"/>
      <c r="M339" s="82"/>
      <c r="N339" s="32"/>
    </row>
    <row r="340" spans="1:14" s="33" customFormat="1" ht="15.75" customHeight="1" x14ac:dyDescent="0.3">
      <c r="A340" s="101">
        <f t="shared" si="31"/>
        <v>8</v>
      </c>
      <c r="B340" s="102"/>
      <c r="C340" s="52">
        <v>3</v>
      </c>
      <c r="D340" s="53">
        <f>(96.07)*10.764</f>
        <v>1034.0974799999999</v>
      </c>
      <c r="E340" s="48">
        <v>0</v>
      </c>
      <c r="F340" s="48">
        <f t="shared" si="33"/>
        <v>1551.1462199999999</v>
      </c>
      <c r="G340" s="95"/>
      <c r="H340" s="97"/>
      <c r="I340" s="32"/>
      <c r="L340" s="82"/>
      <c r="M340" s="82"/>
      <c r="N340" s="32"/>
    </row>
    <row r="341" spans="1:14" s="33" customFormat="1" x14ac:dyDescent="0.3">
      <c r="A341" s="103" t="s">
        <v>225</v>
      </c>
      <c r="B341" s="104"/>
      <c r="C341" s="104"/>
      <c r="D341" s="104"/>
      <c r="E341" s="104"/>
      <c r="F341" s="104"/>
      <c r="G341" s="104"/>
      <c r="H341" s="105"/>
      <c r="J341" s="32"/>
    </row>
    <row r="342" spans="1:14" s="33" customFormat="1" ht="15.75" customHeight="1" x14ac:dyDescent="0.3">
      <c r="A342" s="101">
        <v>1</v>
      </c>
      <c r="B342" s="102"/>
      <c r="C342" s="52">
        <v>3</v>
      </c>
      <c r="D342" s="53">
        <f>(96.8)*10.764</f>
        <v>1041.9551999999999</v>
      </c>
      <c r="E342" s="48">
        <v>0</v>
      </c>
      <c r="F342" s="48">
        <f t="shared" ref="F342:F343" si="34">D342*(($F$203)+1)+(IF(E342&lt;101,E342,IF(E342&lt;201,E342/2,IF(E342&lt;=301,E342/3,E342/4))))</f>
        <v>1562.9327999999998</v>
      </c>
      <c r="G342" s="89" t="str">
        <f>A341</f>
        <v>22nd Floor (Part Refuge Area)</v>
      </c>
      <c r="H342" s="91"/>
      <c r="I342" s="32">
        <f>(1.755*1.5+1.25*1+3.35*6.45+3.86*2.45+1.85*3.05+3.05*4.175+1.525*2.45+3.35*4.175+1.525*2.45+3.65*3.05+2.45*1.52+0.9*0.395+1.45*0.395+1*2.45+1.585*1.5)*10.764</f>
        <v>1026.823707</v>
      </c>
      <c r="L342" s="82"/>
      <c r="M342" s="82"/>
      <c r="N342" s="32"/>
    </row>
    <row r="343" spans="1:14" s="33" customFormat="1" ht="15.75" customHeight="1" x14ac:dyDescent="0.25">
      <c r="A343" s="101">
        <f t="shared" ref="A343:A349" si="35">A342+1</f>
        <v>2</v>
      </c>
      <c r="B343" s="102"/>
      <c r="C343" s="52" t="s">
        <v>179</v>
      </c>
      <c r="D343" s="53">
        <f>(23.02)*10.764</f>
        <v>247.78727999999998</v>
      </c>
      <c r="E343" s="48">
        <v>0</v>
      </c>
      <c r="F343" s="48">
        <f t="shared" si="34"/>
        <v>371.68091999999996</v>
      </c>
      <c r="G343" s="92"/>
      <c r="H343" s="94"/>
      <c r="I343" s="57"/>
      <c r="L343" s="82"/>
      <c r="M343" s="82"/>
      <c r="N343" s="32"/>
    </row>
    <row r="344" spans="1:14" s="33" customFormat="1" ht="15.75" customHeight="1" x14ac:dyDescent="0.3">
      <c r="A344" s="101">
        <f t="shared" si="35"/>
        <v>3</v>
      </c>
      <c r="B344" s="102"/>
      <c r="C344" s="52" t="s">
        <v>179</v>
      </c>
      <c r="D344" s="53">
        <f>(23.02)*10.764</f>
        <v>247.78727999999998</v>
      </c>
      <c r="E344" s="48">
        <v>0</v>
      </c>
      <c r="F344" s="48">
        <f>D344*(($F$203)+1)+(IF(E344&lt;101,E344,IF(E344&lt;201,E344/2,IF(E344&lt;=301,E344/3,E344/4))))</f>
        <v>371.68091999999996</v>
      </c>
      <c r="G344" s="92"/>
      <c r="H344" s="94"/>
      <c r="I344" s="32"/>
      <c r="L344" s="82"/>
      <c r="M344" s="82"/>
      <c r="N344" s="32"/>
    </row>
    <row r="345" spans="1:14" s="33" customFormat="1" ht="15.75" customHeight="1" x14ac:dyDescent="0.3">
      <c r="A345" s="101">
        <f t="shared" si="35"/>
        <v>4</v>
      </c>
      <c r="B345" s="102"/>
      <c r="C345" s="52">
        <v>3</v>
      </c>
      <c r="D345" s="53">
        <f>(96.8)*10.764</f>
        <v>1041.9551999999999</v>
      </c>
      <c r="E345" s="48">
        <v>0</v>
      </c>
      <c r="F345" s="48">
        <f>D345*(($F$203)+1)+(IF(E345&lt;101,E345,IF(E345&lt;201,E345/2,IF(E345&lt;=301,E345/3,E345/4))))</f>
        <v>1562.9327999999998</v>
      </c>
      <c r="G345" s="92"/>
      <c r="H345" s="94"/>
      <c r="I345" s="32"/>
      <c r="L345" s="82"/>
      <c r="M345" s="82"/>
      <c r="N345" s="32"/>
    </row>
    <row r="346" spans="1:14" s="33" customFormat="1" ht="15.75" customHeight="1" x14ac:dyDescent="0.3">
      <c r="A346" s="101">
        <f t="shared" si="35"/>
        <v>5</v>
      </c>
      <c r="B346" s="102"/>
      <c r="C346" s="118" t="s">
        <v>183</v>
      </c>
      <c r="D346" s="119"/>
      <c r="E346" s="119"/>
      <c r="F346" s="120"/>
      <c r="G346" s="92"/>
      <c r="H346" s="94"/>
      <c r="I346" s="32"/>
      <c r="L346" s="82"/>
      <c r="M346" s="82"/>
      <c r="N346" s="32"/>
    </row>
    <row r="347" spans="1:14" s="33" customFormat="1" ht="15.75" customHeight="1" x14ac:dyDescent="0.3">
      <c r="A347" s="101">
        <f t="shared" si="35"/>
        <v>6</v>
      </c>
      <c r="B347" s="102"/>
      <c r="C347" s="121"/>
      <c r="D347" s="122"/>
      <c r="E347" s="122"/>
      <c r="F347" s="123"/>
      <c r="G347" s="92"/>
      <c r="H347" s="94"/>
      <c r="I347" s="32"/>
      <c r="L347" s="82"/>
      <c r="M347" s="82"/>
      <c r="N347" s="32"/>
    </row>
    <row r="348" spans="1:14" s="33" customFormat="1" ht="15.75" customHeight="1" x14ac:dyDescent="0.3">
      <c r="A348" s="101">
        <f t="shared" si="35"/>
        <v>7</v>
      </c>
      <c r="B348" s="102"/>
      <c r="C348" s="52">
        <v>3</v>
      </c>
      <c r="D348" s="53">
        <f>(96.07)*10.764</f>
        <v>1034.0974799999999</v>
      </c>
      <c r="E348" s="48">
        <v>0</v>
      </c>
      <c r="F348" s="48">
        <f t="shared" ref="F348:F349" si="36">D348*(($F$203)+1)+(IF(E348&lt;101,E348,IF(E348&lt;201,E348/2,IF(E348&lt;=301,E348/3,E348/4))))</f>
        <v>1551.1462199999999</v>
      </c>
      <c r="G348" s="92"/>
      <c r="H348" s="94"/>
      <c r="I348" s="32"/>
      <c r="L348" s="82"/>
      <c r="M348" s="82"/>
      <c r="N348" s="32"/>
    </row>
    <row r="349" spans="1:14" s="33" customFormat="1" ht="15.75" customHeight="1" x14ac:dyDescent="0.3">
      <c r="A349" s="101">
        <f t="shared" si="35"/>
        <v>8</v>
      </c>
      <c r="B349" s="102"/>
      <c r="C349" s="52">
        <v>3</v>
      </c>
      <c r="D349" s="53">
        <f>(96.07)*10.764</f>
        <v>1034.0974799999999</v>
      </c>
      <c r="E349" s="48">
        <v>0</v>
      </c>
      <c r="F349" s="48">
        <f t="shared" si="36"/>
        <v>1551.1462199999999</v>
      </c>
      <c r="G349" s="95"/>
      <c r="H349" s="97"/>
      <c r="I349" s="32"/>
      <c r="L349" s="82"/>
      <c r="M349" s="82"/>
      <c r="N349" s="32"/>
    </row>
    <row r="350" spans="1:14" s="33" customFormat="1" x14ac:dyDescent="0.3">
      <c r="A350" s="103" t="s">
        <v>227</v>
      </c>
      <c r="B350" s="104"/>
      <c r="C350" s="104"/>
      <c r="D350" s="104"/>
      <c r="E350" s="104"/>
      <c r="F350" s="104"/>
      <c r="G350" s="104"/>
      <c r="H350" s="105"/>
      <c r="J350" s="32"/>
    </row>
    <row r="351" spans="1:14" s="33" customFormat="1" ht="15.75" customHeight="1" x14ac:dyDescent="0.3">
      <c r="A351" s="101">
        <v>1</v>
      </c>
      <c r="B351" s="102"/>
      <c r="C351" s="52">
        <v>3</v>
      </c>
      <c r="D351" s="53">
        <f>(96.8)*10.764</f>
        <v>1041.9551999999999</v>
      </c>
      <c r="E351" s="48">
        <v>0</v>
      </c>
      <c r="F351" s="48">
        <f t="shared" ref="F351:F352" si="37">D351*(($F$203)+1)+(IF(E351&lt;101,E351,IF(E351&lt;201,E351/2,IF(E351&lt;=301,E351/3,E351/4))))</f>
        <v>1562.9327999999998</v>
      </c>
      <c r="G351" s="89" t="str">
        <f>A350</f>
        <v>30th Floor (Part Refuge Area)</v>
      </c>
      <c r="H351" s="91"/>
      <c r="I351" s="32">
        <f>(1.755*1.5+1.25*1+3.35*6.45+3.86*2.45+1.85*3.05+3.05*4.175+1.525*2.45+3.35*4.175+1.525*2.45+3.65*3.05+2.45*1.52+0.9*0.395+1.45*0.395+1*2.45+1.585*1.5)*10.764</f>
        <v>1026.823707</v>
      </c>
      <c r="L351" s="82"/>
      <c r="M351" s="82"/>
      <c r="N351" s="32"/>
    </row>
    <row r="352" spans="1:14" s="33" customFormat="1" ht="15.75" customHeight="1" x14ac:dyDescent="0.25">
      <c r="A352" s="101">
        <f t="shared" ref="A352:A358" si="38">A351+1</f>
        <v>2</v>
      </c>
      <c r="B352" s="102"/>
      <c r="C352" s="52" t="s">
        <v>179</v>
      </c>
      <c r="D352" s="53">
        <f>(23.02)*10.764</f>
        <v>247.78727999999998</v>
      </c>
      <c r="E352" s="48">
        <v>0</v>
      </c>
      <c r="F352" s="48">
        <f t="shared" si="37"/>
        <v>371.68091999999996</v>
      </c>
      <c r="G352" s="92"/>
      <c r="H352" s="94"/>
      <c r="I352" s="57"/>
      <c r="L352" s="82"/>
      <c r="M352" s="82"/>
      <c r="N352" s="32"/>
    </row>
    <row r="353" spans="1:14" s="33" customFormat="1" ht="15.75" customHeight="1" x14ac:dyDescent="0.3">
      <c r="A353" s="101">
        <f t="shared" si="38"/>
        <v>3</v>
      </c>
      <c r="B353" s="102"/>
      <c r="C353" s="52" t="s">
        <v>179</v>
      </c>
      <c r="D353" s="53">
        <f>(23.02)*10.764</f>
        <v>247.78727999999998</v>
      </c>
      <c r="E353" s="48">
        <v>0</v>
      </c>
      <c r="F353" s="48">
        <f>D353*(($F$203)+1)+(IF(E353&lt;101,E353,IF(E353&lt;201,E353/2,IF(E353&lt;=301,E353/3,E353/4))))</f>
        <v>371.68091999999996</v>
      </c>
      <c r="G353" s="92"/>
      <c r="H353" s="94"/>
      <c r="I353" s="32"/>
      <c r="L353" s="82"/>
      <c r="M353" s="82"/>
      <c r="N353" s="32"/>
    </row>
    <row r="354" spans="1:14" s="33" customFormat="1" ht="15.75" customHeight="1" x14ac:dyDescent="0.3">
      <c r="A354" s="101">
        <f t="shared" si="38"/>
        <v>4</v>
      </c>
      <c r="B354" s="102"/>
      <c r="C354" s="52">
        <v>3</v>
      </c>
      <c r="D354" s="53">
        <f>(96.8)*10.764</f>
        <v>1041.9551999999999</v>
      </c>
      <c r="E354" s="48">
        <v>0</v>
      </c>
      <c r="F354" s="48">
        <f>D354*(($F$203)+1)+(IF(E354&lt;101,E354,IF(E354&lt;201,E354/2,IF(E354&lt;=301,E354/3,E354/4))))</f>
        <v>1562.9327999999998</v>
      </c>
      <c r="G354" s="92"/>
      <c r="H354" s="94"/>
      <c r="I354" s="32"/>
      <c r="L354" s="82"/>
      <c r="M354" s="82"/>
      <c r="N354" s="32"/>
    </row>
    <row r="355" spans="1:14" s="33" customFormat="1" ht="15.75" customHeight="1" x14ac:dyDescent="0.3">
      <c r="A355" s="101">
        <f t="shared" si="38"/>
        <v>5</v>
      </c>
      <c r="B355" s="102"/>
      <c r="C355" s="118" t="s">
        <v>183</v>
      </c>
      <c r="D355" s="119"/>
      <c r="E355" s="119"/>
      <c r="F355" s="120"/>
      <c r="G355" s="92"/>
      <c r="H355" s="94"/>
      <c r="I355" s="32"/>
      <c r="L355" s="82"/>
      <c r="M355" s="82"/>
      <c r="N355" s="32"/>
    </row>
    <row r="356" spans="1:14" s="33" customFormat="1" ht="15.75" customHeight="1" x14ac:dyDescent="0.3">
      <c r="A356" s="101">
        <f t="shared" si="38"/>
        <v>6</v>
      </c>
      <c r="B356" s="102"/>
      <c r="C356" s="121"/>
      <c r="D356" s="122"/>
      <c r="E356" s="122"/>
      <c r="F356" s="123"/>
      <c r="G356" s="92"/>
      <c r="H356" s="94"/>
      <c r="I356" s="32"/>
      <c r="L356" s="82"/>
      <c r="M356" s="82"/>
      <c r="N356" s="32"/>
    </row>
    <row r="357" spans="1:14" s="33" customFormat="1" ht="15.75" customHeight="1" x14ac:dyDescent="0.3">
      <c r="A357" s="101">
        <f t="shared" si="38"/>
        <v>7</v>
      </c>
      <c r="B357" s="102"/>
      <c r="C357" s="52">
        <v>3</v>
      </c>
      <c r="D357" s="53">
        <f>(96.07)*10.764</f>
        <v>1034.0974799999999</v>
      </c>
      <c r="E357" s="48">
        <v>0</v>
      </c>
      <c r="F357" s="48">
        <f t="shared" ref="F357:F358" si="39">D357*(($F$203)+1)+(IF(E357&lt;101,E357,IF(E357&lt;201,E357/2,IF(E357&lt;=301,E357/3,E357/4))))</f>
        <v>1551.1462199999999</v>
      </c>
      <c r="G357" s="92"/>
      <c r="H357" s="94"/>
      <c r="I357" s="32"/>
      <c r="L357" s="82"/>
      <c r="M357" s="82"/>
      <c r="N357" s="32"/>
    </row>
    <row r="358" spans="1:14" s="33" customFormat="1" ht="15.75" customHeight="1" x14ac:dyDescent="0.3">
      <c r="A358" s="101">
        <f t="shared" si="38"/>
        <v>8</v>
      </c>
      <c r="B358" s="102"/>
      <c r="C358" s="52">
        <v>3</v>
      </c>
      <c r="D358" s="53">
        <f>(96.07)*10.764</f>
        <v>1034.0974799999999</v>
      </c>
      <c r="E358" s="48">
        <v>0</v>
      </c>
      <c r="F358" s="48">
        <f t="shared" si="39"/>
        <v>1551.1462199999999</v>
      </c>
      <c r="G358" s="95"/>
      <c r="H358" s="97"/>
      <c r="I358" s="32"/>
      <c r="L358" s="82"/>
      <c r="M358" s="82"/>
      <c r="N358" s="32"/>
    </row>
    <row r="359" spans="1:14" s="33" customFormat="1" ht="15.75" customHeight="1" x14ac:dyDescent="0.3">
      <c r="A359" s="103" t="s">
        <v>226</v>
      </c>
      <c r="B359" s="104"/>
      <c r="C359" s="104"/>
      <c r="D359" s="104"/>
      <c r="E359" s="104"/>
      <c r="F359" s="104"/>
      <c r="G359" s="104"/>
      <c r="H359" s="105"/>
      <c r="I359" s="32"/>
    </row>
    <row r="360" spans="1:14" s="33" customFormat="1" x14ac:dyDescent="0.3">
      <c r="A360" s="103" t="s">
        <v>238</v>
      </c>
      <c r="B360" s="104"/>
      <c r="C360" s="104"/>
      <c r="D360" s="104"/>
      <c r="E360" s="104"/>
      <c r="F360" s="104"/>
      <c r="G360" s="104"/>
      <c r="H360" s="105"/>
      <c r="J360" s="32"/>
    </row>
    <row r="361" spans="1:14" s="33" customFormat="1" ht="15.75" customHeight="1" x14ac:dyDescent="0.3">
      <c r="A361" s="101">
        <v>1</v>
      </c>
      <c r="B361" s="102"/>
      <c r="C361" s="52">
        <v>3</v>
      </c>
      <c r="D361" s="53">
        <f>(102.46)*10.764</f>
        <v>1102.8794399999999</v>
      </c>
      <c r="E361" s="48">
        <v>0</v>
      </c>
      <c r="F361" s="48">
        <f t="shared" ref="F361:F362" si="40">D361*(($F$203)+1)+(IF(E361&lt;101,E361,IF(E361&lt;201,E361/2,IF(E361&lt;=301,E361/3,E361/4))))</f>
        <v>1654.31916</v>
      </c>
      <c r="G361" s="89" t="str">
        <f>A360</f>
        <v>35th, 36th, 38th to 43rd, 45th, 47th to 51th, 53rd to 58th, 60th &amp; 61st Floor</v>
      </c>
      <c r="H361" s="91"/>
      <c r="I361" s="32">
        <f>(1.755*1.5+1.25*1+3.35*6.45+3.86*2.45+1.85*3.05+3.05*4.175+1.525*2.45+3.35*4.175+1.525*2.45+3.65*3.05+2.45*1.52+0.9*0.395+1.45*0.395+1*2.45+1.585*1.5)*10.764</f>
        <v>1026.823707</v>
      </c>
      <c r="L361" s="82"/>
      <c r="M361" s="82"/>
      <c r="N361" s="32"/>
    </row>
    <row r="362" spans="1:14" s="33" customFormat="1" ht="15.75" customHeight="1" x14ac:dyDescent="0.25">
      <c r="A362" s="101">
        <f t="shared" ref="A362:A368" si="41">A361+1</f>
        <v>2</v>
      </c>
      <c r="B362" s="102"/>
      <c r="C362" s="52" t="s">
        <v>179</v>
      </c>
      <c r="D362" s="53">
        <f>(23.02)*10.764</f>
        <v>247.78727999999998</v>
      </c>
      <c r="E362" s="48">
        <v>0</v>
      </c>
      <c r="F362" s="48">
        <f t="shared" si="40"/>
        <v>371.68091999999996</v>
      </c>
      <c r="G362" s="92"/>
      <c r="H362" s="94"/>
      <c r="I362" s="57"/>
      <c r="L362" s="82"/>
      <c r="M362" s="82"/>
      <c r="N362" s="32"/>
    </row>
    <row r="363" spans="1:14" s="33" customFormat="1" ht="15.75" customHeight="1" x14ac:dyDescent="0.3">
      <c r="A363" s="101">
        <f t="shared" si="41"/>
        <v>3</v>
      </c>
      <c r="B363" s="102"/>
      <c r="C363" s="52" t="s">
        <v>179</v>
      </c>
      <c r="D363" s="53">
        <f>(23.02)*10.764</f>
        <v>247.78727999999998</v>
      </c>
      <c r="E363" s="48">
        <v>0</v>
      </c>
      <c r="F363" s="48">
        <f>D363*(($F$203)+1)+(IF(E363&lt;101,E363,IF(E363&lt;201,E363/2,IF(E363&lt;=301,E363/3,E363/4))))</f>
        <v>371.68091999999996</v>
      </c>
      <c r="G363" s="92"/>
      <c r="H363" s="94"/>
      <c r="I363" s="32"/>
      <c r="L363" s="82"/>
      <c r="M363" s="82"/>
      <c r="N363" s="32"/>
    </row>
    <row r="364" spans="1:14" s="33" customFormat="1" ht="15.75" customHeight="1" x14ac:dyDescent="0.3">
      <c r="A364" s="101">
        <f t="shared" si="41"/>
        <v>4</v>
      </c>
      <c r="B364" s="102"/>
      <c r="C364" s="52">
        <v>3</v>
      </c>
      <c r="D364" s="53">
        <f>(102.46)*10.764</f>
        <v>1102.8794399999999</v>
      </c>
      <c r="E364" s="48">
        <v>0</v>
      </c>
      <c r="F364" s="48">
        <f>D364*(($F$203)+1)+(IF(E364&lt;101,E364,IF(E364&lt;201,E364/2,IF(E364&lt;=301,E364/3,E364/4))))</f>
        <v>1654.31916</v>
      </c>
      <c r="G364" s="92"/>
      <c r="H364" s="94"/>
      <c r="I364" s="32"/>
      <c r="L364" s="82"/>
      <c r="M364" s="82"/>
      <c r="N364" s="32"/>
    </row>
    <row r="365" spans="1:14" s="33" customFormat="1" ht="15.75" customHeight="1" x14ac:dyDescent="0.3">
      <c r="A365" s="101">
        <f t="shared" si="41"/>
        <v>5</v>
      </c>
      <c r="B365" s="102"/>
      <c r="C365" s="52">
        <v>3</v>
      </c>
      <c r="D365" s="53">
        <f>(101.6)*10.764</f>
        <v>1093.6224</v>
      </c>
      <c r="E365" s="48">
        <v>0</v>
      </c>
      <c r="F365" s="48">
        <f t="shared" ref="F365:F366" si="42">D365*(($F$203)+1)+(IF(E365&lt;101,E365,IF(E365&lt;201,E365/2,IF(E365&lt;=301,E365/3,E365/4))))</f>
        <v>1640.4335999999998</v>
      </c>
      <c r="G365" s="92"/>
      <c r="H365" s="94"/>
      <c r="I365" s="32"/>
      <c r="L365" s="82"/>
      <c r="M365" s="82"/>
      <c r="N365" s="32"/>
    </row>
    <row r="366" spans="1:14" s="33" customFormat="1" ht="15.75" customHeight="1" x14ac:dyDescent="0.3">
      <c r="A366" s="101">
        <f t="shared" si="41"/>
        <v>6</v>
      </c>
      <c r="B366" s="102"/>
      <c r="C366" s="52">
        <v>3</v>
      </c>
      <c r="D366" s="53">
        <f t="shared" ref="D366:D368" si="43">(101.6)*10.764</f>
        <v>1093.6224</v>
      </c>
      <c r="E366" s="48">
        <v>0</v>
      </c>
      <c r="F366" s="48">
        <f t="shared" si="42"/>
        <v>1640.4335999999998</v>
      </c>
      <c r="G366" s="92"/>
      <c r="H366" s="94"/>
      <c r="I366" s="32"/>
      <c r="L366" s="82"/>
      <c r="M366" s="82"/>
      <c r="N366" s="32"/>
    </row>
    <row r="367" spans="1:14" s="33" customFormat="1" ht="15.75" customHeight="1" x14ac:dyDescent="0.3">
      <c r="A367" s="101">
        <f t="shared" si="41"/>
        <v>7</v>
      </c>
      <c r="B367" s="102"/>
      <c r="C367" s="52">
        <v>3</v>
      </c>
      <c r="D367" s="53">
        <f t="shared" si="43"/>
        <v>1093.6224</v>
      </c>
      <c r="E367" s="48">
        <v>0</v>
      </c>
      <c r="F367" s="48">
        <f t="shared" ref="F367:F368" si="44">D367*(($F$203)+1)+(IF(E367&lt;101,E367,IF(E367&lt;201,E367/2,IF(E367&lt;=301,E367/3,E367/4))))</f>
        <v>1640.4335999999998</v>
      </c>
      <c r="G367" s="92"/>
      <c r="H367" s="94"/>
      <c r="I367" s="32"/>
      <c r="L367" s="82"/>
      <c r="M367" s="82"/>
      <c r="N367" s="32"/>
    </row>
    <row r="368" spans="1:14" s="33" customFormat="1" ht="15.75" customHeight="1" x14ac:dyDescent="0.3">
      <c r="A368" s="101">
        <f t="shared" si="41"/>
        <v>8</v>
      </c>
      <c r="B368" s="102"/>
      <c r="C368" s="52">
        <v>3</v>
      </c>
      <c r="D368" s="53">
        <f t="shared" si="43"/>
        <v>1093.6224</v>
      </c>
      <c r="E368" s="48">
        <v>0</v>
      </c>
      <c r="F368" s="48">
        <f t="shared" si="44"/>
        <v>1640.4335999999998</v>
      </c>
      <c r="G368" s="95"/>
      <c r="H368" s="97"/>
      <c r="I368" s="32"/>
      <c r="L368" s="82"/>
      <c r="M368" s="82"/>
      <c r="N368" s="32"/>
    </row>
    <row r="369" spans="1:14" s="33" customFormat="1" x14ac:dyDescent="0.3">
      <c r="A369" s="103" t="s">
        <v>242</v>
      </c>
      <c r="B369" s="104"/>
      <c r="C369" s="104"/>
      <c r="D369" s="104"/>
      <c r="E369" s="104"/>
      <c r="F369" s="104"/>
      <c r="G369" s="104"/>
      <c r="H369" s="105"/>
      <c r="J369" s="32"/>
    </row>
    <row r="370" spans="1:14" s="33" customFormat="1" ht="15.75" customHeight="1" x14ac:dyDescent="0.3">
      <c r="A370" s="101">
        <v>1</v>
      </c>
      <c r="B370" s="102"/>
      <c r="C370" s="52">
        <v>3</v>
      </c>
      <c r="D370" s="53">
        <f>(102.46)*10.764</f>
        <v>1102.8794399999999</v>
      </c>
      <c r="E370" s="48">
        <v>0</v>
      </c>
      <c r="F370" s="48">
        <f t="shared" ref="F370:F371" si="45">D370*(($F$203)+1)+(IF(E370&lt;101,E370,IF(E370&lt;201,E370/2,IF(E370&lt;=301,E370/3,E370/4))))</f>
        <v>1654.31916</v>
      </c>
      <c r="G370" s="89" t="str">
        <f>A369</f>
        <v>37th &amp; 52nd Floor (Part Refuge Area)</v>
      </c>
      <c r="H370" s="91"/>
      <c r="I370" s="32">
        <f>(1.755*1.5+1.25*1+3.35*6.45+3.86*2.45+1.85*3.05+3.05*4.175+1.525*2.45+3.35*4.175+1.525*2.45+3.65*3.05+2.45*1.52+0.9*0.395+1.45*0.395+1*2.45+1.585*1.5)*10.764</f>
        <v>1026.823707</v>
      </c>
      <c r="L370" s="82"/>
      <c r="M370" s="82"/>
      <c r="N370" s="32"/>
    </row>
    <row r="371" spans="1:14" s="33" customFormat="1" ht="15.75" customHeight="1" x14ac:dyDescent="0.25">
      <c r="A371" s="101">
        <f t="shared" ref="A371:A377" si="46">A370+1</f>
        <v>2</v>
      </c>
      <c r="B371" s="102"/>
      <c r="C371" s="52" t="s">
        <v>179</v>
      </c>
      <c r="D371" s="53">
        <f>(23.02)*10.764</f>
        <v>247.78727999999998</v>
      </c>
      <c r="E371" s="48">
        <v>0</v>
      </c>
      <c r="F371" s="48">
        <f t="shared" si="45"/>
        <v>371.68091999999996</v>
      </c>
      <c r="G371" s="92"/>
      <c r="H371" s="94"/>
      <c r="I371" s="57"/>
      <c r="L371" s="82"/>
      <c r="M371" s="82"/>
      <c r="N371" s="32"/>
    </row>
    <row r="372" spans="1:14" s="33" customFormat="1" ht="15.75" customHeight="1" x14ac:dyDescent="0.3">
      <c r="A372" s="101">
        <f t="shared" si="46"/>
        <v>3</v>
      </c>
      <c r="B372" s="102"/>
      <c r="C372" s="52" t="s">
        <v>179</v>
      </c>
      <c r="D372" s="53">
        <f>(23.02)*10.764</f>
        <v>247.78727999999998</v>
      </c>
      <c r="E372" s="48">
        <v>0</v>
      </c>
      <c r="F372" s="48">
        <f>D372*(($F$203)+1)+(IF(E372&lt;101,E372,IF(E372&lt;201,E372/2,IF(E372&lt;=301,E372/3,E372/4))))</f>
        <v>371.68091999999996</v>
      </c>
      <c r="G372" s="92"/>
      <c r="H372" s="94"/>
      <c r="I372" s="32"/>
      <c r="L372" s="82"/>
      <c r="M372" s="82"/>
      <c r="N372" s="32"/>
    </row>
    <row r="373" spans="1:14" s="33" customFormat="1" ht="15.75" customHeight="1" x14ac:dyDescent="0.3">
      <c r="A373" s="101">
        <f t="shared" si="46"/>
        <v>4</v>
      </c>
      <c r="B373" s="102"/>
      <c r="C373" s="52">
        <v>3</v>
      </c>
      <c r="D373" s="53">
        <f>(102.46)*10.764</f>
        <v>1102.8794399999999</v>
      </c>
      <c r="E373" s="48">
        <v>0</v>
      </c>
      <c r="F373" s="48">
        <f>D373*(($F$203)+1)+(IF(E373&lt;101,E373,IF(E373&lt;201,E373/2,IF(E373&lt;=301,E373/3,E373/4))))</f>
        <v>1654.31916</v>
      </c>
      <c r="G373" s="92"/>
      <c r="H373" s="94"/>
      <c r="I373" s="32"/>
      <c r="L373" s="82"/>
      <c r="M373" s="82"/>
      <c r="N373" s="32"/>
    </row>
    <row r="374" spans="1:14" s="33" customFormat="1" ht="15.75" customHeight="1" x14ac:dyDescent="0.3">
      <c r="A374" s="101">
        <f t="shared" si="46"/>
        <v>5</v>
      </c>
      <c r="B374" s="102"/>
      <c r="C374" s="118" t="s">
        <v>183</v>
      </c>
      <c r="D374" s="119"/>
      <c r="E374" s="119"/>
      <c r="F374" s="120"/>
      <c r="G374" s="92"/>
      <c r="H374" s="94"/>
      <c r="I374" s="32"/>
      <c r="L374" s="82"/>
      <c r="M374" s="82"/>
      <c r="N374" s="32"/>
    </row>
    <row r="375" spans="1:14" s="33" customFormat="1" ht="15.75" customHeight="1" x14ac:dyDescent="0.3">
      <c r="A375" s="101">
        <f t="shared" si="46"/>
        <v>6</v>
      </c>
      <c r="B375" s="102"/>
      <c r="C375" s="121"/>
      <c r="D375" s="122"/>
      <c r="E375" s="122"/>
      <c r="F375" s="123"/>
      <c r="G375" s="92"/>
      <c r="H375" s="94"/>
      <c r="I375" s="32"/>
      <c r="L375" s="82"/>
      <c r="M375" s="82"/>
      <c r="N375" s="32"/>
    </row>
    <row r="376" spans="1:14" s="33" customFormat="1" ht="15.75" customHeight="1" x14ac:dyDescent="0.3">
      <c r="A376" s="101">
        <f t="shared" si="46"/>
        <v>7</v>
      </c>
      <c r="B376" s="102"/>
      <c r="C376" s="52">
        <v>3</v>
      </c>
      <c r="D376" s="53">
        <f t="shared" ref="D376:D377" si="47">(101.6)*10.764</f>
        <v>1093.6224</v>
      </c>
      <c r="E376" s="48">
        <v>0</v>
      </c>
      <c r="F376" s="48">
        <f t="shared" ref="F376:F377" si="48">D376*(($F$203)+1)+(IF(E376&lt;101,E376,IF(E376&lt;201,E376/2,IF(E376&lt;=301,E376/3,E376/4))))</f>
        <v>1640.4335999999998</v>
      </c>
      <c r="G376" s="92"/>
      <c r="H376" s="94"/>
      <c r="I376" s="32"/>
      <c r="L376" s="82"/>
      <c r="M376" s="82"/>
      <c r="N376" s="32"/>
    </row>
    <row r="377" spans="1:14" s="33" customFormat="1" ht="15.75" customHeight="1" x14ac:dyDescent="0.3">
      <c r="A377" s="101">
        <f t="shared" si="46"/>
        <v>8</v>
      </c>
      <c r="B377" s="102"/>
      <c r="C377" s="52">
        <v>3</v>
      </c>
      <c r="D377" s="53">
        <f t="shared" si="47"/>
        <v>1093.6224</v>
      </c>
      <c r="E377" s="48">
        <v>0</v>
      </c>
      <c r="F377" s="48">
        <f t="shared" si="48"/>
        <v>1640.4335999999998</v>
      </c>
      <c r="G377" s="95"/>
      <c r="H377" s="97"/>
      <c r="I377" s="32"/>
      <c r="L377" s="82"/>
      <c r="M377" s="82"/>
      <c r="N377" s="32"/>
    </row>
    <row r="378" spans="1:14" s="33" customFormat="1" x14ac:dyDescent="0.3">
      <c r="A378" s="103" t="s">
        <v>229</v>
      </c>
      <c r="B378" s="104"/>
      <c r="C378" s="104"/>
      <c r="D378" s="104"/>
      <c r="E378" s="104"/>
      <c r="F378" s="104"/>
      <c r="G378" s="104"/>
      <c r="H378" s="105"/>
      <c r="J378" s="32"/>
    </row>
    <row r="379" spans="1:14" s="33" customFormat="1" ht="15.75" customHeight="1" x14ac:dyDescent="0.3">
      <c r="A379" s="101">
        <v>1</v>
      </c>
      <c r="B379" s="102"/>
      <c r="C379" s="52">
        <v>3</v>
      </c>
      <c r="D379" s="53">
        <f>(102.46)*10.764</f>
        <v>1102.8794399999999</v>
      </c>
      <c r="E379" s="48">
        <v>0</v>
      </c>
      <c r="F379" s="48">
        <f t="shared" ref="F379:F380" si="49">D379*(($F$203)+1)+(IF(E379&lt;101,E379,IF(E379&lt;201,E379/2,IF(E379&lt;=301,E379/3,E379/4))))</f>
        <v>1654.31916</v>
      </c>
      <c r="G379" s="89" t="str">
        <f>A378</f>
        <v>44th Floor (Part Refuge Area)</v>
      </c>
      <c r="H379" s="91"/>
      <c r="I379" s="32">
        <f>(1.755*1.5+1.25*1+3.35*6.45+3.86*2.45+1.85*3.05+3.05*4.175+1.525*2.45+3.35*4.175+1.525*2.45+3.65*3.05+2.45*1.52+0.9*0.395+1.45*0.395+1*2.45+1.585*1.5)*10.764</f>
        <v>1026.823707</v>
      </c>
      <c r="L379" s="82"/>
      <c r="M379" s="82"/>
      <c r="N379" s="32"/>
    </row>
    <row r="380" spans="1:14" s="33" customFormat="1" ht="15.75" customHeight="1" x14ac:dyDescent="0.25">
      <c r="A380" s="101">
        <f t="shared" ref="A380:A386" si="50">A379+1</f>
        <v>2</v>
      </c>
      <c r="B380" s="102"/>
      <c r="C380" s="52" t="s">
        <v>179</v>
      </c>
      <c r="D380" s="53">
        <f>(23.02)*10.764</f>
        <v>247.78727999999998</v>
      </c>
      <c r="E380" s="48">
        <v>0</v>
      </c>
      <c r="F380" s="48">
        <f t="shared" si="49"/>
        <v>371.68091999999996</v>
      </c>
      <c r="G380" s="92"/>
      <c r="H380" s="94"/>
      <c r="I380" s="57"/>
      <c r="L380" s="82"/>
      <c r="M380" s="82"/>
      <c r="N380" s="32"/>
    </row>
    <row r="381" spans="1:14" s="33" customFormat="1" ht="15.75" customHeight="1" x14ac:dyDescent="0.3">
      <c r="A381" s="101">
        <f t="shared" si="50"/>
        <v>3</v>
      </c>
      <c r="B381" s="102"/>
      <c r="C381" s="52" t="s">
        <v>179</v>
      </c>
      <c r="D381" s="53">
        <f>(23.02)*10.764</f>
        <v>247.78727999999998</v>
      </c>
      <c r="E381" s="48">
        <v>0</v>
      </c>
      <c r="F381" s="48">
        <f>D381*(($F$203)+1)+(IF(E381&lt;101,E381,IF(E381&lt;201,E381/2,IF(E381&lt;=301,E381/3,E381/4))))</f>
        <v>371.68091999999996</v>
      </c>
      <c r="G381" s="92"/>
      <c r="H381" s="94"/>
      <c r="I381" s="32"/>
      <c r="L381" s="82"/>
      <c r="M381" s="82"/>
      <c r="N381" s="32"/>
    </row>
    <row r="382" spans="1:14" s="33" customFormat="1" ht="15.75" customHeight="1" x14ac:dyDescent="0.3">
      <c r="A382" s="101">
        <f t="shared" si="50"/>
        <v>4</v>
      </c>
      <c r="B382" s="102"/>
      <c r="C382" s="52">
        <v>3</v>
      </c>
      <c r="D382" s="53">
        <f>(102.46)*10.764</f>
        <v>1102.8794399999999</v>
      </c>
      <c r="E382" s="48">
        <v>0</v>
      </c>
      <c r="F382" s="48">
        <f>D382*(($F$203)+1)+(IF(E382&lt;101,E382,IF(E382&lt;201,E382/2,IF(E382&lt;=301,E382/3,E382/4))))</f>
        <v>1654.31916</v>
      </c>
      <c r="G382" s="92"/>
      <c r="H382" s="94"/>
      <c r="I382" s="32"/>
      <c r="L382" s="82"/>
      <c r="M382" s="82"/>
      <c r="N382" s="32"/>
    </row>
    <row r="383" spans="1:14" s="33" customFormat="1" ht="15.75" customHeight="1" x14ac:dyDescent="0.3">
      <c r="A383" s="101">
        <f t="shared" si="50"/>
        <v>5</v>
      </c>
      <c r="B383" s="102"/>
      <c r="C383" s="118" t="s">
        <v>183</v>
      </c>
      <c r="D383" s="119"/>
      <c r="E383" s="119"/>
      <c r="F383" s="120"/>
      <c r="G383" s="92"/>
      <c r="H383" s="94"/>
      <c r="I383" s="32"/>
      <c r="L383" s="82"/>
      <c r="M383" s="82"/>
      <c r="N383" s="32"/>
    </row>
    <row r="384" spans="1:14" s="33" customFormat="1" ht="15.75" customHeight="1" x14ac:dyDescent="0.3">
      <c r="A384" s="101">
        <f t="shared" si="50"/>
        <v>6</v>
      </c>
      <c r="B384" s="102"/>
      <c r="C384" s="121"/>
      <c r="D384" s="122"/>
      <c r="E384" s="122"/>
      <c r="F384" s="123"/>
      <c r="G384" s="92"/>
      <c r="H384" s="94"/>
      <c r="I384" s="32"/>
      <c r="L384" s="82"/>
      <c r="M384" s="82"/>
      <c r="N384" s="32"/>
    </row>
    <row r="385" spans="1:14" s="33" customFormat="1" ht="15.75" customHeight="1" x14ac:dyDescent="0.3">
      <c r="A385" s="101">
        <f t="shared" si="50"/>
        <v>7</v>
      </c>
      <c r="B385" s="102"/>
      <c r="C385" s="52">
        <v>3</v>
      </c>
      <c r="D385" s="53">
        <f t="shared" ref="D385:D386" si="51">(101.6)*10.764</f>
        <v>1093.6224</v>
      </c>
      <c r="E385" s="48">
        <v>0</v>
      </c>
      <c r="F385" s="48">
        <f t="shared" ref="F385:F386" si="52">D385*(($F$203)+1)+(IF(E385&lt;101,E385,IF(E385&lt;201,E385/2,IF(E385&lt;=301,E385/3,E385/4))))</f>
        <v>1640.4335999999998</v>
      </c>
      <c r="G385" s="92"/>
      <c r="H385" s="94"/>
      <c r="I385" s="32"/>
      <c r="L385" s="82"/>
      <c r="M385" s="82"/>
      <c r="N385" s="32"/>
    </row>
    <row r="386" spans="1:14" s="33" customFormat="1" ht="15.75" customHeight="1" x14ac:dyDescent="0.3">
      <c r="A386" s="101">
        <f t="shared" si="50"/>
        <v>8</v>
      </c>
      <c r="B386" s="102"/>
      <c r="C386" s="52">
        <v>3</v>
      </c>
      <c r="D386" s="53">
        <f t="shared" si="51"/>
        <v>1093.6224</v>
      </c>
      <c r="E386" s="48">
        <v>0</v>
      </c>
      <c r="F386" s="48">
        <f t="shared" si="52"/>
        <v>1640.4335999999998</v>
      </c>
      <c r="G386" s="95"/>
      <c r="H386" s="97"/>
      <c r="I386" s="32"/>
      <c r="L386" s="82"/>
      <c r="M386" s="82"/>
      <c r="N386" s="32"/>
    </row>
    <row r="387" spans="1:14" s="33" customFormat="1" ht="15.75" customHeight="1" x14ac:dyDescent="0.3">
      <c r="A387" s="103" t="s">
        <v>230</v>
      </c>
      <c r="B387" s="104"/>
      <c r="C387" s="104"/>
      <c r="D387" s="104"/>
      <c r="E387" s="104"/>
      <c r="F387" s="104"/>
      <c r="G387" s="104"/>
      <c r="H387" s="105"/>
      <c r="I387" s="32"/>
    </row>
    <row r="388" spans="1:14" s="33" customFormat="1" x14ac:dyDescent="0.3">
      <c r="A388" s="103" t="s">
        <v>234</v>
      </c>
      <c r="B388" s="104"/>
      <c r="C388" s="104"/>
      <c r="D388" s="104"/>
      <c r="E388" s="104"/>
      <c r="F388" s="104"/>
      <c r="G388" s="104"/>
      <c r="H388" s="105"/>
      <c r="J388" s="32"/>
    </row>
    <row r="389" spans="1:14" s="33" customFormat="1" ht="15.75" customHeight="1" x14ac:dyDescent="0.3">
      <c r="A389" s="101">
        <v>1</v>
      </c>
      <c r="B389" s="102"/>
      <c r="C389" s="52">
        <v>3</v>
      </c>
      <c r="D389" s="53">
        <f>(102.46)*10.764</f>
        <v>1102.8794399999999</v>
      </c>
      <c r="E389" s="48">
        <v>0</v>
      </c>
      <c r="F389" s="48">
        <f t="shared" ref="F389:F390" si="53">D389*(($F$203)+1)+(IF(E389&lt;101,E389,IF(E389&lt;201,E389/2,IF(E389&lt;=301,E389/3,E389/4))))</f>
        <v>1654.31916</v>
      </c>
      <c r="G389" s="89" t="str">
        <f>A388</f>
        <v>59th Floor (Part Refuge Area)</v>
      </c>
      <c r="H389" s="91"/>
      <c r="I389" s="32">
        <f>(1.755*1.5+1.25*1+3.35*6.45+3.86*2.45+1.85*3.05+3.05*4.175+1.525*2.45+3.35*4.175+1.525*2.45+3.65*3.05+2.45*1.52+0.9*0.395+1.45*0.395+1*2.45+1.585*1.5)*10.764</f>
        <v>1026.823707</v>
      </c>
      <c r="L389" s="82"/>
      <c r="M389" s="82"/>
      <c r="N389" s="32"/>
    </row>
    <row r="390" spans="1:14" s="33" customFormat="1" ht="15.75" customHeight="1" x14ac:dyDescent="0.25">
      <c r="A390" s="101">
        <f t="shared" ref="A390:A396" si="54">A389+1</f>
        <v>2</v>
      </c>
      <c r="B390" s="102"/>
      <c r="C390" s="52" t="s">
        <v>179</v>
      </c>
      <c r="D390" s="53">
        <f>(23.02)*10.764</f>
        <v>247.78727999999998</v>
      </c>
      <c r="E390" s="48">
        <v>0</v>
      </c>
      <c r="F390" s="48">
        <f t="shared" si="53"/>
        <v>371.68091999999996</v>
      </c>
      <c r="G390" s="92"/>
      <c r="H390" s="94"/>
      <c r="I390" s="57"/>
      <c r="L390" s="82"/>
      <c r="M390" s="82"/>
      <c r="N390" s="32"/>
    </row>
    <row r="391" spans="1:14" s="33" customFormat="1" ht="15.75" customHeight="1" x14ac:dyDescent="0.3">
      <c r="A391" s="101">
        <f t="shared" si="54"/>
        <v>3</v>
      </c>
      <c r="B391" s="102"/>
      <c r="C391" s="52" t="s">
        <v>179</v>
      </c>
      <c r="D391" s="53">
        <f>(23.02)*10.764</f>
        <v>247.78727999999998</v>
      </c>
      <c r="E391" s="48">
        <v>0</v>
      </c>
      <c r="F391" s="48">
        <f>D391*(($F$203)+1)+(IF(E391&lt;101,E391,IF(E391&lt;201,E391/2,IF(E391&lt;=301,E391/3,E391/4))))</f>
        <v>371.68091999999996</v>
      </c>
      <c r="G391" s="92"/>
      <c r="H391" s="94"/>
      <c r="I391" s="32"/>
      <c r="L391" s="82"/>
      <c r="M391" s="82"/>
      <c r="N391" s="32"/>
    </row>
    <row r="392" spans="1:14" s="33" customFormat="1" ht="15.75" customHeight="1" x14ac:dyDescent="0.3">
      <c r="A392" s="101">
        <f t="shared" si="54"/>
        <v>4</v>
      </c>
      <c r="B392" s="102"/>
      <c r="C392" s="52">
        <v>3</v>
      </c>
      <c r="D392" s="53">
        <f>(102.46)*10.764</f>
        <v>1102.8794399999999</v>
      </c>
      <c r="E392" s="48">
        <v>0</v>
      </c>
      <c r="F392" s="48">
        <f>D392*(($F$203)+1)+(IF(E392&lt;101,E392,IF(E392&lt;201,E392/2,IF(E392&lt;=301,E392/3,E392/4))))</f>
        <v>1654.31916</v>
      </c>
      <c r="G392" s="92"/>
      <c r="H392" s="94"/>
      <c r="I392" s="32"/>
      <c r="L392" s="82"/>
      <c r="M392" s="82"/>
      <c r="N392" s="32"/>
    </row>
    <row r="393" spans="1:14" s="33" customFormat="1" ht="15.75" customHeight="1" x14ac:dyDescent="0.3">
      <c r="A393" s="101">
        <f t="shared" si="54"/>
        <v>5</v>
      </c>
      <c r="B393" s="102"/>
      <c r="C393" s="52">
        <v>3</v>
      </c>
      <c r="D393" s="53">
        <f>(127.91)*10.764</f>
        <v>1376.8232399999999</v>
      </c>
      <c r="E393" s="48">
        <v>0</v>
      </c>
      <c r="F393" s="48">
        <f t="shared" ref="F393" si="55">D393*(($F$203)+1)+(IF(E393&lt;101,E393,IF(E393&lt;201,E393/2,IF(E393&lt;=301,E393/3,E393/4))))</f>
        <v>2065.23486</v>
      </c>
      <c r="G393" s="92"/>
      <c r="H393" s="94"/>
      <c r="I393" s="32"/>
      <c r="L393" s="82"/>
      <c r="M393" s="82"/>
      <c r="N393" s="32"/>
    </row>
    <row r="394" spans="1:14" s="33" customFormat="1" ht="15.75" customHeight="1" x14ac:dyDescent="0.3">
      <c r="A394" s="101">
        <f t="shared" si="54"/>
        <v>6</v>
      </c>
      <c r="B394" s="102"/>
      <c r="C394" s="107" t="s">
        <v>183</v>
      </c>
      <c r="D394" s="108"/>
      <c r="E394" s="108"/>
      <c r="F394" s="109"/>
      <c r="G394" s="92"/>
      <c r="H394" s="94"/>
      <c r="I394" s="32"/>
      <c r="L394" s="82"/>
      <c r="M394" s="82"/>
      <c r="N394" s="32"/>
    </row>
    <row r="395" spans="1:14" s="33" customFormat="1" ht="15.75" customHeight="1" x14ac:dyDescent="0.3">
      <c r="A395" s="101">
        <f t="shared" si="54"/>
        <v>7</v>
      </c>
      <c r="B395" s="102"/>
      <c r="C395" s="52">
        <v>3</v>
      </c>
      <c r="D395" s="53">
        <f>(101.6)*10.764</f>
        <v>1093.6224</v>
      </c>
      <c r="E395" s="48">
        <v>0</v>
      </c>
      <c r="F395" s="48">
        <f t="shared" ref="F395:F396" si="56">D395*(($F$203)+1)+(IF(E395&lt;101,E395,IF(E395&lt;201,E395/2,IF(E395&lt;=301,E395/3,E395/4))))</f>
        <v>1640.4335999999998</v>
      </c>
      <c r="G395" s="92"/>
      <c r="H395" s="94"/>
      <c r="I395" s="32"/>
      <c r="L395" s="82"/>
      <c r="M395" s="82"/>
      <c r="N395" s="32"/>
    </row>
    <row r="396" spans="1:14" s="33" customFormat="1" ht="15.75" customHeight="1" x14ac:dyDescent="0.3">
      <c r="A396" s="101">
        <f t="shared" si="54"/>
        <v>8</v>
      </c>
      <c r="B396" s="102"/>
      <c r="C396" s="52">
        <v>3</v>
      </c>
      <c r="D396" s="53">
        <f>(101.6)*10.764</f>
        <v>1093.6224</v>
      </c>
      <c r="E396" s="48">
        <v>0</v>
      </c>
      <c r="F396" s="48">
        <f t="shared" si="56"/>
        <v>1640.4335999999998</v>
      </c>
      <c r="G396" s="95"/>
      <c r="H396" s="97"/>
      <c r="I396" s="32"/>
      <c r="L396" s="82"/>
      <c r="M396" s="82"/>
      <c r="N396" s="32"/>
    </row>
    <row r="397" spans="1:14" x14ac:dyDescent="0.3">
      <c r="A397" s="125" t="s">
        <v>249</v>
      </c>
      <c r="B397" s="125"/>
      <c r="C397" s="125"/>
      <c r="D397" s="125"/>
      <c r="E397" s="125"/>
      <c r="F397" s="125"/>
      <c r="G397" s="125"/>
      <c r="H397" s="125"/>
    </row>
    <row r="398" spans="1:14" x14ac:dyDescent="0.3">
      <c r="A398" s="125" t="s">
        <v>216</v>
      </c>
      <c r="B398" s="125"/>
      <c r="C398" s="125"/>
      <c r="D398" s="125"/>
      <c r="E398" s="125"/>
      <c r="F398" s="125"/>
      <c r="G398" s="125"/>
      <c r="H398" s="125"/>
    </row>
    <row r="399" spans="1:14" x14ac:dyDescent="0.3">
      <c r="A399" s="125" t="s">
        <v>173</v>
      </c>
      <c r="B399" s="125"/>
      <c r="C399" s="125"/>
      <c r="D399" s="125"/>
      <c r="E399" s="125"/>
      <c r="F399" s="125"/>
      <c r="G399" s="125"/>
      <c r="H399" s="125"/>
    </row>
    <row r="400" spans="1:14" x14ac:dyDescent="0.3">
      <c r="A400" s="125" t="s">
        <v>217</v>
      </c>
      <c r="B400" s="125"/>
      <c r="C400" s="125"/>
      <c r="D400" s="125"/>
      <c r="E400" s="125"/>
      <c r="F400" s="125"/>
      <c r="G400" s="125"/>
      <c r="H400" s="125"/>
    </row>
    <row r="401" spans="1:14" s="33" customFormat="1" x14ac:dyDescent="0.3">
      <c r="A401" s="103" t="s">
        <v>218</v>
      </c>
      <c r="B401" s="104"/>
      <c r="C401" s="104"/>
      <c r="D401" s="104"/>
      <c r="E401" s="104"/>
      <c r="F401" s="104"/>
      <c r="G401" s="104"/>
      <c r="H401" s="105"/>
      <c r="J401" s="32"/>
    </row>
    <row r="402" spans="1:14" s="33" customFormat="1" ht="15.75" customHeight="1" x14ac:dyDescent="0.3">
      <c r="A402" s="101">
        <v>1</v>
      </c>
      <c r="B402" s="102"/>
      <c r="C402" s="52">
        <v>3</v>
      </c>
      <c r="D402" s="53">
        <f>(96.79)*10.764</f>
        <v>1041.8475599999999</v>
      </c>
      <c r="E402" s="48">
        <v>0</v>
      </c>
      <c r="F402" s="48">
        <f t="shared" ref="F402:F403" si="57">D402*(($F$203)+1)+(IF(E402&lt;101,E402,IF(E402&lt;201,E402/2,IF(E402&lt;=301,E402/3,E402/4))))</f>
        <v>1562.7713399999998</v>
      </c>
      <c r="G402" s="89" t="str">
        <f>A401</f>
        <v>2nd to 5th Podium Floor for Residential</v>
      </c>
      <c r="H402" s="91"/>
      <c r="I402" s="32">
        <f>(1.755*1.5+1.25*1+3.35*6.45+3.86*2.45+1.85*3.05+3.05*4.175+1.525*2.45+3.35*4.175+1.525*2.45+3.65*3.05+2.45*1.52+0.9*0.395+1.45*0.395+1*2.45+1.585*1.5)*10.764</f>
        <v>1026.823707</v>
      </c>
      <c r="L402" s="82"/>
      <c r="M402" s="82"/>
      <c r="N402" s="32"/>
    </row>
    <row r="403" spans="1:14" s="33" customFormat="1" ht="15.75" customHeight="1" x14ac:dyDescent="0.25">
      <c r="A403" s="101">
        <f t="shared" ref="A403:A408" si="58">A402+1</f>
        <v>2</v>
      </c>
      <c r="B403" s="102"/>
      <c r="C403" s="52">
        <v>3</v>
      </c>
      <c r="D403" s="53">
        <f>(96.79)*10.764</f>
        <v>1041.8475599999999</v>
      </c>
      <c r="E403" s="48">
        <v>0</v>
      </c>
      <c r="F403" s="48">
        <f t="shared" si="57"/>
        <v>1562.7713399999998</v>
      </c>
      <c r="G403" s="92"/>
      <c r="H403" s="94"/>
      <c r="I403" s="57"/>
      <c r="L403" s="82"/>
      <c r="M403" s="82"/>
      <c r="N403" s="32"/>
    </row>
    <row r="404" spans="1:14" s="33" customFormat="1" ht="15.75" customHeight="1" x14ac:dyDescent="0.3">
      <c r="A404" s="101">
        <f t="shared" si="58"/>
        <v>3</v>
      </c>
      <c r="B404" s="102"/>
      <c r="C404" s="52">
        <v>3</v>
      </c>
      <c r="D404" s="53">
        <f>(96.79)*10.764</f>
        <v>1041.8475599999999</v>
      </c>
      <c r="E404" s="48">
        <v>0</v>
      </c>
      <c r="F404" s="48">
        <f>D404*(($F$203)+1)+(IF(E404&lt;101,E404,IF(E404&lt;201,E404/2,IF(E404&lt;=301,E404/3,E404/4))))</f>
        <v>1562.7713399999998</v>
      </c>
      <c r="G404" s="92"/>
      <c r="H404" s="94"/>
      <c r="I404" s="32"/>
      <c r="L404" s="82"/>
      <c r="M404" s="82"/>
      <c r="N404" s="32"/>
    </row>
    <row r="405" spans="1:14" s="33" customFormat="1" ht="15.75" customHeight="1" x14ac:dyDescent="0.3">
      <c r="A405" s="101">
        <f t="shared" si="58"/>
        <v>4</v>
      </c>
      <c r="B405" s="102"/>
      <c r="C405" s="52" t="s">
        <v>179</v>
      </c>
      <c r="D405" s="53">
        <f>(23.02)*10.764</f>
        <v>247.78727999999998</v>
      </c>
      <c r="E405" s="48">
        <v>0</v>
      </c>
      <c r="F405" s="48">
        <f>D405*(($F$203)+1)+(IF(E405&lt;101,E405,IF(E405&lt;201,E405/2,IF(E405&lt;=301,E405/3,E405/4))))</f>
        <v>371.68091999999996</v>
      </c>
      <c r="G405" s="92"/>
      <c r="H405" s="94"/>
      <c r="I405" s="32"/>
      <c r="L405" s="82"/>
      <c r="M405" s="82"/>
      <c r="N405" s="32"/>
    </row>
    <row r="406" spans="1:14" s="33" customFormat="1" ht="15.75" customHeight="1" x14ac:dyDescent="0.3">
      <c r="A406" s="101">
        <f t="shared" si="58"/>
        <v>5</v>
      </c>
      <c r="B406" s="102"/>
      <c r="C406" s="52">
        <v>3</v>
      </c>
      <c r="D406" s="53">
        <f>(96.11)*10.764</f>
        <v>1034.5280399999999</v>
      </c>
      <c r="E406" s="48">
        <v>0</v>
      </c>
      <c r="F406" s="48">
        <f t="shared" ref="F406" si="59">D406*(($F$203)+1)+(IF(E406&lt;101,E406,IF(E406&lt;201,E406/2,IF(E406&lt;=301,E406/3,E406/4))))</f>
        <v>1551.7920599999998</v>
      </c>
      <c r="G406" s="92"/>
      <c r="H406" s="94"/>
      <c r="I406" s="32"/>
      <c r="L406" s="82"/>
      <c r="M406" s="82"/>
      <c r="N406" s="32"/>
    </row>
    <row r="407" spans="1:14" s="33" customFormat="1" ht="15.75" customHeight="1" x14ac:dyDescent="0.3">
      <c r="A407" s="101">
        <f t="shared" si="58"/>
        <v>6</v>
      </c>
      <c r="B407" s="102"/>
      <c r="C407" s="118" t="s">
        <v>219</v>
      </c>
      <c r="D407" s="119"/>
      <c r="E407" s="119"/>
      <c r="F407" s="120"/>
      <c r="G407" s="92"/>
      <c r="H407" s="94"/>
      <c r="I407" s="32"/>
      <c r="L407" s="82"/>
      <c r="M407" s="82"/>
      <c r="N407" s="32"/>
    </row>
    <row r="408" spans="1:14" s="33" customFormat="1" ht="15.75" customHeight="1" x14ac:dyDescent="0.3">
      <c r="A408" s="101">
        <f t="shared" si="58"/>
        <v>7</v>
      </c>
      <c r="B408" s="102"/>
      <c r="C408" s="121"/>
      <c r="D408" s="122"/>
      <c r="E408" s="122"/>
      <c r="F408" s="123"/>
      <c r="G408" s="95"/>
      <c r="H408" s="97"/>
      <c r="I408" s="32"/>
      <c r="L408" s="82"/>
      <c r="M408" s="82"/>
      <c r="N408" s="32"/>
    </row>
    <row r="409" spans="1:14" s="33" customFormat="1" x14ac:dyDescent="0.3">
      <c r="A409" s="103" t="s">
        <v>239</v>
      </c>
      <c r="B409" s="104"/>
      <c r="C409" s="104"/>
      <c r="D409" s="104"/>
      <c r="E409" s="104"/>
      <c r="F409" s="104"/>
      <c r="G409" s="104"/>
      <c r="H409" s="105"/>
      <c r="J409" s="32"/>
    </row>
    <row r="410" spans="1:14" s="33" customFormat="1" ht="15.75" customHeight="1" x14ac:dyDescent="0.3">
      <c r="A410" s="101">
        <v>1</v>
      </c>
      <c r="B410" s="102"/>
      <c r="C410" s="52">
        <v>3</v>
      </c>
      <c r="D410" s="53">
        <f>(98.74)*10.764</f>
        <v>1062.83736</v>
      </c>
      <c r="E410" s="48">
        <v>0</v>
      </c>
      <c r="F410" s="48">
        <f t="shared" ref="F410:F411" si="60">D410*(($F$203)+1)+(IF(E410&lt;101,E410,IF(E410&lt;201,E410/2,IF(E410&lt;=301,E410/3,E410/4))))</f>
        <v>1594.25604</v>
      </c>
      <c r="G410" s="89" t="str">
        <f>A409</f>
        <v>7th Podium Floor for Residential</v>
      </c>
      <c r="H410" s="91"/>
      <c r="I410" s="32">
        <f>(1.755*1.5+1.25*1+3.35*6.45+3.86*2.45+1.85*3.05+3.05*4.175+1.525*2.45+3.35*4.175+1.525*2.45+3.65*3.05+2.45*1.52+0.9*0.395+1.45*0.395+1*2.45+1.585*1.5)*10.764</f>
        <v>1026.823707</v>
      </c>
      <c r="L410" s="82"/>
      <c r="M410" s="82"/>
      <c r="N410" s="32"/>
    </row>
    <row r="411" spans="1:14" s="33" customFormat="1" ht="15.75" customHeight="1" x14ac:dyDescent="0.25">
      <c r="A411" s="101">
        <f t="shared" ref="A411:A416" si="61">A410+1</f>
        <v>2</v>
      </c>
      <c r="B411" s="102"/>
      <c r="C411" s="52">
        <v>3</v>
      </c>
      <c r="D411" s="53">
        <f>(98.74)*10.764</f>
        <v>1062.83736</v>
      </c>
      <c r="E411" s="48">
        <v>0</v>
      </c>
      <c r="F411" s="48">
        <f t="shared" si="60"/>
        <v>1594.25604</v>
      </c>
      <c r="G411" s="92"/>
      <c r="H411" s="94"/>
      <c r="I411" s="57"/>
      <c r="L411" s="82"/>
      <c r="M411" s="82"/>
      <c r="N411" s="32"/>
    </row>
    <row r="412" spans="1:14" s="33" customFormat="1" ht="46.8" x14ac:dyDescent="0.3">
      <c r="A412" s="101">
        <f t="shared" si="61"/>
        <v>3</v>
      </c>
      <c r="B412" s="102"/>
      <c r="C412" s="52" t="s">
        <v>259</v>
      </c>
      <c r="D412" s="53">
        <f>(97.34+65.92)*10.764</f>
        <v>1757.3306399999999</v>
      </c>
      <c r="E412" s="48">
        <v>0</v>
      </c>
      <c r="F412" s="48">
        <f>D412*(($F$203)+1)+(IF(E412&lt;101,E412,IF(E412&lt;201,E412/2,IF(E412&lt;=301,E412/3,E412/4))))</f>
        <v>2635.9959599999997</v>
      </c>
      <c r="G412" s="92"/>
      <c r="H412" s="94"/>
      <c r="I412" s="32"/>
      <c r="L412" s="82"/>
      <c r="M412" s="82"/>
      <c r="N412" s="32"/>
    </row>
    <row r="413" spans="1:14" s="33" customFormat="1" ht="15.75" customHeight="1" x14ac:dyDescent="0.3">
      <c r="A413" s="101">
        <f t="shared" si="61"/>
        <v>4</v>
      </c>
      <c r="B413" s="102"/>
      <c r="C413" s="52" t="s">
        <v>179</v>
      </c>
      <c r="D413" s="53">
        <f>(23.02)*10.764</f>
        <v>247.78727999999998</v>
      </c>
      <c r="E413" s="48">
        <v>0</v>
      </c>
      <c r="F413" s="48">
        <f>D413*(($F$203)+1)+(IF(E413&lt;101,E413,IF(E413&lt;201,E413/2,IF(E413&lt;=301,E413/3,E413/4))))</f>
        <v>371.68091999999996</v>
      </c>
      <c r="G413" s="92"/>
      <c r="H413" s="94"/>
      <c r="I413" s="32"/>
      <c r="L413" s="82"/>
      <c r="M413" s="82"/>
      <c r="N413" s="32"/>
    </row>
    <row r="414" spans="1:14" s="33" customFormat="1" ht="15.75" customHeight="1" x14ac:dyDescent="0.3">
      <c r="A414" s="101">
        <f t="shared" si="61"/>
        <v>5</v>
      </c>
      <c r="B414" s="102"/>
      <c r="C414" s="52">
        <v>3</v>
      </c>
      <c r="D414" s="53">
        <f>(98.74)*10.764</f>
        <v>1062.83736</v>
      </c>
      <c r="E414" s="48">
        <v>0</v>
      </c>
      <c r="F414" s="48">
        <f t="shared" ref="F414" si="62">D414*(($F$203)+1)+(IF(E414&lt;101,E414,IF(E414&lt;201,E414/2,IF(E414&lt;=301,E414/3,E414/4))))</f>
        <v>1594.25604</v>
      </c>
      <c r="G414" s="92"/>
      <c r="H414" s="94"/>
      <c r="I414" s="32"/>
      <c r="L414" s="82"/>
      <c r="M414" s="82"/>
      <c r="N414" s="32"/>
    </row>
    <row r="415" spans="1:14" s="33" customFormat="1" ht="15.75" customHeight="1" x14ac:dyDescent="0.3">
      <c r="A415" s="101">
        <f t="shared" si="61"/>
        <v>6</v>
      </c>
      <c r="B415" s="102"/>
      <c r="C415" s="52">
        <v>3</v>
      </c>
      <c r="D415" s="53">
        <f>(98.74)*10.764</f>
        <v>1062.83736</v>
      </c>
      <c r="E415" s="48">
        <v>0</v>
      </c>
      <c r="F415" s="48">
        <f t="shared" ref="F415:F416" si="63">D415*(($F$203)+1)+(IF(E415&lt;101,E415,IF(E415&lt;201,E415/2,IF(E415&lt;=301,E415/3,E415/4))))</f>
        <v>1594.25604</v>
      </c>
      <c r="G415" s="92"/>
      <c r="H415" s="94"/>
      <c r="I415" s="32"/>
      <c r="L415" s="82"/>
      <c r="M415" s="82"/>
      <c r="N415" s="32"/>
    </row>
    <row r="416" spans="1:14" s="33" customFormat="1" ht="15.75" customHeight="1" x14ac:dyDescent="0.3">
      <c r="A416" s="101">
        <f t="shared" si="61"/>
        <v>7</v>
      </c>
      <c r="B416" s="102"/>
      <c r="C416" s="52">
        <v>3</v>
      </c>
      <c r="D416" s="53">
        <f>(96.11)*10.764</f>
        <v>1034.5280399999999</v>
      </c>
      <c r="E416" s="48">
        <v>0</v>
      </c>
      <c r="F416" s="48">
        <f t="shared" si="63"/>
        <v>1551.7920599999998</v>
      </c>
      <c r="G416" s="95"/>
      <c r="H416" s="97"/>
      <c r="I416" s="32"/>
      <c r="L416" s="82"/>
      <c r="M416" s="82"/>
      <c r="N416" s="32"/>
    </row>
    <row r="417" spans="1:14" s="33" customFormat="1" x14ac:dyDescent="0.3">
      <c r="A417" s="103" t="s">
        <v>221</v>
      </c>
      <c r="B417" s="104"/>
      <c r="C417" s="104"/>
      <c r="D417" s="104"/>
      <c r="E417" s="104"/>
      <c r="F417" s="104"/>
      <c r="G417" s="104"/>
      <c r="H417" s="105"/>
      <c r="J417" s="32"/>
    </row>
    <row r="418" spans="1:14" s="33" customFormat="1" ht="15.75" customHeight="1" x14ac:dyDescent="0.3">
      <c r="A418" s="101">
        <v>1</v>
      </c>
      <c r="B418" s="102"/>
      <c r="C418" s="52">
        <v>3</v>
      </c>
      <c r="D418" s="53">
        <f>(96.79)*10.764</f>
        <v>1041.8475599999999</v>
      </c>
      <c r="E418" s="48">
        <v>0</v>
      </c>
      <c r="F418" s="48">
        <f t="shared" ref="F418:F419" si="64">D418*(($F$203)+1)+(IF(E418&lt;101,E418,IF(E418&lt;201,E418/2,IF(E418&lt;=301,E418/3,E418/4))))</f>
        <v>1562.7713399999998</v>
      </c>
      <c r="G418" s="89" t="str">
        <f>A417</f>
        <v>8th &amp; 15th Floor (Part Refuge Area)</v>
      </c>
      <c r="H418" s="91"/>
      <c r="I418" s="32">
        <f>(1.755*1.5+1.25*1+3.35*6.45+3.86*2.45+1.85*3.05+3.05*4.175+1.525*2.45+3.35*4.175+1.525*2.45+3.65*3.05+2.45*1.52+0.9*0.395+1.45*0.395+1*2.45+1.585*1.5)*10.764</f>
        <v>1026.823707</v>
      </c>
      <c r="L418" s="82"/>
      <c r="M418" s="82"/>
      <c r="N418" s="32"/>
    </row>
    <row r="419" spans="1:14" s="33" customFormat="1" ht="15.75" customHeight="1" x14ac:dyDescent="0.25">
      <c r="A419" s="101">
        <f t="shared" ref="A419:A424" si="65">A418+1</f>
        <v>2</v>
      </c>
      <c r="B419" s="102"/>
      <c r="C419" s="52">
        <v>3</v>
      </c>
      <c r="D419" s="53">
        <f>(96.79)*10.764</f>
        <v>1041.8475599999999</v>
      </c>
      <c r="E419" s="48">
        <v>0</v>
      </c>
      <c r="F419" s="48">
        <f t="shared" si="64"/>
        <v>1562.7713399999998</v>
      </c>
      <c r="G419" s="92"/>
      <c r="H419" s="94"/>
      <c r="I419" s="57"/>
      <c r="L419" s="82"/>
      <c r="M419" s="82"/>
      <c r="N419" s="32"/>
    </row>
    <row r="420" spans="1:14" s="33" customFormat="1" ht="15.75" customHeight="1" x14ac:dyDescent="0.3">
      <c r="A420" s="101">
        <f t="shared" si="65"/>
        <v>3</v>
      </c>
      <c r="B420" s="102"/>
      <c r="C420" s="107" t="s">
        <v>222</v>
      </c>
      <c r="D420" s="108"/>
      <c r="E420" s="108"/>
      <c r="F420" s="109"/>
      <c r="G420" s="92"/>
      <c r="H420" s="94"/>
      <c r="I420" s="32"/>
      <c r="L420" s="82"/>
      <c r="M420" s="82"/>
      <c r="N420" s="32"/>
    </row>
    <row r="421" spans="1:14" s="33" customFormat="1" ht="15.75" customHeight="1" x14ac:dyDescent="0.3">
      <c r="A421" s="101">
        <f t="shared" si="65"/>
        <v>4</v>
      </c>
      <c r="B421" s="102"/>
      <c r="C421" s="118" t="s">
        <v>183</v>
      </c>
      <c r="D421" s="119"/>
      <c r="E421" s="119"/>
      <c r="F421" s="120"/>
      <c r="G421" s="92"/>
      <c r="H421" s="94"/>
      <c r="I421" s="32"/>
      <c r="L421" s="82"/>
      <c r="M421" s="82"/>
      <c r="N421" s="32"/>
    </row>
    <row r="422" spans="1:14" s="33" customFormat="1" ht="15.75" customHeight="1" x14ac:dyDescent="0.3">
      <c r="A422" s="101">
        <f t="shared" si="65"/>
        <v>5</v>
      </c>
      <c r="B422" s="102"/>
      <c r="C422" s="121"/>
      <c r="D422" s="122"/>
      <c r="E422" s="122"/>
      <c r="F422" s="123"/>
      <c r="G422" s="92"/>
      <c r="H422" s="94"/>
      <c r="I422" s="32"/>
      <c r="L422" s="82"/>
      <c r="M422" s="82"/>
      <c r="N422" s="32"/>
    </row>
    <row r="423" spans="1:14" s="33" customFormat="1" ht="15.75" customHeight="1" x14ac:dyDescent="0.3">
      <c r="A423" s="101">
        <f t="shared" si="65"/>
        <v>6</v>
      </c>
      <c r="B423" s="102"/>
      <c r="C423" s="52">
        <v>3</v>
      </c>
      <c r="D423" s="53">
        <f>(96.11)*10.764</f>
        <v>1034.5280399999999</v>
      </c>
      <c r="E423" s="48">
        <v>0</v>
      </c>
      <c r="F423" s="48">
        <f t="shared" ref="F423:F424" si="66">D423*(($F$203)+1)+(IF(E423&lt;101,E423,IF(E423&lt;201,E423/2,IF(E423&lt;=301,E423/3,E423/4))))</f>
        <v>1551.7920599999998</v>
      </c>
      <c r="G423" s="92"/>
      <c r="H423" s="94"/>
      <c r="I423" s="32"/>
      <c r="L423" s="82"/>
      <c r="M423" s="82"/>
      <c r="N423" s="32"/>
    </row>
    <row r="424" spans="1:14" s="33" customFormat="1" ht="15.75" customHeight="1" x14ac:dyDescent="0.3">
      <c r="A424" s="101">
        <f t="shared" si="65"/>
        <v>7</v>
      </c>
      <c r="B424" s="102"/>
      <c r="C424" s="52">
        <v>3</v>
      </c>
      <c r="D424" s="53">
        <f>(96.11)*10.764</f>
        <v>1034.5280399999999</v>
      </c>
      <c r="E424" s="48">
        <v>0</v>
      </c>
      <c r="F424" s="48">
        <f t="shared" si="66"/>
        <v>1551.7920599999998</v>
      </c>
      <c r="G424" s="95"/>
      <c r="H424" s="97"/>
      <c r="I424" s="32"/>
      <c r="L424" s="82"/>
      <c r="M424" s="82"/>
      <c r="N424" s="32"/>
    </row>
    <row r="425" spans="1:14" s="33" customFormat="1" x14ac:dyDescent="0.3">
      <c r="A425" s="103" t="s">
        <v>240</v>
      </c>
      <c r="B425" s="104"/>
      <c r="C425" s="104"/>
      <c r="D425" s="104"/>
      <c r="E425" s="104"/>
      <c r="F425" s="104"/>
      <c r="G425" s="104"/>
      <c r="H425" s="105"/>
      <c r="J425" s="32"/>
    </row>
    <row r="426" spans="1:14" s="33" customFormat="1" ht="15.75" customHeight="1" x14ac:dyDescent="0.3">
      <c r="A426" s="101">
        <v>1</v>
      </c>
      <c r="B426" s="102"/>
      <c r="C426" s="52">
        <v>3</v>
      </c>
      <c r="D426" s="53">
        <f>(98.74)*10.764</f>
        <v>1062.83736</v>
      </c>
      <c r="E426" s="48">
        <v>0</v>
      </c>
      <c r="F426" s="48">
        <f t="shared" ref="F426:F427" si="67">D426*(($F$203)+1)+(IF(E426&lt;101,E426,IF(E426&lt;201,E426/2,IF(E426&lt;=301,E426/3,E426/4))))</f>
        <v>1594.25604</v>
      </c>
      <c r="G426" s="89" t="str">
        <f>A425</f>
        <v xml:space="preserve">6th Floor </v>
      </c>
      <c r="H426" s="91"/>
      <c r="I426" s="32">
        <f>(1.755*1.5+1.25*1+3.35*6.45+3.86*2.45+1.85*3.05+3.05*4.175+1.525*2.45+3.35*4.175+1.525*2.45+3.65*3.05+2.45*1.52+0.9*0.395+1.45*0.395+1*2.45+1.585*1.5)*10.764</f>
        <v>1026.823707</v>
      </c>
      <c r="L426" s="82"/>
      <c r="M426" s="82"/>
      <c r="N426" s="32"/>
    </row>
    <row r="427" spans="1:14" s="33" customFormat="1" x14ac:dyDescent="0.25">
      <c r="A427" s="101">
        <f t="shared" ref="A427:A432" si="68">A426+1</f>
        <v>2</v>
      </c>
      <c r="B427" s="102"/>
      <c r="C427" s="52">
        <v>3</v>
      </c>
      <c r="D427" s="53">
        <f>(98.74)*10.764</f>
        <v>1062.83736</v>
      </c>
      <c r="E427" s="48">
        <v>0</v>
      </c>
      <c r="F427" s="48">
        <f t="shared" si="67"/>
        <v>1594.25604</v>
      </c>
      <c r="G427" s="92"/>
      <c r="H427" s="94"/>
      <c r="I427" s="57"/>
      <c r="L427" s="82"/>
      <c r="M427" s="82"/>
      <c r="N427" s="32"/>
    </row>
    <row r="428" spans="1:14" s="33" customFormat="1" ht="15.75" customHeight="1" x14ac:dyDescent="0.3">
      <c r="A428" s="101">
        <f t="shared" si="68"/>
        <v>3</v>
      </c>
      <c r="B428" s="102"/>
      <c r="C428" s="52">
        <v>3</v>
      </c>
      <c r="D428" s="53">
        <f>(96.79)*10.764</f>
        <v>1041.8475599999999</v>
      </c>
      <c r="E428" s="48">
        <v>0</v>
      </c>
      <c r="F428" s="48">
        <f t="shared" ref="F428:F430" si="69">D428*(($F$203)+1)+(IF(E428&lt;101,E428,IF(E428&lt;201,E428/2,IF(E428&lt;=301,E428/3,E428/4))))</f>
        <v>1562.7713399999998</v>
      </c>
      <c r="G428" s="92"/>
      <c r="H428" s="94"/>
      <c r="I428" s="32"/>
      <c r="L428" s="82"/>
      <c r="M428" s="82"/>
      <c r="N428" s="32"/>
    </row>
    <row r="429" spans="1:14" s="33" customFormat="1" x14ac:dyDescent="0.3">
      <c r="A429" s="101">
        <f t="shared" si="68"/>
        <v>4</v>
      </c>
      <c r="B429" s="102"/>
      <c r="C429" s="52" t="s">
        <v>179</v>
      </c>
      <c r="D429" s="53">
        <f>(23.02)*10.764</f>
        <v>247.78727999999998</v>
      </c>
      <c r="E429" s="48">
        <v>0</v>
      </c>
      <c r="F429" s="48">
        <f t="shared" si="69"/>
        <v>371.68091999999996</v>
      </c>
      <c r="G429" s="92"/>
      <c r="H429" s="94"/>
      <c r="I429" s="32"/>
      <c r="L429" s="82"/>
      <c r="M429" s="82"/>
      <c r="N429" s="32"/>
    </row>
    <row r="430" spans="1:14" s="33" customFormat="1" ht="15.75" customHeight="1" x14ac:dyDescent="0.3">
      <c r="A430" s="101">
        <f t="shared" si="68"/>
        <v>5</v>
      </c>
      <c r="B430" s="102"/>
      <c r="C430" s="52">
        <v>3</v>
      </c>
      <c r="D430" s="53">
        <f>(98.74)*10.764</f>
        <v>1062.83736</v>
      </c>
      <c r="E430" s="48">
        <v>0</v>
      </c>
      <c r="F430" s="48">
        <f t="shared" si="69"/>
        <v>1594.25604</v>
      </c>
      <c r="G430" s="92"/>
      <c r="H430" s="94"/>
      <c r="I430" s="32"/>
      <c r="L430" s="82"/>
      <c r="M430" s="82"/>
      <c r="N430" s="32"/>
    </row>
    <row r="431" spans="1:14" s="33" customFormat="1" ht="15.75" customHeight="1" x14ac:dyDescent="0.3">
      <c r="A431" s="101">
        <f t="shared" si="68"/>
        <v>6</v>
      </c>
      <c r="B431" s="102"/>
      <c r="C431" s="52">
        <v>3</v>
      </c>
      <c r="D431" s="53">
        <f>(98.74)*10.764</f>
        <v>1062.83736</v>
      </c>
      <c r="E431" s="48">
        <v>0</v>
      </c>
      <c r="F431" s="48">
        <f t="shared" ref="F431:F432" si="70">D431*(($F$203)+1)+(IF(E431&lt;101,E431,IF(E431&lt;201,E431/2,IF(E431&lt;=301,E431/3,E431/4))))</f>
        <v>1594.25604</v>
      </c>
      <c r="G431" s="92"/>
      <c r="H431" s="94"/>
      <c r="I431" s="32"/>
      <c r="L431" s="82"/>
      <c r="M431" s="82"/>
      <c r="N431" s="32"/>
    </row>
    <row r="432" spans="1:14" s="33" customFormat="1" ht="15.75" customHeight="1" x14ac:dyDescent="0.3">
      <c r="A432" s="101">
        <f t="shared" si="68"/>
        <v>7</v>
      </c>
      <c r="B432" s="102"/>
      <c r="C432" s="52">
        <v>3</v>
      </c>
      <c r="D432" s="53">
        <f>(96.11)*10.764</f>
        <v>1034.5280399999999</v>
      </c>
      <c r="E432" s="48">
        <v>0</v>
      </c>
      <c r="F432" s="48">
        <f t="shared" si="70"/>
        <v>1551.7920599999998</v>
      </c>
      <c r="G432" s="95"/>
      <c r="H432" s="97"/>
      <c r="I432" s="32"/>
      <c r="L432" s="82"/>
      <c r="M432" s="82"/>
      <c r="N432" s="32"/>
    </row>
    <row r="433" spans="1:14" s="33" customFormat="1" x14ac:dyDescent="0.3">
      <c r="A433" s="103" t="s">
        <v>224</v>
      </c>
      <c r="B433" s="104"/>
      <c r="C433" s="104"/>
      <c r="D433" s="104"/>
      <c r="E433" s="104"/>
      <c r="F433" s="104"/>
      <c r="G433" s="104"/>
      <c r="H433" s="105"/>
      <c r="J433" s="32"/>
    </row>
    <row r="434" spans="1:14" s="33" customFormat="1" ht="15.75" customHeight="1" x14ac:dyDescent="0.3">
      <c r="A434" s="101">
        <v>1</v>
      </c>
      <c r="B434" s="102"/>
      <c r="C434" s="52">
        <v>3</v>
      </c>
      <c r="D434" s="53">
        <f>(98.79)*10.764</f>
        <v>1063.37556</v>
      </c>
      <c r="E434" s="48">
        <v>0</v>
      </c>
      <c r="F434" s="48">
        <f t="shared" ref="F434:F440" si="71">D434*(($F$203)+1)+(IF(E434&lt;101,E434,IF(E434&lt;201,E434/2,IF(E434&lt;=301,E434/3,E434/4))))</f>
        <v>1595.0633399999999</v>
      </c>
      <c r="G434" s="89" t="str">
        <f>A433</f>
        <v>9th to 13th, 16th to 21st, 24th to 28th, 31st to 34th Floor</v>
      </c>
      <c r="H434" s="91"/>
      <c r="I434" s="32">
        <f>(1.755*1.5+1.25*1+3.35*6.45+3.86*2.45+1.85*3.05+3.05*4.175+1.525*2.45+3.35*4.175+1.525*2.45+3.65*3.05+2.45*1.52+0.9*0.395+1.45*0.395+1*2.45+1.585*1.5)*10.764</f>
        <v>1026.823707</v>
      </c>
      <c r="L434" s="82"/>
      <c r="M434" s="82"/>
      <c r="N434" s="32"/>
    </row>
    <row r="435" spans="1:14" s="33" customFormat="1" ht="15.75" customHeight="1" x14ac:dyDescent="0.25">
      <c r="A435" s="101">
        <f t="shared" ref="A435:A440" si="72">A434+1</f>
        <v>2</v>
      </c>
      <c r="B435" s="102"/>
      <c r="C435" s="52">
        <v>3</v>
      </c>
      <c r="D435" s="53">
        <f>(98.79)*10.764</f>
        <v>1063.37556</v>
      </c>
      <c r="E435" s="48">
        <v>0</v>
      </c>
      <c r="F435" s="48">
        <f t="shared" si="71"/>
        <v>1595.0633399999999</v>
      </c>
      <c r="G435" s="92"/>
      <c r="H435" s="94"/>
      <c r="I435" s="57"/>
      <c r="L435" s="82"/>
      <c r="M435" s="82"/>
      <c r="N435" s="32"/>
    </row>
    <row r="436" spans="1:14" s="33" customFormat="1" ht="15.75" customHeight="1" x14ac:dyDescent="0.3">
      <c r="A436" s="101">
        <f t="shared" si="72"/>
        <v>3</v>
      </c>
      <c r="B436" s="102"/>
      <c r="C436" s="52">
        <v>3</v>
      </c>
      <c r="D436" s="53">
        <f>(96.79)*10.764</f>
        <v>1041.8475599999999</v>
      </c>
      <c r="E436" s="48">
        <v>0</v>
      </c>
      <c r="F436" s="48">
        <f t="shared" si="71"/>
        <v>1562.7713399999998</v>
      </c>
      <c r="G436" s="92"/>
      <c r="H436" s="94"/>
      <c r="I436" s="32"/>
      <c r="L436" s="82"/>
      <c r="M436" s="82"/>
      <c r="N436" s="32"/>
    </row>
    <row r="437" spans="1:14" s="33" customFormat="1" ht="15.75" customHeight="1" x14ac:dyDescent="0.3">
      <c r="A437" s="101">
        <f t="shared" si="72"/>
        <v>4</v>
      </c>
      <c r="B437" s="102"/>
      <c r="C437" s="52" t="s">
        <v>179</v>
      </c>
      <c r="D437" s="53">
        <f>(23.02)*10.764</f>
        <v>247.78727999999998</v>
      </c>
      <c r="E437" s="48">
        <v>0</v>
      </c>
      <c r="F437" s="48">
        <f t="shared" si="71"/>
        <v>371.68091999999996</v>
      </c>
      <c r="G437" s="92"/>
      <c r="H437" s="94"/>
      <c r="I437" s="32"/>
      <c r="L437" s="82"/>
      <c r="M437" s="82"/>
      <c r="N437" s="32"/>
    </row>
    <row r="438" spans="1:14" s="33" customFormat="1" ht="15.75" customHeight="1" x14ac:dyDescent="0.3">
      <c r="A438" s="101">
        <f t="shared" si="72"/>
        <v>5</v>
      </c>
      <c r="B438" s="102"/>
      <c r="C438" s="52">
        <v>3</v>
      </c>
      <c r="D438" s="53">
        <f>(96.11)*10.764</f>
        <v>1034.5280399999999</v>
      </c>
      <c r="E438" s="48">
        <v>0</v>
      </c>
      <c r="F438" s="48">
        <f t="shared" si="71"/>
        <v>1551.7920599999998</v>
      </c>
      <c r="G438" s="92"/>
      <c r="H438" s="94"/>
      <c r="I438" s="32"/>
      <c r="L438" s="82"/>
      <c r="M438" s="82"/>
      <c r="N438" s="32"/>
    </row>
    <row r="439" spans="1:14" s="33" customFormat="1" ht="15.75" customHeight="1" x14ac:dyDescent="0.3">
      <c r="A439" s="101">
        <f t="shared" si="72"/>
        <v>6</v>
      </c>
      <c r="B439" s="102"/>
      <c r="C439" s="52">
        <v>3</v>
      </c>
      <c r="D439" s="53">
        <f>(96.11)*10.764</f>
        <v>1034.5280399999999</v>
      </c>
      <c r="E439" s="48">
        <v>0</v>
      </c>
      <c r="F439" s="48">
        <f t="shared" si="71"/>
        <v>1551.7920599999998</v>
      </c>
      <c r="G439" s="92"/>
      <c r="H439" s="94"/>
      <c r="I439" s="32"/>
      <c r="L439" s="82"/>
      <c r="M439" s="82"/>
      <c r="N439" s="32"/>
    </row>
    <row r="440" spans="1:14" s="33" customFormat="1" ht="15.75" customHeight="1" x14ac:dyDescent="0.3">
      <c r="A440" s="101">
        <f t="shared" si="72"/>
        <v>7</v>
      </c>
      <c r="B440" s="102"/>
      <c r="C440" s="52">
        <v>3</v>
      </c>
      <c r="D440" s="53">
        <f>(96.11)*10.764</f>
        <v>1034.5280399999999</v>
      </c>
      <c r="E440" s="48">
        <v>0</v>
      </c>
      <c r="F440" s="48">
        <f t="shared" si="71"/>
        <v>1551.7920599999998</v>
      </c>
      <c r="G440" s="95"/>
      <c r="H440" s="97"/>
      <c r="I440" s="32"/>
      <c r="L440" s="82"/>
      <c r="M440" s="82"/>
      <c r="N440" s="32"/>
    </row>
    <row r="441" spans="1:14" s="33" customFormat="1" x14ac:dyDescent="0.3">
      <c r="A441" s="103" t="s">
        <v>258</v>
      </c>
      <c r="B441" s="104"/>
      <c r="C441" s="104"/>
      <c r="D441" s="104"/>
      <c r="E441" s="104"/>
      <c r="F441" s="104"/>
      <c r="G441" s="104"/>
      <c r="H441" s="105"/>
      <c r="J441" s="32"/>
    </row>
    <row r="442" spans="1:14" s="33" customFormat="1" ht="15.75" customHeight="1" x14ac:dyDescent="0.3">
      <c r="A442" s="101">
        <v>1</v>
      </c>
      <c r="B442" s="102"/>
      <c r="C442" s="52">
        <v>3</v>
      </c>
      <c r="D442" s="53">
        <f>(96.79)*10.764</f>
        <v>1041.8475599999999</v>
      </c>
      <c r="E442" s="48">
        <v>0</v>
      </c>
      <c r="F442" s="48">
        <f t="shared" ref="F442:F448" si="73">D442*(($F$203)+1)+(IF(E442&lt;101,E442,IF(E442&lt;201,E442/2,IF(E442&lt;=301,E442/3,E442/4))))</f>
        <v>1562.7713399999998</v>
      </c>
      <c r="G442" s="89" t="str">
        <f>A441</f>
        <v>14th &amp; 29th Floor</v>
      </c>
      <c r="H442" s="91"/>
      <c r="I442" s="32">
        <f>(1.755*1.5+1.25*1+3.35*6.45+3.86*2.45+1.85*3.05+3.05*4.175+1.525*2.45+3.35*4.175+1.525*2.45+3.65*3.05+2.45*1.52+0.9*0.395+1.45*0.395+1*2.45+1.585*1.5)*10.764</f>
        <v>1026.823707</v>
      </c>
      <c r="L442" s="82"/>
      <c r="M442" s="82"/>
      <c r="N442" s="32"/>
    </row>
    <row r="443" spans="1:14" s="33" customFormat="1" ht="15.75" customHeight="1" x14ac:dyDescent="0.25">
      <c r="A443" s="101">
        <f t="shared" ref="A443:A448" si="74">A442+1</f>
        <v>2</v>
      </c>
      <c r="B443" s="102"/>
      <c r="C443" s="52">
        <v>3</v>
      </c>
      <c r="D443" s="53">
        <f>(96.79)*10.764</f>
        <v>1041.8475599999999</v>
      </c>
      <c r="E443" s="48">
        <v>0</v>
      </c>
      <c r="F443" s="48">
        <f t="shared" si="73"/>
        <v>1562.7713399999998</v>
      </c>
      <c r="G443" s="92"/>
      <c r="H443" s="94"/>
      <c r="I443" s="57"/>
      <c r="L443" s="82"/>
      <c r="M443" s="82"/>
      <c r="N443" s="32"/>
    </row>
    <row r="444" spans="1:14" s="33" customFormat="1" ht="63" customHeight="1" x14ac:dyDescent="0.3">
      <c r="A444" s="101">
        <f t="shared" si="74"/>
        <v>3</v>
      </c>
      <c r="B444" s="102"/>
      <c r="C444" s="54" t="s">
        <v>260</v>
      </c>
      <c r="D444" s="55">
        <f>(97.34+65.92)*10.764</f>
        <v>1757.3306399999999</v>
      </c>
      <c r="E444" s="48">
        <v>0</v>
      </c>
      <c r="F444" s="48">
        <f t="shared" si="73"/>
        <v>2635.9959599999997</v>
      </c>
      <c r="G444" s="92"/>
      <c r="H444" s="94"/>
      <c r="I444" s="32"/>
      <c r="L444" s="82"/>
      <c r="M444" s="82"/>
      <c r="N444" s="32"/>
    </row>
    <row r="445" spans="1:14" s="33" customFormat="1" ht="15.75" customHeight="1" x14ac:dyDescent="0.3">
      <c r="A445" s="101">
        <f t="shared" si="74"/>
        <v>4</v>
      </c>
      <c r="B445" s="102"/>
      <c r="C445" s="52" t="s">
        <v>179</v>
      </c>
      <c r="D445" s="53">
        <f>(23.02)*10.764</f>
        <v>247.78727999999998</v>
      </c>
      <c r="E445" s="48">
        <v>0</v>
      </c>
      <c r="F445" s="48">
        <f t="shared" si="73"/>
        <v>371.68091999999996</v>
      </c>
      <c r="G445" s="92"/>
      <c r="H445" s="94"/>
      <c r="I445" s="32"/>
      <c r="L445" s="82"/>
      <c r="M445" s="82"/>
      <c r="N445" s="32"/>
    </row>
    <row r="446" spans="1:14" s="33" customFormat="1" ht="15.75" customHeight="1" x14ac:dyDescent="0.3">
      <c r="A446" s="101">
        <f t="shared" si="74"/>
        <v>5</v>
      </c>
      <c r="B446" s="102"/>
      <c r="C446" s="52">
        <v>3</v>
      </c>
      <c r="D446" s="53">
        <f>(96.11)*10.764</f>
        <v>1034.5280399999999</v>
      </c>
      <c r="E446" s="48">
        <v>0</v>
      </c>
      <c r="F446" s="48">
        <f t="shared" si="73"/>
        <v>1551.7920599999998</v>
      </c>
      <c r="G446" s="92"/>
      <c r="H446" s="94"/>
      <c r="I446" s="32"/>
      <c r="L446" s="82"/>
      <c r="M446" s="82"/>
      <c r="N446" s="32"/>
    </row>
    <row r="447" spans="1:14" s="33" customFormat="1" ht="15.75" customHeight="1" x14ac:dyDescent="0.3">
      <c r="A447" s="101">
        <f t="shared" si="74"/>
        <v>6</v>
      </c>
      <c r="B447" s="102"/>
      <c r="C447" s="52">
        <v>3</v>
      </c>
      <c r="D447" s="53">
        <f>(96.11)*10.764</f>
        <v>1034.5280399999999</v>
      </c>
      <c r="E447" s="48">
        <v>0</v>
      </c>
      <c r="F447" s="48">
        <f t="shared" si="73"/>
        <v>1551.7920599999998</v>
      </c>
      <c r="G447" s="92"/>
      <c r="H447" s="94"/>
      <c r="I447" s="32"/>
      <c r="L447" s="82"/>
      <c r="M447" s="82"/>
      <c r="N447" s="32"/>
    </row>
    <row r="448" spans="1:14" s="33" customFormat="1" ht="15.75" customHeight="1" x14ac:dyDescent="0.3">
      <c r="A448" s="101">
        <f t="shared" si="74"/>
        <v>7</v>
      </c>
      <c r="B448" s="102"/>
      <c r="C448" s="52">
        <v>3</v>
      </c>
      <c r="D448" s="53">
        <f>(96.11)*10.764</f>
        <v>1034.5280399999999</v>
      </c>
      <c r="E448" s="48">
        <v>0</v>
      </c>
      <c r="F448" s="48">
        <f t="shared" si="73"/>
        <v>1551.7920599999998</v>
      </c>
      <c r="G448" s="95"/>
      <c r="H448" s="97"/>
      <c r="I448" s="32"/>
      <c r="L448" s="82"/>
      <c r="M448" s="82"/>
      <c r="N448" s="32"/>
    </row>
    <row r="449" spans="1:14" s="33" customFormat="1" x14ac:dyDescent="0.3">
      <c r="A449" s="103" t="s">
        <v>225</v>
      </c>
      <c r="B449" s="104"/>
      <c r="C449" s="104"/>
      <c r="D449" s="104"/>
      <c r="E449" s="104"/>
      <c r="F449" s="104"/>
      <c r="G449" s="104"/>
      <c r="H449" s="105"/>
      <c r="J449" s="32"/>
    </row>
    <row r="450" spans="1:14" s="33" customFormat="1" ht="15.75" customHeight="1" x14ac:dyDescent="0.3">
      <c r="A450" s="101">
        <v>1</v>
      </c>
      <c r="B450" s="102"/>
      <c r="C450" s="52">
        <v>3</v>
      </c>
      <c r="D450" s="53">
        <f>(96.79)*10.764</f>
        <v>1041.8475599999999</v>
      </c>
      <c r="E450" s="48">
        <v>0</v>
      </c>
      <c r="F450" s="48">
        <f t="shared" ref="F450:F456" si="75">D450*(($F$203)+1)+(IF(E450&lt;101,E450,IF(E450&lt;201,E450/2,IF(E450&lt;=301,E450/3,E450/4))))</f>
        <v>1562.7713399999998</v>
      </c>
      <c r="G450" s="89" t="str">
        <f>A449</f>
        <v>22nd Floor (Part Refuge Area)</v>
      </c>
      <c r="H450" s="91"/>
      <c r="I450" s="32">
        <f>(1.755*1.5+1.25*1+3.35*6.45+3.86*2.45+1.85*3.05+3.05*4.175+1.525*2.45+3.35*4.175+1.525*2.45+3.65*3.05+2.45*1.52+0.9*0.395+1.45*0.395+1*2.45+1.585*1.5)*10.764</f>
        <v>1026.823707</v>
      </c>
      <c r="L450" s="82"/>
      <c r="M450" s="82"/>
      <c r="N450" s="32"/>
    </row>
    <row r="451" spans="1:14" s="33" customFormat="1" ht="15.75" customHeight="1" x14ac:dyDescent="0.25">
      <c r="A451" s="101">
        <f t="shared" ref="A451:A456" si="76">A450+1</f>
        <v>2</v>
      </c>
      <c r="B451" s="102"/>
      <c r="C451" s="52">
        <v>3</v>
      </c>
      <c r="D451" s="53">
        <f>(96.79)*10.764</f>
        <v>1041.8475599999999</v>
      </c>
      <c r="E451" s="48">
        <v>0</v>
      </c>
      <c r="F451" s="48">
        <f t="shared" si="75"/>
        <v>1562.7713399999998</v>
      </c>
      <c r="G451" s="92"/>
      <c r="H451" s="94"/>
      <c r="I451" s="57"/>
      <c r="L451" s="82"/>
      <c r="M451" s="82"/>
      <c r="N451" s="32"/>
    </row>
    <row r="452" spans="1:14" s="33" customFormat="1" ht="15.75" customHeight="1" x14ac:dyDescent="0.3">
      <c r="A452" s="101">
        <f t="shared" si="76"/>
        <v>3</v>
      </c>
      <c r="B452" s="102"/>
      <c r="C452" s="129" t="s">
        <v>183</v>
      </c>
      <c r="D452" s="130"/>
      <c r="E452" s="130"/>
      <c r="F452" s="131"/>
      <c r="G452" s="92"/>
      <c r="H452" s="94"/>
      <c r="I452" s="32"/>
      <c r="L452" s="82"/>
      <c r="M452" s="82"/>
      <c r="N452" s="32"/>
    </row>
    <row r="453" spans="1:14" s="33" customFormat="1" ht="15.75" customHeight="1" x14ac:dyDescent="0.3">
      <c r="A453" s="101">
        <f t="shared" si="76"/>
        <v>4</v>
      </c>
      <c r="B453" s="102"/>
      <c r="C453" s="132"/>
      <c r="D453" s="133"/>
      <c r="E453" s="133"/>
      <c r="F453" s="134"/>
      <c r="G453" s="92"/>
      <c r="H453" s="94"/>
      <c r="I453" s="32"/>
      <c r="L453" s="82"/>
      <c r="M453" s="82"/>
      <c r="N453" s="32"/>
    </row>
    <row r="454" spans="1:14" s="33" customFormat="1" ht="15.75" customHeight="1" x14ac:dyDescent="0.3">
      <c r="A454" s="101">
        <f t="shared" si="76"/>
        <v>5</v>
      </c>
      <c r="B454" s="102"/>
      <c r="C454" s="135"/>
      <c r="D454" s="136"/>
      <c r="E454" s="136"/>
      <c r="F454" s="137"/>
      <c r="G454" s="92"/>
      <c r="H454" s="94"/>
      <c r="I454" s="32"/>
      <c r="L454" s="82"/>
      <c r="M454" s="82"/>
      <c r="N454" s="32"/>
    </row>
    <row r="455" spans="1:14" s="33" customFormat="1" ht="15.75" customHeight="1" x14ac:dyDescent="0.3">
      <c r="A455" s="101">
        <f t="shared" si="76"/>
        <v>6</v>
      </c>
      <c r="B455" s="102"/>
      <c r="C455" s="52">
        <v>3</v>
      </c>
      <c r="D455" s="53">
        <f>(96.11)*10.764</f>
        <v>1034.5280399999999</v>
      </c>
      <c r="E455" s="48">
        <v>0</v>
      </c>
      <c r="F455" s="48">
        <f t="shared" si="75"/>
        <v>1551.7920599999998</v>
      </c>
      <c r="G455" s="92"/>
      <c r="H455" s="94"/>
      <c r="I455" s="32"/>
      <c r="L455" s="82"/>
      <c r="M455" s="82"/>
      <c r="N455" s="32"/>
    </row>
    <row r="456" spans="1:14" s="33" customFormat="1" ht="15.75" customHeight="1" x14ac:dyDescent="0.3">
      <c r="A456" s="101">
        <f t="shared" si="76"/>
        <v>7</v>
      </c>
      <c r="B456" s="102"/>
      <c r="C456" s="52">
        <v>3</v>
      </c>
      <c r="D456" s="53">
        <f>(96.11)*10.764</f>
        <v>1034.5280399999999</v>
      </c>
      <c r="E456" s="48">
        <v>0</v>
      </c>
      <c r="F456" s="48">
        <f t="shared" si="75"/>
        <v>1551.7920599999998</v>
      </c>
      <c r="G456" s="95"/>
      <c r="H456" s="97"/>
      <c r="I456" s="32"/>
      <c r="L456" s="82"/>
      <c r="M456" s="82"/>
      <c r="N456" s="32"/>
    </row>
    <row r="457" spans="1:14" s="33" customFormat="1" x14ac:dyDescent="0.3">
      <c r="A457" s="103" t="s">
        <v>226</v>
      </c>
      <c r="B457" s="104"/>
      <c r="C457" s="104"/>
      <c r="D457" s="104"/>
      <c r="E457" s="104"/>
      <c r="F457" s="104"/>
      <c r="G457" s="104"/>
      <c r="H457" s="105"/>
      <c r="J457" s="32"/>
    </row>
    <row r="458" spans="1:14" s="33" customFormat="1" x14ac:dyDescent="0.3">
      <c r="A458" s="103" t="s">
        <v>227</v>
      </c>
      <c r="B458" s="104"/>
      <c r="C458" s="104"/>
      <c r="D458" s="104"/>
      <c r="E458" s="104"/>
      <c r="F458" s="104"/>
      <c r="G458" s="104"/>
      <c r="H458" s="105"/>
      <c r="J458" s="32"/>
    </row>
    <row r="459" spans="1:14" s="33" customFormat="1" ht="15.75" customHeight="1" x14ac:dyDescent="0.3">
      <c r="A459" s="101">
        <v>1</v>
      </c>
      <c r="B459" s="102"/>
      <c r="C459" s="52">
        <v>3</v>
      </c>
      <c r="D459" s="53">
        <f>(96.79)*10.764</f>
        <v>1041.8475599999999</v>
      </c>
      <c r="E459" s="48">
        <v>0</v>
      </c>
      <c r="F459" s="48">
        <f t="shared" ref="F459:F460" si="77">D459*(($F$203)+1)+(IF(E459&lt;101,E459,IF(E459&lt;201,E459/2,IF(E459&lt;=301,E459/3,E459/4))))</f>
        <v>1562.7713399999998</v>
      </c>
      <c r="G459" s="89" t="str">
        <f>A458</f>
        <v>30th Floor (Part Refuge Area)</v>
      </c>
      <c r="H459" s="91"/>
      <c r="I459" s="32">
        <f>(1.755*1.5+1.25*1+3.35*6.45+3.86*2.45+1.85*3.05+3.05*4.175+1.525*2.45+3.35*4.175+1.525*2.45+3.65*3.05+2.45*1.52+0.9*0.395+1.45*0.395+1*2.45+1.585*1.5)*10.764</f>
        <v>1026.823707</v>
      </c>
      <c r="L459" s="82"/>
      <c r="M459" s="82"/>
      <c r="N459" s="32"/>
    </row>
    <row r="460" spans="1:14" s="33" customFormat="1" ht="15.75" customHeight="1" x14ac:dyDescent="0.25">
      <c r="A460" s="101">
        <f t="shared" ref="A460:A465" si="78">A459+1</f>
        <v>2</v>
      </c>
      <c r="B460" s="102"/>
      <c r="C460" s="52">
        <v>3</v>
      </c>
      <c r="D460" s="53">
        <f>(96.79)*10.764</f>
        <v>1041.8475599999999</v>
      </c>
      <c r="E460" s="48">
        <v>0</v>
      </c>
      <c r="F460" s="48">
        <f t="shared" si="77"/>
        <v>1562.7713399999998</v>
      </c>
      <c r="G460" s="92"/>
      <c r="H460" s="94"/>
      <c r="I460" s="57"/>
      <c r="L460" s="82"/>
      <c r="M460" s="82"/>
      <c r="N460" s="32"/>
    </row>
    <row r="461" spans="1:14" s="33" customFormat="1" ht="15.75" customHeight="1" x14ac:dyDescent="0.3">
      <c r="A461" s="101">
        <f t="shared" si="78"/>
        <v>3</v>
      </c>
      <c r="B461" s="102"/>
      <c r="C461" s="107" t="s">
        <v>228</v>
      </c>
      <c r="D461" s="108"/>
      <c r="E461" s="108"/>
      <c r="F461" s="109"/>
      <c r="G461" s="92"/>
      <c r="H461" s="94"/>
      <c r="I461" s="32"/>
      <c r="L461" s="82"/>
      <c r="M461" s="82"/>
      <c r="N461" s="32"/>
    </row>
    <row r="462" spans="1:14" s="33" customFormat="1" ht="15.75" customHeight="1" x14ac:dyDescent="0.3">
      <c r="A462" s="101">
        <f t="shared" si="78"/>
        <v>4</v>
      </c>
      <c r="B462" s="102"/>
      <c r="C462" s="118" t="s">
        <v>183</v>
      </c>
      <c r="D462" s="119"/>
      <c r="E462" s="119"/>
      <c r="F462" s="120"/>
      <c r="G462" s="92"/>
      <c r="H462" s="94"/>
      <c r="I462" s="32"/>
      <c r="L462" s="82"/>
      <c r="M462" s="82"/>
      <c r="N462" s="32"/>
    </row>
    <row r="463" spans="1:14" s="33" customFormat="1" ht="15.75" customHeight="1" x14ac:dyDescent="0.3">
      <c r="A463" s="101">
        <f t="shared" si="78"/>
        <v>5</v>
      </c>
      <c r="B463" s="102"/>
      <c r="C463" s="121"/>
      <c r="D463" s="122"/>
      <c r="E463" s="122"/>
      <c r="F463" s="123"/>
      <c r="G463" s="92"/>
      <c r="H463" s="94"/>
      <c r="I463" s="32"/>
      <c r="L463" s="82"/>
      <c r="M463" s="82"/>
      <c r="N463" s="32"/>
    </row>
    <row r="464" spans="1:14" s="33" customFormat="1" ht="15.75" customHeight="1" x14ac:dyDescent="0.3">
      <c r="A464" s="101">
        <f t="shared" si="78"/>
        <v>6</v>
      </c>
      <c r="B464" s="102"/>
      <c r="C464" s="52">
        <v>3</v>
      </c>
      <c r="D464" s="53">
        <f>(96.11)*10.764</f>
        <v>1034.5280399999999</v>
      </c>
      <c r="E464" s="48">
        <v>0</v>
      </c>
      <c r="F464" s="48">
        <f t="shared" ref="F464:F465" si="79">D464*(($F$203)+1)+(IF(E464&lt;101,E464,IF(E464&lt;201,E464/2,IF(E464&lt;=301,E464/3,E464/4))))</f>
        <v>1551.7920599999998</v>
      </c>
      <c r="G464" s="92"/>
      <c r="H464" s="94"/>
      <c r="I464" s="32"/>
      <c r="L464" s="82"/>
      <c r="M464" s="82"/>
      <c r="N464" s="32"/>
    </row>
    <row r="465" spans="1:14" s="33" customFormat="1" ht="15.75" customHeight="1" x14ac:dyDescent="0.3">
      <c r="A465" s="101">
        <f t="shared" si="78"/>
        <v>7</v>
      </c>
      <c r="B465" s="102"/>
      <c r="C465" s="52">
        <v>3</v>
      </c>
      <c r="D465" s="53">
        <f>(96.11)*10.764</f>
        <v>1034.5280399999999</v>
      </c>
      <c r="E465" s="48">
        <v>0</v>
      </c>
      <c r="F465" s="48">
        <f t="shared" si="79"/>
        <v>1551.7920599999998</v>
      </c>
      <c r="G465" s="95"/>
      <c r="H465" s="97"/>
      <c r="I465" s="32"/>
      <c r="L465" s="82"/>
      <c r="M465" s="82"/>
      <c r="N465" s="32"/>
    </row>
    <row r="466" spans="1:14" s="33" customFormat="1" x14ac:dyDescent="0.3">
      <c r="A466" s="103" t="s">
        <v>241</v>
      </c>
      <c r="B466" s="104"/>
      <c r="C466" s="104"/>
      <c r="D466" s="104"/>
      <c r="E466" s="104"/>
      <c r="F466" s="104"/>
      <c r="G466" s="104"/>
      <c r="H466" s="105"/>
      <c r="J466" s="32"/>
    </row>
    <row r="467" spans="1:14" s="33" customFormat="1" ht="15.75" customHeight="1" x14ac:dyDescent="0.3">
      <c r="A467" s="101">
        <v>1</v>
      </c>
      <c r="B467" s="102"/>
      <c r="C467" s="52">
        <v>3</v>
      </c>
      <c r="D467" s="53">
        <f>(102.5)*10.764</f>
        <v>1103.31</v>
      </c>
      <c r="E467" s="48">
        <v>0</v>
      </c>
      <c r="F467" s="48">
        <f t="shared" ref="F467:F468" si="80">D467*(($F$203)+1)+(IF(E467&lt;101,E467,IF(E467&lt;201,E467/2,IF(E467&lt;=301,E467/3,E467/4))))</f>
        <v>1654.9649999999999</v>
      </c>
      <c r="G467" s="89" t="str">
        <f>A466</f>
        <v>35th, 38th to 43rd, 45th, 47th to 50th, 53rd to 58th, 60th &amp; 61th Floor</v>
      </c>
      <c r="H467" s="91"/>
      <c r="I467" s="32">
        <f>(1.755*1.5+1.25*1+3.35*6.45+3.86*2.45+1.85*3.05+3.05*4.175+1.525*2.45+3.35*4.175+1.525*2.45+3.65*3.05+2.45*1.52+0.9*0.395+1.45*0.395+1*2.45+1.585*1.5)*10.764</f>
        <v>1026.823707</v>
      </c>
      <c r="L467" s="82"/>
      <c r="M467" s="82"/>
      <c r="N467" s="32"/>
    </row>
    <row r="468" spans="1:14" s="33" customFormat="1" ht="15.75" customHeight="1" x14ac:dyDescent="0.25">
      <c r="A468" s="101">
        <f t="shared" ref="A468:A473" si="81">A467+1</f>
        <v>2</v>
      </c>
      <c r="B468" s="102"/>
      <c r="C468" s="52">
        <v>3</v>
      </c>
      <c r="D468" s="53">
        <f t="shared" ref="D468:D469" si="82">(102.5)*10.764</f>
        <v>1103.31</v>
      </c>
      <c r="E468" s="48">
        <v>0</v>
      </c>
      <c r="F468" s="48">
        <f t="shared" si="80"/>
        <v>1654.9649999999999</v>
      </c>
      <c r="G468" s="92"/>
      <c r="H468" s="94"/>
      <c r="I468" s="57"/>
      <c r="L468" s="82"/>
      <c r="M468" s="82"/>
      <c r="N468" s="32"/>
    </row>
    <row r="469" spans="1:14" s="33" customFormat="1" ht="15.75" customHeight="1" x14ac:dyDescent="0.3">
      <c r="A469" s="101">
        <f t="shared" si="81"/>
        <v>3</v>
      </c>
      <c r="B469" s="102"/>
      <c r="C469" s="52">
        <v>3</v>
      </c>
      <c r="D469" s="53">
        <f t="shared" si="82"/>
        <v>1103.31</v>
      </c>
      <c r="E469" s="48">
        <v>0</v>
      </c>
      <c r="F469" s="48">
        <f t="shared" ref="F469:F471" si="83">D469*(($F$203)+1)+(IF(E469&lt;101,E469,IF(E469&lt;201,E469/2,IF(E469&lt;=301,E469/3,E469/4))))</f>
        <v>1654.9649999999999</v>
      </c>
      <c r="G469" s="92"/>
      <c r="H469" s="94"/>
      <c r="I469" s="32"/>
      <c r="L469" s="82"/>
      <c r="M469" s="82"/>
      <c r="N469" s="32"/>
    </row>
    <row r="470" spans="1:14" s="33" customFormat="1" ht="15.75" customHeight="1" x14ac:dyDescent="0.3">
      <c r="A470" s="101">
        <f t="shared" si="81"/>
        <v>4</v>
      </c>
      <c r="B470" s="102"/>
      <c r="C470" s="52" t="s">
        <v>179</v>
      </c>
      <c r="D470" s="53">
        <f>(23.02)*10.764</f>
        <v>247.78727999999998</v>
      </c>
      <c r="E470" s="48">
        <v>0</v>
      </c>
      <c r="F470" s="48">
        <f t="shared" si="83"/>
        <v>371.68091999999996</v>
      </c>
      <c r="G470" s="92"/>
      <c r="H470" s="94"/>
      <c r="I470" s="32"/>
      <c r="L470" s="82"/>
      <c r="M470" s="82"/>
      <c r="N470" s="32"/>
    </row>
    <row r="471" spans="1:14" s="33" customFormat="1" ht="15.75" customHeight="1" x14ac:dyDescent="0.3">
      <c r="A471" s="101">
        <f t="shared" si="81"/>
        <v>5</v>
      </c>
      <c r="B471" s="102"/>
      <c r="C471" s="52">
        <v>3</v>
      </c>
      <c r="D471" s="53">
        <f>(101.9)*10.764</f>
        <v>1096.8516</v>
      </c>
      <c r="E471" s="48">
        <v>0</v>
      </c>
      <c r="F471" s="48">
        <f t="shared" si="83"/>
        <v>1645.2773999999999</v>
      </c>
      <c r="G471" s="92"/>
      <c r="H471" s="94"/>
      <c r="I471" s="32"/>
      <c r="L471" s="82"/>
      <c r="M471" s="82"/>
      <c r="N471" s="32"/>
    </row>
    <row r="472" spans="1:14" s="33" customFormat="1" ht="15.75" customHeight="1" x14ac:dyDescent="0.3">
      <c r="A472" s="101">
        <f t="shared" si="81"/>
        <v>6</v>
      </c>
      <c r="B472" s="102"/>
      <c r="C472" s="52">
        <v>3</v>
      </c>
      <c r="D472" s="53">
        <f t="shared" ref="D472:D473" si="84">(101.54)*10.764</f>
        <v>1092.9765600000001</v>
      </c>
      <c r="E472" s="48">
        <v>0</v>
      </c>
      <c r="F472" s="48">
        <f t="shared" ref="F472:F473" si="85">D472*(($F$203)+1)+(IF(E472&lt;101,E472,IF(E472&lt;201,E472/2,IF(E472&lt;=301,E472/3,E472/4))))</f>
        <v>1639.4648400000001</v>
      </c>
      <c r="G472" s="92"/>
      <c r="H472" s="94"/>
      <c r="I472" s="32"/>
      <c r="L472" s="82"/>
      <c r="M472" s="82"/>
      <c r="N472" s="32"/>
    </row>
    <row r="473" spans="1:14" s="33" customFormat="1" ht="15.75" customHeight="1" x14ac:dyDescent="0.3">
      <c r="A473" s="101">
        <f t="shared" si="81"/>
        <v>7</v>
      </c>
      <c r="B473" s="102"/>
      <c r="C473" s="52">
        <v>3</v>
      </c>
      <c r="D473" s="53">
        <f t="shared" si="84"/>
        <v>1092.9765600000001</v>
      </c>
      <c r="E473" s="48">
        <v>0</v>
      </c>
      <c r="F473" s="48">
        <f t="shared" si="85"/>
        <v>1639.4648400000001</v>
      </c>
      <c r="G473" s="95"/>
      <c r="H473" s="97"/>
      <c r="I473" s="32"/>
      <c r="L473" s="82"/>
      <c r="M473" s="82"/>
      <c r="N473" s="32"/>
    </row>
    <row r="474" spans="1:14" s="33" customFormat="1" x14ac:dyDescent="0.3">
      <c r="A474" s="103" t="s">
        <v>231</v>
      </c>
      <c r="B474" s="104"/>
      <c r="C474" s="104"/>
      <c r="D474" s="104"/>
      <c r="E474" s="104"/>
      <c r="F474" s="104"/>
      <c r="G474" s="104"/>
      <c r="H474" s="105"/>
      <c r="J474" s="32"/>
    </row>
    <row r="475" spans="1:14" s="33" customFormat="1" ht="15.75" customHeight="1" x14ac:dyDescent="0.3">
      <c r="A475" s="101">
        <v>1</v>
      </c>
      <c r="B475" s="102"/>
      <c r="C475" s="52">
        <v>3</v>
      </c>
      <c r="D475" s="53">
        <f>(102.5)*10.764</f>
        <v>1103.31</v>
      </c>
      <c r="E475" s="48">
        <v>0</v>
      </c>
      <c r="F475" s="48">
        <f t="shared" ref="F475:F481" si="86">D475*(($F$203)+1)+(IF(E475&lt;101,E475,IF(E475&lt;201,E475/2,IF(E475&lt;=301,E475/3,E475/4))))</f>
        <v>1654.9649999999999</v>
      </c>
      <c r="G475" s="89" t="str">
        <f>A474</f>
        <v>36th &amp; 51st Floor</v>
      </c>
      <c r="H475" s="91"/>
      <c r="I475" s="32">
        <f>(1.755*1.5+1.25*1+3.35*6.45+3.86*2.45+1.85*3.05+3.05*4.175+1.525*2.45+3.35*4.175+1.525*2.45+3.65*3.05+2.45*1.52+0.9*0.395+1.45*0.395+1*2.45+1.585*1.5)*10.764</f>
        <v>1026.823707</v>
      </c>
      <c r="L475" s="82"/>
      <c r="M475" s="82"/>
      <c r="N475" s="32"/>
    </row>
    <row r="476" spans="1:14" s="33" customFormat="1" ht="15.75" customHeight="1" x14ac:dyDescent="0.25">
      <c r="A476" s="101">
        <f t="shared" ref="A476:A481" si="87">A475+1</f>
        <v>2</v>
      </c>
      <c r="B476" s="102"/>
      <c r="C476" s="52">
        <v>3</v>
      </c>
      <c r="D476" s="53">
        <f>(102.5)*10.764</f>
        <v>1103.31</v>
      </c>
      <c r="E476" s="48">
        <v>0</v>
      </c>
      <c r="F476" s="48">
        <f t="shared" si="86"/>
        <v>1654.9649999999999</v>
      </c>
      <c r="G476" s="92"/>
      <c r="H476" s="94"/>
      <c r="I476" s="57"/>
      <c r="L476" s="82"/>
      <c r="M476" s="82"/>
      <c r="N476" s="32"/>
    </row>
    <row r="477" spans="1:14" s="33" customFormat="1" ht="69" customHeight="1" x14ac:dyDescent="0.3">
      <c r="A477" s="101">
        <f t="shared" si="87"/>
        <v>3</v>
      </c>
      <c r="B477" s="102"/>
      <c r="C477" s="54" t="s">
        <v>262</v>
      </c>
      <c r="D477" s="55">
        <f>(103.05+65.92)*10.764</f>
        <v>1818.7930799999999</v>
      </c>
      <c r="E477" s="48">
        <v>0</v>
      </c>
      <c r="F477" s="48">
        <f t="shared" si="86"/>
        <v>2728.1896200000001</v>
      </c>
      <c r="G477" s="92"/>
      <c r="H477" s="94"/>
      <c r="I477" s="32"/>
      <c r="L477" s="82"/>
      <c r="M477" s="82"/>
      <c r="N477" s="32"/>
    </row>
    <row r="478" spans="1:14" s="33" customFormat="1" ht="15.75" customHeight="1" x14ac:dyDescent="0.3">
      <c r="A478" s="101">
        <f t="shared" si="87"/>
        <v>4</v>
      </c>
      <c r="B478" s="102"/>
      <c r="C478" s="52" t="s">
        <v>236</v>
      </c>
      <c r="D478" s="53">
        <f>(23.02)*10.764</f>
        <v>247.78727999999998</v>
      </c>
      <c r="E478" s="48">
        <v>0</v>
      </c>
      <c r="F478" s="48">
        <f t="shared" si="86"/>
        <v>371.68091999999996</v>
      </c>
      <c r="G478" s="92"/>
      <c r="H478" s="94"/>
      <c r="I478" s="32"/>
      <c r="L478" s="82"/>
      <c r="M478" s="82"/>
      <c r="N478" s="32"/>
    </row>
    <row r="479" spans="1:14" s="33" customFormat="1" ht="15.75" customHeight="1" x14ac:dyDescent="0.3">
      <c r="A479" s="101">
        <f t="shared" si="87"/>
        <v>5</v>
      </c>
      <c r="B479" s="102"/>
      <c r="C479" s="52">
        <v>3</v>
      </c>
      <c r="D479" s="53">
        <f>(101.54)*10.764</f>
        <v>1092.9765600000001</v>
      </c>
      <c r="E479" s="48">
        <v>0</v>
      </c>
      <c r="F479" s="48">
        <f t="shared" si="86"/>
        <v>1639.4648400000001</v>
      </c>
      <c r="G479" s="92"/>
      <c r="H479" s="94"/>
      <c r="I479" s="32"/>
      <c r="L479" s="82"/>
      <c r="M479" s="82"/>
      <c r="N479" s="32"/>
    </row>
    <row r="480" spans="1:14" s="33" customFormat="1" ht="15.75" customHeight="1" x14ac:dyDescent="0.3">
      <c r="A480" s="101">
        <f t="shared" si="87"/>
        <v>6</v>
      </c>
      <c r="B480" s="102"/>
      <c r="C480" s="52">
        <v>3</v>
      </c>
      <c r="D480" s="53">
        <f t="shared" ref="D480:D481" si="88">(101.54)*10.764</f>
        <v>1092.9765600000001</v>
      </c>
      <c r="E480" s="48">
        <v>0</v>
      </c>
      <c r="F480" s="48">
        <f t="shared" si="86"/>
        <v>1639.4648400000001</v>
      </c>
      <c r="G480" s="92"/>
      <c r="H480" s="94"/>
      <c r="I480" s="32"/>
      <c r="L480" s="82"/>
      <c r="M480" s="82"/>
      <c r="N480" s="32"/>
    </row>
    <row r="481" spans="1:14" s="33" customFormat="1" ht="15.75" customHeight="1" x14ac:dyDescent="0.3">
      <c r="A481" s="101">
        <f t="shared" si="87"/>
        <v>7</v>
      </c>
      <c r="B481" s="102"/>
      <c r="C481" s="52">
        <v>3</v>
      </c>
      <c r="D481" s="53">
        <f t="shared" si="88"/>
        <v>1092.9765600000001</v>
      </c>
      <c r="E481" s="48">
        <v>0</v>
      </c>
      <c r="F481" s="48">
        <f t="shared" si="86"/>
        <v>1639.4648400000001</v>
      </c>
      <c r="G481" s="95"/>
      <c r="H481" s="97"/>
      <c r="I481" s="32"/>
      <c r="L481" s="82"/>
      <c r="M481" s="82"/>
      <c r="N481" s="32"/>
    </row>
    <row r="482" spans="1:14" s="33" customFormat="1" x14ac:dyDescent="0.3">
      <c r="A482" s="103" t="s">
        <v>242</v>
      </c>
      <c r="B482" s="104"/>
      <c r="C482" s="104"/>
      <c r="D482" s="104"/>
      <c r="E482" s="104"/>
      <c r="F482" s="104"/>
      <c r="G482" s="104"/>
      <c r="H482" s="105"/>
      <c r="J482" s="32"/>
    </row>
    <row r="483" spans="1:14" s="33" customFormat="1" ht="15.75" customHeight="1" x14ac:dyDescent="0.3">
      <c r="A483" s="101">
        <v>1</v>
      </c>
      <c r="B483" s="102"/>
      <c r="C483" s="52">
        <v>3</v>
      </c>
      <c r="D483" s="53">
        <f>(102.5)*10.764</f>
        <v>1103.31</v>
      </c>
      <c r="E483" s="48">
        <v>0</v>
      </c>
      <c r="F483" s="48">
        <f>D484*(($F$203)+1)+(IF(E483&lt;101,E483,IF(E483&lt;201,E483/2,IF(E483&lt;=301,E483/3,E483/4))))</f>
        <v>1654.9649999999999</v>
      </c>
      <c r="G483" s="89" t="str">
        <f>A482</f>
        <v>37th &amp; 52nd Floor (Part Refuge Area)</v>
      </c>
      <c r="H483" s="91"/>
      <c r="I483" s="32">
        <f>(1.755*1.5+1.25*1+3.35*6.45+3.86*2.45+1.85*3.05+3.05*4.175+1.525*2.45+3.35*4.175+1.525*2.45+3.65*3.05+2.45*1.52+0.9*0.395+1.45*0.395+1*2.45+1.585*1.5)*10.764</f>
        <v>1026.823707</v>
      </c>
      <c r="L483" s="82"/>
      <c r="M483" s="82"/>
      <c r="N483" s="32"/>
    </row>
    <row r="484" spans="1:14" s="33" customFormat="1" ht="15.75" customHeight="1" x14ac:dyDescent="0.25">
      <c r="A484" s="101">
        <f t="shared" ref="A484:A489" si="89">A483+1</f>
        <v>2</v>
      </c>
      <c r="B484" s="102"/>
      <c r="C484" s="52">
        <v>3</v>
      </c>
      <c r="D484" s="53">
        <f>(102.5)*10.764</f>
        <v>1103.31</v>
      </c>
      <c r="E484" s="48">
        <v>0</v>
      </c>
      <c r="F484" s="48">
        <f t="shared" ref="F484" si="90">D484*(($F$203)+1)+(IF(E484&lt;101,E484,IF(E484&lt;201,E484/2,IF(E484&lt;=301,E484/3,E484/4))))</f>
        <v>1654.9649999999999</v>
      </c>
      <c r="G484" s="92"/>
      <c r="H484" s="94"/>
      <c r="I484" s="57"/>
      <c r="L484" s="82"/>
      <c r="M484" s="82"/>
      <c r="N484" s="32"/>
    </row>
    <row r="485" spans="1:14" s="33" customFormat="1" ht="15.75" customHeight="1" x14ac:dyDescent="0.3">
      <c r="A485" s="101">
        <f t="shared" si="89"/>
        <v>3</v>
      </c>
      <c r="B485" s="102"/>
      <c r="C485" s="115" t="s">
        <v>243</v>
      </c>
      <c r="D485" s="116"/>
      <c r="E485" s="116"/>
      <c r="F485" s="117"/>
      <c r="G485" s="92"/>
      <c r="H485" s="94"/>
      <c r="I485" s="32"/>
      <c r="L485" s="82"/>
      <c r="M485" s="82"/>
      <c r="N485" s="32"/>
    </row>
    <row r="486" spans="1:14" s="33" customFormat="1" ht="15.75" customHeight="1" x14ac:dyDescent="0.3">
      <c r="A486" s="101">
        <f t="shared" si="89"/>
        <v>4</v>
      </c>
      <c r="B486" s="102"/>
      <c r="C486" s="118" t="s">
        <v>183</v>
      </c>
      <c r="D486" s="119"/>
      <c r="E486" s="119"/>
      <c r="F486" s="120"/>
      <c r="G486" s="92"/>
      <c r="H486" s="94"/>
      <c r="I486" s="32"/>
      <c r="L486" s="82"/>
      <c r="M486" s="82"/>
      <c r="N486" s="32"/>
    </row>
    <row r="487" spans="1:14" s="33" customFormat="1" ht="15.75" customHeight="1" x14ac:dyDescent="0.3">
      <c r="A487" s="101">
        <f t="shared" si="89"/>
        <v>5</v>
      </c>
      <c r="B487" s="102"/>
      <c r="C487" s="121"/>
      <c r="D487" s="122"/>
      <c r="E487" s="122"/>
      <c r="F487" s="123"/>
      <c r="G487" s="92"/>
      <c r="H487" s="94"/>
      <c r="I487" s="32"/>
      <c r="L487" s="82"/>
      <c r="M487" s="82"/>
      <c r="N487" s="32"/>
    </row>
    <row r="488" spans="1:14" s="33" customFormat="1" ht="15.75" customHeight="1" x14ac:dyDescent="0.3">
      <c r="A488" s="101">
        <f t="shared" si="89"/>
        <v>6</v>
      </c>
      <c r="B488" s="102"/>
      <c r="C488" s="52">
        <v>3</v>
      </c>
      <c r="D488" s="53">
        <f>(101.54)*10.764</f>
        <v>1092.9765600000001</v>
      </c>
      <c r="E488" s="48">
        <v>0</v>
      </c>
      <c r="F488" s="48">
        <f t="shared" ref="F488:F489" si="91">D488*(($F$203)+1)+(IF(E488&lt;101,E488,IF(E488&lt;201,E488/2,IF(E488&lt;=301,E488/3,E488/4))))</f>
        <v>1639.4648400000001</v>
      </c>
      <c r="G488" s="92"/>
      <c r="H488" s="94"/>
      <c r="I488" s="32"/>
      <c r="L488" s="82"/>
      <c r="M488" s="82"/>
      <c r="N488" s="32"/>
    </row>
    <row r="489" spans="1:14" s="33" customFormat="1" ht="15.75" customHeight="1" x14ac:dyDescent="0.3">
      <c r="A489" s="101">
        <f t="shared" si="89"/>
        <v>7</v>
      </c>
      <c r="B489" s="102"/>
      <c r="C489" s="52">
        <v>3</v>
      </c>
      <c r="D489" s="53">
        <f>(101.54)*10.764</f>
        <v>1092.9765600000001</v>
      </c>
      <c r="E489" s="48">
        <v>0</v>
      </c>
      <c r="F489" s="48">
        <f t="shared" si="91"/>
        <v>1639.4648400000001</v>
      </c>
      <c r="G489" s="95"/>
      <c r="H489" s="97"/>
      <c r="I489" s="32"/>
      <c r="L489" s="82"/>
      <c r="M489" s="82"/>
      <c r="N489" s="32"/>
    </row>
    <row r="490" spans="1:14" s="33" customFormat="1" x14ac:dyDescent="0.3">
      <c r="A490" s="103" t="s">
        <v>229</v>
      </c>
      <c r="B490" s="104"/>
      <c r="C490" s="104"/>
      <c r="D490" s="104"/>
      <c r="E490" s="104"/>
      <c r="F490" s="104"/>
      <c r="G490" s="104"/>
      <c r="H490" s="105"/>
      <c r="J490" s="32"/>
    </row>
    <row r="491" spans="1:14" s="33" customFormat="1" ht="15.75" customHeight="1" x14ac:dyDescent="0.3">
      <c r="A491" s="101">
        <v>1</v>
      </c>
      <c r="B491" s="102"/>
      <c r="C491" s="52">
        <v>3</v>
      </c>
      <c r="D491" s="53">
        <f>(102.5)*10.764</f>
        <v>1103.31</v>
      </c>
      <c r="E491" s="48">
        <v>0</v>
      </c>
      <c r="F491" s="48">
        <f>D492*(($F$203)+1)+(IF(E491&lt;101,E491,IF(E491&lt;201,E491/2,IF(E491&lt;=301,E491/3,E491/4))))</f>
        <v>1654.9649999999999</v>
      </c>
      <c r="G491" s="89" t="str">
        <f>A490</f>
        <v>44th Floor (Part Refuge Area)</v>
      </c>
      <c r="H491" s="91"/>
      <c r="I491" s="32">
        <f>(1.755*1.5+1.25*1+3.35*6.45+3.86*2.45+1.85*3.05+3.05*4.175+1.525*2.45+3.35*4.175+1.525*2.45+3.65*3.05+2.45*1.52+0.9*0.395+1.45*0.395+1*2.45+1.585*1.5)*10.764</f>
        <v>1026.823707</v>
      </c>
      <c r="L491" s="82"/>
      <c r="M491" s="82"/>
      <c r="N491" s="32"/>
    </row>
    <row r="492" spans="1:14" s="33" customFormat="1" ht="15.75" customHeight="1" x14ac:dyDescent="0.25">
      <c r="A492" s="101">
        <f t="shared" ref="A492:A497" si="92">A491+1</f>
        <v>2</v>
      </c>
      <c r="B492" s="102"/>
      <c r="C492" s="52">
        <v>3</v>
      </c>
      <c r="D492" s="53">
        <f>(102.5)*10.764</f>
        <v>1103.31</v>
      </c>
      <c r="E492" s="48">
        <v>0</v>
      </c>
      <c r="F492" s="48">
        <f t="shared" ref="F492" si="93">D492*(($F$203)+1)+(IF(E492&lt;101,E492,IF(E492&lt;201,E492/2,IF(E492&lt;=301,E492/3,E492/4))))</f>
        <v>1654.9649999999999</v>
      </c>
      <c r="G492" s="92"/>
      <c r="H492" s="94"/>
      <c r="I492" s="57"/>
      <c r="L492" s="82"/>
      <c r="M492" s="82"/>
      <c r="N492" s="32"/>
    </row>
    <row r="493" spans="1:14" s="33" customFormat="1" ht="15.75" customHeight="1" x14ac:dyDescent="0.3">
      <c r="A493" s="101">
        <f t="shared" si="92"/>
        <v>3</v>
      </c>
      <c r="B493" s="102"/>
      <c r="C493" s="129" t="s">
        <v>183</v>
      </c>
      <c r="D493" s="130"/>
      <c r="E493" s="130"/>
      <c r="F493" s="131"/>
      <c r="G493" s="92"/>
      <c r="H493" s="94"/>
      <c r="I493" s="32"/>
      <c r="L493" s="82"/>
      <c r="M493" s="82"/>
      <c r="N493" s="32"/>
    </row>
    <row r="494" spans="1:14" s="33" customFormat="1" ht="15.75" customHeight="1" x14ac:dyDescent="0.3">
      <c r="A494" s="101">
        <f t="shared" si="92"/>
        <v>4</v>
      </c>
      <c r="B494" s="102"/>
      <c r="C494" s="132"/>
      <c r="D494" s="133"/>
      <c r="E494" s="133"/>
      <c r="F494" s="134"/>
      <c r="G494" s="92"/>
      <c r="H494" s="94"/>
      <c r="I494" s="32"/>
      <c r="L494" s="82"/>
      <c r="M494" s="82"/>
      <c r="N494" s="32"/>
    </row>
    <row r="495" spans="1:14" s="33" customFormat="1" ht="15.75" customHeight="1" x14ac:dyDescent="0.3">
      <c r="A495" s="101">
        <f t="shared" si="92"/>
        <v>5</v>
      </c>
      <c r="B495" s="102"/>
      <c r="C495" s="135"/>
      <c r="D495" s="136"/>
      <c r="E495" s="136"/>
      <c r="F495" s="137"/>
      <c r="G495" s="92"/>
      <c r="H495" s="94"/>
      <c r="I495" s="32"/>
      <c r="L495" s="82"/>
      <c r="M495" s="82"/>
      <c r="N495" s="32"/>
    </row>
    <row r="496" spans="1:14" s="33" customFormat="1" ht="15.75" customHeight="1" x14ac:dyDescent="0.3">
      <c r="A496" s="101">
        <f t="shared" si="92"/>
        <v>6</v>
      </c>
      <c r="B496" s="102"/>
      <c r="C496" s="52">
        <v>3</v>
      </c>
      <c r="D496" s="53">
        <f>(101.54)*10.764</f>
        <v>1092.9765600000001</v>
      </c>
      <c r="E496" s="48">
        <v>0</v>
      </c>
      <c r="F496" s="48">
        <f t="shared" ref="F496:F497" si="94">D496*(($F$203)+1)+(IF(E496&lt;101,E496,IF(E496&lt;201,E496/2,IF(E496&lt;=301,E496/3,E496/4))))</f>
        <v>1639.4648400000001</v>
      </c>
      <c r="G496" s="92"/>
      <c r="H496" s="94"/>
      <c r="I496" s="32"/>
      <c r="L496" s="82"/>
      <c r="M496" s="82"/>
      <c r="N496" s="32"/>
    </row>
    <row r="497" spans="1:14" s="33" customFormat="1" ht="15.75" customHeight="1" x14ac:dyDescent="0.3">
      <c r="A497" s="101">
        <f t="shared" si="92"/>
        <v>7</v>
      </c>
      <c r="B497" s="102"/>
      <c r="C497" s="52">
        <v>3</v>
      </c>
      <c r="D497" s="53">
        <f>(101.54)*10.764</f>
        <v>1092.9765600000001</v>
      </c>
      <c r="E497" s="48">
        <v>0</v>
      </c>
      <c r="F497" s="48">
        <f t="shared" si="94"/>
        <v>1639.4648400000001</v>
      </c>
      <c r="G497" s="95"/>
      <c r="H497" s="97"/>
      <c r="I497" s="32"/>
      <c r="L497" s="82"/>
      <c r="M497" s="82"/>
      <c r="N497" s="32"/>
    </row>
    <row r="498" spans="1:14" s="33" customFormat="1" x14ac:dyDescent="0.3">
      <c r="A498" s="103" t="s">
        <v>230</v>
      </c>
      <c r="B498" s="104"/>
      <c r="C498" s="104"/>
      <c r="D498" s="104"/>
      <c r="E498" s="104"/>
      <c r="F498" s="104"/>
      <c r="G498" s="104"/>
      <c r="H498" s="105"/>
      <c r="J498" s="32"/>
    </row>
    <row r="499" spans="1:14" s="33" customFormat="1" x14ac:dyDescent="0.3">
      <c r="A499" s="103" t="s">
        <v>234</v>
      </c>
      <c r="B499" s="104"/>
      <c r="C499" s="104"/>
      <c r="D499" s="104"/>
      <c r="E499" s="104"/>
      <c r="F499" s="104"/>
      <c r="G499" s="104"/>
      <c r="H499" s="105"/>
      <c r="J499" s="32"/>
    </row>
    <row r="500" spans="1:14" s="33" customFormat="1" ht="15.75" customHeight="1" x14ac:dyDescent="0.3">
      <c r="A500" s="101">
        <v>1</v>
      </c>
      <c r="B500" s="102"/>
      <c r="C500" s="52">
        <v>3</v>
      </c>
      <c r="D500" s="53">
        <f>(102.5)*10.764</f>
        <v>1103.31</v>
      </c>
      <c r="E500" s="48">
        <v>0</v>
      </c>
      <c r="F500" s="48">
        <f>D501*(($F$203)+1)+(IF(E500&lt;101,E500,IF(E500&lt;201,E500/2,IF(E500&lt;=301,E500/3,E500/4))))</f>
        <v>1654.9649999999999</v>
      </c>
      <c r="G500" s="89" t="str">
        <f>A499</f>
        <v>59th Floor (Part Refuge Area)</v>
      </c>
      <c r="H500" s="91"/>
      <c r="I500" s="32">
        <f>(1.755*1.5+1.25*1+3.35*6.45+3.86*2.45+1.85*3.05+3.05*4.175+1.525*2.45+3.35*4.175+1.525*2.45+3.65*3.05+2.45*1.52+0.9*0.395+1.45*0.395+1*2.45+1.585*1.5)*10.764</f>
        <v>1026.823707</v>
      </c>
      <c r="L500" s="82"/>
      <c r="M500" s="82"/>
      <c r="N500" s="32"/>
    </row>
    <row r="501" spans="1:14" s="33" customFormat="1" ht="15.75" customHeight="1" x14ac:dyDescent="0.25">
      <c r="A501" s="101">
        <f t="shared" ref="A501:A506" si="95">A500+1</f>
        <v>2</v>
      </c>
      <c r="B501" s="102"/>
      <c r="C501" s="52">
        <v>3</v>
      </c>
      <c r="D501" s="53">
        <f>(102.5)*10.764</f>
        <v>1103.31</v>
      </c>
      <c r="E501" s="48">
        <v>0</v>
      </c>
      <c r="F501" s="48">
        <f t="shared" ref="F501" si="96">D501*(($F$203)+1)+(IF(E501&lt;101,E501,IF(E501&lt;201,E501/2,IF(E501&lt;=301,E501/3,E501/4))))</f>
        <v>1654.9649999999999</v>
      </c>
      <c r="G501" s="92"/>
      <c r="H501" s="94"/>
      <c r="I501" s="57"/>
      <c r="L501" s="82"/>
      <c r="M501" s="82"/>
      <c r="N501" s="32"/>
    </row>
    <row r="502" spans="1:14" s="33" customFormat="1" ht="15.75" customHeight="1" x14ac:dyDescent="0.3">
      <c r="A502" s="101">
        <f t="shared" si="95"/>
        <v>3</v>
      </c>
      <c r="B502" s="102"/>
      <c r="C502" s="52">
        <v>3</v>
      </c>
      <c r="D502" s="53">
        <f>(160.51)*10.764</f>
        <v>1727.7296399999998</v>
      </c>
      <c r="E502" s="48">
        <v>0</v>
      </c>
      <c r="F502" s="48">
        <f t="shared" ref="F502" si="97">D502*(($F$203)+1)+(IF(E502&lt;101,E502,IF(E502&lt;201,E502/2,IF(E502&lt;=301,E502/3,E502/4))))</f>
        <v>2591.5944599999998</v>
      </c>
      <c r="G502" s="92"/>
      <c r="H502" s="94"/>
      <c r="I502" s="32"/>
      <c r="L502" s="82"/>
      <c r="M502" s="82"/>
      <c r="N502" s="32"/>
    </row>
    <row r="503" spans="1:14" s="33" customFormat="1" ht="15.75" customHeight="1" x14ac:dyDescent="0.3">
      <c r="A503" s="101">
        <f t="shared" si="95"/>
        <v>4</v>
      </c>
      <c r="B503" s="102"/>
      <c r="C503" s="118" t="s">
        <v>183</v>
      </c>
      <c r="D503" s="119"/>
      <c r="E503" s="119"/>
      <c r="F503" s="120"/>
      <c r="G503" s="92"/>
      <c r="H503" s="94"/>
      <c r="I503" s="32"/>
      <c r="L503" s="82"/>
      <c r="M503" s="82"/>
      <c r="N503" s="32"/>
    </row>
    <row r="504" spans="1:14" s="33" customFormat="1" ht="15.75" customHeight="1" x14ac:dyDescent="0.3">
      <c r="A504" s="101">
        <f t="shared" si="95"/>
        <v>5</v>
      </c>
      <c r="B504" s="102"/>
      <c r="C504" s="121"/>
      <c r="D504" s="122"/>
      <c r="E504" s="122"/>
      <c r="F504" s="123"/>
      <c r="G504" s="92"/>
      <c r="H504" s="94"/>
      <c r="I504" s="32"/>
      <c r="L504" s="82"/>
      <c r="M504" s="82"/>
      <c r="N504" s="32"/>
    </row>
    <row r="505" spans="1:14" s="33" customFormat="1" ht="15.75" customHeight="1" x14ac:dyDescent="0.3">
      <c r="A505" s="101">
        <f t="shared" si="95"/>
        <v>6</v>
      </c>
      <c r="B505" s="102"/>
      <c r="C505" s="52">
        <v>3</v>
      </c>
      <c r="D505" s="53">
        <f>(101.54)*10.764</f>
        <v>1092.9765600000001</v>
      </c>
      <c r="E505" s="48">
        <v>0</v>
      </c>
      <c r="F505" s="48">
        <f t="shared" ref="F505:F506" si="98">D505*(($F$203)+1)+(IF(E505&lt;101,E505,IF(E505&lt;201,E505/2,IF(E505&lt;=301,E505/3,E505/4))))</f>
        <v>1639.4648400000001</v>
      </c>
      <c r="G505" s="92"/>
      <c r="H505" s="94"/>
      <c r="I505" s="32"/>
      <c r="L505" s="82"/>
      <c r="M505" s="82"/>
      <c r="N505" s="32"/>
    </row>
    <row r="506" spans="1:14" s="33" customFormat="1" ht="15.75" customHeight="1" x14ac:dyDescent="0.3">
      <c r="A506" s="101">
        <f t="shared" si="95"/>
        <v>7</v>
      </c>
      <c r="B506" s="102"/>
      <c r="C506" s="52">
        <v>3</v>
      </c>
      <c r="D506" s="53">
        <f>(101.54)*10.764</f>
        <v>1092.9765600000001</v>
      </c>
      <c r="E506" s="48">
        <v>0</v>
      </c>
      <c r="F506" s="48">
        <f t="shared" si="98"/>
        <v>1639.4648400000001</v>
      </c>
      <c r="G506" s="95"/>
      <c r="H506" s="97"/>
      <c r="I506" s="32">
        <f>(1.225*2.66+0.3*0.735+3.56*2.45+0.3*1.7+3.35*6.875+1.2*3.017+1.85*3.05+3.05*4.175+1.525*2.45+3.35*4.175+1.525*2.45+3.65*3.05+2.45*1.525+0.81*0.395+1.45*0.39+1*2.45)*10.764</f>
        <v>1048.4335133999998</v>
      </c>
      <c r="J506" s="32"/>
      <c r="L506" s="82"/>
      <c r="M506" s="82"/>
      <c r="N506" s="32"/>
    </row>
    <row r="507" spans="1:14" x14ac:dyDescent="0.3">
      <c r="A507" s="125" t="s">
        <v>250</v>
      </c>
      <c r="B507" s="125"/>
      <c r="C507" s="125"/>
      <c r="D507" s="125"/>
      <c r="E507" s="125"/>
      <c r="F507" s="125"/>
      <c r="G507" s="125"/>
      <c r="H507" s="125"/>
    </row>
    <row r="508" spans="1:14" x14ac:dyDescent="0.3">
      <c r="A508" s="125" t="s">
        <v>216</v>
      </c>
      <c r="B508" s="125"/>
      <c r="C508" s="125"/>
      <c r="D508" s="125"/>
      <c r="E508" s="125"/>
      <c r="F508" s="125"/>
      <c r="G508" s="125"/>
      <c r="H508" s="125"/>
    </row>
    <row r="509" spans="1:14" x14ac:dyDescent="0.3">
      <c r="A509" s="125" t="s">
        <v>173</v>
      </c>
      <c r="B509" s="125"/>
      <c r="C509" s="125"/>
      <c r="D509" s="125"/>
      <c r="E509" s="125"/>
      <c r="F509" s="125"/>
      <c r="G509" s="125"/>
      <c r="H509" s="125"/>
    </row>
    <row r="510" spans="1:14" s="33" customFormat="1" x14ac:dyDescent="0.3">
      <c r="A510" s="103" t="s">
        <v>244</v>
      </c>
      <c r="B510" s="104"/>
      <c r="C510" s="104"/>
      <c r="D510" s="104"/>
      <c r="E510" s="104"/>
      <c r="F510" s="104"/>
      <c r="G510" s="104"/>
      <c r="H510" s="105"/>
      <c r="J510" s="32"/>
    </row>
    <row r="511" spans="1:14" s="33" customFormat="1" ht="15.75" customHeight="1" x14ac:dyDescent="0.3">
      <c r="A511" s="101">
        <v>1</v>
      </c>
      <c r="B511" s="102"/>
      <c r="C511" s="118" t="s">
        <v>219</v>
      </c>
      <c r="D511" s="119"/>
      <c r="E511" s="119"/>
      <c r="F511" s="120"/>
      <c r="G511" s="89" t="str">
        <f>A510</f>
        <v>1st to 5th Podium Floor for Residential</v>
      </c>
      <c r="H511" s="91"/>
      <c r="I511" s="32">
        <f>(1.755*1.5+1.25*1+3.35*6.45+3.86*2.45+1.85*3.05+3.05*4.175+1.525*2.45+3.35*4.175+1.525*2.45+3.65*3.05+2.45*1.52+0.9*0.395+1.45*0.395+1*2.45+1.585*1.5)*10.764</f>
        <v>1026.823707</v>
      </c>
      <c r="L511" s="82"/>
      <c r="M511" s="82"/>
      <c r="N511" s="32"/>
    </row>
    <row r="512" spans="1:14" s="33" customFormat="1" ht="15.75" customHeight="1" x14ac:dyDescent="0.25">
      <c r="A512" s="101">
        <f t="shared" ref="A512:A518" si="99">A511+1</f>
        <v>2</v>
      </c>
      <c r="B512" s="102"/>
      <c r="C512" s="126"/>
      <c r="D512" s="127"/>
      <c r="E512" s="127"/>
      <c r="F512" s="128"/>
      <c r="G512" s="92"/>
      <c r="H512" s="94"/>
      <c r="I512" s="57"/>
      <c r="L512" s="82"/>
      <c r="M512" s="82"/>
      <c r="N512" s="32"/>
    </row>
    <row r="513" spans="1:14" s="33" customFormat="1" ht="15.75" customHeight="1" x14ac:dyDescent="0.3">
      <c r="A513" s="101">
        <f t="shared" si="99"/>
        <v>3</v>
      </c>
      <c r="B513" s="102"/>
      <c r="C513" s="126"/>
      <c r="D513" s="127"/>
      <c r="E513" s="127"/>
      <c r="F513" s="128"/>
      <c r="G513" s="92"/>
      <c r="H513" s="94"/>
      <c r="I513" s="32"/>
      <c r="L513" s="82"/>
      <c r="M513" s="82"/>
      <c r="N513" s="32"/>
    </row>
    <row r="514" spans="1:14" s="33" customFormat="1" ht="15.75" customHeight="1" x14ac:dyDescent="0.3">
      <c r="A514" s="101">
        <f t="shared" si="99"/>
        <v>4</v>
      </c>
      <c r="B514" s="102"/>
      <c r="C514" s="121"/>
      <c r="D514" s="122"/>
      <c r="E514" s="122"/>
      <c r="F514" s="123"/>
      <c r="G514" s="92"/>
      <c r="H514" s="94"/>
      <c r="I514" s="32"/>
      <c r="L514" s="82"/>
      <c r="M514" s="82"/>
      <c r="N514" s="32"/>
    </row>
    <row r="515" spans="1:14" s="33" customFormat="1" ht="15.75" customHeight="1" x14ac:dyDescent="0.3">
      <c r="A515" s="101">
        <f t="shared" si="99"/>
        <v>5</v>
      </c>
      <c r="B515" s="102"/>
      <c r="C515" s="52">
        <v>3</v>
      </c>
      <c r="D515" s="53">
        <f>(96.07)*10.764</f>
        <v>1034.0974799999999</v>
      </c>
      <c r="E515" s="48">
        <v>0</v>
      </c>
      <c r="F515" s="48">
        <f t="shared" ref="F515" si="100">D515*(($F$203)+1)+(IF(E515&lt;101,E515,IF(E515&lt;201,E515/2,IF(E515&lt;=301,E515/3,E515/4))))</f>
        <v>1551.1462199999999</v>
      </c>
      <c r="G515" s="92"/>
      <c r="H515" s="94"/>
      <c r="I515" s="32"/>
      <c r="L515" s="82"/>
      <c r="M515" s="82"/>
      <c r="N515" s="32"/>
    </row>
    <row r="516" spans="1:14" s="33" customFormat="1" ht="15.75" customHeight="1" x14ac:dyDescent="0.3">
      <c r="A516" s="101">
        <f t="shared" si="99"/>
        <v>6</v>
      </c>
      <c r="B516" s="102"/>
      <c r="C516" s="52">
        <v>3</v>
      </c>
      <c r="D516" s="53">
        <f>(96.07)*10.764</f>
        <v>1034.0974799999999</v>
      </c>
      <c r="E516" s="48">
        <v>0</v>
      </c>
      <c r="F516" s="48">
        <f t="shared" ref="F516" si="101">D516*(($F$203)+1)+(IF(E516&lt;101,E516,IF(E516&lt;201,E516/2,IF(E516&lt;=301,E516/3,E516/4))))</f>
        <v>1551.1462199999999</v>
      </c>
      <c r="G516" s="92"/>
      <c r="H516" s="94"/>
      <c r="I516" s="32"/>
      <c r="L516" s="82"/>
      <c r="M516" s="82"/>
      <c r="N516" s="32"/>
    </row>
    <row r="517" spans="1:14" s="33" customFormat="1" ht="15.75" customHeight="1" x14ac:dyDescent="0.3">
      <c r="A517" s="101">
        <f t="shared" si="99"/>
        <v>7</v>
      </c>
      <c r="B517" s="102"/>
      <c r="C517" s="118" t="s">
        <v>219</v>
      </c>
      <c r="D517" s="119"/>
      <c r="E517" s="119"/>
      <c r="F517" s="120"/>
      <c r="G517" s="92"/>
      <c r="H517" s="94"/>
      <c r="I517" s="32"/>
      <c r="L517" s="82"/>
      <c r="M517" s="82"/>
      <c r="N517" s="32"/>
    </row>
    <row r="518" spans="1:14" s="33" customFormat="1" ht="15.75" customHeight="1" x14ac:dyDescent="0.3">
      <c r="A518" s="101">
        <f t="shared" si="99"/>
        <v>8</v>
      </c>
      <c r="B518" s="102"/>
      <c r="C518" s="121"/>
      <c r="D518" s="122"/>
      <c r="E518" s="122"/>
      <c r="F518" s="123"/>
      <c r="G518" s="95"/>
      <c r="H518" s="97"/>
      <c r="I518" s="32"/>
      <c r="L518" s="82"/>
      <c r="M518" s="82"/>
      <c r="N518" s="32"/>
    </row>
    <row r="519" spans="1:14" s="33" customFormat="1" x14ac:dyDescent="0.3">
      <c r="A519" s="103" t="s">
        <v>221</v>
      </c>
      <c r="B519" s="104"/>
      <c r="C519" s="104"/>
      <c r="D519" s="104"/>
      <c r="E519" s="104"/>
      <c r="F519" s="104"/>
      <c r="G519" s="104"/>
      <c r="H519" s="105"/>
      <c r="J519" s="32"/>
    </row>
    <row r="520" spans="1:14" s="33" customFormat="1" ht="15.75" customHeight="1" x14ac:dyDescent="0.3">
      <c r="A520" s="101">
        <v>1</v>
      </c>
      <c r="B520" s="102"/>
      <c r="C520" s="52">
        <v>3</v>
      </c>
      <c r="D520" s="53">
        <f>(96.8)*10.764</f>
        <v>1041.9551999999999</v>
      </c>
      <c r="E520" s="48">
        <v>0</v>
      </c>
      <c r="F520" s="48">
        <f t="shared" ref="F520" si="102">D520*(($F$203)+1)+(IF(E520&lt;101,E520,IF(E520&lt;201,E520/2,IF(E520&lt;=301,E520/3,E520/4))))</f>
        <v>1562.9327999999998</v>
      </c>
      <c r="G520" s="89" t="str">
        <f>A519</f>
        <v>8th &amp; 15th Floor (Part Refuge Area)</v>
      </c>
      <c r="H520" s="91"/>
      <c r="I520" s="32">
        <f>(1.755*1.5+1.25*1+3.35*6.45+3.86*2.45+1.85*3.05+3.05*4.175+1.525*2.45+3.35*4.175+1.525*2.45+3.65*3.05+2.45*1.52+0.9*0.395+1.45*0.395+1*2.45+1.585*1.5)*10.764</f>
        <v>1026.823707</v>
      </c>
      <c r="L520" s="82"/>
      <c r="M520" s="82"/>
      <c r="N520" s="32"/>
    </row>
    <row r="521" spans="1:14" s="33" customFormat="1" ht="15.75" customHeight="1" x14ac:dyDescent="0.25">
      <c r="A521" s="101">
        <f t="shared" ref="A521:A527" si="103">A520+1</f>
        <v>2</v>
      </c>
      <c r="B521" s="102"/>
      <c r="C521" s="52" t="s">
        <v>179</v>
      </c>
      <c r="D521" s="53">
        <f>(23.02)*10.764</f>
        <v>247.78727999999998</v>
      </c>
      <c r="E521" s="48">
        <v>0</v>
      </c>
      <c r="F521" s="48">
        <f t="shared" ref="F521" si="104">D521*(($F$203)+1)+(IF(E521&lt;101,E521,IF(E521&lt;201,E521/2,IF(E521&lt;=301,E521/3,E521/4))))</f>
        <v>371.68091999999996</v>
      </c>
      <c r="G521" s="92"/>
      <c r="H521" s="94"/>
      <c r="I521" s="57"/>
      <c r="L521" s="82"/>
      <c r="M521" s="82"/>
      <c r="N521" s="32"/>
    </row>
    <row r="522" spans="1:14" s="33" customFormat="1" ht="15.75" customHeight="1" x14ac:dyDescent="0.3">
      <c r="A522" s="101">
        <f t="shared" si="103"/>
        <v>3</v>
      </c>
      <c r="B522" s="102"/>
      <c r="C522" s="52" t="s">
        <v>179</v>
      </c>
      <c r="D522" s="53">
        <f>(23.02)*10.764</f>
        <v>247.78727999999998</v>
      </c>
      <c r="E522" s="48">
        <v>0</v>
      </c>
      <c r="F522" s="48">
        <f t="shared" ref="F522:F523" si="105">D522*(($F$203)+1)+(IF(E522&lt;101,E522,IF(E522&lt;201,E522/2,IF(E522&lt;=301,E522/3,E522/4))))</f>
        <v>371.68091999999996</v>
      </c>
      <c r="G522" s="92"/>
      <c r="H522" s="94"/>
      <c r="I522" s="32"/>
      <c r="L522" s="82"/>
      <c r="M522" s="82"/>
      <c r="N522" s="32"/>
    </row>
    <row r="523" spans="1:14" s="33" customFormat="1" ht="15.75" customHeight="1" x14ac:dyDescent="0.3">
      <c r="A523" s="101">
        <f t="shared" si="103"/>
        <v>4</v>
      </c>
      <c r="B523" s="102"/>
      <c r="C523" s="52">
        <v>3</v>
      </c>
      <c r="D523" s="53">
        <f>(96.8)*10.764</f>
        <v>1041.9551999999999</v>
      </c>
      <c r="E523" s="48">
        <v>0</v>
      </c>
      <c r="F523" s="48">
        <f t="shared" si="105"/>
        <v>1562.9327999999998</v>
      </c>
      <c r="G523" s="92"/>
      <c r="H523" s="94"/>
      <c r="I523" s="32"/>
      <c r="L523" s="82"/>
      <c r="M523" s="82"/>
      <c r="N523" s="32"/>
    </row>
    <row r="524" spans="1:14" s="33" customFormat="1" ht="15.75" customHeight="1" x14ac:dyDescent="0.3">
      <c r="A524" s="101">
        <f t="shared" si="103"/>
        <v>5</v>
      </c>
      <c r="B524" s="102"/>
      <c r="C524" s="118" t="s">
        <v>183</v>
      </c>
      <c r="D524" s="119"/>
      <c r="E524" s="119"/>
      <c r="F524" s="120"/>
      <c r="G524" s="92"/>
      <c r="H524" s="94"/>
      <c r="I524" s="32"/>
      <c r="L524" s="82"/>
      <c r="M524" s="82"/>
      <c r="N524" s="32"/>
    </row>
    <row r="525" spans="1:14" s="33" customFormat="1" ht="15.75" customHeight="1" x14ac:dyDescent="0.3">
      <c r="A525" s="101">
        <f t="shared" si="103"/>
        <v>6</v>
      </c>
      <c r="B525" s="102"/>
      <c r="C525" s="121"/>
      <c r="D525" s="122"/>
      <c r="E525" s="122"/>
      <c r="F525" s="123"/>
      <c r="G525" s="92"/>
      <c r="H525" s="94"/>
      <c r="I525" s="32"/>
      <c r="L525" s="82"/>
      <c r="M525" s="82"/>
      <c r="N525" s="32"/>
    </row>
    <row r="526" spans="1:14" s="33" customFormat="1" ht="15.75" customHeight="1" x14ac:dyDescent="0.3">
      <c r="A526" s="101">
        <f t="shared" si="103"/>
        <v>7</v>
      </c>
      <c r="B526" s="102"/>
      <c r="C526" s="52">
        <v>3</v>
      </c>
      <c r="D526" s="53">
        <f>(96.07)*10.764</f>
        <v>1034.0974799999999</v>
      </c>
      <c r="E526" s="48">
        <v>0</v>
      </c>
      <c r="F526" s="48">
        <f t="shared" ref="F526:F527" si="106">D526*(($F$203)+1)+(IF(E526&lt;101,E526,IF(E526&lt;201,E526/2,IF(E526&lt;=301,E526/3,E526/4))))</f>
        <v>1551.1462199999999</v>
      </c>
      <c r="G526" s="92"/>
      <c r="H526" s="94"/>
      <c r="I526" s="32"/>
      <c r="L526" s="82"/>
      <c r="M526" s="82"/>
      <c r="N526" s="32"/>
    </row>
    <row r="527" spans="1:14" s="33" customFormat="1" ht="15.75" customHeight="1" x14ac:dyDescent="0.3">
      <c r="A527" s="101">
        <f t="shared" si="103"/>
        <v>8</v>
      </c>
      <c r="B527" s="102"/>
      <c r="C527" s="52">
        <v>3</v>
      </c>
      <c r="D527" s="53">
        <f>(96.07)*10.764</f>
        <v>1034.0974799999999</v>
      </c>
      <c r="E527" s="48">
        <v>0</v>
      </c>
      <c r="F527" s="48">
        <f t="shared" si="106"/>
        <v>1551.1462199999999</v>
      </c>
      <c r="G527" s="95"/>
      <c r="H527" s="97"/>
      <c r="I527" s="32"/>
      <c r="L527" s="82"/>
      <c r="M527" s="82"/>
      <c r="N527" s="32"/>
    </row>
    <row r="528" spans="1:14" s="33" customFormat="1" x14ac:dyDescent="0.3">
      <c r="A528" s="103" t="s">
        <v>245</v>
      </c>
      <c r="B528" s="104"/>
      <c r="C528" s="104"/>
      <c r="D528" s="104"/>
      <c r="E528" s="104"/>
      <c r="F528" s="104"/>
      <c r="G528" s="104"/>
      <c r="H528" s="105"/>
      <c r="J528" s="32"/>
    </row>
    <row r="529" spans="1:14" s="33" customFormat="1" ht="15.75" customHeight="1" x14ac:dyDescent="0.3">
      <c r="A529" s="101">
        <v>1</v>
      </c>
      <c r="B529" s="102"/>
      <c r="C529" s="52">
        <v>3</v>
      </c>
      <c r="D529" s="53">
        <f>(96.8)*10.764</f>
        <v>1041.9551999999999</v>
      </c>
      <c r="E529" s="48">
        <v>0</v>
      </c>
      <c r="F529" s="48">
        <f t="shared" ref="F529:F532" si="107">D529*(($F$203)+1)+(IF(E529&lt;101,E529,IF(E529&lt;201,E529/2,IF(E529&lt;=301,E529/3,E529/4))))</f>
        <v>1562.9327999999998</v>
      </c>
      <c r="G529" s="89" t="str">
        <f>A528</f>
        <v>6th, 7th, 9th to 14th, 16th to 21st, 24th to 29th &amp; 31st to 34th Floor</v>
      </c>
      <c r="H529" s="91"/>
      <c r="I529" s="32">
        <f>(1.755*1.5+1.25*1+3.35*6.45+3.86*2.45+1.85*3.05+3.05*4.175+1.525*2.45+3.35*4.175+1.525*2.45+3.65*3.05+2.45*1.52+0.9*0.395+1.45*0.395+1*2.45+1.585*1.5)*10.764</f>
        <v>1026.823707</v>
      </c>
      <c r="L529" s="82"/>
      <c r="M529" s="82"/>
      <c r="N529" s="32"/>
    </row>
    <row r="530" spans="1:14" s="33" customFormat="1" ht="15.75" customHeight="1" x14ac:dyDescent="0.25">
      <c r="A530" s="101">
        <f t="shared" ref="A530:A536" si="108">A529+1</f>
        <v>2</v>
      </c>
      <c r="B530" s="102"/>
      <c r="C530" s="52" t="s">
        <v>179</v>
      </c>
      <c r="D530" s="53">
        <f>(23.2)*10.764</f>
        <v>249.72479999999999</v>
      </c>
      <c r="E530" s="48">
        <v>0</v>
      </c>
      <c r="F530" s="48">
        <f t="shared" si="107"/>
        <v>374.5872</v>
      </c>
      <c r="G530" s="92"/>
      <c r="H530" s="94"/>
      <c r="I530" s="57"/>
      <c r="L530" s="82"/>
      <c r="M530" s="82"/>
      <c r="N530" s="32"/>
    </row>
    <row r="531" spans="1:14" s="33" customFormat="1" ht="15.75" customHeight="1" x14ac:dyDescent="0.3">
      <c r="A531" s="101">
        <f t="shared" si="108"/>
        <v>3</v>
      </c>
      <c r="B531" s="102"/>
      <c r="C531" s="52" t="s">
        <v>179</v>
      </c>
      <c r="D531" s="53">
        <f>(23.2)*10.764</f>
        <v>249.72479999999999</v>
      </c>
      <c r="E531" s="48">
        <v>0</v>
      </c>
      <c r="F531" s="48">
        <f t="shared" si="107"/>
        <v>374.5872</v>
      </c>
      <c r="G531" s="92"/>
      <c r="H531" s="94"/>
      <c r="I531" s="32"/>
      <c r="L531" s="82"/>
      <c r="M531" s="82"/>
      <c r="N531" s="32"/>
    </row>
    <row r="532" spans="1:14" s="33" customFormat="1" ht="15.75" customHeight="1" x14ac:dyDescent="0.3">
      <c r="A532" s="101">
        <f t="shared" si="108"/>
        <v>4</v>
      </c>
      <c r="B532" s="102"/>
      <c r="C532" s="52">
        <v>3</v>
      </c>
      <c r="D532" s="53">
        <f>(96.8)*10.764</f>
        <v>1041.9551999999999</v>
      </c>
      <c r="E532" s="48">
        <v>0</v>
      </c>
      <c r="F532" s="48">
        <f t="shared" si="107"/>
        <v>1562.9327999999998</v>
      </c>
      <c r="G532" s="92"/>
      <c r="H532" s="94"/>
      <c r="I532" s="32"/>
      <c r="L532" s="82"/>
      <c r="M532" s="82"/>
      <c r="N532" s="32"/>
    </row>
    <row r="533" spans="1:14" s="33" customFormat="1" ht="15.75" customHeight="1" x14ac:dyDescent="0.3">
      <c r="A533" s="101">
        <f t="shared" si="108"/>
        <v>5</v>
      </c>
      <c r="B533" s="102"/>
      <c r="C533" s="52">
        <v>3</v>
      </c>
      <c r="D533" s="53">
        <f>(96.07)*10.764</f>
        <v>1034.0974799999999</v>
      </c>
      <c r="E533" s="48">
        <v>0</v>
      </c>
      <c r="F533" s="48">
        <f t="shared" ref="F533:F534" si="109">D533*(($F$203)+1)+(IF(E533&lt;101,E533,IF(E533&lt;201,E533/2,IF(E533&lt;=301,E533/3,E533/4))))</f>
        <v>1551.1462199999999</v>
      </c>
      <c r="G533" s="92"/>
      <c r="H533" s="94"/>
      <c r="I533" s="32"/>
      <c r="L533" s="82"/>
      <c r="M533" s="82"/>
      <c r="N533" s="32"/>
    </row>
    <row r="534" spans="1:14" s="33" customFormat="1" ht="15.75" customHeight="1" x14ac:dyDescent="0.3">
      <c r="A534" s="101">
        <f t="shared" si="108"/>
        <v>6</v>
      </c>
      <c r="B534" s="102"/>
      <c r="C534" s="52">
        <v>3</v>
      </c>
      <c r="D534" s="53">
        <f>(96.07)*10.764</f>
        <v>1034.0974799999999</v>
      </c>
      <c r="E534" s="48">
        <v>0</v>
      </c>
      <c r="F534" s="48">
        <f t="shared" si="109"/>
        <v>1551.1462199999999</v>
      </c>
      <c r="G534" s="92"/>
      <c r="H534" s="94"/>
      <c r="I534" s="32"/>
      <c r="L534" s="82"/>
      <c r="M534" s="82"/>
      <c r="N534" s="32"/>
    </row>
    <row r="535" spans="1:14" s="33" customFormat="1" ht="15.75" customHeight="1" x14ac:dyDescent="0.3">
      <c r="A535" s="101">
        <f t="shared" si="108"/>
        <v>7</v>
      </c>
      <c r="B535" s="102"/>
      <c r="C535" s="52">
        <v>3</v>
      </c>
      <c r="D535" s="53">
        <f>(96.07)*10.764</f>
        <v>1034.0974799999999</v>
      </c>
      <c r="E535" s="48">
        <v>0</v>
      </c>
      <c r="F535" s="48">
        <f t="shared" ref="F535:F536" si="110">D535*(($F$203)+1)+(IF(E535&lt;101,E535,IF(E535&lt;201,E535/2,IF(E535&lt;=301,E535/3,E535/4))))</f>
        <v>1551.1462199999999</v>
      </c>
      <c r="G535" s="92"/>
      <c r="H535" s="94"/>
      <c r="I535" s="32"/>
      <c r="L535" s="82"/>
      <c r="M535" s="82"/>
      <c r="N535" s="32"/>
    </row>
    <row r="536" spans="1:14" s="33" customFormat="1" ht="15.75" customHeight="1" x14ac:dyDescent="0.3">
      <c r="A536" s="101">
        <f t="shared" si="108"/>
        <v>8</v>
      </c>
      <c r="B536" s="102"/>
      <c r="C536" s="52">
        <v>3</v>
      </c>
      <c r="D536" s="53">
        <f>(96.07)*10.764</f>
        <v>1034.0974799999999</v>
      </c>
      <c r="E536" s="48">
        <v>0</v>
      </c>
      <c r="F536" s="48">
        <f t="shared" si="110"/>
        <v>1551.1462199999999</v>
      </c>
      <c r="G536" s="95"/>
      <c r="H536" s="97"/>
      <c r="I536" s="32"/>
      <c r="L536" s="82"/>
      <c r="M536" s="82"/>
      <c r="N536" s="32"/>
    </row>
    <row r="537" spans="1:14" s="33" customFormat="1" x14ac:dyDescent="0.3">
      <c r="A537" s="103" t="s">
        <v>225</v>
      </c>
      <c r="B537" s="104"/>
      <c r="C537" s="104"/>
      <c r="D537" s="104"/>
      <c r="E537" s="104"/>
      <c r="F537" s="104"/>
      <c r="G537" s="104"/>
      <c r="H537" s="105"/>
      <c r="J537" s="32"/>
    </row>
    <row r="538" spans="1:14" s="33" customFormat="1" ht="15.75" customHeight="1" x14ac:dyDescent="0.3">
      <c r="A538" s="101">
        <v>1</v>
      </c>
      <c r="B538" s="102"/>
      <c r="C538" s="52">
        <v>3</v>
      </c>
      <c r="D538" s="53">
        <f>(96.8)*10.764</f>
        <v>1041.9551999999999</v>
      </c>
      <c r="E538" s="48">
        <v>0</v>
      </c>
      <c r="F538" s="48">
        <f t="shared" ref="F538:F545" si="111">D538*(($F$203)+1)+(IF(E538&lt;101,E538,IF(E538&lt;201,E538/2,IF(E538&lt;=301,E538/3,E538/4))))</f>
        <v>1562.9327999999998</v>
      </c>
      <c r="G538" s="89" t="str">
        <f>A537</f>
        <v>22nd Floor (Part Refuge Area)</v>
      </c>
      <c r="H538" s="91"/>
      <c r="I538" s="32">
        <f>(1.755*1.5+1.25*1+3.35*6.45+3.86*2.45+1.85*3.05+3.05*4.175+1.525*2.45+3.35*4.175+1.525*2.45+3.65*3.05+2.45*1.52+0.9*0.395+1.45*0.395+1*2.45+1.585*1.5)*10.764</f>
        <v>1026.823707</v>
      </c>
      <c r="L538" s="82"/>
      <c r="M538" s="82"/>
      <c r="N538" s="32"/>
    </row>
    <row r="539" spans="1:14" s="33" customFormat="1" ht="15.75" customHeight="1" x14ac:dyDescent="0.25">
      <c r="A539" s="101">
        <f t="shared" ref="A539:A545" si="112">A538+1</f>
        <v>2</v>
      </c>
      <c r="B539" s="102"/>
      <c r="C539" s="52" t="s">
        <v>179</v>
      </c>
      <c r="D539" s="53">
        <f>(23.02)*10.764</f>
        <v>247.78727999999998</v>
      </c>
      <c r="E539" s="48">
        <v>0</v>
      </c>
      <c r="F539" s="48">
        <f t="shared" si="111"/>
        <v>371.68091999999996</v>
      </c>
      <c r="G539" s="92"/>
      <c r="H539" s="94"/>
      <c r="I539" s="57"/>
      <c r="L539" s="82"/>
      <c r="M539" s="82"/>
      <c r="N539" s="32"/>
    </row>
    <row r="540" spans="1:14" s="33" customFormat="1" ht="15.75" customHeight="1" x14ac:dyDescent="0.3">
      <c r="A540" s="101">
        <f t="shared" si="112"/>
        <v>3</v>
      </c>
      <c r="B540" s="102"/>
      <c r="C540" s="52" t="s">
        <v>179</v>
      </c>
      <c r="D540" s="53">
        <f>(23.02)*10.764</f>
        <v>247.78727999999998</v>
      </c>
      <c r="E540" s="48">
        <v>0</v>
      </c>
      <c r="F540" s="48">
        <f t="shared" si="111"/>
        <v>371.68091999999996</v>
      </c>
      <c r="G540" s="92"/>
      <c r="H540" s="94"/>
      <c r="I540" s="32"/>
      <c r="L540" s="82"/>
      <c r="M540" s="82"/>
      <c r="N540" s="32"/>
    </row>
    <row r="541" spans="1:14" s="33" customFormat="1" ht="15.75" customHeight="1" x14ac:dyDescent="0.3">
      <c r="A541" s="101">
        <f t="shared" si="112"/>
        <v>4</v>
      </c>
      <c r="B541" s="102"/>
      <c r="C541" s="52">
        <v>3</v>
      </c>
      <c r="D541" s="53">
        <f>(96.8)*10.764</f>
        <v>1041.9551999999999</v>
      </c>
      <c r="E541" s="48">
        <v>0</v>
      </c>
      <c r="F541" s="48">
        <f t="shared" si="111"/>
        <v>1562.9327999999998</v>
      </c>
      <c r="G541" s="92"/>
      <c r="H541" s="94"/>
      <c r="I541" s="32"/>
      <c r="L541" s="82"/>
      <c r="M541" s="82"/>
      <c r="N541" s="32"/>
    </row>
    <row r="542" spans="1:14" s="33" customFormat="1" ht="15.75" customHeight="1" x14ac:dyDescent="0.3">
      <c r="A542" s="101">
        <f t="shared" si="112"/>
        <v>5</v>
      </c>
      <c r="B542" s="102"/>
      <c r="C542" s="118" t="s">
        <v>183</v>
      </c>
      <c r="D542" s="119"/>
      <c r="E542" s="119"/>
      <c r="F542" s="120"/>
      <c r="G542" s="92"/>
      <c r="H542" s="94"/>
      <c r="I542" s="32"/>
      <c r="L542" s="82"/>
      <c r="M542" s="82"/>
      <c r="N542" s="32"/>
    </row>
    <row r="543" spans="1:14" s="33" customFormat="1" ht="15.75" customHeight="1" x14ac:dyDescent="0.3">
      <c r="A543" s="101">
        <f t="shared" si="112"/>
        <v>6</v>
      </c>
      <c r="B543" s="102"/>
      <c r="C543" s="121"/>
      <c r="D543" s="122"/>
      <c r="E543" s="122"/>
      <c r="F543" s="123"/>
      <c r="G543" s="92"/>
      <c r="H543" s="94"/>
      <c r="I543" s="32"/>
      <c r="L543" s="82"/>
      <c r="M543" s="82"/>
      <c r="N543" s="32"/>
    </row>
    <row r="544" spans="1:14" s="33" customFormat="1" ht="15.75" customHeight="1" x14ac:dyDescent="0.3">
      <c r="A544" s="101">
        <f t="shared" si="112"/>
        <v>7</v>
      </c>
      <c r="B544" s="102"/>
      <c r="C544" s="52">
        <v>3</v>
      </c>
      <c r="D544" s="53">
        <f>(96.07)*10.764</f>
        <v>1034.0974799999999</v>
      </c>
      <c r="E544" s="48">
        <v>0</v>
      </c>
      <c r="F544" s="48">
        <f t="shared" si="111"/>
        <v>1551.1462199999999</v>
      </c>
      <c r="G544" s="92"/>
      <c r="H544" s="94"/>
      <c r="I544" s="32"/>
      <c r="L544" s="82"/>
      <c r="M544" s="82"/>
      <c r="N544" s="32"/>
    </row>
    <row r="545" spans="1:14" s="33" customFormat="1" ht="15.75" customHeight="1" x14ac:dyDescent="0.3">
      <c r="A545" s="101">
        <f t="shared" si="112"/>
        <v>8</v>
      </c>
      <c r="B545" s="102"/>
      <c r="C545" s="52">
        <v>3</v>
      </c>
      <c r="D545" s="53">
        <f>(96.07)*10.764</f>
        <v>1034.0974799999999</v>
      </c>
      <c r="E545" s="48">
        <v>0</v>
      </c>
      <c r="F545" s="48">
        <f t="shared" si="111"/>
        <v>1551.1462199999999</v>
      </c>
      <c r="G545" s="95"/>
      <c r="H545" s="97"/>
      <c r="I545" s="32"/>
      <c r="L545" s="82"/>
      <c r="M545" s="82"/>
      <c r="N545" s="32"/>
    </row>
    <row r="546" spans="1:14" s="33" customFormat="1" x14ac:dyDescent="0.3">
      <c r="A546" s="103" t="s">
        <v>227</v>
      </c>
      <c r="B546" s="104"/>
      <c r="C546" s="104"/>
      <c r="D546" s="104"/>
      <c r="E546" s="104"/>
      <c r="F546" s="104"/>
      <c r="G546" s="104"/>
      <c r="H546" s="105"/>
      <c r="J546" s="32"/>
    </row>
    <row r="547" spans="1:14" s="33" customFormat="1" ht="15.75" customHeight="1" x14ac:dyDescent="0.3">
      <c r="A547" s="101">
        <v>1</v>
      </c>
      <c r="B547" s="102"/>
      <c r="C547" s="52">
        <v>3</v>
      </c>
      <c r="D547" s="53">
        <f>(96.8)*10.764</f>
        <v>1041.9551999999999</v>
      </c>
      <c r="E547" s="48">
        <v>0</v>
      </c>
      <c r="F547" s="48">
        <f t="shared" ref="F547:F550" si="113">D547*(($F$203)+1)+(IF(E547&lt;101,E547,IF(E547&lt;201,E547/2,IF(E547&lt;=301,E547/3,E547/4))))</f>
        <v>1562.9327999999998</v>
      </c>
      <c r="G547" s="89" t="str">
        <f>A546</f>
        <v>30th Floor (Part Refuge Area)</v>
      </c>
      <c r="H547" s="91"/>
      <c r="I547" s="32">
        <f>(1.755*1.5+1.25*1+3.35*6.45+3.86*2.45+1.85*3.05+3.05*4.175+1.525*2.45+3.35*4.175+1.525*2.45+3.65*3.05+2.45*1.52+0.9*0.395+1.45*0.395+1*2.45+1.585*1.5)*10.764</f>
        <v>1026.823707</v>
      </c>
      <c r="L547" s="82"/>
      <c r="M547" s="82"/>
      <c r="N547" s="32"/>
    </row>
    <row r="548" spans="1:14" s="33" customFormat="1" ht="15.75" customHeight="1" x14ac:dyDescent="0.25">
      <c r="A548" s="101">
        <f t="shared" ref="A548:A554" si="114">A547+1</f>
        <v>2</v>
      </c>
      <c r="B548" s="102"/>
      <c r="C548" s="52" t="s">
        <v>179</v>
      </c>
      <c r="D548" s="53">
        <f>(23.02)*10.764</f>
        <v>247.78727999999998</v>
      </c>
      <c r="E548" s="48">
        <v>0</v>
      </c>
      <c r="F548" s="48">
        <f t="shared" si="113"/>
        <v>371.68091999999996</v>
      </c>
      <c r="G548" s="92"/>
      <c r="H548" s="94"/>
      <c r="I548" s="57"/>
      <c r="L548" s="82"/>
      <c r="M548" s="82"/>
      <c r="N548" s="32"/>
    </row>
    <row r="549" spans="1:14" s="33" customFormat="1" ht="15.75" customHeight="1" x14ac:dyDescent="0.3">
      <c r="A549" s="101">
        <f t="shared" si="114"/>
        <v>3</v>
      </c>
      <c r="B549" s="102"/>
      <c r="C549" s="52" t="s">
        <v>179</v>
      </c>
      <c r="D549" s="53">
        <f>(23.02)*10.764</f>
        <v>247.78727999999998</v>
      </c>
      <c r="E549" s="48">
        <v>0</v>
      </c>
      <c r="F549" s="48">
        <f t="shared" si="113"/>
        <v>371.68091999999996</v>
      </c>
      <c r="G549" s="92"/>
      <c r="H549" s="94"/>
      <c r="I549" s="32"/>
      <c r="L549" s="82"/>
      <c r="M549" s="82"/>
      <c r="N549" s="32"/>
    </row>
    <row r="550" spans="1:14" s="33" customFormat="1" ht="15.75" customHeight="1" x14ac:dyDescent="0.3">
      <c r="A550" s="101">
        <f t="shared" si="114"/>
        <v>4</v>
      </c>
      <c r="B550" s="102"/>
      <c r="C550" s="52">
        <v>3</v>
      </c>
      <c r="D550" s="53">
        <f>(96.8)*10.764</f>
        <v>1041.9551999999999</v>
      </c>
      <c r="E550" s="48">
        <v>0</v>
      </c>
      <c r="F550" s="48">
        <f t="shared" si="113"/>
        <v>1562.9327999999998</v>
      </c>
      <c r="G550" s="92"/>
      <c r="H550" s="94"/>
      <c r="I550" s="32"/>
      <c r="L550" s="82"/>
      <c r="M550" s="82"/>
      <c r="N550" s="32"/>
    </row>
    <row r="551" spans="1:14" s="33" customFormat="1" ht="15.75" customHeight="1" x14ac:dyDescent="0.3">
      <c r="A551" s="101">
        <f t="shared" si="114"/>
        <v>5</v>
      </c>
      <c r="B551" s="102"/>
      <c r="C551" s="118" t="s">
        <v>183</v>
      </c>
      <c r="D551" s="119"/>
      <c r="E551" s="119"/>
      <c r="F551" s="120"/>
      <c r="G551" s="92"/>
      <c r="H551" s="94"/>
      <c r="I551" s="32"/>
      <c r="L551" s="82"/>
      <c r="M551" s="82"/>
      <c r="N551" s="32"/>
    </row>
    <row r="552" spans="1:14" s="33" customFormat="1" ht="15.75" customHeight="1" x14ac:dyDescent="0.3">
      <c r="A552" s="101">
        <f t="shared" si="114"/>
        <v>6</v>
      </c>
      <c r="B552" s="102"/>
      <c r="C552" s="121"/>
      <c r="D552" s="122"/>
      <c r="E552" s="122"/>
      <c r="F552" s="123"/>
      <c r="G552" s="92"/>
      <c r="H552" s="94"/>
      <c r="I552" s="32"/>
      <c r="L552" s="82"/>
      <c r="M552" s="82"/>
      <c r="N552" s="32"/>
    </row>
    <row r="553" spans="1:14" s="33" customFormat="1" ht="15.75" customHeight="1" x14ac:dyDescent="0.3">
      <c r="A553" s="101">
        <f t="shared" si="114"/>
        <v>7</v>
      </c>
      <c r="B553" s="102"/>
      <c r="C553" s="52">
        <v>3</v>
      </c>
      <c r="D553" s="53">
        <f>(96.07)*10.764</f>
        <v>1034.0974799999999</v>
      </c>
      <c r="E553" s="48">
        <v>0</v>
      </c>
      <c r="F553" s="48">
        <f t="shared" ref="F553:F554" si="115">D553*(($F$203)+1)+(IF(E553&lt;101,E553,IF(E553&lt;201,E553/2,IF(E553&lt;=301,E553/3,E553/4))))</f>
        <v>1551.1462199999999</v>
      </c>
      <c r="G553" s="92"/>
      <c r="H553" s="94"/>
      <c r="I553" s="32"/>
      <c r="L553" s="82"/>
      <c r="M553" s="82"/>
      <c r="N553" s="32"/>
    </row>
    <row r="554" spans="1:14" s="33" customFormat="1" ht="15.75" customHeight="1" x14ac:dyDescent="0.3">
      <c r="A554" s="101">
        <f t="shared" si="114"/>
        <v>8</v>
      </c>
      <c r="B554" s="102"/>
      <c r="C554" s="52">
        <v>3</v>
      </c>
      <c r="D554" s="53">
        <f>(96.07)*10.764</f>
        <v>1034.0974799999999</v>
      </c>
      <c r="E554" s="48">
        <v>0</v>
      </c>
      <c r="F554" s="48">
        <f t="shared" si="115"/>
        <v>1551.1462199999999</v>
      </c>
      <c r="G554" s="95"/>
      <c r="H554" s="97"/>
      <c r="I554" s="32"/>
      <c r="L554" s="82"/>
      <c r="M554" s="82"/>
      <c r="N554" s="32"/>
    </row>
    <row r="555" spans="1:14" s="33" customFormat="1" x14ac:dyDescent="0.3">
      <c r="A555" s="103" t="s">
        <v>226</v>
      </c>
      <c r="B555" s="104"/>
      <c r="C555" s="104"/>
      <c r="D555" s="104"/>
      <c r="E555" s="104"/>
      <c r="F555" s="104"/>
      <c r="G555" s="104"/>
      <c r="H555" s="105"/>
      <c r="J555" s="32"/>
    </row>
    <row r="556" spans="1:14" s="33" customFormat="1" x14ac:dyDescent="0.3">
      <c r="A556" s="103" t="s">
        <v>238</v>
      </c>
      <c r="B556" s="104"/>
      <c r="C556" s="104"/>
      <c r="D556" s="104"/>
      <c r="E556" s="104"/>
      <c r="F556" s="104"/>
      <c r="G556" s="104"/>
      <c r="H556" s="105"/>
      <c r="J556" s="32"/>
    </row>
    <row r="557" spans="1:14" s="33" customFormat="1" ht="15.75" customHeight="1" x14ac:dyDescent="0.3">
      <c r="A557" s="101">
        <v>1</v>
      </c>
      <c r="B557" s="102"/>
      <c r="C557" s="52">
        <v>3</v>
      </c>
      <c r="D557" s="53">
        <f>(102.46)*10.764</f>
        <v>1102.8794399999999</v>
      </c>
      <c r="E557" s="48">
        <v>0</v>
      </c>
      <c r="F557" s="48">
        <f t="shared" ref="F557:F560" si="116">D557*(($F$203)+1)+(IF(E557&lt;101,E557,IF(E557&lt;201,E557/2,IF(E557&lt;=301,E557/3,E557/4))))</f>
        <v>1654.31916</v>
      </c>
      <c r="G557" s="89" t="str">
        <f>A556</f>
        <v>35th, 36th, 38th to 43rd, 45th, 47th to 51th, 53rd to 58th, 60th &amp; 61st Floor</v>
      </c>
      <c r="H557" s="91"/>
      <c r="I557" s="32">
        <f>(1.755*1.5+1.25*1+3.35*6.45+3.86*2.45+1.85*3.05+3.05*4.175+1.525*2.45+3.35*4.175+1.525*2.45+3.65*3.05+2.45*1.52+0.9*0.395+1.45*0.395+1*2.45+1.585*1.5)*10.764</f>
        <v>1026.823707</v>
      </c>
      <c r="L557" s="82"/>
      <c r="M557" s="82"/>
      <c r="N557" s="32"/>
    </row>
    <row r="558" spans="1:14" s="33" customFormat="1" ht="15.75" customHeight="1" x14ac:dyDescent="0.25">
      <c r="A558" s="101">
        <f t="shared" ref="A558:A564" si="117">A557+1</f>
        <v>2</v>
      </c>
      <c r="B558" s="102"/>
      <c r="C558" s="52" t="s">
        <v>179</v>
      </c>
      <c r="D558" s="53">
        <f>(23.02)*10.764</f>
        <v>247.78727999999998</v>
      </c>
      <c r="E558" s="48">
        <v>0</v>
      </c>
      <c r="F558" s="48">
        <f t="shared" si="116"/>
        <v>371.68091999999996</v>
      </c>
      <c r="G558" s="92"/>
      <c r="H558" s="94"/>
      <c r="I558" s="57"/>
      <c r="L558" s="82"/>
      <c r="M558" s="82"/>
      <c r="N558" s="32"/>
    </row>
    <row r="559" spans="1:14" s="33" customFormat="1" ht="15.75" customHeight="1" x14ac:dyDescent="0.3">
      <c r="A559" s="101">
        <f t="shared" si="117"/>
        <v>3</v>
      </c>
      <c r="B559" s="102"/>
      <c r="C559" s="52" t="s">
        <v>179</v>
      </c>
      <c r="D559" s="53">
        <f>(23.02)*10.764</f>
        <v>247.78727999999998</v>
      </c>
      <c r="E559" s="48">
        <v>0</v>
      </c>
      <c r="F559" s="48">
        <f t="shared" si="116"/>
        <v>371.68091999999996</v>
      </c>
      <c r="G559" s="92"/>
      <c r="H559" s="94"/>
      <c r="I559" s="32"/>
      <c r="L559" s="82"/>
      <c r="M559" s="82"/>
      <c r="N559" s="32"/>
    </row>
    <row r="560" spans="1:14" s="33" customFormat="1" ht="15.75" customHeight="1" x14ac:dyDescent="0.3">
      <c r="A560" s="101">
        <f t="shared" si="117"/>
        <v>4</v>
      </c>
      <c r="B560" s="102"/>
      <c r="C560" s="52">
        <v>3</v>
      </c>
      <c r="D560" s="53">
        <f>(102.46)*10.764</f>
        <v>1102.8794399999999</v>
      </c>
      <c r="E560" s="48">
        <v>0</v>
      </c>
      <c r="F560" s="48">
        <f t="shared" si="116"/>
        <v>1654.31916</v>
      </c>
      <c r="G560" s="92"/>
      <c r="H560" s="94"/>
      <c r="I560" s="32"/>
      <c r="L560" s="82"/>
      <c r="M560" s="82"/>
      <c r="N560" s="32"/>
    </row>
    <row r="561" spans="1:14" s="33" customFormat="1" ht="15.75" customHeight="1" x14ac:dyDescent="0.3">
      <c r="A561" s="101">
        <f t="shared" si="117"/>
        <v>5</v>
      </c>
      <c r="B561" s="102"/>
      <c r="C561" s="52">
        <v>3</v>
      </c>
      <c r="D561" s="53">
        <f>(101.6)*10.764</f>
        <v>1093.6224</v>
      </c>
      <c r="E561" s="48">
        <v>0</v>
      </c>
      <c r="F561" s="48">
        <f t="shared" ref="F561:F562" si="118">D561*(($F$203)+1)+(IF(E561&lt;101,E561,IF(E561&lt;201,E561/2,IF(E561&lt;=301,E561/3,E561/4))))</f>
        <v>1640.4335999999998</v>
      </c>
      <c r="G561" s="92"/>
      <c r="H561" s="94"/>
      <c r="I561" s="32"/>
      <c r="L561" s="82"/>
      <c r="M561" s="82"/>
      <c r="N561" s="32"/>
    </row>
    <row r="562" spans="1:14" s="33" customFormat="1" ht="15.75" customHeight="1" x14ac:dyDescent="0.3">
      <c r="A562" s="101">
        <f t="shared" si="117"/>
        <v>6</v>
      </c>
      <c r="B562" s="102"/>
      <c r="C562" s="52">
        <v>3</v>
      </c>
      <c r="D562" s="53">
        <f t="shared" ref="D562:D564" si="119">(101.6)*10.764</f>
        <v>1093.6224</v>
      </c>
      <c r="E562" s="48">
        <v>0</v>
      </c>
      <c r="F562" s="48">
        <f t="shared" si="118"/>
        <v>1640.4335999999998</v>
      </c>
      <c r="G562" s="92"/>
      <c r="H562" s="94"/>
      <c r="I562" s="32"/>
      <c r="L562" s="82"/>
      <c r="M562" s="82"/>
      <c r="N562" s="32"/>
    </row>
    <row r="563" spans="1:14" s="33" customFormat="1" ht="15.75" customHeight="1" x14ac:dyDescent="0.3">
      <c r="A563" s="101">
        <f t="shared" si="117"/>
        <v>7</v>
      </c>
      <c r="B563" s="102"/>
      <c r="C563" s="52">
        <v>3</v>
      </c>
      <c r="D563" s="53">
        <f t="shared" si="119"/>
        <v>1093.6224</v>
      </c>
      <c r="E563" s="48">
        <v>0</v>
      </c>
      <c r="F563" s="48">
        <f t="shared" ref="F563:F564" si="120">D563*(($F$203)+1)+(IF(E563&lt;101,E563,IF(E563&lt;201,E563/2,IF(E563&lt;=301,E563/3,E563/4))))</f>
        <v>1640.4335999999998</v>
      </c>
      <c r="G563" s="92"/>
      <c r="H563" s="94"/>
      <c r="I563" s="32"/>
      <c r="L563" s="82"/>
      <c r="M563" s="82"/>
      <c r="N563" s="32"/>
    </row>
    <row r="564" spans="1:14" s="33" customFormat="1" ht="15.75" customHeight="1" x14ac:dyDescent="0.3">
      <c r="A564" s="101">
        <f t="shared" si="117"/>
        <v>8</v>
      </c>
      <c r="B564" s="102"/>
      <c r="C564" s="52">
        <v>3</v>
      </c>
      <c r="D564" s="53">
        <f t="shared" si="119"/>
        <v>1093.6224</v>
      </c>
      <c r="E564" s="48">
        <v>0</v>
      </c>
      <c r="F564" s="48">
        <f t="shared" si="120"/>
        <v>1640.4335999999998</v>
      </c>
      <c r="G564" s="95"/>
      <c r="H564" s="97"/>
      <c r="I564" s="32"/>
      <c r="L564" s="82"/>
      <c r="M564" s="82"/>
      <c r="N564" s="32"/>
    </row>
    <row r="565" spans="1:14" s="33" customFormat="1" x14ac:dyDescent="0.3">
      <c r="A565" s="103" t="s">
        <v>242</v>
      </c>
      <c r="B565" s="104"/>
      <c r="C565" s="104"/>
      <c r="D565" s="104"/>
      <c r="E565" s="104"/>
      <c r="F565" s="104"/>
      <c r="G565" s="104"/>
      <c r="H565" s="105"/>
      <c r="J565" s="32"/>
    </row>
    <row r="566" spans="1:14" s="33" customFormat="1" ht="15.75" customHeight="1" x14ac:dyDescent="0.3">
      <c r="A566" s="101">
        <v>1</v>
      </c>
      <c r="B566" s="102"/>
      <c r="C566" s="52">
        <v>3</v>
      </c>
      <c r="D566" s="53">
        <f>(102.46)*10.764</f>
        <v>1102.8794399999999</v>
      </c>
      <c r="E566" s="48">
        <v>0</v>
      </c>
      <c r="F566" s="48">
        <f t="shared" ref="F566:F573" si="121">D566*(($F$203)+1)+(IF(E566&lt;101,E566,IF(E566&lt;201,E566/2,IF(E566&lt;=301,E566/3,E566/4))))</f>
        <v>1654.31916</v>
      </c>
      <c r="G566" s="89" t="str">
        <f>A565</f>
        <v>37th &amp; 52nd Floor (Part Refuge Area)</v>
      </c>
      <c r="H566" s="91"/>
      <c r="I566" s="32">
        <f>(1.755*1.5+1.25*1+3.35*6.45+3.86*2.45+1.85*3.05+3.05*4.175+1.525*2.45+3.35*4.175+1.525*2.45+3.65*3.05+2.45*1.52+0.9*0.395+1.45*0.395+1*2.45+1.585*1.5)*10.764</f>
        <v>1026.823707</v>
      </c>
      <c r="L566" s="82"/>
      <c r="M566" s="82"/>
      <c r="N566" s="32"/>
    </row>
    <row r="567" spans="1:14" s="33" customFormat="1" ht="15.75" customHeight="1" x14ac:dyDescent="0.25">
      <c r="A567" s="101">
        <f t="shared" ref="A567:A573" si="122">A566+1</f>
        <v>2</v>
      </c>
      <c r="B567" s="102"/>
      <c r="C567" s="52" t="s">
        <v>179</v>
      </c>
      <c r="D567" s="53">
        <f>(23.02)*10.764</f>
        <v>247.78727999999998</v>
      </c>
      <c r="E567" s="48">
        <v>0</v>
      </c>
      <c r="F567" s="48">
        <f t="shared" si="121"/>
        <v>371.68091999999996</v>
      </c>
      <c r="G567" s="92"/>
      <c r="H567" s="94"/>
      <c r="I567" s="57"/>
      <c r="L567" s="82"/>
      <c r="M567" s="82"/>
      <c r="N567" s="32"/>
    </row>
    <row r="568" spans="1:14" s="33" customFormat="1" ht="15.75" customHeight="1" x14ac:dyDescent="0.3">
      <c r="A568" s="101">
        <f t="shared" si="122"/>
        <v>3</v>
      </c>
      <c r="B568" s="102"/>
      <c r="C568" s="52" t="s">
        <v>179</v>
      </c>
      <c r="D568" s="53">
        <f>(23.02)*10.764</f>
        <v>247.78727999999998</v>
      </c>
      <c r="E568" s="48">
        <v>0</v>
      </c>
      <c r="F568" s="48">
        <f t="shared" si="121"/>
        <v>371.68091999999996</v>
      </c>
      <c r="G568" s="92"/>
      <c r="H568" s="94"/>
      <c r="I568" s="32"/>
      <c r="L568" s="82"/>
      <c r="M568" s="82"/>
      <c r="N568" s="32"/>
    </row>
    <row r="569" spans="1:14" s="33" customFormat="1" ht="15.75" customHeight="1" x14ac:dyDescent="0.3">
      <c r="A569" s="101">
        <f t="shared" si="122"/>
        <v>4</v>
      </c>
      <c r="B569" s="102"/>
      <c r="C569" s="52">
        <v>3</v>
      </c>
      <c r="D569" s="53">
        <f>(102.46)*10.764</f>
        <v>1102.8794399999999</v>
      </c>
      <c r="E569" s="48">
        <v>0</v>
      </c>
      <c r="F569" s="48">
        <f t="shared" si="121"/>
        <v>1654.31916</v>
      </c>
      <c r="G569" s="92"/>
      <c r="H569" s="94"/>
      <c r="I569" s="32"/>
      <c r="L569" s="82"/>
      <c r="M569" s="82"/>
      <c r="N569" s="32"/>
    </row>
    <row r="570" spans="1:14" s="33" customFormat="1" ht="15.75" customHeight="1" x14ac:dyDescent="0.3">
      <c r="A570" s="101">
        <f t="shared" si="122"/>
        <v>5</v>
      </c>
      <c r="B570" s="102"/>
      <c r="C570" s="118" t="s">
        <v>183</v>
      </c>
      <c r="D570" s="119"/>
      <c r="E570" s="119"/>
      <c r="F570" s="120"/>
      <c r="G570" s="92"/>
      <c r="H570" s="94"/>
      <c r="I570" s="32"/>
      <c r="L570" s="82"/>
      <c r="M570" s="82"/>
      <c r="N570" s="32"/>
    </row>
    <row r="571" spans="1:14" s="33" customFormat="1" ht="15.75" customHeight="1" x14ac:dyDescent="0.3">
      <c r="A571" s="101">
        <f t="shared" si="122"/>
        <v>6</v>
      </c>
      <c r="B571" s="102"/>
      <c r="C571" s="121"/>
      <c r="D571" s="122"/>
      <c r="E571" s="122"/>
      <c r="F571" s="123"/>
      <c r="G571" s="92"/>
      <c r="H571" s="94"/>
      <c r="I571" s="32"/>
      <c r="L571" s="82"/>
      <c r="M571" s="82"/>
      <c r="N571" s="32"/>
    </row>
    <row r="572" spans="1:14" s="33" customFormat="1" ht="15.75" customHeight="1" x14ac:dyDescent="0.3">
      <c r="A572" s="101">
        <f t="shared" si="122"/>
        <v>7</v>
      </c>
      <c r="B572" s="102"/>
      <c r="C572" s="52">
        <v>3</v>
      </c>
      <c r="D572" s="53">
        <f t="shared" ref="D572:D573" si="123">(101.6)*10.764</f>
        <v>1093.6224</v>
      </c>
      <c r="E572" s="48">
        <v>0</v>
      </c>
      <c r="F572" s="48">
        <f t="shared" si="121"/>
        <v>1640.4335999999998</v>
      </c>
      <c r="G572" s="92"/>
      <c r="H572" s="94"/>
      <c r="I572" s="32"/>
      <c r="L572" s="82"/>
      <c r="M572" s="82"/>
      <c r="N572" s="32"/>
    </row>
    <row r="573" spans="1:14" s="33" customFormat="1" ht="15.75" customHeight="1" x14ac:dyDescent="0.3">
      <c r="A573" s="101">
        <f t="shared" si="122"/>
        <v>8</v>
      </c>
      <c r="B573" s="102"/>
      <c r="C573" s="52">
        <v>3</v>
      </c>
      <c r="D573" s="53">
        <f t="shared" si="123"/>
        <v>1093.6224</v>
      </c>
      <c r="E573" s="48">
        <v>0</v>
      </c>
      <c r="F573" s="48">
        <f t="shared" si="121"/>
        <v>1640.4335999999998</v>
      </c>
      <c r="G573" s="95"/>
      <c r="H573" s="97"/>
      <c r="I573" s="32"/>
      <c r="L573" s="82"/>
      <c r="M573" s="82"/>
      <c r="N573" s="32"/>
    </row>
    <row r="574" spans="1:14" s="33" customFormat="1" x14ac:dyDescent="0.3">
      <c r="A574" s="103" t="s">
        <v>229</v>
      </c>
      <c r="B574" s="104"/>
      <c r="C574" s="104"/>
      <c r="D574" s="104"/>
      <c r="E574" s="104"/>
      <c r="F574" s="104"/>
      <c r="G574" s="104"/>
      <c r="H574" s="105"/>
      <c r="J574" s="32"/>
    </row>
    <row r="575" spans="1:14" s="33" customFormat="1" ht="15.75" customHeight="1" x14ac:dyDescent="0.3">
      <c r="A575" s="101">
        <v>1</v>
      </c>
      <c r="B575" s="102"/>
      <c r="C575" s="52">
        <v>3</v>
      </c>
      <c r="D575" s="53">
        <f>(102.46)*10.764</f>
        <v>1102.8794399999999</v>
      </c>
      <c r="E575" s="48">
        <v>0</v>
      </c>
      <c r="F575" s="48">
        <f t="shared" ref="F575:F578" si="124">D575*(($F$203)+1)+(IF(E575&lt;101,E575,IF(E575&lt;201,E575/2,IF(E575&lt;=301,E575/3,E575/4))))</f>
        <v>1654.31916</v>
      </c>
      <c r="G575" s="89" t="str">
        <f>A574</f>
        <v>44th Floor (Part Refuge Area)</v>
      </c>
      <c r="H575" s="91"/>
      <c r="I575" s="32">
        <f>(1.755*1.5+1.25*1+3.35*6.45+3.86*2.45+1.85*3.05+3.05*4.175+1.525*2.45+3.35*4.175+1.525*2.45+3.65*3.05+2.45*1.52+0.9*0.395+1.45*0.395+1*2.45+1.585*1.5)*10.764</f>
        <v>1026.823707</v>
      </c>
      <c r="L575" s="82"/>
      <c r="M575" s="82"/>
      <c r="N575" s="32"/>
    </row>
    <row r="576" spans="1:14" s="33" customFormat="1" ht="15.75" customHeight="1" x14ac:dyDescent="0.25">
      <c r="A576" s="101">
        <f t="shared" ref="A576:A582" si="125">A575+1</f>
        <v>2</v>
      </c>
      <c r="B576" s="102"/>
      <c r="C576" s="52" t="s">
        <v>179</v>
      </c>
      <c r="D576" s="53">
        <f>(23.02)*10.764</f>
        <v>247.78727999999998</v>
      </c>
      <c r="E576" s="48">
        <v>0</v>
      </c>
      <c r="F576" s="48">
        <f t="shared" si="124"/>
        <v>371.68091999999996</v>
      </c>
      <c r="G576" s="92"/>
      <c r="H576" s="94"/>
      <c r="I576" s="57"/>
      <c r="L576" s="82"/>
      <c r="M576" s="82"/>
      <c r="N576" s="32"/>
    </row>
    <row r="577" spans="1:14" s="33" customFormat="1" ht="15.75" customHeight="1" x14ac:dyDescent="0.3">
      <c r="A577" s="101">
        <f t="shared" si="125"/>
        <v>3</v>
      </c>
      <c r="B577" s="102"/>
      <c r="C577" s="52" t="s">
        <v>179</v>
      </c>
      <c r="D577" s="53">
        <f>(23.02)*10.764</f>
        <v>247.78727999999998</v>
      </c>
      <c r="E577" s="48">
        <v>0</v>
      </c>
      <c r="F577" s="48">
        <f t="shared" si="124"/>
        <v>371.68091999999996</v>
      </c>
      <c r="G577" s="92"/>
      <c r="H577" s="94"/>
      <c r="I577" s="32"/>
      <c r="L577" s="82"/>
      <c r="M577" s="82"/>
      <c r="N577" s="32"/>
    </row>
    <row r="578" spans="1:14" s="33" customFormat="1" ht="15.75" customHeight="1" x14ac:dyDescent="0.3">
      <c r="A578" s="101">
        <f t="shared" si="125"/>
        <v>4</v>
      </c>
      <c r="B578" s="102"/>
      <c r="C578" s="52">
        <v>3</v>
      </c>
      <c r="D578" s="53">
        <f>(102.46)*10.764</f>
        <v>1102.8794399999999</v>
      </c>
      <c r="E578" s="48">
        <v>0</v>
      </c>
      <c r="F578" s="48">
        <f t="shared" si="124"/>
        <v>1654.31916</v>
      </c>
      <c r="G578" s="92"/>
      <c r="H578" s="94"/>
      <c r="I578" s="32"/>
      <c r="L578" s="82"/>
      <c r="M578" s="82"/>
      <c r="N578" s="32"/>
    </row>
    <row r="579" spans="1:14" s="33" customFormat="1" ht="15.75" customHeight="1" x14ac:dyDescent="0.3">
      <c r="A579" s="101">
        <f t="shared" si="125"/>
        <v>5</v>
      </c>
      <c r="B579" s="102"/>
      <c r="C579" s="118" t="s">
        <v>183</v>
      </c>
      <c r="D579" s="119"/>
      <c r="E579" s="119"/>
      <c r="F579" s="120"/>
      <c r="G579" s="92"/>
      <c r="H579" s="94"/>
      <c r="I579" s="32"/>
      <c r="L579" s="82"/>
      <c r="M579" s="82"/>
      <c r="N579" s="32"/>
    </row>
    <row r="580" spans="1:14" s="33" customFormat="1" ht="15.75" customHeight="1" x14ac:dyDescent="0.3">
      <c r="A580" s="101">
        <f t="shared" si="125"/>
        <v>6</v>
      </c>
      <c r="B580" s="102"/>
      <c r="C580" s="121"/>
      <c r="D580" s="122"/>
      <c r="E580" s="122"/>
      <c r="F580" s="123"/>
      <c r="G580" s="92"/>
      <c r="H580" s="94"/>
      <c r="I580" s="32"/>
      <c r="L580" s="82"/>
      <c r="M580" s="82"/>
      <c r="N580" s="32"/>
    </row>
    <row r="581" spans="1:14" s="33" customFormat="1" ht="15.75" customHeight="1" x14ac:dyDescent="0.3">
      <c r="A581" s="101">
        <f t="shared" si="125"/>
        <v>7</v>
      </c>
      <c r="B581" s="102"/>
      <c r="C581" s="52">
        <v>3</v>
      </c>
      <c r="D581" s="53">
        <f t="shared" ref="D581:D582" si="126">(101.6)*10.764</f>
        <v>1093.6224</v>
      </c>
      <c r="E581" s="48">
        <v>0</v>
      </c>
      <c r="F581" s="48">
        <f t="shared" ref="F581:F582" si="127">D581*(($F$203)+1)+(IF(E581&lt;101,E581,IF(E581&lt;201,E581/2,IF(E581&lt;=301,E581/3,E581/4))))</f>
        <v>1640.4335999999998</v>
      </c>
      <c r="G581" s="92"/>
      <c r="H581" s="94"/>
      <c r="I581" s="32"/>
      <c r="L581" s="82"/>
      <c r="M581" s="82"/>
      <c r="N581" s="32"/>
    </row>
    <row r="582" spans="1:14" s="33" customFormat="1" ht="15.75" customHeight="1" x14ac:dyDescent="0.3">
      <c r="A582" s="101">
        <f t="shared" si="125"/>
        <v>8</v>
      </c>
      <c r="B582" s="102"/>
      <c r="C582" s="52">
        <v>3</v>
      </c>
      <c r="D582" s="53">
        <f t="shared" si="126"/>
        <v>1093.6224</v>
      </c>
      <c r="E582" s="48">
        <v>0</v>
      </c>
      <c r="F582" s="48">
        <f t="shared" si="127"/>
        <v>1640.4335999999998</v>
      </c>
      <c r="G582" s="95"/>
      <c r="H582" s="97"/>
      <c r="I582" s="32"/>
      <c r="L582" s="82"/>
      <c r="M582" s="82"/>
      <c r="N582" s="32"/>
    </row>
    <row r="583" spans="1:14" s="33" customFormat="1" x14ac:dyDescent="0.3">
      <c r="A583" s="103" t="s">
        <v>230</v>
      </c>
      <c r="B583" s="104"/>
      <c r="C583" s="104"/>
      <c r="D583" s="104"/>
      <c r="E583" s="104"/>
      <c r="F583" s="104"/>
      <c r="G583" s="104"/>
      <c r="H583" s="105"/>
      <c r="J583" s="32"/>
    </row>
    <row r="584" spans="1:14" s="33" customFormat="1" x14ac:dyDescent="0.3">
      <c r="A584" s="103" t="s">
        <v>234</v>
      </c>
      <c r="B584" s="104"/>
      <c r="C584" s="104"/>
      <c r="D584" s="104"/>
      <c r="E584" s="104"/>
      <c r="F584" s="104"/>
      <c r="G584" s="104"/>
      <c r="H584" s="105"/>
      <c r="J584" s="32"/>
    </row>
    <row r="585" spans="1:14" s="33" customFormat="1" ht="15.75" customHeight="1" x14ac:dyDescent="0.3">
      <c r="A585" s="101">
        <v>1</v>
      </c>
      <c r="B585" s="102"/>
      <c r="C585" s="52">
        <v>3</v>
      </c>
      <c r="D585" s="53">
        <f>(102.46)*10.764</f>
        <v>1102.8794399999999</v>
      </c>
      <c r="E585" s="48">
        <v>0</v>
      </c>
      <c r="F585" s="48">
        <f t="shared" ref="F585:F588" si="128">D585*(($F$203)+1)+(IF(E585&lt;101,E585,IF(E585&lt;201,E585/2,IF(E585&lt;=301,E585/3,E585/4))))</f>
        <v>1654.31916</v>
      </c>
      <c r="G585" s="89" t="str">
        <f>A584</f>
        <v>59th Floor (Part Refuge Area)</v>
      </c>
      <c r="H585" s="91"/>
      <c r="I585" s="32">
        <f>(1.755*1.5+1.25*1+3.35*6.45+3.86*2.45+1.85*3.05+3.05*4.175+1.525*2.45+3.35*4.175+1.525*2.45+3.65*3.05+2.45*1.52+0.9*0.395+1.45*0.395+1*2.45+1.585*1.5)*10.764</f>
        <v>1026.823707</v>
      </c>
      <c r="L585" s="82"/>
      <c r="M585" s="82"/>
      <c r="N585" s="32"/>
    </row>
    <row r="586" spans="1:14" s="33" customFormat="1" ht="15.75" customHeight="1" x14ac:dyDescent="0.25">
      <c r="A586" s="101">
        <f t="shared" ref="A586:A592" si="129">A585+1</f>
        <v>2</v>
      </c>
      <c r="B586" s="102"/>
      <c r="C586" s="52" t="s">
        <v>179</v>
      </c>
      <c r="D586" s="53">
        <f>(23.08)*10.764</f>
        <v>248.43311999999997</v>
      </c>
      <c r="E586" s="48">
        <v>0</v>
      </c>
      <c r="F586" s="48">
        <f t="shared" si="128"/>
        <v>372.64967999999999</v>
      </c>
      <c r="G586" s="92"/>
      <c r="H586" s="94"/>
      <c r="I586" s="57"/>
      <c r="L586" s="82"/>
      <c r="M586" s="82"/>
      <c r="N586" s="32"/>
    </row>
    <row r="587" spans="1:14" s="33" customFormat="1" ht="15.75" customHeight="1" x14ac:dyDescent="0.3">
      <c r="A587" s="101">
        <f t="shared" si="129"/>
        <v>3</v>
      </c>
      <c r="B587" s="102"/>
      <c r="C587" s="52" t="s">
        <v>179</v>
      </c>
      <c r="D587" s="53">
        <f>(23.08)*10.764</f>
        <v>248.43311999999997</v>
      </c>
      <c r="E587" s="48">
        <v>0</v>
      </c>
      <c r="F587" s="48">
        <f t="shared" si="128"/>
        <v>372.64967999999999</v>
      </c>
      <c r="G587" s="92"/>
      <c r="H587" s="94"/>
      <c r="I587" s="32"/>
      <c r="L587" s="82"/>
      <c r="M587" s="82"/>
      <c r="N587" s="32"/>
    </row>
    <row r="588" spans="1:14" s="33" customFormat="1" ht="15.75" customHeight="1" x14ac:dyDescent="0.3">
      <c r="A588" s="101">
        <f t="shared" si="129"/>
        <v>4</v>
      </c>
      <c r="B588" s="102"/>
      <c r="C588" s="52">
        <v>3</v>
      </c>
      <c r="D588" s="53">
        <f>(102.46)*10.764</f>
        <v>1102.8794399999999</v>
      </c>
      <c r="E588" s="48">
        <v>0</v>
      </c>
      <c r="F588" s="48">
        <f t="shared" si="128"/>
        <v>1654.31916</v>
      </c>
      <c r="G588" s="92"/>
      <c r="H588" s="94"/>
      <c r="I588" s="32"/>
      <c r="L588" s="82"/>
      <c r="M588" s="82"/>
      <c r="N588" s="32"/>
    </row>
    <row r="589" spans="1:14" s="33" customFormat="1" ht="15.75" customHeight="1" x14ac:dyDescent="0.3">
      <c r="A589" s="101">
        <f t="shared" si="129"/>
        <v>5</v>
      </c>
      <c r="B589" s="102"/>
      <c r="C589" s="52">
        <v>3</v>
      </c>
      <c r="D589" s="53">
        <f>(127.91)*10.764</f>
        <v>1376.8232399999999</v>
      </c>
      <c r="E589" s="48">
        <v>0</v>
      </c>
      <c r="F589" s="48">
        <f t="shared" ref="F589" si="130">D589*(($F$203)+1)+(IF(E589&lt;101,E589,IF(E589&lt;201,E589/2,IF(E589&lt;=301,E589/3,E589/4))))</f>
        <v>2065.23486</v>
      </c>
      <c r="G589" s="92"/>
      <c r="H589" s="94"/>
      <c r="I589" s="32"/>
      <c r="L589" s="82"/>
      <c r="M589" s="82"/>
      <c r="N589" s="32"/>
    </row>
    <row r="590" spans="1:14" s="33" customFormat="1" ht="15.75" customHeight="1" x14ac:dyDescent="0.3">
      <c r="A590" s="101">
        <f t="shared" si="129"/>
        <v>6</v>
      </c>
      <c r="B590" s="102"/>
      <c r="C590" s="107" t="s">
        <v>183</v>
      </c>
      <c r="D590" s="108"/>
      <c r="E590" s="108"/>
      <c r="F590" s="109"/>
      <c r="G590" s="92"/>
      <c r="H590" s="94"/>
      <c r="I590" s="32"/>
      <c r="L590" s="82"/>
      <c r="M590" s="82"/>
      <c r="N590" s="32"/>
    </row>
    <row r="591" spans="1:14" s="33" customFormat="1" ht="15.75" customHeight="1" x14ac:dyDescent="0.3">
      <c r="A591" s="101">
        <f t="shared" si="129"/>
        <v>7</v>
      </c>
      <c r="B591" s="102"/>
      <c r="C591" s="52">
        <v>3</v>
      </c>
      <c r="D591" s="53">
        <f>(101.6)*10.764</f>
        <v>1093.6224</v>
      </c>
      <c r="E591" s="48">
        <v>0</v>
      </c>
      <c r="F591" s="48">
        <f t="shared" ref="F591:F592" si="131">D591*(($F$203)+1)+(IF(E591&lt;101,E591,IF(E591&lt;201,E591/2,IF(E591&lt;=301,E591/3,E591/4))))</f>
        <v>1640.4335999999998</v>
      </c>
      <c r="G591" s="92"/>
      <c r="H591" s="94"/>
      <c r="I591" s="32"/>
      <c r="L591" s="82"/>
      <c r="M591" s="82"/>
      <c r="N591" s="32"/>
    </row>
    <row r="592" spans="1:14" s="33" customFormat="1" ht="15.75" customHeight="1" x14ac:dyDescent="0.3">
      <c r="A592" s="101">
        <f t="shared" si="129"/>
        <v>8</v>
      </c>
      <c r="B592" s="102"/>
      <c r="C592" s="52">
        <v>3</v>
      </c>
      <c r="D592" s="53">
        <f>(101.6)*10.764</f>
        <v>1093.6224</v>
      </c>
      <c r="E592" s="48">
        <v>0</v>
      </c>
      <c r="F592" s="48">
        <f t="shared" si="131"/>
        <v>1640.4335999999998</v>
      </c>
      <c r="G592" s="95"/>
      <c r="H592" s="97"/>
      <c r="I592" s="32"/>
      <c r="L592" s="82"/>
      <c r="M592" s="82"/>
      <c r="N592" s="32"/>
    </row>
    <row r="593" spans="1:14" x14ac:dyDescent="0.3">
      <c r="A593" s="125" t="s">
        <v>251</v>
      </c>
      <c r="B593" s="125"/>
      <c r="C593" s="125"/>
      <c r="D593" s="125"/>
      <c r="E593" s="125"/>
      <c r="F593" s="125"/>
      <c r="G593" s="125"/>
      <c r="H593" s="125"/>
    </row>
    <row r="594" spans="1:14" x14ac:dyDescent="0.3">
      <c r="A594" s="125" t="s">
        <v>216</v>
      </c>
      <c r="B594" s="125"/>
      <c r="C594" s="125"/>
      <c r="D594" s="125"/>
      <c r="E594" s="125"/>
      <c r="F594" s="125"/>
      <c r="G594" s="125"/>
      <c r="H594" s="125"/>
    </row>
    <row r="595" spans="1:14" x14ac:dyDescent="0.3">
      <c r="A595" s="125" t="s">
        <v>173</v>
      </c>
      <c r="B595" s="125"/>
      <c r="C595" s="125"/>
      <c r="D595" s="125"/>
      <c r="E595" s="125"/>
      <c r="F595" s="125"/>
      <c r="G595" s="125"/>
      <c r="H595" s="125"/>
    </row>
    <row r="596" spans="1:14" s="33" customFormat="1" x14ac:dyDescent="0.3">
      <c r="A596" s="103" t="s">
        <v>244</v>
      </c>
      <c r="B596" s="104"/>
      <c r="C596" s="104"/>
      <c r="D596" s="104"/>
      <c r="E596" s="104"/>
      <c r="F596" s="104"/>
      <c r="G596" s="104"/>
      <c r="H596" s="105"/>
      <c r="J596" s="32"/>
    </row>
    <row r="597" spans="1:14" s="33" customFormat="1" ht="15.75" customHeight="1" x14ac:dyDescent="0.3">
      <c r="A597" s="101">
        <v>1</v>
      </c>
      <c r="B597" s="102"/>
      <c r="C597" s="52">
        <v>3</v>
      </c>
      <c r="D597" s="53">
        <f>(96.11)*10.764</f>
        <v>1034.5280399999999</v>
      </c>
      <c r="E597" s="48">
        <v>0</v>
      </c>
      <c r="F597" s="48">
        <f t="shared" ref="F597:F598" si="132">D597*(($F$203)+1)+(IF(E597&lt;101,E597,IF(E597&lt;201,E597/2,IF(E597&lt;=301,E597/3,E597/4))))</f>
        <v>1551.7920599999998</v>
      </c>
      <c r="G597" s="89" t="str">
        <f>A596</f>
        <v>1st to 5th Podium Floor for Residential</v>
      </c>
      <c r="H597" s="91"/>
      <c r="I597" s="32">
        <f>(1.2*2+0.3*0.735+0.3*1.7+3.56*2.45+3.35*6.45+1.85*3.05+3.05*4.175+1.525*2.45+3.35*4.175+1.525*2.45+3.85*3.05+2.45*1.525+0.9*0.395+0.45*0.385+1*2.45+1.58*1.5+0.9*0.39)</f>
        <v>94.473500000000001</v>
      </c>
      <c r="L597" s="82"/>
      <c r="M597" s="82"/>
      <c r="N597" s="32"/>
    </row>
    <row r="598" spans="1:14" s="33" customFormat="1" ht="15.75" customHeight="1" x14ac:dyDescent="0.25">
      <c r="A598" s="101">
        <f t="shared" ref="A598:A602" si="133">A597+1</f>
        <v>2</v>
      </c>
      <c r="B598" s="102"/>
      <c r="C598" s="52">
        <v>3</v>
      </c>
      <c r="D598" s="53">
        <f>(96.11)*10.764</f>
        <v>1034.5280399999999</v>
      </c>
      <c r="E598" s="48">
        <v>0</v>
      </c>
      <c r="F598" s="48">
        <f t="shared" si="132"/>
        <v>1551.7920599999998</v>
      </c>
      <c r="G598" s="92"/>
      <c r="H598" s="94"/>
      <c r="I598" s="57"/>
      <c r="L598" s="82"/>
      <c r="M598" s="82"/>
      <c r="N598" s="32"/>
    </row>
    <row r="599" spans="1:14" s="33" customFormat="1" ht="15.75" customHeight="1" x14ac:dyDescent="0.3">
      <c r="A599" s="101">
        <f t="shared" si="133"/>
        <v>3</v>
      </c>
      <c r="B599" s="102"/>
      <c r="C599" s="118" t="s">
        <v>219</v>
      </c>
      <c r="D599" s="119"/>
      <c r="E599" s="119"/>
      <c r="F599" s="120"/>
      <c r="G599" s="92"/>
      <c r="H599" s="94"/>
      <c r="I599" s="32"/>
      <c r="L599" s="82"/>
      <c r="M599" s="82"/>
      <c r="N599" s="32"/>
    </row>
    <row r="600" spans="1:14" s="33" customFormat="1" ht="15.75" customHeight="1" x14ac:dyDescent="0.3">
      <c r="A600" s="101">
        <f t="shared" si="133"/>
        <v>4</v>
      </c>
      <c r="B600" s="102"/>
      <c r="C600" s="121"/>
      <c r="D600" s="122"/>
      <c r="E600" s="122"/>
      <c r="F600" s="123"/>
      <c r="G600" s="92"/>
      <c r="H600" s="94"/>
      <c r="I600" s="32"/>
      <c r="L600" s="82"/>
      <c r="M600" s="82"/>
      <c r="N600" s="32"/>
    </row>
    <row r="601" spans="1:14" s="33" customFormat="1" ht="15.75" customHeight="1" x14ac:dyDescent="0.3">
      <c r="A601" s="101">
        <f t="shared" si="133"/>
        <v>5</v>
      </c>
      <c r="B601" s="102"/>
      <c r="C601" s="52">
        <v>3</v>
      </c>
      <c r="D601" s="53">
        <f>(96.11)*10.764</f>
        <v>1034.5280399999999</v>
      </c>
      <c r="E601" s="48">
        <v>0</v>
      </c>
      <c r="F601" s="48">
        <f t="shared" ref="F601:F602" si="134">D601*(($F$203)+1)+(IF(E601&lt;101,E601,IF(E601&lt;201,E601/2,IF(E601&lt;=301,E601/3,E601/4))))</f>
        <v>1551.7920599999998</v>
      </c>
      <c r="G601" s="92"/>
      <c r="H601" s="94"/>
      <c r="I601" s="32"/>
      <c r="L601" s="82"/>
      <c r="M601" s="82"/>
      <c r="N601" s="32"/>
    </row>
    <row r="602" spans="1:14" s="33" customFormat="1" ht="15.75" customHeight="1" x14ac:dyDescent="0.3">
      <c r="A602" s="101">
        <f t="shared" si="133"/>
        <v>6</v>
      </c>
      <c r="B602" s="102"/>
      <c r="C602" s="52">
        <v>3</v>
      </c>
      <c r="D602" s="53">
        <f>(96.11)*10.764</f>
        <v>1034.5280399999999</v>
      </c>
      <c r="E602" s="48">
        <v>0</v>
      </c>
      <c r="F602" s="48">
        <f t="shared" si="134"/>
        <v>1551.7920599999998</v>
      </c>
      <c r="G602" s="95"/>
      <c r="H602" s="97"/>
      <c r="I602" s="32"/>
      <c r="L602" s="82"/>
      <c r="M602" s="82"/>
      <c r="N602" s="32"/>
    </row>
    <row r="603" spans="1:14" s="33" customFormat="1" x14ac:dyDescent="0.3">
      <c r="A603" s="103" t="s">
        <v>220</v>
      </c>
      <c r="B603" s="104"/>
      <c r="C603" s="104"/>
      <c r="D603" s="104"/>
      <c r="E603" s="104"/>
      <c r="F603" s="104"/>
      <c r="G603" s="104"/>
      <c r="H603" s="105"/>
      <c r="J603" s="32"/>
    </row>
    <row r="604" spans="1:14" s="33" customFormat="1" ht="15.75" customHeight="1" x14ac:dyDescent="0.3">
      <c r="A604" s="101">
        <v>1</v>
      </c>
      <c r="B604" s="102"/>
      <c r="C604" s="52">
        <v>3</v>
      </c>
      <c r="D604" s="53">
        <f>(96.11)*10.764</f>
        <v>1034.5280399999999</v>
      </c>
      <c r="E604" s="48">
        <v>0</v>
      </c>
      <c r="F604" s="48">
        <f t="shared" ref="F604:F605" si="135">D604*(($F$203)+1)+(IF(E604&lt;101,E604,IF(E604&lt;201,E604/2,IF(E604&lt;=301,E604/3,E604/4))))</f>
        <v>1551.7920599999998</v>
      </c>
      <c r="G604" s="89" t="str">
        <f>A603</f>
        <v xml:space="preserve">7th Floor </v>
      </c>
      <c r="H604" s="91"/>
      <c r="I604" s="32">
        <f>(1.2*2+0.3*0.735+0.3*1.7+3.56*2.45+3.35*6.45+1.85*3.05+3.05*4.175+1.525*2.45+3.35*4.175+1.525*2.45+3.85*3.05+2.45*1.525+0.9*0.395+0.45*0.385+1*2.45+1.58*1.5+0.9*0.39)</f>
        <v>94.473500000000001</v>
      </c>
      <c r="L604" s="82"/>
      <c r="M604" s="82"/>
      <c r="N604" s="32"/>
    </row>
    <row r="605" spans="1:14" s="33" customFormat="1" x14ac:dyDescent="0.25">
      <c r="A605" s="101">
        <f t="shared" ref="A605:A609" si="136">A604+1</f>
        <v>2</v>
      </c>
      <c r="B605" s="102"/>
      <c r="C605" s="52">
        <v>3</v>
      </c>
      <c r="D605" s="53">
        <f t="shared" ref="D605:D608" si="137">(96.11)*10.764</f>
        <v>1034.5280399999999</v>
      </c>
      <c r="E605" s="48">
        <v>0</v>
      </c>
      <c r="F605" s="48">
        <f t="shared" si="135"/>
        <v>1551.7920599999998</v>
      </c>
      <c r="G605" s="92"/>
      <c r="H605" s="94"/>
      <c r="I605" s="57"/>
      <c r="L605" s="82"/>
      <c r="M605" s="82"/>
      <c r="N605" s="32"/>
    </row>
    <row r="606" spans="1:14" s="33" customFormat="1" ht="15.75" customHeight="1" x14ac:dyDescent="0.3">
      <c r="A606" s="101">
        <f t="shared" si="136"/>
        <v>3</v>
      </c>
      <c r="B606" s="102"/>
      <c r="C606" s="52">
        <v>3</v>
      </c>
      <c r="D606" s="53">
        <f t="shared" si="137"/>
        <v>1034.5280399999999</v>
      </c>
      <c r="E606" s="48">
        <v>0</v>
      </c>
      <c r="F606" s="48">
        <f t="shared" ref="F606:F607" si="138">D606*(($F$203)+1)+(IF(E606&lt;101,E606,IF(E606&lt;201,E606/2,IF(E606&lt;=301,E606/3,E606/4))))</f>
        <v>1551.7920599999998</v>
      </c>
      <c r="G606" s="92"/>
      <c r="H606" s="94"/>
      <c r="I606" s="32"/>
      <c r="L606" s="82"/>
      <c r="M606" s="82"/>
      <c r="N606" s="32"/>
    </row>
    <row r="607" spans="1:14" s="33" customFormat="1" x14ac:dyDescent="0.3">
      <c r="A607" s="101">
        <f t="shared" si="136"/>
        <v>4</v>
      </c>
      <c r="B607" s="102"/>
      <c r="C607" s="52">
        <v>3</v>
      </c>
      <c r="D607" s="53">
        <f t="shared" si="137"/>
        <v>1034.5280399999999</v>
      </c>
      <c r="E607" s="48">
        <v>0</v>
      </c>
      <c r="F607" s="48">
        <f t="shared" si="138"/>
        <v>1551.7920599999998</v>
      </c>
      <c r="G607" s="92"/>
      <c r="H607" s="94"/>
      <c r="I607" s="32"/>
      <c r="L607" s="82"/>
      <c r="M607" s="82"/>
      <c r="N607" s="32"/>
    </row>
    <row r="608" spans="1:14" s="33" customFormat="1" ht="15.75" customHeight="1" x14ac:dyDescent="0.3">
      <c r="A608" s="101">
        <f t="shared" si="136"/>
        <v>5</v>
      </c>
      <c r="B608" s="102"/>
      <c r="C608" s="52">
        <v>3</v>
      </c>
      <c r="D608" s="53">
        <f t="shared" si="137"/>
        <v>1034.5280399999999</v>
      </c>
      <c r="E608" s="48">
        <v>0</v>
      </c>
      <c r="F608" s="48">
        <f t="shared" ref="F608:F609" si="139">D608*(($F$203)+1)+(IF(E608&lt;101,E608,IF(E608&lt;201,E608/2,IF(E608&lt;=301,E608/3,E608/4))))</f>
        <v>1551.7920599999998</v>
      </c>
      <c r="G608" s="92"/>
      <c r="H608" s="94"/>
      <c r="I608" s="32"/>
      <c r="L608" s="82"/>
      <c r="M608" s="82"/>
      <c r="N608" s="32"/>
    </row>
    <row r="609" spans="1:14" s="33" customFormat="1" ht="46.8" x14ac:dyDescent="0.3">
      <c r="A609" s="101">
        <f t="shared" si="136"/>
        <v>6</v>
      </c>
      <c r="B609" s="102"/>
      <c r="C609" s="52" t="s">
        <v>259</v>
      </c>
      <c r="D609" s="53">
        <f>(96.66+61.37)*10.764</f>
        <v>1701.0349199999998</v>
      </c>
      <c r="E609" s="48">
        <v>0</v>
      </c>
      <c r="F609" s="48">
        <f t="shared" si="139"/>
        <v>2551.5523799999996</v>
      </c>
      <c r="G609" s="95"/>
      <c r="H609" s="97"/>
      <c r="I609" s="32"/>
      <c r="L609" s="82"/>
      <c r="M609" s="82"/>
      <c r="N609" s="32"/>
    </row>
    <row r="610" spans="1:14" s="33" customFormat="1" x14ac:dyDescent="0.3">
      <c r="A610" s="103" t="s">
        <v>221</v>
      </c>
      <c r="B610" s="104"/>
      <c r="C610" s="104"/>
      <c r="D610" s="104"/>
      <c r="E610" s="104"/>
      <c r="F610" s="104"/>
      <c r="G610" s="104"/>
      <c r="H610" s="105"/>
      <c r="J610" s="32"/>
    </row>
    <row r="611" spans="1:14" s="33" customFormat="1" ht="15.75" customHeight="1" x14ac:dyDescent="0.3">
      <c r="A611" s="101">
        <v>1</v>
      </c>
      <c r="B611" s="102"/>
      <c r="C611" s="52">
        <v>3</v>
      </c>
      <c r="D611" s="53">
        <f>(96.11)*10.764</f>
        <v>1034.5280399999999</v>
      </c>
      <c r="E611" s="48">
        <v>0</v>
      </c>
      <c r="F611" s="48">
        <f>D611*(($F$203)+1)+(IF(E611&lt;101,E611,IF(E611&lt;201,E611/2,IF(E611&lt;=301,E611/3,E611/4))))</f>
        <v>1551.7920599999998</v>
      </c>
      <c r="G611" s="89" t="str">
        <f>A610</f>
        <v>8th &amp; 15th Floor (Part Refuge Area)</v>
      </c>
      <c r="H611" s="91"/>
      <c r="I611" s="32">
        <f>(1.2*2+0.3*0.735+0.3*1.7+3.56*2.45+3.35*6.45+1.85*3.05+3.05*4.175+1.525*2.45+3.35*4.175+1.525*2.45+3.85*3.05+2.45*1.525+0.9*0.395+0.45*0.385+1*2.45+1.58*1.5+0.9*0.39)</f>
        <v>94.473500000000001</v>
      </c>
      <c r="L611" s="82"/>
      <c r="M611" s="82"/>
      <c r="N611" s="32"/>
    </row>
    <row r="612" spans="1:14" s="33" customFormat="1" ht="15.75" customHeight="1" x14ac:dyDescent="0.25">
      <c r="A612" s="101">
        <f t="shared" ref="A612:A616" si="140">A611+1</f>
        <v>2</v>
      </c>
      <c r="B612" s="102"/>
      <c r="C612" s="52">
        <v>3</v>
      </c>
      <c r="D612" s="53">
        <f t="shared" ref="D612:D614" si="141">(96.11)*10.764</f>
        <v>1034.5280399999999</v>
      </c>
      <c r="E612" s="48">
        <v>0</v>
      </c>
      <c r="F612" s="48">
        <f>D612*(($F$203)+1)+(IF(E612&lt;101,E612,IF(E612&lt;201,E612/2,IF(E612&lt;=301,E612/3,E612/4))))</f>
        <v>1551.7920599999998</v>
      </c>
      <c r="G612" s="92"/>
      <c r="H612" s="94"/>
      <c r="I612" s="57"/>
      <c r="L612" s="82"/>
      <c r="M612" s="82"/>
      <c r="N612" s="32"/>
    </row>
    <row r="613" spans="1:14" s="33" customFormat="1" ht="15.75" customHeight="1" x14ac:dyDescent="0.3">
      <c r="A613" s="101">
        <f t="shared" si="140"/>
        <v>3</v>
      </c>
      <c r="B613" s="102"/>
      <c r="C613" s="52">
        <v>3</v>
      </c>
      <c r="D613" s="53">
        <f t="shared" si="141"/>
        <v>1034.5280399999999</v>
      </c>
      <c r="E613" s="48">
        <v>0</v>
      </c>
      <c r="F613" s="48">
        <f>D613*(($F$203)+1)+(IF(E613&lt;101,E613,IF(E613&lt;201,E613/2,IF(E613&lt;=301,E613/3,E613/4))))</f>
        <v>1551.7920599999998</v>
      </c>
      <c r="G613" s="92"/>
      <c r="H613" s="94"/>
      <c r="I613" s="32"/>
      <c r="L613" s="82"/>
      <c r="M613" s="82"/>
      <c r="N613" s="32"/>
    </row>
    <row r="614" spans="1:14" s="33" customFormat="1" ht="15.75" customHeight="1" x14ac:dyDescent="0.3">
      <c r="A614" s="101">
        <f t="shared" si="140"/>
        <v>4</v>
      </c>
      <c r="B614" s="102"/>
      <c r="C614" s="52">
        <v>3</v>
      </c>
      <c r="D614" s="53">
        <f t="shared" si="141"/>
        <v>1034.5280399999999</v>
      </c>
      <c r="E614" s="48">
        <v>0</v>
      </c>
      <c r="F614" s="48">
        <f>D614*(($F$203)+1)+(IF(E614&lt;101,E614,IF(E614&lt;201,E614/2,IF(E614&lt;=301,E614/3,E614/4))))</f>
        <v>1551.7920599999998</v>
      </c>
      <c r="G614" s="92"/>
      <c r="H614" s="94"/>
      <c r="I614" s="32"/>
      <c r="L614" s="82"/>
      <c r="M614" s="82"/>
      <c r="N614" s="32"/>
    </row>
    <row r="615" spans="1:14" s="33" customFormat="1" ht="15.75" customHeight="1" x14ac:dyDescent="0.3">
      <c r="A615" s="101">
        <f t="shared" si="140"/>
        <v>5</v>
      </c>
      <c r="B615" s="102"/>
      <c r="C615" s="107" t="s">
        <v>183</v>
      </c>
      <c r="D615" s="108"/>
      <c r="E615" s="108"/>
      <c r="F615" s="109"/>
      <c r="G615" s="92"/>
      <c r="H615" s="94"/>
      <c r="I615" s="32"/>
      <c r="L615" s="82"/>
      <c r="M615" s="82"/>
      <c r="N615" s="32"/>
    </row>
    <row r="616" spans="1:14" s="33" customFormat="1" ht="15.75" customHeight="1" x14ac:dyDescent="0.3">
      <c r="A616" s="101">
        <f t="shared" si="140"/>
        <v>6</v>
      </c>
      <c r="B616" s="102"/>
      <c r="C616" s="107" t="s">
        <v>222</v>
      </c>
      <c r="D616" s="108"/>
      <c r="E616" s="108"/>
      <c r="F616" s="109"/>
      <c r="G616" s="95"/>
      <c r="H616" s="97"/>
      <c r="I616" s="32"/>
      <c r="L616" s="82"/>
      <c r="M616" s="82"/>
      <c r="N616" s="32"/>
    </row>
    <row r="617" spans="1:14" s="33" customFormat="1" x14ac:dyDescent="0.3">
      <c r="A617" s="103" t="s">
        <v>246</v>
      </c>
      <c r="B617" s="104"/>
      <c r="C617" s="104"/>
      <c r="D617" s="104"/>
      <c r="E617" s="104"/>
      <c r="F617" s="104"/>
      <c r="G617" s="104"/>
      <c r="H617" s="105"/>
      <c r="J617" s="32"/>
    </row>
    <row r="618" spans="1:14" s="33" customFormat="1" ht="15.75" customHeight="1" x14ac:dyDescent="0.3">
      <c r="A618" s="101">
        <v>1</v>
      </c>
      <c r="B618" s="102"/>
      <c r="C618" s="52">
        <v>3</v>
      </c>
      <c r="D618" s="53">
        <f>(96.11)*10.764</f>
        <v>1034.5280399999999</v>
      </c>
      <c r="E618" s="48">
        <v>0</v>
      </c>
      <c r="F618" s="48">
        <f t="shared" ref="F618:F621" si="142">D618*(($F$203)+1)+(IF(E618&lt;101,E618,IF(E618&lt;201,E618/2,IF(E618&lt;=301,E618/3,E618/4))))</f>
        <v>1551.7920599999998</v>
      </c>
      <c r="G618" s="89" t="str">
        <f>A617</f>
        <v>6th, 9th to 13th, 16th to 21st, 24th to 28th, 31st to 34th Floor</v>
      </c>
      <c r="H618" s="91"/>
      <c r="I618" s="32">
        <f>(1.2*2+0.3*0.735+0.3*1.7+3.56*2.45+3.35*6.45+1.85*3.05+3.05*4.175+1.525*2.45+3.35*4.175+1.525*2.45+3.85*3.05+2.45*1.525+0.9*0.395+0.45*0.385+1*2.45+1.58*1.5+0.9*0.39)</f>
        <v>94.473500000000001</v>
      </c>
      <c r="L618" s="82"/>
      <c r="M618" s="82"/>
      <c r="N618" s="32"/>
    </row>
    <row r="619" spans="1:14" s="33" customFormat="1" ht="15.75" customHeight="1" x14ac:dyDescent="0.25">
      <c r="A619" s="101">
        <f t="shared" ref="A619:A623" si="143">A618+1</f>
        <v>2</v>
      </c>
      <c r="B619" s="102"/>
      <c r="C619" s="52">
        <v>3</v>
      </c>
      <c r="D619" s="53">
        <f t="shared" ref="D619:D623" si="144">(96.11)*10.764</f>
        <v>1034.5280399999999</v>
      </c>
      <c r="E619" s="48">
        <v>0</v>
      </c>
      <c r="F619" s="48">
        <f t="shared" si="142"/>
        <v>1551.7920599999998</v>
      </c>
      <c r="G619" s="92"/>
      <c r="H619" s="94"/>
      <c r="I619" s="57"/>
      <c r="L619" s="82"/>
      <c r="M619" s="82"/>
      <c r="N619" s="32"/>
    </row>
    <row r="620" spans="1:14" s="33" customFormat="1" ht="15.75" customHeight="1" x14ac:dyDescent="0.3">
      <c r="A620" s="101">
        <f t="shared" si="143"/>
        <v>3</v>
      </c>
      <c r="B620" s="102"/>
      <c r="C620" s="52">
        <v>3</v>
      </c>
      <c r="D620" s="53">
        <f t="shared" si="144"/>
        <v>1034.5280399999999</v>
      </c>
      <c r="E620" s="48">
        <v>0</v>
      </c>
      <c r="F620" s="48">
        <f t="shared" si="142"/>
        <v>1551.7920599999998</v>
      </c>
      <c r="G620" s="92"/>
      <c r="H620" s="94"/>
      <c r="I620" s="32"/>
      <c r="L620" s="82"/>
      <c r="M620" s="82"/>
      <c r="N620" s="32"/>
    </row>
    <row r="621" spans="1:14" s="33" customFormat="1" ht="15.75" customHeight="1" x14ac:dyDescent="0.3">
      <c r="A621" s="101">
        <f t="shared" si="143"/>
        <v>4</v>
      </c>
      <c r="B621" s="102"/>
      <c r="C621" s="52">
        <v>3</v>
      </c>
      <c r="D621" s="53">
        <f t="shared" si="144"/>
        <v>1034.5280399999999</v>
      </c>
      <c r="E621" s="48">
        <v>0</v>
      </c>
      <c r="F621" s="48">
        <f t="shared" si="142"/>
        <v>1551.7920599999998</v>
      </c>
      <c r="G621" s="92"/>
      <c r="H621" s="94"/>
      <c r="I621" s="32"/>
      <c r="L621" s="82"/>
      <c r="M621" s="82"/>
      <c r="N621" s="32"/>
    </row>
    <row r="622" spans="1:14" s="33" customFormat="1" ht="15.75" customHeight="1" x14ac:dyDescent="0.3">
      <c r="A622" s="101">
        <f t="shared" si="143"/>
        <v>5</v>
      </c>
      <c r="B622" s="102"/>
      <c r="C622" s="52">
        <v>3</v>
      </c>
      <c r="D622" s="53">
        <f t="shared" si="144"/>
        <v>1034.5280399999999</v>
      </c>
      <c r="E622" s="48">
        <v>0</v>
      </c>
      <c r="F622" s="48">
        <f t="shared" ref="F622:F623" si="145">D622*(($F$203)+1)+(IF(E622&lt;101,E622,IF(E622&lt;201,E622/2,IF(E622&lt;=301,E622/3,E622/4))))</f>
        <v>1551.7920599999998</v>
      </c>
      <c r="G622" s="92"/>
      <c r="H622" s="94"/>
      <c r="I622" s="32"/>
      <c r="L622" s="82"/>
      <c r="M622" s="82"/>
      <c r="N622" s="32"/>
    </row>
    <row r="623" spans="1:14" s="33" customFormat="1" ht="15.75" customHeight="1" x14ac:dyDescent="0.3">
      <c r="A623" s="101">
        <f t="shared" si="143"/>
        <v>6</v>
      </c>
      <c r="B623" s="102"/>
      <c r="C623" s="52">
        <v>3</v>
      </c>
      <c r="D623" s="53">
        <f t="shared" si="144"/>
        <v>1034.5280399999999</v>
      </c>
      <c r="E623" s="48">
        <v>0</v>
      </c>
      <c r="F623" s="48">
        <f t="shared" si="145"/>
        <v>1551.7920599999998</v>
      </c>
      <c r="G623" s="95"/>
      <c r="H623" s="97"/>
      <c r="I623" s="32"/>
      <c r="L623" s="82"/>
      <c r="M623" s="82"/>
      <c r="N623" s="32"/>
    </row>
    <row r="624" spans="1:14" s="33" customFormat="1" x14ac:dyDescent="0.3">
      <c r="A624" s="103" t="s">
        <v>258</v>
      </c>
      <c r="B624" s="104"/>
      <c r="C624" s="104"/>
      <c r="D624" s="104"/>
      <c r="E624" s="104"/>
      <c r="F624" s="104"/>
      <c r="G624" s="104"/>
      <c r="H624" s="105"/>
      <c r="J624" s="32"/>
    </row>
    <row r="625" spans="1:14" s="33" customFormat="1" ht="15.75" customHeight="1" x14ac:dyDescent="0.3">
      <c r="A625" s="101">
        <v>1</v>
      </c>
      <c r="B625" s="102"/>
      <c r="C625" s="52">
        <v>3</v>
      </c>
      <c r="D625" s="53">
        <f>(96.11)*10.764</f>
        <v>1034.5280399999999</v>
      </c>
      <c r="E625" s="48">
        <v>0</v>
      </c>
      <c r="F625" s="48">
        <f t="shared" ref="F625:F630" si="146">D625*(($F$203)+1)+(IF(E625&lt;101,E625,IF(E625&lt;201,E625/2,IF(E625&lt;=301,E625/3,E625/4))))</f>
        <v>1551.7920599999998</v>
      </c>
      <c r="G625" s="89" t="str">
        <f>A624</f>
        <v>14th &amp; 29th Floor</v>
      </c>
      <c r="H625" s="91"/>
      <c r="I625" s="32">
        <f>(1.2*2+0.3*0.735+0.3*1.7+3.56*2.45+3.35*6.45+1.85*3.05+3.05*4.175+1.525*2.45+3.35*4.175+1.525*2.45+3.85*3.05+2.45*1.525+0.9*0.395+0.45*0.385+1*2.45+1.58*1.5+0.9*0.39)</f>
        <v>94.473500000000001</v>
      </c>
      <c r="L625" s="82"/>
      <c r="M625" s="82"/>
      <c r="N625" s="32"/>
    </row>
    <row r="626" spans="1:14" s="33" customFormat="1" ht="15.75" customHeight="1" x14ac:dyDescent="0.25">
      <c r="A626" s="101">
        <f t="shared" ref="A626:A630" si="147">A625+1</f>
        <v>2</v>
      </c>
      <c r="B626" s="102"/>
      <c r="C626" s="52">
        <v>3</v>
      </c>
      <c r="D626" s="53">
        <f t="shared" ref="D626:D629" si="148">(96.11)*10.764</f>
        <v>1034.5280399999999</v>
      </c>
      <c r="E626" s="48">
        <v>0</v>
      </c>
      <c r="F626" s="48">
        <f t="shared" si="146"/>
        <v>1551.7920599999998</v>
      </c>
      <c r="G626" s="92"/>
      <c r="H626" s="94"/>
      <c r="I626" s="57"/>
      <c r="L626" s="82"/>
      <c r="M626" s="82"/>
      <c r="N626" s="32"/>
    </row>
    <row r="627" spans="1:14" s="33" customFormat="1" ht="15.75" customHeight="1" x14ac:dyDescent="0.3">
      <c r="A627" s="101">
        <f t="shared" si="147"/>
        <v>3</v>
      </c>
      <c r="B627" s="102"/>
      <c r="C627" s="52">
        <v>3</v>
      </c>
      <c r="D627" s="53">
        <f t="shared" si="148"/>
        <v>1034.5280399999999</v>
      </c>
      <c r="E627" s="48">
        <v>0</v>
      </c>
      <c r="F627" s="48">
        <f t="shared" si="146"/>
        <v>1551.7920599999998</v>
      </c>
      <c r="G627" s="92"/>
      <c r="H627" s="94"/>
      <c r="I627" s="32"/>
      <c r="L627" s="82"/>
      <c r="M627" s="82"/>
      <c r="N627" s="32"/>
    </row>
    <row r="628" spans="1:14" s="33" customFormat="1" ht="15.75" customHeight="1" x14ac:dyDescent="0.3">
      <c r="A628" s="101">
        <f t="shared" si="147"/>
        <v>4</v>
      </c>
      <c r="B628" s="102"/>
      <c r="C628" s="52">
        <v>3</v>
      </c>
      <c r="D628" s="53">
        <f t="shared" si="148"/>
        <v>1034.5280399999999</v>
      </c>
      <c r="E628" s="48">
        <v>0</v>
      </c>
      <c r="F628" s="48">
        <f t="shared" si="146"/>
        <v>1551.7920599999998</v>
      </c>
      <c r="G628" s="92"/>
      <c r="H628" s="94"/>
      <c r="I628" s="32"/>
      <c r="L628" s="82"/>
      <c r="M628" s="82"/>
      <c r="N628" s="32"/>
    </row>
    <row r="629" spans="1:14" s="33" customFormat="1" ht="15.75" customHeight="1" x14ac:dyDescent="0.3">
      <c r="A629" s="101">
        <f t="shared" si="147"/>
        <v>5</v>
      </c>
      <c r="B629" s="102"/>
      <c r="C629" s="52">
        <v>3</v>
      </c>
      <c r="D629" s="53">
        <f t="shared" si="148"/>
        <v>1034.5280399999999</v>
      </c>
      <c r="E629" s="48">
        <v>0</v>
      </c>
      <c r="F629" s="48">
        <f t="shared" si="146"/>
        <v>1551.7920599999998</v>
      </c>
      <c r="G629" s="92"/>
      <c r="H629" s="94"/>
      <c r="I629" s="32"/>
      <c r="L629" s="82"/>
      <c r="M629" s="82"/>
      <c r="N629" s="32"/>
    </row>
    <row r="630" spans="1:14" s="33" customFormat="1" ht="62.25" customHeight="1" x14ac:dyDescent="0.3">
      <c r="A630" s="101">
        <f t="shared" si="147"/>
        <v>6</v>
      </c>
      <c r="B630" s="102"/>
      <c r="C630" s="52" t="s">
        <v>260</v>
      </c>
      <c r="D630" s="53">
        <f>(96.66+61.37)*10.764</f>
        <v>1701.0349199999998</v>
      </c>
      <c r="E630" s="48">
        <v>0</v>
      </c>
      <c r="F630" s="48">
        <f t="shared" si="146"/>
        <v>2551.5523799999996</v>
      </c>
      <c r="G630" s="95"/>
      <c r="H630" s="97"/>
      <c r="I630" s="32"/>
      <c r="L630" s="82"/>
      <c r="M630" s="82"/>
      <c r="N630" s="32"/>
    </row>
    <row r="631" spans="1:14" s="33" customFormat="1" x14ac:dyDescent="0.3">
      <c r="A631" s="103" t="s">
        <v>225</v>
      </c>
      <c r="B631" s="104"/>
      <c r="C631" s="104"/>
      <c r="D631" s="104"/>
      <c r="E631" s="104"/>
      <c r="F631" s="104"/>
      <c r="G631" s="104"/>
      <c r="H631" s="105"/>
      <c r="J631" s="32"/>
    </row>
    <row r="632" spans="1:14" s="33" customFormat="1" ht="15.75" customHeight="1" x14ac:dyDescent="0.3">
      <c r="A632" s="101">
        <v>1</v>
      </c>
      <c r="B632" s="102"/>
      <c r="C632" s="52">
        <v>3</v>
      </c>
      <c r="D632" s="53">
        <f>(96.11)*10.764</f>
        <v>1034.5280399999999</v>
      </c>
      <c r="E632" s="48">
        <v>0</v>
      </c>
      <c r="F632" s="48">
        <f>D632*(($F$203)+1)+(IF(E632&lt;101,E632,IF(E632&lt;201,E632/2,IF(E632&lt;=301,E632/3,E632/4))))</f>
        <v>1551.7920599999998</v>
      </c>
      <c r="G632" s="89" t="str">
        <f>A631</f>
        <v>22nd Floor (Part Refuge Area)</v>
      </c>
      <c r="H632" s="91"/>
      <c r="I632" s="32">
        <f>(1.2*2+0.3*0.735+0.3*1.7+3.56*2.45+3.35*6.45+1.85*3.05+3.05*4.175+1.525*2.45+3.35*4.175+1.525*2.45+3.85*3.05+2.45*1.525+0.9*0.395+0.45*0.385+1*2.45+1.58*1.5+0.9*0.39)</f>
        <v>94.473500000000001</v>
      </c>
      <c r="L632" s="82"/>
      <c r="M632" s="82"/>
      <c r="N632" s="32"/>
    </row>
    <row r="633" spans="1:14" s="33" customFormat="1" ht="15.75" customHeight="1" x14ac:dyDescent="0.25">
      <c r="A633" s="101">
        <f t="shared" ref="A633:A637" si="149">A632+1</f>
        <v>2</v>
      </c>
      <c r="B633" s="102"/>
      <c r="C633" s="52">
        <v>3</v>
      </c>
      <c r="D633" s="53">
        <f t="shared" ref="D633:D635" si="150">(96.11)*10.764</f>
        <v>1034.5280399999999</v>
      </c>
      <c r="E633" s="48">
        <v>0</v>
      </c>
      <c r="F633" s="48">
        <f>D633*(($F$203)+1)+(IF(E633&lt;101,E633,IF(E633&lt;201,E633/2,IF(E633&lt;=301,E633/3,E633/4))))</f>
        <v>1551.7920599999998</v>
      </c>
      <c r="G633" s="92"/>
      <c r="H633" s="94"/>
      <c r="I633" s="57"/>
      <c r="L633" s="82"/>
      <c r="M633" s="82"/>
      <c r="N633" s="32"/>
    </row>
    <row r="634" spans="1:14" s="33" customFormat="1" ht="15.75" customHeight="1" x14ac:dyDescent="0.3">
      <c r="A634" s="101">
        <f t="shared" si="149"/>
        <v>3</v>
      </c>
      <c r="B634" s="102"/>
      <c r="C634" s="52">
        <v>3</v>
      </c>
      <c r="D634" s="53">
        <f t="shared" si="150"/>
        <v>1034.5280399999999</v>
      </c>
      <c r="E634" s="48">
        <v>0</v>
      </c>
      <c r="F634" s="48">
        <f>D634*(($F$203)+1)+(IF(E634&lt;101,E634,IF(E634&lt;201,E634/2,IF(E634&lt;=301,E634/3,E634/4))))</f>
        <v>1551.7920599999998</v>
      </c>
      <c r="G634" s="92"/>
      <c r="H634" s="94"/>
      <c r="I634" s="32"/>
      <c r="L634" s="82"/>
      <c r="M634" s="82"/>
      <c r="N634" s="32"/>
    </row>
    <row r="635" spans="1:14" s="33" customFormat="1" ht="15.75" customHeight="1" x14ac:dyDescent="0.3">
      <c r="A635" s="101">
        <f t="shared" si="149"/>
        <v>4</v>
      </c>
      <c r="B635" s="102"/>
      <c r="C635" s="52">
        <v>3</v>
      </c>
      <c r="D635" s="53">
        <f t="shared" si="150"/>
        <v>1034.5280399999999</v>
      </c>
      <c r="E635" s="48">
        <v>0</v>
      </c>
      <c r="F635" s="48">
        <f>D635*(($F$203)+1)+(IF(E635&lt;101,E635,IF(E635&lt;201,E635/2,IF(E635&lt;=301,E635/3,E635/4))))</f>
        <v>1551.7920599999998</v>
      </c>
      <c r="G635" s="92"/>
      <c r="H635" s="94"/>
      <c r="I635" s="32"/>
      <c r="L635" s="82"/>
      <c r="M635" s="82"/>
      <c r="N635" s="32"/>
    </row>
    <row r="636" spans="1:14" s="33" customFormat="1" ht="15.75" customHeight="1" x14ac:dyDescent="0.3">
      <c r="A636" s="101">
        <f t="shared" si="149"/>
        <v>5</v>
      </c>
      <c r="B636" s="102"/>
      <c r="C636" s="118" t="s">
        <v>183</v>
      </c>
      <c r="D636" s="119"/>
      <c r="E636" s="119"/>
      <c r="F636" s="120"/>
      <c r="G636" s="92"/>
      <c r="H636" s="94"/>
      <c r="I636" s="32"/>
      <c r="L636" s="82"/>
      <c r="M636" s="82"/>
      <c r="N636" s="32"/>
    </row>
    <row r="637" spans="1:14" s="33" customFormat="1" ht="15.75" customHeight="1" x14ac:dyDescent="0.3">
      <c r="A637" s="101">
        <f t="shared" si="149"/>
        <v>6</v>
      </c>
      <c r="B637" s="102"/>
      <c r="C637" s="121"/>
      <c r="D637" s="122"/>
      <c r="E637" s="122"/>
      <c r="F637" s="123"/>
      <c r="G637" s="95"/>
      <c r="H637" s="97"/>
      <c r="I637" s="32"/>
      <c r="L637" s="82"/>
      <c r="M637" s="82"/>
      <c r="N637" s="32"/>
    </row>
    <row r="638" spans="1:14" s="33" customFormat="1" x14ac:dyDescent="0.3">
      <c r="A638" s="103" t="s">
        <v>226</v>
      </c>
      <c r="B638" s="104"/>
      <c r="C638" s="104"/>
      <c r="D638" s="104"/>
      <c r="E638" s="104"/>
      <c r="F638" s="104"/>
      <c r="G638" s="104"/>
      <c r="H638" s="105"/>
      <c r="J638" s="32"/>
    </row>
    <row r="639" spans="1:14" s="33" customFormat="1" x14ac:dyDescent="0.3">
      <c r="A639" s="103" t="s">
        <v>227</v>
      </c>
      <c r="B639" s="104"/>
      <c r="C639" s="104"/>
      <c r="D639" s="104"/>
      <c r="E639" s="104"/>
      <c r="F639" s="104"/>
      <c r="G639" s="104"/>
      <c r="H639" s="105"/>
      <c r="J639" s="32"/>
    </row>
    <row r="640" spans="1:14" s="33" customFormat="1" ht="15.75" customHeight="1" x14ac:dyDescent="0.3">
      <c r="A640" s="101">
        <v>1</v>
      </c>
      <c r="B640" s="102"/>
      <c r="C640" s="52">
        <v>3</v>
      </c>
      <c r="D640" s="53">
        <f>(96.11)*10.764</f>
        <v>1034.5280399999999</v>
      </c>
      <c r="E640" s="48">
        <v>0</v>
      </c>
      <c r="F640" s="48">
        <f t="shared" ref="F640:F643" si="151">D640*(($F$203)+1)+(IF(E640&lt;101,E640,IF(E640&lt;201,E640/2,IF(E640&lt;=301,E640/3,E640/4))))</f>
        <v>1551.7920599999998</v>
      </c>
      <c r="G640" s="89" t="str">
        <f>A639</f>
        <v>30th Floor (Part Refuge Area)</v>
      </c>
      <c r="H640" s="91"/>
      <c r="I640" s="32">
        <f>(1.2*2+0.3*0.735+0.3*1.7+3.56*2.45+3.35*6.45+1.85*3.05+3.05*4.175+1.525*2.45+3.35*4.175+1.525*2.45+3.85*3.05+2.45*1.525+0.9*0.395+0.45*0.385+1*2.45+1.58*1.5+0.9*0.39)</f>
        <v>94.473500000000001</v>
      </c>
      <c r="L640" s="82"/>
      <c r="M640" s="82"/>
      <c r="N640" s="32"/>
    </row>
    <row r="641" spans="1:14" s="33" customFormat="1" ht="15.75" customHeight="1" x14ac:dyDescent="0.25">
      <c r="A641" s="101">
        <f t="shared" ref="A641:A645" si="152">A640+1</f>
        <v>2</v>
      </c>
      <c r="B641" s="102"/>
      <c r="C641" s="52">
        <v>3</v>
      </c>
      <c r="D641" s="53">
        <f t="shared" ref="D641:D643" si="153">(96.11)*10.764</f>
        <v>1034.5280399999999</v>
      </c>
      <c r="E641" s="48">
        <v>0</v>
      </c>
      <c r="F641" s="48">
        <f t="shared" si="151"/>
        <v>1551.7920599999998</v>
      </c>
      <c r="G641" s="92"/>
      <c r="H641" s="94"/>
      <c r="I641" s="57"/>
      <c r="L641" s="82"/>
      <c r="M641" s="82"/>
      <c r="N641" s="32"/>
    </row>
    <row r="642" spans="1:14" s="33" customFormat="1" ht="15.75" customHeight="1" x14ac:dyDescent="0.3">
      <c r="A642" s="101">
        <f t="shared" si="152"/>
        <v>3</v>
      </c>
      <c r="B642" s="102"/>
      <c r="C642" s="52">
        <v>3</v>
      </c>
      <c r="D642" s="53">
        <f t="shared" si="153"/>
        <v>1034.5280399999999</v>
      </c>
      <c r="E642" s="48">
        <v>0</v>
      </c>
      <c r="F642" s="48">
        <f t="shared" si="151"/>
        <v>1551.7920599999998</v>
      </c>
      <c r="G642" s="92"/>
      <c r="H642" s="94"/>
      <c r="I642" s="32"/>
      <c r="L642" s="82"/>
      <c r="M642" s="82"/>
      <c r="N642" s="32"/>
    </row>
    <row r="643" spans="1:14" s="33" customFormat="1" ht="15.75" customHeight="1" x14ac:dyDescent="0.3">
      <c r="A643" s="101">
        <f t="shared" si="152"/>
        <v>4</v>
      </c>
      <c r="B643" s="102"/>
      <c r="C643" s="52">
        <v>3</v>
      </c>
      <c r="D643" s="53">
        <f t="shared" si="153"/>
        <v>1034.5280399999999</v>
      </c>
      <c r="E643" s="48">
        <v>0</v>
      </c>
      <c r="F643" s="48">
        <f t="shared" si="151"/>
        <v>1551.7920599999998</v>
      </c>
      <c r="G643" s="92"/>
      <c r="H643" s="94"/>
      <c r="I643" s="32"/>
      <c r="L643" s="82"/>
      <c r="M643" s="82"/>
      <c r="N643" s="32"/>
    </row>
    <row r="644" spans="1:14" s="33" customFormat="1" ht="15.75" customHeight="1" x14ac:dyDescent="0.3">
      <c r="A644" s="101">
        <f t="shared" si="152"/>
        <v>5</v>
      </c>
      <c r="B644" s="102"/>
      <c r="C644" s="118" t="s">
        <v>183</v>
      </c>
      <c r="D644" s="119"/>
      <c r="E644" s="119"/>
      <c r="F644" s="120"/>
      <c r="G644" s="92"/>
      <c r="H644" s="94"/>
      <c r="I644" s="32"/>
      <c r="L644" s="82"/>
      <c r="M644" s="82"/>
      <c r="N644" s="32"/>
    </row>
    <row r="645" spans="1:14" s="33" customFormat="1" ht="15.75" customHeight="1" x14ac:dyDescent="0.3">
      <c r="A645" s="101">
        <f t="shared" si="152"/>
        <v>6</v>
      </c>
      <c r="B645" s="102"/>
      <c r="C645" s="124" t="s">
        <v>228</v>
      </c>
      <c r="D645" s="124"/>
      <c r="E645" s="124"/>
      <c r="F645" s="124"/>
      <c r="G645" s="95"/>
      <c r="H645" s="97"/>
      <c r="I645" s="32"/>
      <c r="L645" s="82"/>
      <c r="M645" s="82"/>
      <c r="N645" s="32"/>
    </row>
    <row r="646" spans="1:14" s="33" customFormat="1" x14ac:dyDescent="0.3">
      <c r="A646" s="103" t="s">
        <v>241</v>
      </c>
      <c r="B646" s="104"/>
      <c r="C646" s="104"/>
      <c r="D646" s="104"/>
      <c r="E646" s="104"/>
      <c r="F646" s="104"/>
      <c r="G646" s="104"/>
      <c r="H646" s="105"/>
      <c r="J646" s="32"/>
    </row>
    <row r="647" spans="1:14" s="33" customFormat="1" ht="15.75" customHeight="1" x14ac:dyDescent="0.3">
      <c r="A647" s="101">
        <v>1</v>
      </c>
      <c r="B647" s="102"/>
      <c r="C647" s="52">
        <v>3</v>
      </c>
      <c r="D647" s="53">
        <f>(101.64)*10.764</f>
        <v>1094.05296</v>
      </c>
      <c r="E647" s="48">
        <v>0</v>
      </c>
      <c r="F647" s="48">
        <f t="shared" ref="F647:F650" si="154">D647*(($F$203)+1)+(IF(E647&lt;101,E647,IF(E647&lt;201,E647/2,IF(E647&lt;=301,E647/3,E647/4))))</f>
        <v>1641.07944</v>
      </c>
      <c r="G647" s="89" t="str">
        <f>A646</f>
        <v>35th, 38th to 43rd, 45th, 47th to 50th, 53rd to 58th, 60th &amp; 61th Floor</v>
      </c>
      <c r="H647" s="91"/>
      <c r="I647" s="32">
        <f>(1.2*2+0.3*0.735+0.3*1.7+3.56*2.45+3.35*6.45+1.85*3.05+3.05*4.175+1.525*2.45+3.35*4.175+1.525*2.45+3.85*3.05+2.45*1.525+0.9*0.395+0.45*0.385+1*2.45+1.58*1.5+0.9*0.39)</f>
        <v>94.473500000000001</v>
      </c>
      <c r="L647" s="82"/>
      <c r="M647" s="82"/>
      <c r="N647" s="32"/>
    </row>
    <row r="648" spans="1:14" s="33" customFormat="1" ht="15.75" customHeight="1" x14ac:dyDescent="0.25">
      <c r="A648" s="101">
        <f t="shared" ref="A648:A652" si="155">A647+1</f>
        <v>2</v>
      </c>
      <c r="B648" s="102"/>
      <c r="C648" s="52">
        <v>3</v>
      </c>
      <c r="D648" s="53">
        <f t="shared" ref="D648:D652" si="156">(101.64)*10.764</f>
        <v>1094.05296</v>
      </c>
      <c r="E648" s="48">
        <v>0</v>
      </c>
      <c r="F648" s="48">
        <f t="shared" si="154"/>
        <v>1641.07944</v>
      </c>
      <c r="G648" s="92"/>
      <c r="H648" s="94"/>
      <c r="I648" s="57"/>
      <c r="L648" s="82"/>
      <c r="M648" s="82"/>
      <c r="N648" s="32"/>
    </row>
    <row r="649" spans="1:14" s="33" customFormat="1" ht="15.75" customHeight="1" x14ac:dyDescent="0.3">
      <c r="A649" s="101">
        <f t="shared" si="155"/>
        <v>3</v>
      </c>
      <c r="B649" s="102"/>
      <c r="C649" s="52">
        <v>3</v>
      </c>
      <c r="D649" s="53">
        <f t="shared" si="156"/>
        <v>1094.05296</v>
      </c>
      <c r="E649" s="48">
        <v>0</v>
      </c>
      <c r="F649" s="48">
        <f t="shared" si="154"/>
        <v>1641.07944</v>
      </c>
      <c r="G649" s="92"/>
      <c r="H649" s="94"/>
      <c r="I649" s="32"/>
      <c r="L649" s="82"/>
      <c r="M649" s="82"/>
      <c r="N649" s="32"/>
    </row>
    <row r="650" spans="1:14" s="33" customFormat="1" ht="15.75" customHeight="1" x14ac:dyDescent="0.3">
      <c r="A650" s="101">
        <f t="shared" si="155"/>
        <v>4</v>
      </c>
      <c r="B650" s="102"/>
      <c r="C650" s="52">
        <v>3</v>
      </c>
      <c r="D650" s="53">
        <f t="shared" si="156"/>
        <v>1094.05296</v>
      </c>
      <c r="E650" s="48">
        <v>0</v>
      </c>
      <c r="F650" s="48">
        <f t="shared" si="154"/>
        <v>1641.07944</v>
      </c>
      <c r="G650" s="92"/>
      <c r="H650" s="94"/>
      <c r="I650" s="32"/>
      <c r="L650" s="82"/>
      <c r="M650" s="82"/>
      <c r="N650" s="32"/>
    </row>
    <row r="651" spans="1:14" s="33" customFormat="1" ht="15.75" customHeight="1" x14ac:dyDescent="0.3">
      <c r="A651" s="101">
        <f t="shared" si="155"/>
        <v>5</v>
      </c>
      <c r="B651" s="102"/>
      <c r="C651" s="52">
        <v>3</v>
      </c>
      <c r="D651" s="53">
        <f t="shared" si="156"/>
        <v>1094.05296</v>
      </c>
      <c r="E651" s="48">
        <v>0</v>
      </c>
      <c r="F651" s="48">
        <f t="shared" ref="F651:F652" si="157">D651*(($F$203)+1)+(IF(E651&lt;101,E651,IF(E651&lt;201,E651/2,IF(E651&lt;=301,E651/3,E651/4))))</f>
        <v>1641.07944</v>
      </c>
      <c r="G651" s="92"/>
      <c r="H651" s="94"/>
      <c r="I651" s="32"/>
      <c r="L651" s="82"/>
      <c r="M651" s="82"/>
      <c r="N651" s="32"/>
    </row>
    <row r="652" spans="1:14" s="33" customFormat="1" ht="15.75" customHeight="1" x14ac:dyDescent="0.3">
      <c r="A652" s="101">
        <f t="shared" si="155"/>
        <v>6</v>
      </c>
      <c r="B652" s="102"/>
      <c r="C652" s="52">
        <v>3</v>
      </c>
      <c r="D652" s="53">
        <f t="shared" si="156"/>
        <v>1094.05296</v>
      </c>
      <c r="E652" s="48">
        <v>0</v>
      </c>
      <c r="F652" s="48">
        <f t="shared" si="157"/>
        <v>1641.07944</v>
      </c>
      <c r="G652" s="95"/>
      <c r="H652" s="97"/>
      <c r="I652" s="32"/>
      <c r="L652" s="82"/>
      <c r="M652" s="82"/>
      <c r="N652" s="32"/>
    </row>
    <row r="653" spans="1:14" s="33" customFormat="1" x14ac:dyDescent="0.3">
      <c r="A653" s="103" t="s">
        <v>229</v>
      </c>
      <c r="B653" s="104"/>
      <c r="C653" s="104"/>
      <c r="D653" s="104"/>
      <c r="E653" s="104"/>
      <c r="F653" s="104"/>
      <c r="G653" s="104"/>
      <c r="H653" s="105"/>
      <c r="J653" s="32"/>
    </row>
    <row r="654" spans="1:14" s="33" customFormat="1" ht="15.75" customHeight="1" x14ac:dyDescent="0.3">
      <c r="A654" s="101">
        <v>1</v>
      </c>
      <c r="B654" s="102"/>
      <c r="C654" s="52">
        <v>3</v>
      </c>
      <c r="D654" s="53">
        <f>(101.64)*10.764</f>
        <v>1094.05296</v>
      </c>
      <c r="E654" s="48">
        <v>0</v>
      </c>
      <c r="F654" s="48">
        <f>D654*(($F$203)+1)+(IF(E654&lt;101,E654,IF(E654&lt;201,E654/2,IF(E654&lt;=301,E654/3,E654/4))))</f>
        <v>1641.07944</v>
      </c>
      <c r="G654" s="89" t="str">
        <f>A653</f>
        <v>44th Floor (Part Refuge Area)</v>
      </c>
      <c r="H654" s="91"/>
      <c r="I654" s="32">
        <f>(1.2*2+0.3*0.735+0.3*1.7+3.56*2.45+3.35*6.45+1.85*3.05+3.05*4.175+1.525*2.45+3.35*4.175+1.525*2.45+3.85*3.05+2.45*1.525+0.9*0.395+0.45*0.385+1*2.45+1.58*1.5+0.9*0.39)</f>
        <v>94.473500000000001</v>
      </c>
      <c r="L654" s="82"/>
      <c r="M654" s="82"/>
      <c r="N654" s="32"/>
    </row>
    <row r="655" spans="1:14" s="33" customFormat="1" ht="15.75" customHeight="1" x14ac:dyDescent="0.25">
      <c r="A655" s="101">
        <f t="shared" ref="A655:A659" si="158">A654+1</f>
        <v>2</v>
      </c>
      <c r="B655" s="102"/>
      <c r="C655" s="52">
        <v>3</v>
      </c>
      <c r="D655" s="53">
        <f t="shared" ref="D655:D657" si="159">(101.64)*10.764</f>
        <v>1094.05296</v>
      </c>
      <c r="E655" s="48">
        <v>0</v>
      </c>
      <c r="F655" s="48">
        <f>D655*(($F$203)+1)+(IF(E655&lt;101,E655,IF(E655&lt;201,E655/2,IF(E655&lt;=301,E655/3,E655/4))))</f>
        <v>1641.07944</v>
      </c>
      <c r="G655" s="92"/>
      <c r="H655" s="94"/>
      <c r="I655" s="57"/>
      <c r="L655" s="82"/>
      <c r="M655" s="82"/>
      <c r="N655" s="32"/>
    </row>
    <row r="656" spans="1:14" s="33" customFormat="1" ht="15.75" customHeight="1" x14ac:dyDescent="0.3">
      <c r="A656" s="101">
        <f t="shared" si="158"/>
        <v>3</v>
      </c>
      <c r="B656" s="102"/>
      <c r="C656" s="52">
        <v>3</v>
      </c>
      <c r="D656" s="53">
        <f t="shared" si="159"/>
        <v>1094.05296</v>
      </c>
      <c r="E656" s="48">
        <v>0</v>
      </c>
      <c r="F656" s="48">
        <f>D656*(($F$203)+1)+(IF(E656&lt;101,E656,IF(E656&lt;201,E656/2,IF(E656&lt;=301,E656/3,E656/4))))</f>
        <v>1641.07944</v>
      </c>
      <c r="G656" s="92"/>
      <c r="H656" s="94"/>
      <c r="I656" s="32"/>
      <c r="L656" s="82"/>
      <c r="M656" s="82"/>
      <c r="N656" s="32"/>
    </row>
    <row r="657" spans="1:14" s="33" customFormat="1" ht="15.75" customHeight="1" x14ac:dyDescent="0.3">
      <c r="A657" s="101">
        <f t="shared" si="158"/>
        <v>4</v>
      </c>
      <c r="B657" s="102"/>
      <c r="C657" s="52">
        <v>3</v>
      </c>
      <c r="D657" s="53">
        <f t="shared" si="159"/>
        <v>1094.05296</v>
      </c>
      <c r="E657" s="48">
        <v>0</v>
      </c>
      <c r="F657" s="48">
        <f>D657*(($F$203)+1)+(IF(E657&lt;101,E657,IF(E657&lt;201,E657/2,IF(E657&lt;=301,E657/3,E657/4))))</f>
        <v>1641.07944</v>
      </c>
      <c r="G657" s="92"/>
      <c r="H657" s="94"/>
      <c r="I657" s="32"/>
      <c r="L657" s="82"/>
      <c r="M657" s="82"/>
      <c r="N657" s="32"/>
    </row>
    <row r="658" spans="1:14" s="33" customFormat="1" ht="15.75" customHeight="1" x14ac:dyDescent="0.3">
      <c r="A658" s="101">
        <f t="shared" si="158"/>
        <v>5</v>
      </c>
      <c r="B658" s="102"/>
      <c r="C658" s="118" t="s">
        <v>183</v>
      </c>
      <c r="D658" s="119"/>
      <c r="E658" s="119"/>
      <c r="F658" s="120"/>
      <c r="G658" s="92"/>
      <c r="H658" s="94"/>
      <c r="I658" s="32"/>
      <c r="L658" s="82"/>
      <c r="M658" s="82"/>
      <c r="N658" s="32"/>
    </row>
    <row r="659" spans="1:14" s="33" customFormat="1" ht="15.75" customHeight="1" x14ac:dyDescent="0.3">
      <c r="A659" s="101">
        <f t="shared" si="158"/>
        <v>6</v>
      </c>
      <c r="B659" s="102"/>
      <c r="C659" s="121"/>
      <c r="D659" s="122"/>
      <c r="E659" s="122"/>
      <c r="F659" s="123"/>
      <c r="G659" s="95"/>
      <c r="H659" s="97"/>
      <c r="I659" s="32"/>
      <c r="L659" s="82"/>
      <c r="M659" s="82"/>
      <c r="N659" s="32"/>
    </row>
    <row r="660" spans="1:14" s="33" customFormat="1" x14ac:dyDescent="0.3">
      <c r="A660" s="103" t="s">
        <v>230</v>
      </c>
      <c r="B660" s="104"/>
      <c r="C660" s="104"/>
      <c r="D660" s="104"/>
      <c r="E660" s="104"/>
      <c r="F660" s="104"/>
      <c r="G660" s="104"/>
      <c r="H660" s="105"/>
      <c r="J660" s="32"/>
    </row>
    <row r="661" spans="1:14" s="33" customFormat="1" x14ac:dyDescent="0.3">
      <c r="A661" s="103" t="s">
        <v>231</v>
      </c>
      <c r="B661" s="104"/>
      <c r="C661" s="104"/>
      <c r="D661" s="104"/>
      <c r="E661" s="104"/>
      <c r="F661" s="104"/>
      <c r="G661" s="104"/>
      <c r="H661" s="105"/>
      <c r="J661" s="32"/>
    </row>
    <row r="662" spans="1:14" s="33" customFormat="1" ht="15.75" customHeight="1" x14ac:dyDescent="0.3">
      <c r="A662" s="101">
        <v>1</v>
      </c>
      <c r="B662" s="102"/>
      <c r="C662" s="52">
        <v>3</v>
      </c>
      <c r="D662" s="53">
        <f>(101.64)*10.764</f>
        <v>1094.05296</v>
      </c>
      <c r="E662" s="48">
        <v>0</v>
      </c>
      <c r="F662" s="48">
        <f t="shared" ref="F662:F665" si="160">D662*(($F$203)+1)+(IF(E662&lt;101,E662,IF(E662&lt;201,E662/2,IF(E662&lt;=301,E662/3,E662/4))))</f>
        <v>1641.07944</v>
      </c>
      <c r="G662" s="89" t="str">
        <f>A661</f>
        <v>36th &amp; 51st Floor</v>
      </c>
      <c r="H662" s="91"/>
      <c r="I662" s="32">
        <f>(1.2*2+0.3*0.735+0.3*1.7+3.56*2.45+3.35*6.45+1.85*3.05+3.05*4.175+1.525*2.45+3.35*4.175+1.525*2.45+3.85*3.05+2.45*1.525+0.9*0.395+0.45*0.385+1*2.45+1.58*1.5+0.9*0.39)</f>
        <v>94.473500000000001</v>
      </c>
      <c r="L662" s="82"/>
      <c r="M662" s="82"/>
      <c r="N662" s="32"/>
    </row>
    <row r="663" spans="1:14" s="33" customFormat="1" ht="15.75" customHeight="1" x14ac:dyDescent="0.25">
      <c r="A663" s="101">
        <f t="shared" ref="A663:A667" si="161">A662+1</f>
        <v>2</v>
      </c>
      <c r="B663" s="102"/>
      <c r="C663" s="52">
        <v>3</v>
      </c>
      <c r="D663" s="53">
        <f t="shared" ref="D663:D666" si="162">(101.64)*10.764</f>
        <v>1094.05296</v>
      </c>
      <c r="E663" s="48">
        <v>0</v>
      </c>
      <c r="F663" s="48">
        <f t="shared" si="160"/>
        <v>1641.07944</v>
      </c>
      <c r="G663" s="92"/>
      <c r="H663" s="94"/>
      <c r="I663" s="57"/>
      <c r="L663" s="82"/>
      <c r="M663" s="82"/>
      <c r="N663" s="32"/>
    </row>
    <row r="664" spans="1:14" s="33" customFormat="1" ht="15.75" customHeight="1" x14ac:dyDescent="0.3">
      <c r="A664" s="101">
        <f t="shared" si="161"/>
        <v>3</v>
      </c>
      <c r="B664" s="102"/>
      <c r="C664" s="52">
        <v>3</v>
      </c>
      <c r="D664" s="53">
        <f t="shared" si="162"/>
        <v>1094.05296</v>
      </c>
      <c r="E664" s="48">
        <v>0</v>
      </c>
      <c r="F664" s="48">
        <f t="shared" si="160"/>
        <v>1641.07944</v>
      </c>
      <c r="G664" s="92"/>
      <c r="H664" s="94"/>
      <c r="I664" s="32"/>
      <c r="L664" s="82"/>
      <c r="M664" s="82"/>
      <c r="N664" s="32"/>
    </row>
    <row r="665" spans="1:14" s="33" customFormat="1" ht="15.75" customHeight="1" x14ac:dyDescent="0.3">
      <c r="A665" s="101">
        <f t="shared" si="161"/>
        <v>4</v>
      </c>
      <c r="B665" s="102"/>
      <c r="C665" s="52">
        <v>3</v>
      </c>
      <c r="D665" s="53">
        <f t="shared" si="162"/>
        <v>1094.05296</v>
      </c>
      <c r="E665" s="48">
        <v>0</v>
      </c>
      <c r="F665" s="48">
        <f t="shared" si="160"/>
        <v>1641.07944</v>
      </c>
      <c r="G665" s="92"/>
      <c r="H665" s="94"/>
      <c r="I665" s="32"/>
      <c r="L665" s="82"/>
      <c r="M665" s="82"/>
      <c r="N665" s="32"/>
    </row>
    <row r="666" spans="1:14" s="33" customFormat="1" ht="15.75" customHeight="1" x14ac:dyDescent="0.3">
      <c r="A666" s="101">
        <f t="shared" si="161"/>
        <v>5</v>
      </c>
      <c r="B666" s="102"/>
      <c r="C666" s="52">
        <v>3</v>
      </c>
      <c r="D666" s="53">
        <f t="shared" si="162"/>
        <v>1094.05296</v>
      </c>
      <c r="E666" s="48">
        <v>0</v>
      </c>
      <c r="F666" s="48">
        <f t="shared" ref="F666:F667" si="163">D666*(($F$203)+1)+(IF(E666&lt;101,E666,IF(E666&lt;201,E666/2,IF(E666&lt;=301,E666/3,E666/4))))</f>
        <v>1641.07944</v>
      </c>
      <c r="G666" s="92"/>
      <c r="H666" s="94"/>
      <c r="I666" s="32"/>
      <c r="L666" s="82"/>
      <c r="M666" s="82"/>
      <c r="N666" s="32"/>
    </row>
    <row r="667" spans="1:14" s="33" customFormat="1" ht="62.25" customHeight="1" x14ac:dyDescent="0.3">
      <c r="A667" s="101">
        <f t="shared" si="161"/>
        <v>6</v>
      </c>
      <c r="B667" s="102"/>
      <c r="C667" s="52" t="s">
        <v>262</v>
      </c>
      <c r="D667" s="53">
        <f>(102.23+61.37)*10.764</f>
        <v>1760.9903999999999</v>
      </c>
      <c r="E667" s="48">
        <v>0</v>
      </c>
      <c r="F667" s="48">
        <f t="shared" si="163"/>
        <v>2641.4856</v>
      </c>
      <c r="G667" s="95"/>
      <c r="H667" s="97"/>
      <c r="I667" s="32"/>
      <c r="L667" s="82"/>
      <c r="M667" s="82"/>
      <c r="N667" s="32"/>
    </row>
    <row r="668" spans="1:14" s="33" customFormat="1" x14ac:dyDescent="0.3">
      <c r="A668" s="103" t="s">
        <v>242</v>
      </c>
      <c r="B668" s="104"/>
      <c r="C668" s="104"/>
      <c r="D668" s="104"/>
      <c r="E668" s="104"/>
      <c r="F668" s="104"/>
      <c r="G668" s="104"/>
      <c r="H668" s="105"/>
      <c r="J668" s="32"/>
    </row>
    <row r="669" spans="1:14" s="33" customFormat="1" ht="15.75" customHeight="1" x14ac:dyDescent="0.3">
      <c r="A669" s="101">
        <v>1</v>
      </c>
      <c r="B669" s="102"/>
      <c r="C669" s="52">
        <v>3</v>
      </c>
      <c r="D669" s="53">
        <f>(101.64)*10.764</f>
        <v>1094.05296</v>
      </c>
      <c r="E669" s="48">
        <v>0</v>
      </c>
      <c r="F669" s="48">
        <f>D669*(($F$203)+1)+(IF(E669&lt;101,E669,IF(E669&lt;201,E669/2,IF(E669&lt;=301,E669/3,E669/4))))</f>
        <v>1641.07944</v>
      </c>
      <c r="G669" s="89" t="str">
        <f>A668</f>
        <v>37th &amp; 52nd Floor (Part Refuge Area)</v>
      </c>
      <c r="H669" s="91"/>
      <c r="I669" s="32">
        <f>(1.2*2+0.3*0.735+0.3*1.7+3.56*2.45+3.35*6.45+1.85*3.05+3.05*4.175+1.525*2.45+3.35*4.175+1.525*2.45+3.85*3.05+2.45*1.525+0.9*0.395+0.45*0.385+1*2.45+1.58*1.5+0.9*0.39)</f>
        <v>94.473500000000001</v>
      </c>
      <c r="L669" s="82"/>
      <c r="M669" s="82"/>
      <c r="N669" s="32"/>
    </row>
    <row r="670" spans="1:14" s="33" customFormat="1" ht="15.75" customHeight="1" x14ac:dyDescent="0.25">
      <c r="A670" s="101">
        <f t="shared" ref="A670:A674" si="164">A669+1</f>
        <v>2</v>
      </c>
      <c r="B670" s="102"/>
      <c r="C670" s="52">
        <v>3</v>
      </c>
      <c r="D670" s="53">
        <f t="shared" ref="D670:D672" si="165">(101.64)*10.764</f>
        <v>1094.05296</v>
      </c>
      <c r="E670" s="48">
        <v>0</v>
      </c>
      <c r="F670" s="48">
        <f>D670*(($F$203)+1)+(IF(E670&lt;101,E670,IF(E670&lt;201,E670/2,IF(E670&lt;=301,E670/3,E670/4))))</f>
        <v>1641.07944</v>
      </c>
      <c r="G670" s="92"/>
      <c r="H670" s="94"/>
      <c r="I670" s="57"/>
      <c r="L670" s="82"/>
      <c r="M670" s="82"/>
      <c r="N670" s="32"/>
    </row>
    <row r="671" spans="1:14" s="33" customFormat="1" ht="15.75" customHeight="1" x14ac:dyDescent="0.3">
      <c r="A671" s="101">
        <f t="shared" si="164"/>
        <v>3</v>
      </c>
      <c r="B671" s="102"/>
      <c r="C671" s="52">
        <v>3</v>
      </c>
      <c r="D671" s="53">
        <f t="shared" si="165"/>
        <v>1094.05296</v>
      </c>
      <c r="E671" s="48">
        <v>0</v>
      </c>
      <c r="F671" s="48">
        <f>D671*(($F$203)+1)+(IF(E671&lt;101,E671,IF(E671&lt;201,E671/2,IF(E671&lt;=301,E671/3,E671/4))))</f>
        <v>1641.07944</v>
      </c>
      <c r="G671" s="92"/>
      <c r="H671" s="94"/>
      <c r="I671" s="32"/>
      <c r="L671" s="82"/>
      <c r="M671" s="82"/>
      <c r="N671" s="32"/>
    </row>
    <row r="672" spans="1:14" s="33" customFormat="1" ht="15.75" customHeight="1" x14ac:dyDescent="0.3">
      <c r="A672" s="101">
        <f t="shared" si="164"/>
        <v>4</v>
      </c>
      <c r="B672" s="102"/>
      <c r="C672" s="52">
        <v>3</v>
      </c>
      <c r="D672" s="53">
        <f t="shared" si="165"/>
        <v>1094.05296</v>
      </c>
      <c r="E672" s="48">
        <v>0</v>
      </c>
      <c r="F672" s="48">
        <f>D672*(($F$203)+1)+(IF(E672&lt;101,E672,IF(E672&lt;201,E672/2,IF(E672&lt;=301,E672/3,E672/4))))</f>
        <v>1641.07944</v>
      </c>
      <c r="G672" s="92"/>
      <c r="H672" s="94"/>
      <c r="I672" s="32"/>
      <c r="L672" s="82"/>
      <c r="M672" s="82"/>
      <c r="N672" s="32"/>
    </row>
    <row r="673" spans="1:14" s="33" customFormat="1" ht="15.75" customHeight="1" x14ac:dyDescent="0.3">
      <c r="A673" s="101">
        <f t="shared" si="164"/>
        <v>5</v>
      </c>
      <c r="B673" s="102"/>
      <c r="C673" s="107" t="s">
        <v>183</v>
      </c>
      <c r="D673" s="108"/>
      <c r="E673" s="108"/>
      <c r="F673" s="109"/>
      <c r="G673" s="92"/>
      <c r="H673" s="94"/>
      <c r="I673" s="32"/>
      <c r="L673" s="82"/>
      <c r="M673" s="82"/>
      <c r="N673" s="32"/>
    </row>
    <row r="674" spans="1:14" s="33" customFormat="1" ht="15.75" customHeight="1" x14ac:dyDescent="0.3">
      <c r="A674" s="101">
        <f t="shared" si="164"/>
        <v>6</v>
      </c>
      <c r="B674" s="102"/>
      <c r="C674" s="107" t="s">
        <v>243</v>
      </c>
      <c r="D674" s="108"/>
      <c r="E674" s="108"/>
      <c r="F674" s="109"/>
      <c r="G674" s="95"/>
      <c r="H674" s="97"/>
      <c r="I674" s="32"/>
      <c r="L674" s="82"/>
      <c r="M674" s="82"/>
      <c r="N674" s="32"/>
    </row>
    <row r="675" spans="1:14" s="33" customFormat="1" x14ac:dyDescent="0.3">
      <c r="A675" s="103" t="s">
        <v>234</v>
      </c>
      <c r="B675" s="104"/>
      <c r="C675" s="104"/>
      <c r="D675" s="104"/>
      <c r="E675" s="104"/>
      <c r="F675" s="104"/>
      <c r="G675" s="104"/>
      <c r="H675" s="105"/>
      <c r="J675" s="32"/>
    </row>
    <row r="676" spans="1:14" s="33" customFormat="1" ht="15.75" customHeight="1" x14ac:dyDescent="0.3">
      <c r="A676" s="101">
        <v>1</v>
      </c>
      <c r="B676" s="102"/>
      <c r="C676" s="52">
        <v>3</v>
      </c>
      <c r="D676" s="53">
        <f>(101.64)*10.764</f>
        <v>1094.05296</v>
      </c>
      <c r="E676" s="48">
        <v>0</v>
      </c>
      <c r="F676" s="48">
        <f t="shared" ref="F676:F679" si="166">D676*(($F$203)+1)+(IF(E676&lt;101,E676,IF(E676&lt;201,E676/2,IF(E676&lt;=301,E676/3,E676/4))))</f>
        <v>1641.07944</v>
      </c>
      <c r="G676" s="89" t="str">
        <f>A675</f>
        <v>59th Floor (Part Refuge Area)</v>
      </c>
      <c r="H676" s="91"/>
      <c r="I676" s="32">
        <f>(1.2*2+0.3*0.735+0.3*1.7+3.56*2.45+3.35*6.45+1.85*3.05+3.05*4.175+1.525*2.45+3.35*4.175+1.525*2.45+3.85*3.05+2.45*1.525+0.9*0.395+0.45*0.385+1*2.45+1.58*1.5+0.9*0.39)</f>
        <v>94.473500000000001</v>
      </c>
      <c r="L676" s="82"/>
      <c r="M676" s="82"/>
      <c r="N676" s="32"/>
    </row>
    <row r="677" spans="1:14" s="33" customFormat="1" ht="15.75" customHeight="1" x14ac:dyDescent="0.25">
      <c r="A677" s="101">
        <f t="shared" ref="A677:A681" si="167">A676+1</f>
        <v>2</v>
      </c>
      <c r="B677" s="102"/>
      <c r="C677" s="52">
        <v>3</v>
      </c>
      <c r="D677" s="53">
        <f t="shared" ref="D677:D679" si="168">(101.64)*10.764</f>
        <v>1094.05296</v>
      </c>
      <c r="E677" s="48">
        <v>0</v>
      </c>
      <c r="F677" s="48">
        <f t="shared" si="166"/>
        <v>1641.07944</v>
      </c>
      <c r="G677" s="92"/>
      <c r="H677" s="94"/>
      <c r="I677" s="57"/>
      <c r="L677" s="82"/>
      <c r="M677" s="82"/>
      <c r="N677" s="32"/>
    </row>
    <row r="678" spans="1:14" s="33" customFormat="1" ht="15.75" customHeight="1" x14ac:dyDescent="0.3">
      <c r="A678" s="101">
        <f t="shared" si="167"/>
        <v>3</v>
      </c>
      <c r="B678" s="102"/>
      <c r="C678" s="52">
        <v>3</v>
      </c>
      <c r="D678" s="53">
        <f t="shared" si="168"/>
        <v>1094.05296</v>
      </c>
      <c r="E678" s="48">
        <v>0</v>
      </c>
      <c r="F678" s="48">
        <f t="shared" si="166"/>
        <v>1641.07944</v>
      </c>
      <c r="G678" s="92"/>
      <c r="H678" s="94"/>
      <c r="I678" s="32"/>
      <c r="L678" s="82"/>
      <c r="M678" s="82"/>
      <c r="N678" s="32"/>
    </row>
    <row r="679" spans="1:14" s="33" customFormat="1" ht="15.75" customHeight="1" x14ac:dyDescent="0.3">
      <c r="A679" s="101">
        <f t="shared" si="167"/>
        <v>4</v>
      </c>
      <c r="B679" s="102"/>
      <c r="C679" s="52">
        <v>3</v>
      </c>
      <c r="D679" s="53">
        <f t="shared" si="168"/>
        <v>1094.05296</v>
      </c>
      <c r="E679" s="48">
        <v>0</v>
      </c>
      <c r="F679" s="48">
        <f t="shared" si="166"/>
        <v>1641.07944</v>
      </c>
      <c r="G679" s="92"/>
      <c r="H679" s="94"/>
      <c r="I679" s="32"/>
      <c r="L679" s="82"/>
      <c r="M679" s="82"/>
      <c r="N679" s="32"/>
    </row>
    <row r="680" spans="1:14" s="33" customFormat="1" ht="15.75" customHeight="1" x14ac:dyDescent="0.3">
      <c r="A680" s="101">
        <f t="shared" si="167"/>
        <v>5</v>
      </c>
      <c r="B680" s="102"/>
      <c r="C680" s="107" t="s">
        <v>183</v>
      </c>
      <c r="D680" s="108"/>
      <c r="E680" s="108"/>
      <c r="F680" s="109"/>
      <c r="G680" s="92"/>
      <c r="H680" s="94"/>
      <c r="I680" s="32"/>
      <c r="L680" s="82"/>
      <c r="M680" s="82"/>
      <c r="N680" s="32"/>
    </row>
    <row r="681" spans="1:14" s="33" customFormat="1" ht="15.75" customHeight="1" x14ac:dyDescent="0.3">
      <c r="A681" s="101">
        <f t="shared" si="167"/>
        <v>6</v>
      </c>
      <c r="B681" s="102"/>
      <c r="C681" s="52">
        <v>3</v>
      </c>
      <c r="D681" s="53">
        <f>(132.36)*10.764</f>
        <v>1424.7230400000001</v>
      </c>
      <c r="E681" s="48">
        <v>0</v>
      </c>
      <c r="F681" s="48">
        <f t="shared" ref="F681" si="169">D681*(($F$203)+1)+(IF(E681&lt;101,E681,IF(E681&lt;201,E681/2,IF(E681&lt;=301,E681/3,E681/4))))</f>
        <v>2137.0845600000002</v>
      </c>
      <c r="G681" s="95"/>
      <c r="H681" s="97"/>
      <c r="I681" s="32"/>
      <c r="L681" s="82"/>
      <c r="M681" s="82"/>
      <c r="N681" s="32"/>
    </row>
    <row r="682" spans="1:14" x14ac:dyDescent="0.3">
      <c r="A682" s="125" t="s">
        <v>252</v>
      </c>
      <c r="B682" s="125"/>
      <c r="C682" s="125"/>
      <c r="D682" s="125"/>
      <c r="E682" s="125"/>
      <c r="F682" s="125"/>
      <c r="G682" s="125"/>
      <c r="H682" s="125"/>
    </row>
    <row r="683" spans="1:14" x14ac:dyDescent="0.3">
      <c r="A683" s="125" t="s">
        <v>171</v>
      </c>
      <c r="B683" s="125"/>
      <c r="C683" s="125"/>
      <c r="D683" s="125"/>
      <c r="E683" s="125"/>
      <c r="F683" s="125"/>
      <c r="G683" s="125"/>
      <c r="H683" s="125"/>
    </row>
    <row r="684" spans="1:14" x14ac:dyDescent="0.3">
      <c r="A684" s="125" t="s">
        <v>172</v>
      </c>
      <c r="B684" s="125"/>
      <c r="C684" s="125"/>
      <c r="D684" s="125"/>
      <c r="E684" s="125"/>
      <c r="F684" s="125"/>
      <c r="G684" s="125"/>
      <c r="H684" s="125"/>
    </row>
    <row r="685" spans="1:14" x14ac:dyDescent="0.3">
      <c r="A685" s="125" t="s">
        <v>173</v>
      </c>
      <c r="B685" s="125"/>
      <c r="C685" s="125"/>
      <c r="D685" s="125"/>
      <c r="E685" s="125"/>
      <c r="F685" s="125"/>
      <c r="G685" s="125"/>
      <c r="H685" s="125"/>
    </row>
    <row r="686" spans="1:14" x14ac:dyDescent="0.3">
      <c r="A686" s="125" t="s">
        <v>174</v>
      </c>
      <c r="B686" s="125"/>
      <c r="C686" s="125"/>
      <c r="D686" s="125"/>
      <c r="E686" s="125"/>
      <c r="F686" s="125"/>
      <c r="G686" s="125"/>
      <c r="H686" s="125"/>
    </row>
    <row r="687" spans="1:14" x14ac:dyDescent="0.3">
      <c r="A687" s="125" t="s">
        <v>175</v>
      </c>
      <c r="B687" s="125"/>
      <c r="C687" s="125"/>
      <c r="D687" s="125"/>
      <c r="E687" s="125"/>
      <c r="F687" s="125"/>
      <c r="G687" s="125"/>
      <c r="H687" s="125"/>
    </row>
    <row r="688" spans="1:14" s="33" customFormat="1" x14ac:dyDescent="0.3">
      <c r="A688" s="103" t="s">
        <v>176</v>
      </c>
      <c r="B688" s="104"/>
      <c r="C688" s="104"/>
      <c r="D688" s="104"/>
      <c r="E688" s="104"/>
      <c r="F688" s="104"/>
      <c r="G688" s="104"/>
      <c r="H688" s="105"/>
      <c r="J688" s="32"/>
    </row>
    <row r="689" spans="1:14" s="33" customFormat="1" ht="15.75" customHeight="1" x14ac:dyDescent="0.3">
      <c r="A689" s="101">
        <v>1</v>
      </c>
      <c r="B689" s="102"/>
      <c r="C689" s="52">
        <v>3</v>
      </c>
      <c r="D689" s="48">
        <f>(0.305*0.92+1.225*2.88+3.54*2.435+0.905*2.22+3.35*6.855+1.82*3.35+3.3*3.35+1.525*2.45+4.27*3.35+1.65*1+1.525*2.58+3.35*4.27+1.655*1.415+1.525*2.58+3.05*4.27+2.84*1.22+0.305*1.7)*10.764</f>
        <v>1246.1130278999999</v>
      </c>
      <c r="E689" s="48">
        <v>0</v>
      </c>
      <c r="F689" s="48">
        <f>D689*(($F$203)+1)+(IF(E689&lt;101,E689,IF(E689&lt;201,E689/2,IF(E689&lt;=301,E689/3,E689/4))))</f>
        <v>1869.1695418499999</v>
      </c>
      <c r="G689" s="89" t="str">
        <f>A688</f>
        <v>5th Podium Floor (Eco Deck) for Residential</v>
      </c>
      <c r="H689" s="91"/>
      <c r="I689" s="32">
        <f>(96.07)*10.764</f>
        <v>1034.0974799999999</v>
      </c>
      <c r="L689" s="82"/>
      <c r="M689" s="82"/>
      <c r="N689" s="32"/>
    </row>
    <row r="690" spans="1:14" s="33" customFormat="1" ht="15.75" customHeight="1" x14ac:dyDescent="0.25">
      <c r="A690" s="101">
        <f t="shared" ref="A690:A693" si="170">A689+1</f>
        <v>2</v>
      </c>
      <c r="B690" s="102"/>
      <c r="C690" s="52">
        <v>3</v>
      </c>
      <c r="D690" s="48">
        <f>(0.305*0.92+1.225*2.88+3.54*2.435+0.905*2.22+3.35*6.855+1.82*3.35+3.3*3.35+1.525*2.45+4.27*3.35+1.65*1+1.525*2.58+3.35*4.27+1.655*1.415+1.525*2.58+3.05*4.27+2.84*1.22+0.305*1.7)*10.764</f>
        <v>1246.1130278999999</v>
      </c>
      <c r="E690" s="48">
        <v>0</v>
      </c>
      <c r="F690" s="48">
        <f>D690*(($F$203)+1)+(IF(E690&lt;101,E690,IF(E690&lt;201,E690/2,IF(E690&lt;=301,E690/3,E690/4))))</f>
        <v>1869.1695418499999</v>
      </c>
      <c r="G690" s="92"/>
      <c r="H690" s="94"/>
      <c r="I690" s="57">
        <f>33724600/F690</f>
        <v>18042.558069195409</v>
      </c>
      <c r="L690" s="82"/>
      <c r="M690" s="82"/>
      <c r="N690" s="32"/>
    </row>
    <row r="691" spans="1:14" s="33" customFormat="1" ht="15.75" customHeight="1" x14ac:dyDescent="0.3">
      <c r="A691" s="101">
        <f t="shared" si="170"/>
        <v>3</v>
      </c>
      <c r="B691" s="102"/>
      <c r="C691" s="52">
        <v>3</v>
      </c>
      <c r="D691" s="48">
        <f>(0.305*0.92+1.225*2.88+3.54*2.435+0.905*2.22+3.35*6.855+1.82*3.35+3.3*3.35+1.525*2.45+4.27*3.35+1.65*1+1.525*2.58+3.35*4.27+1.655*1.415+1.525*2.58+3.05*4.27+2.84*1.22+0.305*1.7)*10.764</f>
        <v>1246.1130278999999</v>
      </c>
      <c r="E691" s="48">
        <v>0</v>
      </c>
      <c r="F691" s="48">
        <f>D691*(($F$203)+1)+(IF(E691&lt;101,E691,IF(E691&lt;201,E691/2,IF(E691&lt;=301,E691/3,E691/4))))</f>
        <v>1869.1695418499999</v>
      </c>
      <c r="G691" s="92"/>
      <c r="H691" s="94"/>
      <c r="I691" s="32"/>
      <c r="L691" s="82"/>
      <c r="M691" s="82"/>
      <c r="N691" s="32"/>
    </row>
    <row r="692" spans="1:14" s="33" customFormat="1" ht="15.75" customHeight="1" x14ac:dyDescent="0.3">
      <c r="A692" s="101">
        <f t="shared" si="170"/>
        <v>4</v>
      </c>
      <c r="B692" s="102"/>
      <c r="C692" s="52">
        <v>3</v>
      </c>
      <c r="D692" s="48">
        <f>(0.305*0.92+1.225*2.88+3.54*2.435+0.905*2.22+3.35*6.855+1.82*3.35+3.3*3.35+1.525*2.45+4.27*3.35+1.65*1+1.525*2.58+3.35*4.27+1.655*1.415+1.525*2.58+3.05*4.27+2.84*1.22+0.305*1.7)*10.764</f>
        <v>1246.1130278999999</v>
      </c>
      <c r="E692" s="48">
        <v>0</v>
      </c>
      <c r="F692" s="48">
        <f>D692*(($F$203)+1)+(IF(E692&lt;101,E692,IF(E692&lt;201,E692/2,IF(E692&lt;=301,E692/3,E692/4))))</f>
        <v>1869.1695418499999</v>
      </c>
      <c r="G692" s="92"/>
      <c r="H692" s="94"/>
      <c r="I692" s="32"/>
      <c r="L692" s="82"/>
      <c r="M692" s="82"/>
      <c r="N692" s="32"/>
    </row>
    <row r="693" spans="1:14" s="33" customFormat="1" ht="15.75" customHeight="1" x14ac:dyDescent="0.3">
      <c r="A693" s="101">
        <f t="shared" si="170"/>
        <v>5</v>
      </c>
      <c r="B693" s="102"/>
      <c r="C693" s="107" t="s">
        <v>177</v>
      </c>
      <c r="D693" s="108"/>
      <c r="E693" s="108"/>
      <c r="F693" s="109"/>
      <c r="G693" s="95"/>
      <c r="H693" s="97"/>
      <c r="I693" s="32"/>
      <c r="L693" s="82"/>
      <c r="M693" s="82"/>
      <c r="N693" s="32"/>
    </row>
    <row r="694" spans="1:14" s="33" customFormat="1" x14ac:dyDescent="0.3">
      <c r="A694" s="80" t="s">
        <v>178</v>
      </c>
      <c r="B694" s="80"/>
      <c r="C694" s="80"/>
      <c r="D694" s="80"/>
      <c r="E694" s="80"/>
      <c r="F694" s="80"/>
      <c r="G694" s="80"/>
      <c r="H694" s="80"/>
      <c r="I694" s="32"/>
      <c r="L694" s="82"/>
      <c r="M694" s="82"/>
    </row>
    <row r="695" spans="1:14" s="33" customFormat="1" ht="15.75" customHeight="1" x14ac:dyDescent="0.3">
      <c r="A695" s="81">
        <v>1</v>
      </c>
      <c r="B695" s="81"/>
      <c r="C695" s="52">
        <v>3</v>
      </c>
      <c r="D695" s="48">
        <f>(0.305*0.92+1.225*2.88+3.54*2.435+0.905*2.22+3.35*6.855+1.82*3.35+3.3*3.35+1.525*2.45+4.27*3.35+1.65*1+1.525*2.58+3.35*4.27+1.655*1.415+1.525*2.58+3.05*4.27+2.84*1.22+0.305*1.7)*10.764</f>
        <v>1246.1130278999999</v>
      </c>
      <c r="E695" s="48">
        <v>0</v>
      </c>
      <c r="F695" s="48">
        <f t="shared" ref="F695:F696" si="171">D695*(($F$203)+1)+(IF(E695&lt;101,E695,IF(E695&lt;201,E695/2,IF(E695&lt;=301,E695/3,E695/4))))</f>
        <v>1869.1695418499999</v>
      </c>
      <c r="G695" s="89" t="str">
        <f>A694</f>
        <v>6th, 9th to 13th, 16th to 20th, 23rd to 27th &amp; 30th to 34th Floor</v>
      </c>
      <c r="H695" s="91"/>
      <c r="I695" s="32"/>
      <c r="N695" s="32"/>
    </row>
    <row r="696" spans="1:14" s="33" customFormat="1" ht="15.75" customHeight="1" x14ac:dyDescent="0.3">
      <c r="A696" s="81">
        <f t="shared" ref="A696:A701" si="172">A695+1</f>
        <v>2</v>
      </c>
      <c r="B696" s="81"/>
      <c r="C696" s="52">
        <v>3</v>
      </c>
      <c r="D696" s="48">
        <f>(0.305*0.92+1.225*2.88+3.54*2.435+0.905*2.22+3.35*6.855+1.82*3.35+3.3*3.35+1.525*2.45+4.27*3.35+1.65*1+1.525*2.58+3.35*4.27+1.655*1.415+1.525*2.58+3.05*4.27+2.84*1.22+0.305*1.7)*10.764</f>
        <v>1246.1130278999999</v>
      </c>
      <c r="E696" s="48">
        <v>0</v>
      </c>
      <c r="F696" s="48">
        <f t="shared" si="171"/>
        <v>1869.1695418499999</v>
      </c>
      <c r="G696" s="92"/>
      <c r="H696" s="94"/>
      <c r="I696" s="32"/>
      <c r="L696" s="41"/>
      <c r="N696" s="32"/>
    </row>
    <row r="697" spans="1:14" s="33" customFormat="1" ht="15.75" customHeight="1" x14ac:dyDescent="0.3">
      <c r="A697" s="81">
        <f t="shared" si="172"/>
        <v>3</v>
      </c>
      <c r="B697" s="81"/>
      <c r="C697" s="52">
        <v>3</v>
      </c>
      <c r="D697" s="48">
        <f>(0.305*0.92+1.225*2.88+3.54*2.435+0.905*2.22+3.35*6.855+1.82*3.35+3.3*3.35+1.525*2.45+4.27*3.35+1.65*1+1.525*2.58+3.35*4.27+1.655*1.415+1.525*2.58+3.05*4.27+2.84*1.22+0.305*1.7)*10.764</f>
        <v>1246.1130278999999</v>
      </c>
      <c r="E697" s="48">
        <v>0</v>
      </c>
      <c r="F697" s="48">
        <f>D697*(($F$203)+1)+(IF(E697&lt;101,E697,IF(E697&lt;201,E697/2,IF(E697&lt;=301,E697/3,E697/4))))</f>
        <v>1869.1695418499999</v>
      </c>
      <c r="G697" s="92"/>
      <c r="H697" s="94"/>
      <c r="I697" s="32"/>
      <c r="N697" s="32"/>
    </row>
    <row r="698" spans="1:14" s="33" customFormat="1" ht="15.75" customHeight="1" x14ac:dyDescent="0.3">
      <c r="A698" s="81">
        <f t="shared" si="172"/>
        <v>4</v>
      </c>
      <c r="B698" s="81"/>
      <c r="C698" s="52">
        <v>3</v>
      </c>
      <c r="D698" s="48">
        <f>(0.305*0.92+1.225*2.88+3.54*2.435+0.905*2.22+3.35*6.855+1.82*3.35+3.3*3.35+1.525*2.45+4.27*3.35+1.65*1+1.525*2.58+3.35*4.27+1.655*1.415+1.525*2.58+3.05*4.27+2.84*1.22+0.305*1.7)*10.764</f>
        <v>1246.1130278999999</v>
      </c>
      <c r="E698" s="48">
        <v>0</v>
      </c>
      <c r="F698" s="48">
        <f>D698*(($F$203)+1)+(IF(E698&lt;101,E698,IF(E698&lt;201,E698/2,IF(E698&lt;=301,E698/3,E698/4))))</f>
        <v>1869.1695418499999</v>
      </c>
      <c r="G698" s="92"/>
      <c r="H698" s="94"/>
      <c r="I698" s="32"/>
      <c r="N698" s="32"/>
    </row>
    <row r="699" spans="1:14" s="33" customFormat="1" ht="15.75" customHeight="1" x14ac:dyDescent="0.3">
      <c r="A699" s="81">
        <f t="shared" si="172"/>
        <v>5</v>
      </c>
      <c r="B699" s="81"/>
      <c r="C699" s="52">
        <v>3</v>
      </c>
      <c r="D699" s="48">
        <f>(0.305*0.92+1.225*2.88+3.54*2.435+0.905*2.22+3.35*6.855+1.82*3.35+3.3*3.35+1.525*2.45+4.27*3.35+1.65*1+1.525*2.58+3.35*4.27+1.655*1.415+1.525*2.58+3.05*4.27+2.84*1.22+0.305*1.7+1.44*1.95+1.44*0.95)*10.764</f>
        <v>1291.0634918999999</v>
      </c>
      <c r="E699" s="48">
        <v>0</v>
      </c>
      <c r="F699" s="48">
        <f>D699*(($F$203)+1)+(IF(E699&lt;101,E699,IF(E699&lt;201,E699/2,IF(E699&lt;=301,E699/3,E699/4))))</f>
        <v>1936.5952378499999</v>
      </c>
      <c r="G699" s="92"/>
      <c r="H699" s="94"/>
      <c r="I699" s="32"/>
      <c r="N699" s="32"/>
    </row>
    <row r="700" spans="1:14" s="33" customFormat="1" ht="15.75" customHeight="1" x14ac:dyDescent="0.3">
      <c r="A700" s="81">
        <f t="shared" si="172"/>
        <v>6</v>
      </c>
      <c r="B700" s="81"/>
      <c r="C700" s="52" t="s">
        <v>179</v>
      </c>
      <c r="D700" s="48">
        <f>(1.395*3.425+1.525*2.45+3.05*3.95)*10.764</f>
        <v>221.32533149999998</v>
      </c>
      <c r="E700" s="48">
        <v>0</v>
      </c>
      <c r="F700" s="48">
        <f>D700*(($F$203)+1)+(IF(E700&lt;101,E700,IF(E700&lt;201,E700/2,IF(E700&lt;=301,E700/3,E700/4))))</f>
        <v>331.98799724999998</v>
      </c>
      <c r="G700" s="92"/>
      <c r="H700" s="94"/>
      <c r="I700" s="32"/>
      <c r="N700" s="32"/>
    </row>
    <row r="701" spans="1:14" s="33" customFormat="1" ht="15.75" customHeight="1" x14ac:dyDescent="0.3">
      <c r="A701" s="81">
        <f t="shared" si="172"/>
        <v>7</v>
      </c>
      <c r="B701" s="81"/>
      <c r="C701" s="52">
        <v>3</v>
      </c>
      <c r="D701" s="48">
        <f>(0.305*0.92+1.225*2.88+3.54*2.435+0.905*2.22+3.35*6.855+1.82*3.35+3.3*3.35+1.525*2.45+4.27*3.35+1.65*1+1.525*2.58+3.35*4.27+1.655*1.415+1.525*2.58+3.05*4.27+2.84*1.22+0.305*1.7+1.37*2.12+1.37*1.375)*10.764</f>
        <v>1297.6526745000001</v>
      </c>
      <c r="E701" s="48">
        <v>0</v>
      </c>
      <c r="F701" s="48">
        <f>D701*(($F$203)+1)+(IF(E701&lt;101,E701,IF(E701&lt;201,E701/2,IF(E701&lt;=301,E701/3,E701/4))))</f>
        <v>1946.4790117500002</v>
      </c>
      <c r="G701" s="95"/>
      <c r="H701" s="97"/>
      <c r="I701" s="32"/>
      <c r="N701" s="32"/>
    </row>
    <row r="702" spans="1:14" s="33" customFormat="1" x14ac:dyDescent="0.3">
      <c r="A702" s="80" t="s">
        <v>180</v>
      </c>
      <c r="B702" s="80"/>
      <c r="C702" s="80"/>
      <c r="D702" s="80"/>
      <c r="E702" s="80"/>
      <c r="F702" s="80"/>
      <c r="G702" s="80"/>
      <c r="H702" s="80"/>
      <c r="I702" s="32"/>
      <c r="L702" s="82"/>
      <c r="M702" s="82"/>
    </row>
    <row r="703" spans="1:14" s="33" customFormat="1" ht="15.75" customHeight="1" x14ac:dyDescent="0.3">
      <c r="A703" s="81">
        <v>1</v>
      </c>
      <c r="B703" s="81"/>
      <c r="C703" s="52">
        <v>3</v>
      </c>
      <c r="D703" s="48">
        <f>(0.305*0.92+1.225*2.88+3.54*2.435+0.905*2.22+3.35*6.855+1.82*3.35+3.3*3.35+1.525*2.45+4.27*3.35+1.65*1+1.525*2.58+3.35*4.27+1.655*1.415+1.525*2.58+3.05*4.27+2.84*1.22+0.305*1.7)*10.764</f>
        <v>1246.1130278999999</v>
      </c>
      <c r="E703" s="48">
        <v>0</v>
      </c>
      <c r="F703" s="48">
        <f t="shared" ref="F703:F704" si="173">D703*(($F$203)+1)+(IF(E703&lt;101,E703,IF(E703&lt;201,E703/2,IF(E703&lt;=301,E703/3,E703/4))))</f>
        <v>1869.1695418499999</v>
      </c>
      <c r="G703" s="89" t="str">
        <f>A702</f>
        <v>7th, 14th, 21st, 28th &amp; 35th Floor</v>
      </c>
      <c r="H703" s="91"/>
      <c r="I703" s="32"/>
      <c r="N703" s="32"/>
    </row>
    <row r="704" spans="1:14" s="33" customFormat="1" ht="15.75" customHeight="1" x14ac:dyDescent="0.3">
      <c r="A704" s="81">
        <f t="shared" ref="A704:A709" si="174">A703+1</f>
        <v>2</v>
      </c>
      <c r="B704" s="81"/>
      <c r="C704" s="52">
        <v>3</v>
      </c>
      <c r="D704" s="48">
        <f>(0.305*0.92+1.225*2.88+3.54*2.435+0.905*2.22+3.35*6.855+1.82*3.35+3.3*3.35+1.525*2.45+4.27*3.35+1.65*1+1.525*2.58+3.35*4.27+1.655*1.415+1.525*2.58+3.05*4.27+2.84*1.22+0.305*1.7)*10.764</f>
        <v>1246.1130278999999</v>
      </c>
      <c r="E704" s="48">
        <v>0</v>
      </c>
      <c r="F704" s="48">
        <f t="shared" si="173"/>
        <v>1869.1695418499999</v>
      </c>
      <c r="G704" s="92"/>
      <c r="H704" s="94"/>
      <c r="I704" s="32"/>
      <c r="L704" s="41"/>
      <c r="N704" s="32"/>
    </row>
    <row r="705" spans="1:14" s="33" customFormat="1" ht="15.75" customHeight="1" x14ac:dyDescent="0.3">
      <c r="A705" s="81">
        <f t="shared" si="174"/>
        <v>3</v>
      </c>
      <c r="B705" s="81"/>
      <c r="C705" s="52">
        <v>3</v>
      </c>
      <c r="D705" s="48">
        <f>(0.305*0.92+1.225*2.88+3.54*2.435+0.905*2.22+3.35*6.855+1.82*3.35+3.3*3.35+1.525*2.45+4.27*3.35+1.65*1+1.525*2.58+3.35*4.27+1.655*1.415+1.525*2.58+3.05*4.27+2.84*1.22+0.305*1.7)*10.764</f>
        <v>1246.1130278999999</v>
      </c>
      <c r="E705" s="48">
        <v>0</v>
      </c>
      <c r="F705" s="48">
        <f>D705*(($F$203)+1)+(IF(E705&lt;101,E705,IF(E705&lt;201,E705/2,IF(E705&lt;=301,E705/3,E705/4))))</f>
        <v>1869.1695418499999</v>
      </c>
      <c r="G705" s="92"/>
      <c r="H705" s="94"/>
      <c r="I705" s="32"/>
      <c r="N705" s="32"/>
    </row>
    <row r="706" spans="1:14" s="33" customFormat="1" ht="15.75" customHeight="1" x14ac:dyDescent="0.3">
      <c r="A706" s="81">
        <f t="shared" si="174"/>
        <v>4</v>
      </c>
      <c r="B706" s="81"/>
      <c r="C706" s="52">
        <v>3</v>
      </c>
      <c r="D706" s="48">
        <f>(0.305*0.92+1.225*2.88+3.54*2.435+0.905*2.22+3.35*6.855+1.82*3.35+3.3*3.35+1.525*2.45+4.27*3.35+1.65*1+1.525*2.58+3.35*4.27+1.655*1.415+1.525*2.58+3.05*4.27+2.84*1.22+0.305*1.7)*10.764</f>
        <v>1246.1130278999999</v>
      </c>
      <c r="E706" s="48">
        <v>0</v>
      </c>
      <c r="F706" s="48">
        <f>D706*(($F$203)+1)+(IF(E706&lt;101,E706,IF(E706&lt;201,E706/2,IF(E706&lt;=301,E706/3,E706/4))))</f>
        <v>1869.1695418499999</v>
      </c>
      <c r="G706" s="92"/>
      <c r="H706" s="94"/>
      <c r="I706" s="32"/>
      <c r="N706" s="32"/>
    </row>
    <row r="707" spans="1:14" s="33" customFormat="1" ht="15.75" customHeight="1" x14ac:dyDescent="0.3">
      <c r="A707" s="81">
        <f t="shared" si="174"/>
        <v>5</v>
      </c>
      <c r="B707" s="81"/>
      <c r="C707" s="52">
        <v>3</v>
      </c>
      <c r="D707" s="48">
        <f>(0.305*0.92+1.225*2.88+3.54*2.435+0.905*2.22+3.35*6.855+1.82*3.35+3.3*3.35+1.525*2.45+4.27*3.35+1.65*1+1.525*2.58+3.35*4.27+1.655*1.415+1.525*2.58+3.05*4.27+2.84*1.22+0.305*1.7+1.44*1.95+1.44*0.95)*10.764</f>
        <v>1291.0634918999999</v>
      </c>
      <c r="E707" s="48">
        <v>0</v>
      </c>
      <c r="F707" s="48">
        <f>D707*(($F$203)+1)+(IF(E707&lt;101,E707,IF(E707&lt;201,E707/2,IF(E707&lt;=301,E707/3,E707/4))))</f>
        <v>1936.5952378499999</v>
      </c>
      <c r="G707" s="92"/>
      <c r="H707" s="94"/>
      <c r="I707" s="32"/>
      <c r="N707" s="32"/>
    </row>
    <row r="708" spans="1:14" s="33" customFormat="1" ht="15.75" customHeight="1" x14ac:dyDescent="0.3">
      <c r="A708" s="81">
        <f t="shared" si="174"/>
        <v>6</v>
      </c>
      <c r="B708" s="81"/>
      <c r="C708" s="52" t="s">
        <v>179</v>
      </c>
      <c r="D708" s="48">
        <f>(1.395*3.425+1.525*2.45+3.05*3.95)*10.764</f>
        <v>221.32533149999998</v>
      </c>
      <c r="E708" s="48">
        <v>0</v>
      </c>
      <c r="F708" s="48">
        <f>D708*(($F$203)+1)+(IF(E708&lt;101,E708,IF(E708&lt;201,E708/2,IF(E708&lt;=301,E708/3,E708/4))))</f>
        <v>331.98799724999998</v>
      </c>
      <c r="G708" s="92"/>
      <c r="H708" s="94"/>
      <c r="I708" s="32"/>
      <c r="N708" s="32"/>
    </row>
    <row r="709" spans="1:14" s="33" customFormat="1" ht="56.25" customHeight="1" x14ac:dyDescent="0.3">
      <c r="A709" s="81">
        <f t="shared" si="174"/>
        <v>7</v>
      </c>
      <c r="B709" s="81"/>
      <c r="C709" s="52" t="s">
        <v>181</v>
      </c>
      <c r="D709" s="48">
        <f>(0.23*1.5+1.225*2.565+3.48*7.315+2*3.35+2.95*4.54+0.39*1.55+2.064*1.005+3.835*3.35+0.3*1+3.35*4.41+1.525*2.58+4.27*3.35+1.355*1+1.525*2.45+4.455*2.435+0.91*2.285+1.37*2.12+1.37*1.375+3.04*3.53+0.37*0.155+5.9*3.35+0.3*1+2.03*1.005+3.35*4.41+1.525*2.58+4.27*3.35+1.365*1+1.525*2.45)*10.764</f>
        <v>2063.3406112800008</v>
      </c>
      <c r="E709" s="48">
        <v>0</v>
      </c>
      <c r="F709" s="48">
        <f>D709*(($F$203)+1)+(IF(E709&lt;101,E709,IF(E709&lt;201,E709/2,IF(E709&lt;=301,E709/3,E709/4))))</f>
        <v>3095.0109169200014</v>
      </c>
      <c r="G709" s="95"/>
      <c r="H709" s="97"/>
      <c r="I709" s="32"/>
      <c r="N709" s="32"/>
    </row>
    <row r="710" spans="1:14" s="33" customFormat="1" x14ac:dyDescent="0.3">
      <c r="A710" s="80" t="s">
        <v>182</v>
      </c>
      <c r="B710" s="80"/>
      <c r="C710" s="80"/>
      <c r="D710" s="80"/>
      <c r="E710" s="80"/>
      <c r="F710" s="80"/>
      <c r="G710" s="80"/>
      <c r="H710" s="80"/>
      <c r="I710" s="32"/>
      <c r="L710" s="82"/>
      <c r="M710" s="82"/>
    </row>
    <row r="711" spans="1:14" s="33" customFormat="1" ht="15.75" customHeight="1" x14ac:dyDescent="0.3">
      <c r="A711" s="81">
        <v>1</v>
      </c>
      <c r="B711" s="81"/>
      <c r="C711" s="52">
        <v>3</v>
      </c>
      <c r="D711" s="48">
        <f>(0.305*0.92+1.225*2.88+3.54*2.435+0.905*2.22+3.35*6.855+1.82*3.35+3.3*3.35+1.525*2.45+4.27*3.35+1.65*1+1.525*2.58+3.35*4.27+1.655*1.415+1.525*2.58+3.05*4.27+2.84*1.22+0.305*1.7)*10.764</f>
        <v>1246.1130278999999</v>
      </c>
      <c r="E711" s="48">
        <v>0</v>
      </c>
      <c r="F711" s="48">
        <f t="shared" ref="F711:F712" si="175">D711*(($F$203)+1)+(IF(E711&lt;101,E711,IF(E711&lt;201,E711/2,IF(E711&lt;=301,E711/3,E711/4))))</f>
        <v>1869.1695418499999</v>
      </c>
      <c r="G711" s="89" t="str">
        <f>A710</f>
        <v>8th, 15th, 22nd &amp; 29th Floor (Part Refuge Area)</v>
      </c>
      <c r="H711" s="91"/>
      <c r="I711" s="32"/>
      <c r="N711" s="32"/>
    </row>
    <row r="712" spans="1:14" s="33" customFormat="1" ht="15.75" customHeight="1" x14ac:dyDescent="0.3">
      <c r="A712" s="81">
        <f>A711+1</f>
        <v>2</v>
      </c>
      <c r="B712" s="81"/>
      <c r="C712" s="52">
        <v>3</v>
      </c>
      <c r="D712" s="48">
        <f>(0.305*0.92+1.225*2.88+3.54*2.435+0.905*2.22+3.35*6.855+1.82*3.35+3.3*3.35+1.525*2.45+4.27*3.35+1.65*1+1.525*2.58+3.35*4.27+1.655*1.415+1.525*2.58+3.05*4.27+2.84*1.22+0.305*1.7)*10.764</f>
        <v>1246.1130278999999</v>
      </c>
      <c r="E712" s="48">
        <v>0</v>
      </c>
      <c r="F712" s="48">
        <f t="shared" si="175"/>
        <v>1869.1695418499999</v>
      </c>
      <c r="G712" s="92"/>
      <c r="H712" s="94"/>
      <c r="I712" s="32"/>
      <c r="L712" s="41"/>
      <c r="N712" s="32"/>
    </row>
    <row r="713" spans="1:14" s="33" customFormat="1" ht="15.75" customHeight="1" x14ac:dyDescent="0.3">
      <c r="A713" s="81">
        <f>A712+1</f>
        <v>3</v>
      </c>
      <c r="B713" s="81"/>
      <c r="C713" s="52">
        <v>3</v>
      </c>
      <c r="D713" s="48">
        <f>(0.305*0.92+1.225*2.88+3.54*2.435+0.905*2.22+3.35*6.855+1.82*3.35+3.3*3.35+1.525*2.45+4.27*3.35+1.65*1+1.525*2.58+3.35*4.27+1.655*1.415+1.525*2.58+3.05*4.27+2.84*1.22+0.305*1.7)*10.764</f>
        <v>1246.1130278999999</v>
      </c>
      <c r="E713" s="48">
        <v>0</v>
      </c>
      <c r="F713" s="48">
        <f>D713*(($F$203)+1)+(IF(E713&lt;101,E713,IF(E713&lt;201,E713/2,IF(E713&lt;=301,E713/3,E713/4))))</f>
        <v>1869.1695418499999</v>
      </c>
      <c r="G713" s="92"/>
      <c r="H713" s="94"/>
      <c r="I713" s="32"/>
      <c r="N713" s="32"/>
    </row>
    <row r="714" spans="1:14" s="33" customFormat="1" ht="15.75" customHeight="1" x14ac:dyDescent="0.3">
      <c r="A714" s="81">
        <f>A713+1</f>
        <v>4</v>
      </c>
      <c r="B714" s="81"/>
      <c r="C714" s="52">
        <v>3</v>
      </c>
      <c r="D714" s="48">
        <f>(0.305*0.92+1.225*2.88+3.54*2.435+0.905*2.22+3.35*6.855+1.82*3.35+3.3*3.35+1.525*2.45+4.27*3.35+1.65*1+1.525*2.58+3.35*4.27+1.655*1.415+1.525*2.58+3.05*4.27+2.84*1.22+0.305*1.7)*10.764</f>
        <v>1246.1130278999999</v>
      </c>
      <c r="E714" s="48">
        <v>0</v>
      </c>
      <c r="F714" s="48">
        <f>D714*(($F$203)+1)+(IF(E714&lt;101,E714,IF(E714&lt;201,E714/2,IF(E714&lt;=301,E714/3,E714/4))))</f>
        <v>1869.1695418499999</v>
      </c>
      <c r="G714" s="92"/>
      <c r="H714" s="94"/>
      <c r="I714" s="32"/>
      <c r="N714" s="32"/>
    </row>
    <row r="715" spans="1:14" s="33" customFormat="1" ht="15.75" customHeight="1" x14ac:dyDescent="0.3">
      <c r="A715" s="81">
        <f>A714+1</f>
        <v>5</v>
      </c>
      <c r="B715" s="81"/>
      <c r="C715" s="107" t="s">
        <v>183</v>
      </c>
      <c r="D715" s="108"/>
      <c r="E715" s="108"/>
      <c r="F715" s="109"/>
      <c r="G715" s="95"/>
      <c r="H715" s="97"/>
      <c r="I715" s="32"/>
      <c r="N715" s="32"/>
    </row>
    <row r="716" spans="1:14" s="33" customFormat="1" x14ac:dyDescent="0.3">
      <c r="A716" s="80" t="s">
        <v>184</v>
      </c>
      <c r="B716" s="80"/>
      <c r="C716" s="80"/>
      <c r="D716" s="80"/>
      <c r="E716" s="80"/>
      <c r="F716" s="80"/>
      <c r="G716" s="80"/>
      <c r="H716" s="80"/>
      <c r="I716" s="32"/>
      <c r="L716" s="82"/>
      <c r="M716" s="82"/>
    </row>
    <row r="717" spans="1:14" s="33" customFormat="1" ht="15.75" customHeight="1" x14ac:dyDescent="0.3">
      <c r="A717" s="81">
        <v>1</v>
      </c>
      <c r="B717" s="81"/>
      <c r="C717" s="52">
        <v>3</v>
      </c>
      <c r="D717" s="48">
        <f>(0.305*0.92+1.225*2.88+3.54*2.435+0.905*2.22+3.35*6.855+1.82*3.35+3.3*3.35+1.525*2.45+4.27*3.35+1.65*1+1.525*2.58+3.35*4.27+1.655*1.415+1.525*2.58+3.05*4.27+2.84*1.22+0.305*1.7)*10.764</f>
        <v>1246.1130278999999</v>
      </c>
      <c r="E717" s="48">
        <v>0</v>
      </c>
      <c r="F717" s="48">
        <f t="shared" ref="F717:F718" si="176">D717*(($F$203)+1)+(IF(E717&lt;101,E717,IF(E717&lt;201,E717/2,IF(E717&lt;=301,E717/3,E717/4))))</f>
        <v>1869.1695418499999</v>
      </c>
      <c r="G717" s="89" t="str">
        <f>A716</f>
        <v>37th to 41st &amp; 44th to 48th Floor</v>
      </c>
      <c r="H717" s="91"/>
      <c r="I717" s="32"/>
      <c r="N717" s="32"/>
    </row>
    <row r="718" spans="1:14" s="33" customFormat="1" ht="15.75" customHeight="1" x14ac:dyDescent="0.3">
      <c r="A718" s="81">
        <f t="shared" ref="A718:A723" si="177">A717+1</f>
        <v>2</v>
      </c>
      <c r="B718" s="81"/>
      <c r="C718" s="52">
        <v>3</v>
      </c>
      <c r="D718" s="48">
        <f>(0.305*0.92+1.225*2.88+3.54*2.435+0.905*2.22+3.35*6.855+1.82*3.35+3.3*3.35+1.525*2.45+4.27*3.35+1.65*1+1.525*2.58+3.35*4.27+1.655*1.415+1.525*2.58+3.05*4.27+2.84*1.22+0.305*1.7)*10.764</f>
        <v>1246.1130278999999</v>
      </c>
      <c r="E718" s="48">
        <v>0</v>
      </c>
      <c r="F718" s="48">
        <f t="shared" si="176"/>
        <v>1869.1695418499999</v>
      </c>
      <c r="G718" s="92"/>
      <c r="H718" s="94"/>
      <c r="I718" s="32"/>
      <c r="L718" s="41"/>
      <c r="N718" s="32"/>
    </row>
    <row r="719" spans="1:14" s="33" customFormat="1" ht="15.75" customHeight="1" x14ac:dyDescent="0.3">
      <c r="A719" s="81">
        <f t="shared" si="177"/>
        <v>3</v>
      </c>
      <c r="B719" s="81"/>
      <c r="C719" s="52">
        <v>3</v>
      </c>
      <c r="D719" s="48">
        <f>(0.305*0.92+1.225*2.88+3.54*2.435+0.905*2.22+3.35*6.855+1.82*3.35+3.3*3.35+1.525*2.45+4.27*3.35+1.65*1+1.525*2.58+3.35*4.27+1.655*1.415+1.525*2.58+3.05*4.27+2.84*1.22+0.305*1.7)*10.764</f>
        <v>1246.1130278999999</v>
      </c>
      <c r="E719" s="48">
        <v>0</v>
      </c>
      <c r="F719" s="48">
        <f>D719*(($F$203)+1)+(IF(E719&lt;101,E719,IF(E719&lt;201,E719/2,IF(E719&lt;=301,E719/3,E719/4))))</f>
        <v>1869.1695418499999</v>
      </c>
      <c r="G719" s="92"/>
      <c r="H719" s="94"/>
      <c r="I719" s="32"/>
      <c r="N719" s="32"/>
    </row>
    <row r="720" spans="1:14" s="33" customFormat="1" ht="15.75" customHeight="1" x14ac:dyDescent="0.3">
      <c r="A720" s="81">
        <f t="shared" si="177"/>
        <v>4</v>
      </c>
      <c r="B720" s="81"/>
      <c r="C720" s="52">
        <v>3</v>
      </c>
      <c r="D720" s="48">
        <f>(0.305*0.92+1.225*2.88+3.54*2.435+0.905*2.22+3.35*6.855+1.82*3.35+3.3*3.35+1.525*2.45+4.27*3.35+1.65*1+1.525*2.58+3.35*4.27+1.655*1.415+1.525*2.58+3.05*4.27+2.84*1.22+0.305*1.7)*10.764</f>
        <v>1246.1130278999999</v>
      </c>
      <c r="E720" s="48">
        <v>0</v>
      </c>
      <c r="F720" s="48">
        <f>D720*(($F$203)+1)+(IF(E720&lt;101,E720,IF(E720&lt;201,E720/2,IF(E720&lt;=301,E720/3,E720/4))))</f>
        <v>1869.1695418499999</v>
      </c>
      <c r="G720" s="92"/>
      <c r="H720" s="94"/>
      <c r="I720" s="32"/>
      <c r="N720" s="32"/>
    </row>
    <row r="721" spans="1:14" s="33" customFormat="1" ht="15.75" customHeight="1" x14ac:dyDescent="0.3">
      <c r="A721" s="81">
        <f t="shared" si="177"/>
        <v>5</v>
      </c>
      <c r="B721" s="81"/>
      <c r="C721" s="52">
        <v>3</v>
      </c>
      <c r="D721" s="48">
        <f>(0.305*0.92+1.225*2.88+3.54*2.435+0.905*2.22+3.35*6.855+1.82*3.35+3.3*3.35+1.525*2.45+4.27*3.35+1.65*1+1.525*2.58+3.35*4.27+1.655*1.415+1.525*2.58+3.05*4.27+2.84*1.22+0.305*1.7+1.44*1.95+1.44*0.95)*10.764</f>
        <v>1291.0634918999999</v>
      </c>
      <c r="E721" s="48">
        <v>0</v>
      </c>
      <c r="F721" s="48">
        <f>D721*(($F$203)+1)+(IF(E721&lt;101,E721,IF(E721&lt;201,E721/2,IF(E721&lt;=301,E721/3,E721/4))))</f>
        <v>1936.5952378499999</v>
      </c>
      <c r="G721" s="92"/>
      <c r="H721" s="94"/>
      <c r="I721" s="32">
        <f>38000000/F721</f>
        <v>19622.066220811037</v>
      </c>
      <c r="N721" s="32"/>
    </row>
    <row r="722" spans="1:14" s="33" customFormat="1" ht="15.75" customHeight="1" x14ac:dyDescent="0.3">
      <c r="A722" s="81">
        <f t="shared" si="177"/>
        <v>6</v>
      </c>
      <c r="B722" s="81"/>
      <c r="C722" s="52" t="s">
        <v>179</v>
      </c>
      <c r="D722" s="48">
        <f>(1.395*3.425+1.525*2.45+3.05*3.95)*10.764</f>
        <v>221.32533149999998</v>
      </c>
      <c r="E722" s="48">
        <v>0</v>
      </c>
      <c r="F722" s="48">
        <f>D722*(($F$203)+1)+(IF(E722&lt;101,E722,IF(E722&lt;201,E722/2,IF(E722&lt;=301,E722/3,E722/4))))</f>
        <v>331.98799724999998</v>
      </c>
      <c r="G722" s="92"/>
      <c r="H722" s="94"/>
      <c r="I722" s="32"/>
      <c r="N722" s="32"/>
    </row>
    <row r="723" spans="1:14" s="33" customFormat="1" ht="15.75" customHeight="1" x14ac:dyDescent="0.3">
      <c r="A723" s="81">
        <f t="shared" si="177"/>
        <v>7</v>
      </c>
      <c r="B723" s="81"/>
      <c r="C723" s="52">
        <v>3</v>
      </c>
      <c r="D723" s="48">
        <f>(0.305*0.92+1.225*2.88+3.54*2.435+0.905*2.22+3.35*6.855+1.82*3.35+3.3*3.35+1.525*2.45+4.27*3.35+1.65*1+1.525*2.58+3.35*4.27+1.655*1.415+1.525*2.58+3.05*4.27+2.84*1.22+0.305*1.7+1.37*2.12+1.37*1.375)*10.764</f>
        <v>1297.6526745000001</v>
      </c>
      <c r="E723" s="48">
        <v>0</v>
      </c>
      <c r="F723" s="48">
        <f>D723*(($F$203)+1)+(IF(E723&lt;101,E723,IF(E723&lt;201,E723/2,IF(E723&lt;=301,E723/3,E723/4))))</f>
        <v>1946.4790117500002</v>
      </c>
      <c r="G723" s="95"/>
      <c r="H723" s="97"/>
      <c r="I723" s="32"/>
      <c r="N723" s="32"/>
    </row>
    <row r="724" spans="1:14" s="33" customFormat="1" ht="15.75" customHeight="1" x14ac:dyDescent="0.3">
      <c r="A724" s="103" t="s">
        <v>185</v>
      </c>
      <c r="B724" s="104"/>
      <c r="C724" s="104"/>
      <c r="D724" s="104"/>
      <c r="E724" s="104"/>
      <c r="F724" s="104"/>
      <c r="G724" s="104"/>
      <c r="H724" s="105"/>
      <c r="I724" s="32"/>
    </row>
    <row r="725" spans="1:14" s="33" customFormat="1" ht="15.75" customHeight="1" x14ac:dyDescent="0.3">
      <c r="A725" s="101">
        <v>1</v>
      </c>
      <c r="B725" s="102"/>
      <c r="C725" s="52">
        <v>3</v>
      </c>
      <c r="D725" s="48">
        <f>(0.305*0.92+1.225*2.88+3.54*2.435+0.905*2.22+3.35*6.855+1.82*3.35+3.3*3.35+1.525*2.45+4.27*3.35+1.65*1+1.525*2.58+3.35*4.27+1.655*1.415+1.525*2.58+3.05*4.27+2.84*1.22+0.305*1.7)*10.764</f>
        <v>1246.1130278999999</v>
      </c>
      <c r="E725" s="48">
        <v>0</v>
      </c>
      <c r="F725" s="48">
        <f t="shared" ref="F725:F731" si="178">D725*(($F$203)+1)+(IF(E725&lt;101,E725,IF(E725&lt;201,E725/2,IF(E725&lt;=301,E725/3,E725/4))))</f>
        <v>1869.1695418499999</v>
      </c>
      <c r="G725" s="89" t="str">
        <f>A724</f>
        <v>42nd &amp; 49th Floor</v>
      </c>
      <c r="H725" s="91"/>
      <c r="I725" s="32"/>
    </row>
    <row r="726" spans="1:14" s="33" customFormat="1" ht="15.75" customHeight="1" x14ac:dyDescent="0.3">
      <c r="A726" s="101">
        <v>2</v>
      </c>
      <c r="B726" s="102"/>
      <c r="C726" s="52">
        <v>3</v>
      </c>
      <c r="D726" s="48">
        <f>(0.305*0.92+1.225*2.88+3.54*2.435+0.905*2.22+3.35*6.855+1.82*3.35+3.3*3.35+1.525*2.45+4.27*3.35+1.65*1+1.525*2.58+3.35*4.27+1.655*1.415+1.525*2.58+3.05*4.27+2.84*1.22+0.305*1.7)*10.764</f>
        <v>1246.1130278999999</v>
      </c>
      <c r="E726" s="48">
        <v>0</v>
      </c>
      <c r="F726" s="48">
        <f t="shared" si="178"/>
        <v>1869.1695418499999</v>
      </c>
      <c r="G726" s="92"/>
      <c r="H726" s="94"/>
      <c r="I726" s="32"/>
    </row>
    <row r="727" spans="1:14" s="33" customFormat="1" ht="15.75" customHeight="1" x14ac:dyDescent="0.3">
      <c r="A727" s="101">
        <v>3</v>
      </c>
      <c r="B727" s="102"/>
      <c r="C727" s="52">
        <v>3</v>
      </c>
      <c r="D727" s="48">
        <f>(0.305*0.92+1.225*2.88+3.54*2.435+0.905*2.22+3.35*6.855+1.82*3.35+3.3*3.35+1.525*2.45+4.27*3.35+1.65*1+1.525*2.58+3.35*4.27+1.655*1.415+1.525*2.58+3.05*4.27+2.84*1.22+0.305*1.7)*10.764</f>
        <v>1246.1130278999999</v>
      </c>
      <c r="E727" s="48">
        <v>0</v>
      </c>
      <c r="F727" s="48">
        <f t="shared" si="178"/>
        <v>1869.1695418499999</v>
      </c>
      <c r="G727" s="92"/>
      <c r="H727" s="94"/>
      <c r="I727" s="32"/>
    </row>
    <row r="728" spans="1:14" s="33" customFormat="1" ht="15.75" customHeight="1" x14ac:dyDescent="0.3">
      <c r="A728" s="101">
        <v>4</v>
      </c>
      <c r="B728" s="102"/>
      <c r="C728" s="52">
        <v>3</v>
      </c>
      <c r="D728" s="48">
        <f>(0.305*0.92+1.225*2.88+3.54*2.435+0.905*2.22+3.35*6.855+1.82*3.35+3.3*3.35+1.525*2.45+4.27*3.35+1.65*1+1.525*2.58+3.35*4.27+1.655*1.415+1.525*2.58+3.05*4.27+2.84*1.22+0.305*1.7)*10.764</f>
        <v>1246.1130278999999</v>
      </c>
      <c r="E728" s="48">
        <v>0</v>
      </c>
      <c r="F728" s="48">
        <f t="shared" si="178"/>
        <v>1869.1695418499999</v>
      </c>
      <c r="G728" s="92"/>
      <c r="H728" s="94"/>
      <c r="I728" s="32"/>
    </row>
    <row r="729" spans="1:14" s="33" customFormat="1" ht="15.75" customHeight="1" x14ac:dyDescent="0.3">
      <c r="A729" s="101">
        <v>5</v>
      </c>
      <c r="B729" s="102"/>
      <c r="C729" s="52">
        <v>3</v>
      </c>
      <c r="D729" s="48">
        <f>(0.305*0.92+1.225*2.88+3.54*2.435+0.905*2.22+3.35*6.855+1.82*3.35+3.3*3.35+1.525*2.45+4.27*3.35+1.65*1+1.525*2.58+3.35*4.27+1.655*1.415+1.525*2.58+3.05*4.27+2.84*1.22+0.305*1.7+1.44*1.95+1.44*0.95)*10.764</f>
        <v>1291.0634918999999</v>
      </c>
      <c r="E729" s="48">
        <v>0</v>
      </c>
      <c r="F729" s="48">
        <f t="shared" si="178"/>
        <v>1936.5952378499999</v>
      </c>
      <c r="G729" s="92"/>
      <c r="H729" s="94"/>
      <c r="I729" s="32"/>
    </row>
    <row r="730" spans="1:14" s="33" customFormat="1" ht="15.75" customHeight="1" x14ac:dyDescent="0.3">
      <c r="A730" s="101">
        <v>6</v>
      </c>
      <c r="B730" s="102"/>
      <c r="C730" s="52" t="s">
        <v>179</v>
      </c>
      <c r="D730" s="48">
        <f>(1.395*3.425+1.525*2.45+3.05*3.95)*10.764</f>
        <v>221.32533149999998</v>
      </c>
      <c r="E730" s="48">
        <v>0</v>
      </c>
      <c r="F730" s="48">
        <f t="shared" si="178"/>
        <v>331.98799724999998</v>
      </c>
      <c r="G730" s="92"/>
      <c r="H730" s="94"/>
      <c r="I730" s="32"/>
    </row>
    <row r="731" spans="1:14" s="33" customFormat="1" ht="51.75" customHeight="1" x14ac:dyDescent="0.3">
      <c r="A731" s="101">
        <v>7</v>
      </c>
      <c r="B731" s="102"/>
      <c r="C731" s="52" t="s">
        <v>181</v>
      </c>
      <c r="D731" s="48">
        <f>(0.23*1.5+1.225*2.565+3.48*7.315+2*3.35+2.95*4.54+0.39*1.55+2.064*1.005+3.835*3.35+0.3*1+3.35*4.41+1.525*2.58+4.27*3.35+1.355*1+1.525*2.45+4.455*2.435+0.91*2.285+1.37*2.12+1.37*1.375+3.04*3.53+0.37*0.155+5.9*3.35+0.3*1+2.03*1.005+3.35*4.41+1.525*2.58+4.27*3.35+1.365*1+1.525*2.45)*10.764</f>
        <v>2063.3406112800008</v>
      </c>
      <c r="E731" s="48">
        <v>0</v>
      </c>
      <c r="F731" s="48">
        <f t="shared" si="178"/>
        <v>3095.0109169200014</v>
      </c>
      <c r="G731" s="95"/>
      <c r="H731" s="97"/>
      <c r="I731" s="32"/>
    </row>
    <row r="732" spans="1:14" s="33" customFormat="1" ht="15.75" customHeight="1" x14ac:dyDescent="0.3">
      <c r="A732" s="103" t="s">
        <v>186</v>
      </c>
      <c r="B732" s="104"/>
      <c r="C732" s="104"/>
      <c r="D732" s="104"/>
      <c r="E732" s="104"/>
      <c r="F732" s="104"/>
      <c r="G732" s="104"/>
      <c r="H732" s="105"/>
      <c r="I732" s="32"/>
    </row>
    <row r="733" spans="1:14" s="33" customFormat="1" ht="15.75" customHeight="1" x14ac:dyDescent="0.3">
      <c r="A733" s="101">
        <v>1</v>
      </c>
      <c r="B733" s="102"/>
      <c r="C733" s="52">
        <v>3</v>
      </c>
      <c r="D733" s="48">
        <f>(0.305*0.92+1.225*2.88+3.54*2.435+0.905*2.22+3.35*6.855+1.82*3.35+3.3*3.35+1.525*2.45+4.27*3.35+1.65*1+1.525*2.58+3.35*4.27+1.655*1.415+1.525*2.58+3.05*4.27+2.84*1.22+0.305*1.7)*10.764</f>
        <v>1246.1130278999999</v>
      </c>
      <c r="E733" s="48">
        <v>0</v>
      </c>
      <c r="F733" s="48">
        <f>D733*(($F$203)+1)+(IF(E733&lt;101,E733,IF(E733&lt;201,E733/2,IF(E733&lt;=301,E733/3,E733/4))))</f>
        <v>1869.1695418499999</v>
      </c>
      <c r="G733" s="89" t="str">
        <f>A732</f>
        <v>36th, 43rd &amp; 50th Floor (Part Refuge Area)</v>
      </c>
      <c r="H733" s="91"/>
      <c r="I733" s="32"/>
    </row>
    <row r="734" spans="1:14" s="33" customFormat="1" ht="15.75" customHeight="1" x14ac:dyDescent="0.3">
      <c r="A734" s="101">
        <v>2</v>
      </c>
      <c r="B734" s="102"/>
      <c r="C734" s="52">
        <v>3</v>
      </c>
      <c r="D734" s="48">
        <f>(0.305*0.92+1.225*2.88+3.54*2.435+0.905*2.22+3.35*6.855+1.82*3.35+3.3*3.35+1.525*2.45+4.27*3.35+1.65*1+1.525*2.58+3.35*4.27+1.655*1.415+1.525*2.58+3.05*4.27+2.84*1.22+0.305*1.7)*10.764</f>
        <v>1246.1130278999999</v>
      </c>
      <c r="E734" s="48">
        <v>0</v>
      </c>
      <c r="F734" s="48">
        <f>D734*(($F$203)+1)+(IF(E734&lt;101,E734,IF(E734&lt;201,E734/2,IF(E734&lt;=301,E734/3,E734/4))))</f>
        <v>1869.1695418499999</v>
      </c>
      <c r="G734" s="92"/>
      <c r="H734" s="94"/>
      <c r="I734" s="32"/>
    </row>
    <row r="735" spans="1:14" s="33" customFormat="1" ht="15.75" customHeight="1" x14ac:dyDescent="0.3">
      <c r="A735" s="101">
        <v>3</v>
      </c>
      <c r="B735" s="102"/>
      <c r="C735" s="52">
        <v>3</v>
      </c>
      <c r="D735" s="48">
        <f>(0.305*0.92+1.225*2.88+3.54*2.435+0.905*2.22+3.35*6.855+1.82*3.35+3.3*3.35+1.525*2.45+4.27*3.35+1.65*1+1.525*2.58+3.35*4.27+1.655*1.415+1.525*2.58+3.05*4.27+2.84*1.22+0.305*1.7)*10.764</f>
        <v>1246.1130278999999</v>
      </c>
      <c r="E735" s="48">
        <v>0</v>
      </c>
      <c r="F735" s="48">
        <f>D735*(($F$203)+1)+(IF(E735&lt;101,E735,IF(E735&lt;201,E735/2,IF(E735&lt;=301,E735/3,E735/4))))</f>
        <v>1869.1695418499999</v>
      </c>
      <c r="G735" s="92"/>
      <c r="H735" s="94"/>
      <c r="I735" s="32"/>
    </row>
    <row r="736" spans="1:14" s="33" customFormat="1" ht="15.75" customHeight="1" x14ac:dyDescent="0.3">
      <c r="A736" s="101">
        <v>4</v>
      </c>
      <c r="B736" s="102"/>
      <c r="C736" s="52">
        <v>3</v>
      </c>
      <c r="D736" s="48">
        <f>(0.305*0.92+1.225*2.88+3.54*2.435+0.905*2.22+3.35*6.855+1.82*3.35+3.3*3.35+1.525*2.45+4.27*3.35+1.65*1+1.525*2.58+3.35*4.27+1.655*1.415+1.525*2.58+3.05*4.27+2.84*1.22+0.305*1.7)*10.764</f>
        <v>1246.1130278999999</v>
      </c>
      <c r="E736" s="48">
        <v>0</v>
      </c>
      <c r="F736" s="48">
        <f>D736*(($F$203)+1)+(IF(E736&lt;101,E736,IF(E736&lt;201,E736/2,IF(E736&lt;=301,E736/3,E736/4))))</f>
        <v>1869.1695418499999</v>
      </c>
      <c r="G736" s="92"/>
      <c r="H736" s="94"/>
      <c r="I736" s="32"/>
    </row>
    <row r="737" spans="1:9" s="33" customFormat="1" ht="15.75" customHeight="1" x14ac:dyDescent="0.3">
      <c r="A737" s="101">
        <v>5</v>
      </c>
      <c r="B737" s="102"/>
      <c r="C737" s="107" t="s">
        <v>183</v>
      </c>
      <c r="D737" s="108"/>
      <c r="E737" s="108"/>
      <c r="F737" s="109"/>
      <c r="G737" s="95"/>
      <c r="H737" s="97"/>
      <c r="I737" s="32"/>
    </row>
    <row r="738" spans="1:9" s="33" customFormat="1" x14ac:dyDescent="0.3">
      <c r="A738" s="103" t="s">
        <v>189</v>
      </c>
      <c r="B738" s="104"/>
      <c r="C738" s="104"/>
      <c r="D738" s="104"/>
      <c r="E738" s="104"/>
      <c r="F738" s="104"/>
      <c r="G738" s="104"/>
      <c r="H738" s="105"/>
      <c r="I738" s="32"/>
    </row>
    <row r="739" spans="1:9" s="33" customFormat="1" ht="15.75" customHeight="1" x14ac:dyDescent="0.3">
      <c r="A739" s="101">
        <v>1</v>
      </c>
      <c r="B739" s="102"/>
      <c r="C739" s="52">
        <v>3</v>
      </c>
      <c r="D739" s="48">
        <f>(0.305*0.92+1.225*2.88+3.54*2.435+0.905*2.22+3.35*6.855+1.82*3.35+3.3*3.35+1.525*2.45+4.27*3.35+1.65*1+1.525*2.58+3.35*4.27+1.655*1.415+1.525*2.58+3.05*4.27+2.84*1.22+0.305*1.7)*10.764</f>
        <v>1246.1130278999999</v>
      </c>
      <c r="E739" s="48">
        <v>0</v>
      </c>
      <c r="F739" s="48">
        <f t="shared" ref="F739:F745" si="179">D739*(($F$203)+1)+(IF(E739&lt;101,E739,IF(E739&lt;201,E739/2,IF(E739&lt;=301,E739/3,E739/4))))</f>
        <v>1869.1695418499999</v>
      </c>
      <c r="G739" s="89" t="str">
        <f>A738</f>
        <v>51th to 55th &amp; 58th Floor</v>
      </c>
      <c r="H739" s="91"/>
      <c r="I739" s="32"/>
    </row>
    <row r="740" spans="1:9" s="33" customFormat="1" ht="15.75" customHeight="1" x14ac:dyDescent="0.3">
      <c r="A740" s="101">
        <v>2</v>
      </c>
      <c r="B740" s="102"/>
      <c r="C740" s="52">
        <v>3</v>
      </c>
      <c r="D740" s="48">
        <f>(0.305*0.92+1.225*2.88+3.54*2.435+0.905*2.22+3.35*6.855+1.82*3.35+3.3*3.35+1.525*2.45+4.27*3.35+1.65*1+1.525*2.58+3.35*4.27+1.655*1.415+1.525*2.58+3.05*4.27+2.84*1.22+0.305*1.7)*10.764</f>
        <v>1246.1130278999999</v>
      </c>
      <c r="E740" s="48">
        <v>0</v>
      </c>
      <c r="F740" s="48">
        <f t="shared" si="179"/>
        <v>1869.1695418499999</v>
      </c>
      <c r="G740" s="92"/>
      <c r="H740" s="94"/>
      <c r="I740" s="32"/>
    </row>
    <row r="741" spans="1:9" s="33" customFormat="1" ht="15.75" customHeight="1" x14ac:dyDescent="0.3">
      <c r="A741" s="101">
        <v>3</v>
      </c>
      <c r="B741" s="102"/>
      <c r="C741" s="52">
        <v>3</v>
      </c>
      <c r="D741" s="48">
        <f>(0.305*0.92+1.225*2.88+3.54*2.435+0.905*2.22+3.35*6.855+1.82*3.35+3.3*3.35+1.525*2.45+4.27*3.35+1.65*1+1.525*2.58+3.35*4.27+1.655*1.415+1.525*2.58+3.05*4.27+2.84*1.22+0.305*1.7)*10.764</f>
        <v>1246.1130278999999</v>
      </c>
      <c r="E741" s="48">
        <v>0</v>
      </c>
      <c r="F741" s="48">
        <f t="shared" si="179"/>
        <v>1869.1695418499999</v>
      </c>
      <c r="G741" s="92"/>
      <c r="H741" s="94"/>
      <c r="I741" s="32"/>
    </row>
    <row r="742" spans="1:9" s="33" customFormat="1" ht="15.75" customHeight="1" x14ac:dyDescent="0.3">
      <c r="A742" s="101">
        <v>4</v>
      </c>
      <c r="B742" s="102"/>
      <c r="C742" s="52">
        <v>3</v>
      </c>
      <c r="D742" s="48">
        <f>(0.305*0.92+1.225*2.88+3.54*2.435+0.905*2.22+3.35*6.855+1.82*3.35+3.3*3.35+1.525*2.45+4.27*3.35+1.65*1+1.525*2.58+3.35*4.27+1.655*1.415+1.525*2.58+3.05*4.27+2.84*1.22+0.305*1.7)*10.764</f>
        <v>1246.1130278999999</v>
      </c>
      <c r="E742" s="48">
        <v>0</v>
      </c>
      <c r="F742" s="48">
        <f t="shared" si="179"/>
        <v>1869.1695418499999</v>
      </c>
      <c r="G742" s="92"/>
      <c r="H742" s="94"/>
      <c r="I742" s="32"/>
    </row>
    <row r="743" spans="1:9" s="33" customFormat="1" ht="15.75" customHeight="1" x14ac:dyDescent="0.3">
      <c r="A743" s="101">
        <v>5</v>
      </c>
      <c r="B743" s="102"/>
      <c r="C743" s="52">
        <v>3</v>
      </c>
      <c r="D743" s="48">
        <f>(0.305*0.92+1.225*2.88+3.54*2.435+0.905*2.22+3.35*6.855+1.82*3.35+3.3*3.35+1.525*2.45+4.27*3.35+1.65*1+1.525*2.58+3.35*4.27+1.655*1.415+1.525*2.58+3.05*4.27+2.84*1.22+0.305*1.7+1.44*1.95+1.44*0.95)*10.764</f>
        <v>1291.0634918999999</v>
      </c>
      <c r="E743" s="48">
        <v>0</v>
      </c>
      <c r="F743" s="48">
        <f t="shared" si="179"/>
        <v>1936.5952378499999</v>
      </c>
      <c r="G743" s="92"/>
      <c r="H743" s="94"/>
      <c r="I743" s="32"/>
    </row>
    <row r="744" spans="1:9" s="33" customFormat="1" ht="15.75" customHeight="1" x14ac:dyDescent="0.3">
      <c r="A744" s="101">
        <v>6</v>
      </c>
      <c r="B744" s="102"/>
      <c r="C744" s="52" t="s">
        <v>179</v>
      </c>
      <c r="D744" s="48">
        <f>(1.395*3.425+1.525*2.45+3.05*3.95)*10.764</f>
        <v>221.32533149999998</v>
      </c>
      <c r="E744" s="48">
        <v>0</v>
      </c>
      <c r="F744" s="48">
        <f t="shared" si="179"/>
        <v>331.98799724999998</v>
      </c>
      <c r="G744" s="92"/>
      <c r="H744" s="94"/>
      <c r="I744" s="32"/>
    </row>
    <row r="745" spans="1:9" s="33" customFormat="1" ht="15.75" customHeight="1" x14ac:dyDescent="0.3">
      <c r="A745" s="101">
        <v>7</v>
      </c>
      <c r="B745" s="102"/>
      <c r="C745" s="52">
        <v>3</v>
      </c>
      <c r="D745" s="48">
        <f>(0.305*0.92+1.225*2.88+3.54*2.435+0.905*2.22+3.35*6.855+1.82*3.35+3.3*3.35+1.525*2.45+4.27*3.35+1.65*1+1.525*2.58+3.35*4.27+1.655*1.415+1.525*2.58+3.05*4.27+2.84*1.22+0.305*1.7+1.37*2.12+1.37*1.375)*10.764</f>
        <v>1297.6526745000001</v>
      </c>
      <c r="E745" s="48">
        <v>0</v>
      </c>
      <c r="F745" s="48">
        <f t="shared" si="179"/>
        <v>1946.4790117500002</v>
      </c>
      <c r="G745" s="95"/>
      <c r="H745" s="97"/>
      <c r="I745" s="32"/>
    </row>
    <row r="746" spans="1:9" s="33" customFormat="1" ht="15.75" customHeight="1" x14ac:dyDescent="0.3">
      <c r="A746" s="103" t="s">
        <v>187</v>
      </c>
      <c r="B746" s="104"/>
      <c r="C746" s="104"/>
      <c r="D746" s="104"/>
      <c r="E746" s="104"/>
      <c r="F746" s="104"/>
      <c r="G746" s="104"/>
      <c r="H746" s="105"/>
      <c r="I746" s="32"/>
    </row>
    <row r="747" spans="1:9" s="33" customFormat="1" x14ac:dyDescent="0.3">
      <c r="A747" s="101">
        <v>1</v>
      </c>
      <c r="B747" s="102"/>
      <c r="C747" s="52">
        <v>3</v>
      </c>
      <c r="D747" s="48">
        <f>(0.305*0.92+1.225*2.88+3.54*2.435+0.905*2.22+3.35*6.855+1.82*3.35+3.3*3.35+1.525*2.45+4.27*3.35+1.65*1+1.525*2.58+3.35*4.27+1.655*1.415+1.525*2.58+3.05*4.27+2.84*1.22+0.305*1.7)*10.764</f>
        <v>1246.1130278999999</v>
      </c>
      <c r="E747" s="48">
        <v>0</v>
      </c>
      <c r="F747" s="48">
        <f t="shared" ref="F747:F753" si="180">D747*(($F$203)+1)+(IF(E747&lt;101,E747,IF(E747&lt;201,E747/2,IF(E747&lt;=301,E747/3,E747/4))))</f>
        <v>1869.1695418499999</v>
      </c>
      <c r="G747" s="89" t="str">
        <f>A746</f>
        <v>56th Floor</v>
      </c>
      <c r="H747" s="91"/>
      <c r="I747" s="32"/>
    </row>
    <row r="748" spans="1:9" s="33" customFormat="1" x14ac:dyDescent="0.3">
      <c r="A748" s="101">
        <v>2</v>
      </c>
      <c r="B748" s="102"/>
      <c r="C748" s="52">
        <v>3</v>
      </c>
      <c r="D748" s="48">
        <f>(0.305*0.92+1.225*2.88+3.54*2.435+0.905*2.22+3.35*6.855+1.82*3.35+3.3*3.35+1.525*2.45+4.27*3.35+1.65*1+1.525*2.58+3.35*4.27+1.655*1.415+1.525*2.58+3.05*4.27+2.84*1.22+0.305*1.7)*10.764</f>
        <v>1246.1130278999999</v>
      </c>
      <c r="E748" s="48">
        <v>0</v>
      </c>
      <c r="F748" s="48">
        <f t="shared" si="180"/>
        <v>1869.1695418499999</v>
      </c>
      <c r="G748" s="92"/>
      <c r="H748" s="94"/>
      <c r="I748" s="32"/>
    </row>
    <row r="749" spans="1:9" s="33" customFormat="1" ht="15.75" customHeight="1" x14ac:dyDescent="0.3">
      <c r="A749" s="101">
        <v>3</v>
      </c>
      <c r="B749" s="102"/>
      <c r="C749" s="52">
        <v>3</v>
      </c>
      <c r="D749" s="48">
        <f>(0.305*0.92+1.225*2.88+3.54*2.435+0.905*2.22+3.35*6.855+1.82*3.35+3.3*3.35+1.525*2.45+4.27*3.35+1.65*1+1.525*2.58+3.35*4.27+1.655*1.415+1.525*2.58+3.05*4.27+2.84*1.22+0.305*1.7)*10.764</f>
        <v>1246.1130278999999</v>
      </c>
      <c r="E749" s="48">
        <v>0</v>
      </c>
      <c r="F749" s="48">
        <f t="shared" si="180"/>
        <v>1869.1695418499999</v>
      </c>
      <c r="G749" s="92"/>
      <c r="H749" s="94"/>
      <c r="I749" s="32"/>
    </row>
    <row r="750" spans="1:9" s="33" customFormat="1" ht="15.75" customHeight="1" x14ac:dyDescent="0.3">
      <c r="A750" s="101">
        <v>4</v>
      </c>
      <c r="B750" s="102"/>
      <c r="C750" s="52">
        <v>3</v>
      </c>
      <c r="D750" s="48">
        <f>(0.305*0.92+1.225*2.88+3.54*2.435+0.905*2.22+3.35*6.855+1.82*3.35+3.3*3.35+1.525*2.45+4.27*3.35+1.65*1+1.525*2.58+3.35*4.27+1.655*1.415+1.525*2.58+3.05*4.27+2.84*1.22+0.305*1.7)*10.764</f>
        <v>1246.1130278999999</v>
      </c>
      <c r="E750" s="48">
        <v>0</v>
      </c>
      <c r="F750" s="48">
        <f t="shared" si="180"/>
        <v>1869.1695418499999</v>
      </c>
      <c r="G750" s="92"/>
      <c r="H750" s="94"/>
      <c r="I750" s="32"/>
    </row>
    <row r="751" spans="1:9" s="33" customFormat="1" ht="15.75" customHeight="1" x14ac:dyDescent="0.3">
      <c r="A751" s="101">
        <v>5</v>
      </c>
      <c r="B751" s="102"/>
      <c r="C751" s="52">
        <v>3</v>
      </c>
      <c r="D751" s="48">
        <f>(0.305*0.92+1.225*2.88+3.54*2.435+0.905*2.22+3.35*6.855+1.82*3.35+3.3*3.35+1.525*2.45+4.27*3.35+1.65*1+1.525*2.58+3.35*4.27+1.655*1.415+1.525*2.58+3.05*4.27+2.84*1.22+0.305*1.7+1.44*1.95+1.44*0.95)*10.764</f>
        <v>1291.0634918999999</v>
      </c>
      <c r="E751" s="48">
        <v>0</v>
      </c>
      <c r="F751" s="48">
        <f t="shared" si="180"/>
        <v>1936.5952378499999</v>
      </c>
      <c r="G751" s="92"/>
      <c r="H751" s="94"/>
      <c r="I751" s="32"/>
    </row>
    <row r="752" spans="1:9" s="33" customFormat="1" ht="15.75" customHeight="1" x14ac:dyDescent="0.3">
      <c r="A752" s="101">
        <v>6</v>
      </c>
      <c r="B752" s="102"/>
      <c r="C752" s="52" t="s">
        <v>179</v>
      </c>
      <c r="D752" s="48">
        <f>(1.395*3.425+1.525*2.45+3.05*3.95)*10.764</f>
        <v>221.32533149999998</v>
      </c>
      <c r="E752" s="48">
        <v>0</v>
      </c>
      <c r="F752" s="48">
        <f t="shared" si="180"/>
        <v>331.98799724999998</v>
      </c>
      <c r="G752" s="92"/>
      <c r="H752" s="94"/>
      <c r="I752" s="32"/>
    </row>
    <row r="753" spans="1:13" s="33" customFormat="1" ht="51.75" customHeight="1" x14ac:dyDescent="0.3">
      <c r="A753" s="101">
        <v>7</v>
      </c>
      <c r="B753" s="102"/>
      <c r="C753" s="59" t="s">
        <v>181</v>
      </c>
      <c r="D753" s="48">
        <f>(0.23*1.5+1.225*2.565+3.48*7.315+2*3.35+2.95*4.54+0.39*1.55+2.064*1.005+3.835*3.35+0.3*1+3.35*4.41+1.525*2.58+4.27*3.35+1.355*1+1.525*2.45+4.455*2.435+0.91*2.285+1.37*2.12+1.37*1.375+3.04*3.53+0.37*0.155+5.9*3.35+0.3*1+2.03*1.005+3.35*4.41+1.525*2.58+4.27*3.35+1.365*1+1.525*2.45)*10.764</f>
        <v>2063.3406112800008</v>
      </c>
      <c r="E753" s="48">
        <v>0</v>
      </c>
      <c r="F753" s="48">
        <f t="shared" si="180"/>
        <v>3095.0109169200014</v>
      </c>
      <c r="G753" s="95"/>
      <c r="H753" s="97"/>
      <c r="I753" s="32"/>
    </row>
    <row r="754" spans="1:13" s="33" customFormat="1" ht="15.75" customHeight="1" x14ac:dyDescent="0.3">
      <c r="A754" s="103" t="s">
        <v>188</v>
      </c>
      <c r="B754" s="104"/>
      <c r="C754" s="104"/>
      <c r="D754" s="104"/>
      <c r="E754" s="104"/>
      <c r="F754" s="104"/>
      <c r="G754" s="104"/>
      <c r="H754" s="105"/>
      <c r="I754" s="32"/>
    </row>
    <row r="755" spans="1:13" s="33" customFormat="1" ht="15.75" customHeight="1" x14ac:dyDescent="0.3">
      <c r="A755" s="101">
        <v>1</v>
      </c>
      <c r="B755" s="102"/>
      <c r="C755" s="52">
        <v>3</v>
      </c>
      <c r="D755" s="48">
        <f>(0.305*0.92+1.225*2.88+3.54*2.435+0.905*2.22+3.35*6.855+1.82*3.35+3.3*3.35+1.525*2.45+4.27*3.35+1.65*1+1.525*2.58+3.35*4.27+1.655*1.415+1.525*2.58+3.05*4.27+2.84*1.22+0.305*1.7)*10.764</f>
        <v>1246.1130278999999</v>
      </c>
      <c r="E755" s="48">
        <v>0</v>
      </c>
      <c r="F755" s="48">
        <f>D755*(($F$203)+1)+(IF(E755&lt;101,E755,IF(E755&lt;201,E755/2,IF(E755&lt;=301,E755/3,E755/4))))</f>
        <v>1869.1695418499999</v>
      </c>
      <c r="G755" s="89" t="str">
        <f>A754</f>
        <v>57th Floor (Part Refuge Area)</v>
      </c>
      <c r="H755" s="91"/>
      <c r="I755" s="32">
        <f>30100000/F755</f>
        <v>16103.40813183201</v>
      </c>
    </row>
    <row r="756" spans="1:13" s="33" customFormat="1" ht="15.75" customHeight="1" x14ac:dyDescent="0.3">
      <c r="A756" s="101">
        <v>2</v>
      </c>
      <c r="B756" s="102"/>
      <c r="C756" s="52">
        <v>3</v>
      </c>
      <c r="D756" s="48">
        <f>(0.305*0.92+1.225*2.88+3.54*2.435+0.905*2.22+3.35*6.855+1.82*3.35+3.3*3.35+1.525*2.45+4.27*3.35+1.65*1+1.525*2.58+3.35*4.27+1.655*1.415+1.525*2.58+3.05*4.27+2.84*1.22+0.305*1.7)*10.764</f>
        <v>1246.1130278999999</v>
      </c>
      <c r="E756" s="48">
        <v>0</v>
      </c>
      <c r="F756" s="48">
        <f>D756*(($F$203)+1)+(IF(E756&lt;101,E756,IF(E756&lt;201,E756/2,IF(E756&lt;=301,E756/3,E756/4))))</f>
        <v>1869.1695418499999</v>
      </c>
      <c r="G756" s="92"/>
      <c r="H756" s="94"/>
      <c r="I756" s="32"/>
    </row>
    <row r="757" spans="1:13" s="33" customFormat="1" ht="15.75" customHeight="1" x14ac:dyDescent="0.3">
      <c r="A757" s="113">
        <v>3</v>
      </c>
      <c r="B757" s="114"/>
      <c r="C757" s="54">
        <v>3</v>
      </c>
      <c r="D757" s="66">
        <f>(0.305*0.92+1.225*2.88+3.54*2.435+0.905*2.22+3.35*6.855+1.82*3.35+3.3*3.35+1.525*2.45+4.27*3.35+1.65*1+1.525*2.58+3.35*4.27+1.655*1.415+1.525*2.58+3.05*4.27+2.84*1.22+0.305*1.7)*10.764</f>
        <v>1246.1130278999999</v>
      </c>
      <c r="E757" s="66">
        <v>0</v>
      </c>
      <c r="F757" s="66">
        <f>D757*(($F$203)+1)+(IF(E757&lt;101,E757,IF(E757&lt;201,E757/2,IF(E757&lt;=301,E757/3,E757/4))))</f>
        <v>1869.1695418499999</v>
      </c>
      <c r="G757" s="92"/>
      <c r="H757" s="94"/>
      <c r="I757" s="32"/>
    </row>
    <row r="758" spans="1:13" s="33" customFormat="1" ht="15.75" customHeight="1" x14ac:dyDescent="0.3">
      <c r="A758" s="113">
        <v>4</v>
      </c>
      <c r="B758" s="114"/>
      <c r="C758" s="54">
        <v>3</v>
      </c>
      <c r="D758" s="66">
        <f>(0.305*0.92+1.225*2.88+3.54*2.435+0.905*2.22+3.35*6.855+1.82*3.35+3.3*3.35+1.525*2.45+4.27*3.35+1.65*1+1.525*2.58+3.35*4.27+1.655*1.415+1.525*2.58+3.05*4.27+2.84*1.22+0.305*1.7)*10.764</f>
        <v>1246.1130278999999</v>
      </c>
      <c r="E758" s="66">
        <v>0</v>
      </c>
      <c r="F758" s="66">
        <f>D758*(($F$203)+1)+(IF(E758&lt;101,E758,IF(E758&lt;201,E758/2,IF(E758&lt;=301,E758/3,E758/4))))</f>
        <v>1869.1695418499999</v>
      </c>
      <c r="G758" s="92"/>
      <c r="H758" s="94"/>
      <c r="I758" s="32"/>
    </row>
    <row r="759" spans="1:13" s="33" customFormat="1" ht="15.75" customHeight="1" x14ac:dyDescent="0.3">
      <c r="A759" s="113">
        <v>5</v>
      </c>
      <c r="B759" s="114"/>
      <c r="C759" s="115" t="s">
        <v>183</v>
      </c>
      <c r="D759" s="116"/>
      <c r="E759" s="116"/>
      <c r="F759" s="117"/>
      <c r="G759" s="95"/>
      <c r="H759" s="97"/>
      <c r="I759" s="32"/>
    </row>
    <row r="760" spans="1:13" s="33" customFormat="1" ht="15.75" customHeight="1" x14ac:dyDescent="0.3">
      <c r="A760" s="110" t="s">
        <v>190</v>
      </c>
      <c r="B760" s="111"/>
      <c r="C760" s="111"/>
      <c r="D760" s="111"/>
      <c r="E760" s="111"/>
      <c r="F760" s="111"/>
      <c r="G760" s="111"/>
      <c r="H760" s="112"/>
      <c r="I760" s="32"/>
    </row>
    <row r="761" spans="1:13" x14ac:dyDescent="0.3">
      <c r="A761" s="106" t="s">
        <v>263</v>
      </c>
      <c r="B761" s="106"/>
      <c r="C761" s="106"/>
      <c r="D761" s="106"/>
      <c r="E761" s="106"/>
      <c r="F761" s="106"/>
      <c r="G761" s="106"/>
      <c r="H761" s="106"/>
    </row>
    <row r="762" spans="1:13" x14ac:dyDescent="0.3">
      <c r="A762" s="106" t="s">
        <v>264</v>
      </c>
      <c r="B762" s="106"/>
      <c r="C762" s="106"/>
      <c r="D762" s="106"/>
      <c r="E762" s="106"/>
      <c r="F762" s="106"/>
      <c r="G762" s="106"/>
      <c r="H762" s="106"/>
    </row>
    <row r="763" spans="1:13" x14ac:dyDescent="0.3">
      <c r="A763" s="106" t="s">
        <v>173</v>
      </c>
      <c r="B763" s="106"/>
      <c r="C763" s="106"/>
      <c r="D763" s="106"/>
      <c r="E763" s="106"/>
      <c r="F763" s="106"/>
      <c r="G763" s="106"/>
      <c r="H763" s="106"/>
    </row>
    <row r="764" spans="1:13" x14ac:dyDescent="0.3">
      <c r="A764" s="106" t="s">
        <v>217</v>
      </c>
      <c r="B764" s="106"/>
      <c r="C764" s="106"/>
      <c r="D764" s="106"/>
      <c r="E764" s="106"/>
      <c r="F764" s="106"/>
      <c r="G764" s="106"/>
      <c r="H764" s="106"/>
    </row>
    <row r="765" spans="1:13" x14ac:dyDescent="0.3">
      <c r="A765" s="106" t="s">
        <v>276</v>
      </c>
      <c r="B765" s="106"/>
      <c r="C765" s="106"/>
      <c r="D765" s="106"/>
      <c r="E765" s="106"/>
      <c r="F765" s="106"/>
      <c r="G765" s="106"/>
      <c r="H765" s="106"/>
    </row>
    <row r="766" spans="1:13" x14ac:dyDescent="0.3">
      <c r="A766" s="106" t="s">
        <v>277</v>
      </c>
      <c r="B766" s="106"/>
      <c r="C766" s="106"/>
      <c r="D766" s="106"/>
      <c r="E766" s="106"/>
      <c r="F766" s="106"/>
      <c r="G766" s="106"/>
      <c r="H766" s="106"/>
    </row>
    <row r="767" spans="1:13" x14ac:dyDescent="0.3">
      <c r="A767" s="106" t="s">
        <v>278</v>
      </c>
      <c r="B767" s="106"/>
      <c r="C767" s="106"/>
      <c r="D767" s="106"/>
      <c r="E767" s="106"/>
      <c r="F767" s="106"/>
      <c r="G767" s="106"/>
      <c r="H767" s="106"/>
    </row>
    <row r="768" spans="1:13" s="33" customFormat="1" x14ac:dyDescent="0.3">
      <c r="A768" s="266" t="s">
        <v>279</v>
      </c>
      <c r="B768" s="266"/>
      <c r="C768" s="266"/>
      <c r="D768" s="266"/>
      <c r="E768" s="266"/>
      <c r="F768" s="266"/>
      <c r="G768" s="266"/>
      <c r="H768" s="266"/>
      <c r="I768" s="32"/>
      <c r="L768" s="82"/>
      <c r="M768" s="82"/>
    </row>
    <row r="769" spans="1:14" s="33" customFormat="1" ht="15.75" customHeight="1" x14ac:dyDescent="0.3">
      <c r="A769" s="81">
        <v>1</v>
      </c>
      <c r="B769" s="81"/>
      <c r="C769" s="65" t="s">
        <v>265</v>
      </c>
      <c r="D769" s="64">
        <f>(171.082)*(10.764)</f>
        <v>1841.5266479999998</v>
      </c>
      <c r="E769" s="48">
        <v>0</v>
      </c>
      <c r="F769" s="48">
        <f>D769*(($F$203)+1)+(IF(E769&lt;101,E769,IF(E769&lt;201,E769/2,IF(E769&lt;=301,E769/3,E769/4))))</f>
        <v>2762.2899719999996</v>
      </c>
      <c r="G769" s="89" t="str">
        <f>A768</f>
        <v>6th, 7th, 9th to 14th, 16th to 21st, 23rd to 28th &amp; 30th to 34th Floor for Residential</v>
      </c>
      <c r="H769" s="91"/>
      <c r="I769" s="32"/>
      <c r="N769" s="32"/>
    </row>
    <row r="770" spans="1:14" s="33" customFormat="1" ht="15.75" customHeight="1" x14ac:dyDescent="0.3">
      <c r="A770" s="81">
        <f t="shared" ref="A770:A776" si="181">A769+1</f>
        <v>2</v>
      </c>
      <c r="B770" s="81"/>
      <c r="C770" s="65" t="s">
        <v>280</v>
      </c>
      <c r="D770" s="64">
        <f>(36.32)*(10.764)</f>
        <v>390.94847999999996</v>
      </c>
      <c r="E770" s="48">
        <v>0</v>
      </c>
      <c r="F770" s="48">
        <f t="shared" ref="F770:F776" si="182">D770*(($F$203)+1)+(IF(E770&lt;101,E770,IF(E770&lt;201,E770/2,IF(E770&lt;=301,E770/3,E770/4))))</f>
        <v>586.42271999999991</v>
      </c>
      <c r="G770" s="92"/>
      <c r="H770" s="94"/>
      <c r="I770" s="32"/>
      <c r="L770" s="41"/>
      <c r="N770" s="32"/>
    </row>
    <row r="771" spans="1:14" s="33" customFormat="1" ht="15.75" customHeight="1" x14ac:dyDescent="0.3">
      <c r="A771" s="81">
        <v>3</v>
      </c>
      <c r="B771" s="81"/>
      <c r="C771" s="65" t="s">
        <v>280</v>
      </c>
      <c r="D771" s="64">
        <f>(36.32)*(10.764)</f>
        <v>390.94847999999996</v>
      </c>
      <c r="E771" s="48">
        <v>0</v>
      </c>
      <c r="F771" s="48">
        <f t="shared" si="182"/>
        <v>586.42271999999991</v>
      </c>
      <c r="G771" s="92"/>
      <c r="H771" s="94"/>
      <c r="I771" s="32"/>
      <c r="N771" s="32"/>
    </row>
    <row r="772" spans="1:14" s="33" customFormat="1" ht="15.75" customHeight="1" x14ac:dyDescent="0.3">
      <c r="A772" s="81">
        <v>4</v>
      </c>
      <c r="B772" s="81"/>
      <c r="C772" s="65" t="s">
        <v>265</v>
      </c>
      <c r="D772" s="64">
        <f>(171.181)*(10.764)</f>
        <v>1842.5922840000001</v>
      </c>
      <c r="E772" s="48">
        <v>0</v>
      </c>
      <c r="F772" s="48">
        <f t="shared" si="182"/>
        <v>2763.888426</v>
      </c>
      <c r="G772" s="92"/>
      <c r="H772" s="94"/>
      <c r="I772" s="32"/>
      <c r="L772" s="41"/>
      <c r="N772" s="32"/>
    </row>
    <row r="773" spans="1:14" s="33" customFormat="1" ht="15.75" customHeight="1" x14ac:dyDescent="0.3">
      <c r="A773" s="81">
        <v>5</v>
      </c>
      <c r="B773" s="81"/>
      <c r="C773" s="65" t="s">
        <v>265</v>
      </c>
      <c r="D773" s="64">
        <f>(118.741+2.843*1.225)*(10.764)</f>
        <v>1315.6156377</v>
      </c>
      <c r="E773" s="48">
        <v>0</v>
      </c>
      <c r="F773" s="48">
        <f t="shared" si="182"/>
        <v>1973.4234565500001</v>
      </c>
      <c r="G773" s="92"/>
      <c r="H773" s="94"/>
      <c r="I773" s="32"/>
      <c r="N773" s="32"/>
    </row>
    <row r="774" spans="1:14" s="33" customFormat="1" ht="15.75" customHeight="1" x14ac:dyDescent="0.3">
      <c r="A774" s="81">
        <v>6</v>
      </c>
      <c r="B774" s="81"/>
      <c r="C774" s="65" t="s">
        <v>265</v>
      </c>
      <c r="D774" s="64">
        <f>(118.741+2.843*1.225)*(10.764)</f>
        <v>1315.6156377</v>
      </c>
      <c r="E774" s="48">
        <v>0</v>
      </c>
      <c r="F774" s="48">
        <f t="shared" si="182"/>
        <v>1973.4234565500001</v>
      </c>
      <c r="G774" s="92"/>
      <c r="H774" s="94"/>
      <c r="I774" s="32"/>
      <c r="L774" s="41"/>
      <c r="N774" s="32"/>
    </row>
    <row r="775" spans="1:14" s="33" customFormat="1" ht="15.75" customHeight="1" x14ac:dyDescent="0.3">
      <c r="A775" s="81">
        <v>7</v>
      </c>
      <c r="B775" s="81"/>
      <c r="C775" s="65" t="s">
        <v>265</v>
      </c>
      <c r="D775" s="64">
        <f>(122.688+2.843*1.225)*(10.764)</f>
        <v>1358.1011457</v>
      </c>
      <c r="E775" s="48">
        <v>0</v>
      </c>
      <c r="F775" s="48">
        <f t="shared" si="182"/>
        <v>2037.1517185499999</v>
      </c>
      <c r="G775" s="92"/>
      <c r="H775" s="94"/>
      <c r="I775" s="32"/>
      <c r="N775" s="32"/>
    </row>
    <row r="776" spans="1:14" s="33" customFormat="1" ht="15.75" customHeight="1" x14ac:dyDescent="0.3">
      <c r="A776" s="81">
        <f t="shared" si="181"/>
        <v>8</v>
      </c>
      <c r="B776" s="81"/>
      <c r="C776" s="65" t="s">
        <v>265</v>
      </c>
      <c r="D776" s="64">
        <f>(122.688+2.843*1.225)*(10.764)</f>
        <v>1358.1011457</v>
      </c>
      <c r="E776" s="48">
        <v>0</v>
      </c>
      <c r="F776" s="48">
        <f t="shared" si="182"/>
        <v>2037.1517185499999</v>
      </c>
      <c r="G776" s="95"/>
      <c r="H776" s="97"/>
      <c r="I776" s="32"/>
      <c r="L776" s="41"/>
      <c r="N776" s="32"/>
    </row>
    <row r="777" spans="1:14" s="33" customFormat="1" x14ac:dyDescent="0.3">
      <c r="A777" s="80" t="s">
        <v>182</v>
      </c>
      <c r="B777" s="80"/>
      <c r="C777" s="80"/>
      <c r="D777" s="80"/>
      <c r="E777" s="80"/>
      <c r="F777" s="80"/>
      <c r="G777" s="80"/>
      <c r="H777" s="80"/>
      <c r="I777" s="32"/>
      <c r="L777" s="82"/>
      <c r="M777" s="82"/>
    </row>
    <row r="778" spans="1:14" s="33" customFormat="1" ht="15.75" customHeight="1" x14ac:dyDescent="0.3">
      <c r="A778" s="81">
        <v>1</v>
      </c>
      <c r="B778" s="81"/>
      <c r="C778" s="65" t="s">
        <v>265</v>
      </c>
      <c r="D778" s="64">
        <f>(171.082)*(10.764)</f>
        <v>1841.5266479999998</v>
      </c>
      <c r="E778" s="48">
        <v>0</v>
      </c>
      <c r="F778" s="48">
        <f>D778*(($F$203)+1)+(IF(E778&lt;101,E778,IF(E778&lt;201,E778/2,IF(E778&lt;=301,E778/3,E778/4))))</f>
        <v>2762.2899719999996</v>
      </c>
      <c r="G778" s="89" t="str">
        <f>A777</f>
        <v>8th, 15th, 22nd &amp; 29th Floor (Part Refuge Area)</v>
      </c>
      <c r="H778" s="91"/>
      <c r="I778" s="32"/>
      <c r="N778" s="32"/>
    </row>
    <row r="779" spans="1:14" s="33" customFormat="1" ht="15.75" customHeight="1" x14ac:dyDescent="0.3">
      <c r="A779" s="81">
        <f t="shared" ref="A779:A785" si="183">A778+1</f>
        <v>2</v>
      </c>
      <c r="B779" s="81"/>
      <c r="C779" s="65" t="s">
        <v>280</v>
      </c>
      <c r="D779" s="64">
        <f>(36.32)*(10.764)</f>
        <v>390.94847999999996</v>
      </c>
      <c r="E779" s="48">
        <v>0</v>
      </c>
      <c r="F779" s="48">
        <f t="shared" ref="F779:F783" si="184">D779*(($F$203)+1)+(IF(E779&lt;101,E779,IF(E779&lt;201,E779/2,IF(E779&lt;=301,E779/3,E779/4))))</f>
        <v>586.42271999999991</v>
      </c>
      <c r="G779" s="92"/>
      <c r="H779" s="94"/>
      <c r="I779" s="32"/>
      <c r="L779" s="41"/>
      <c r="N779" s="32"/>
    </row>
    <row r="780" spans="1:14" s="33" customFormat="1" ht="15.75" customHeight="1" x14ac:dyDescent="0.3">
      <c r="A780" s="81">
        <v>3</v>
      </c>
      <c r="B780" s="81"/>
      <c r="C780" s="65" t="s">
        <v>280</v>
      </c>
      <c r="D780" s="64">
        <f>(36.32)*(10.764)</f>
        <v>390.94847999999996</v>
      </c>
      <c r="E780" s="48">
        <v>0</v>
      </c>
      <c r="F780" s="48">
        <f t="shared" si="184"/>
        <v>586.42271999999991</v>
      </c>
      <c r="G780" s="92"/>
      <c r="H780" s="94"/>
      <c r="I780" s="32"/>
      <c r="N780" s="32"/>
    </row>
    <row r="781" spans="1:14" s="33" customFormat="1" ht="15.75" customHeight="1" x14ac:dyDescent="0.3">
      <c r="A781" s="81">
        <v>4</v>
      </c>
      <c r="B781" s="81"/>
      <c r="C781" s="65" t="s">
        <v>265</v>
      </c>
      <c r="D781" s="64">
        <f>(171.181)*(10.764)</f>
        <v>1842.5922840000001</v>
      </c>
      <c r="E781" s="48">
        <v>0</v>
      </c>
      <c r="F781" s="48">
        <f t="shared" si="184"/>
        <v>2763.888426</v>
      </c>
      <c r="G781" s="92"/>
      <c r="H781" s="94"/>
      <c r="I781" s="32"/>
      <c r="L781" s="41"/>
      <c r="N781" s="32"/>
    </row>
    <row r="782" spans="1:14" s="33" customFormat="1" ht="15.75" customHeight="1" x14ac:dyDescent="0.3">
      <c r="A782" s="81">
        <v>5</v>
      </c>
      <c r="B782" s="81"/>
      <c r="C782" s="65" t="s">
        <v>265</v>
      </c>
      <c r="D782" s="64">
        <f>(118.741+2.843*1.225)*(10.764)</f>
        <v>1315.6156377</v>
      </c>
      <c r="E782" s="48">
        <v>0</v>
      </c>
      <c r="F782" s="48">
        <f t="shared" si="184"/>
        <v>1973.4234565500001</v>
      </c>
      <c r="G782" s="92"/>
      <c r="H782" s="94"/>
      <c r="I782" s="32"/>
      <c r="N782" s="32"/>
    </row>
    <row r="783" spans="1:14" s="33" customFormat="1" ht="15.75" customHeight="1" x14ac:dyDescent="0.3">
      <c r="A783" s="81">
        <v>6</v>
      </c>
      <c r="B783" s="81"/>
      <c r="C783" s="65" t="s">
        <v>265</v>
      </c>
      <c r="D783" s="64">
        <f>(118.741+2.843*1.225)*(10.764)</f>
        <v>1315.6156377</v>
      </c>
      <c r="E783" s="48">
        <v>0</v>
      </c>
      <c r="F783" s="48">
        <f t="shared" si="184"/>
        <v>1973.4234565500001</v>
      </c>
      <c r="G783" s="92"/>
      <c r="H783" s="94"/>
      <c r="I783" s="32"/>
      <c r="L783" s="41"/>
      <c r="N783" s="32"/>
    </row>
    <row r="784" spans="1:14" s="33" customFormat="1" ht="15.75" customHeight="1" x14ac:dyDescent="0.3">
      <c r="A784" s="81">
        <v>7</v>
      </c>
      <c r="B784" s="81"/>
      <c r="C784" s="83" t="s">
        <v>183</v>
      </c>
      <c r="D784" s="84"/>
      <c r="E784" s="84"/>
      <c r="F784" s="85"/>
      <c r="G784" s="92"/>
      <c r="H784" s="94"/>
      <c r="I784" s="32"/>
      <c r="N784" s="32"/>
    </row>
    <row r="785" spans="1:14" s="33" customFormat="1" ht="15.75" customHeight="1" x14ac:dyDescent="0.3">
      <c r="A785" s="81">
        <f t="shared" si="183"/>
        <v>8</v>
      </c>
      <c r="B785" s="81"/>
      <c r="C785" s="86"/>
      <c r="D785" s="87"/>
      <c r="E785" s="87"/>
      <c r="F785" s="88"/>
      <c r="G785" s="95"/>
      <c r="H785" s="97"/>
      <c r="I785" s="32"/>
      <c r="L785" s="41"/>
      <c r="N785" s="32"/>
    </row>
    <row r="786" spans="1:14" s="33" customFormat="1" x14ac:dyDescent="0.3">
      <c r="A786" s="80" t="s">
        <v>281</v>
      </c>
      <c r="B786" s="80"/>
      <c r="C786" s="80"/>
      <c r="D786" s="80"/>
      <c r="E786" s="80"/>
      <c r="F786" s="80"/>
      <c r="G786" s="80"/>
      <c r="H786" s="80"/>
      <c r="I786" s="32"/>
      <c r="L786" s="82"/>
      <c r="M786" s="82"/>
    </row>
    <row r="787" spans="1:14" s="33" customFormat="1" ht="15.75" customHeight="1" x14ac:dyDescent="0.3">
      <c r="A787" s="81">
        <v>1</v>
      </c>
      <c r="B787" s="81"/>
      <c r="C787" s="65" t="s">
        <v>265</v>
      </c>
      <c r="D787" s="64">
        <f>(171.621)*(10.764)</f>
        <v>1847.328444</v>
      </c>
      <c r="E787" s="48">
        <v>0</v>
      </c>
      <c r="F787" s="48">
        <f>D787*(($F$203)+1)+(IF(E787&lt;101,E787,IF(E787&lt;201,E787/2,IF(E787&lt;=301,E787/3,E787/4))))</f>
        <v>2770.9926660000001</v>
      </c>
      <c r="G787" s="89" t="str">
        <f>A786</f>
        <v>35th, 37th to 42nd &amp; 44th to 49th Floor</v>
      </c>
      <c r="H787" s="91"/>
      <c r="I787" s="32"/>
      <c r="N787" s="32"/>
    </row>
    <row r="788" spans="1:14" s="33" customFormat="1" ht="15.75" customHeight="1" x14ac:dyDescent="0.3">
      <c r="A788" s="81">
        <v>2</v>
      </c>
      <c r="B788" s="81"/>
      <c r="C788" s="65" t="s">
        <v>280</v>
      </c>
      <c r="D788" s="64">
        <f>(36.32)*(10.764)</f>
        <v>390.94847999999996</v>
      </c>
      <c r="E788" s="48">
        <v>0</v>
      </c>
      <c r="F788" s="48">
        <f t="shared" ref="F788:F794" si="185">D788*(($F$203)+1)+(IF(E788&lt;101,E788,IF(E788&lt;201,E788/2,IF(E788&lt;=301,E788/3,E788/4))))</f>
        <v>586.42271999999991</v>
      </c>
      <c r="G788" s="92"/>
      <c r="H788" s="94"/>
      <c r="I788" s="32"/>
      <c r="L788" s="41"/>
      <c r="N788" s="32"/>
    </row>
    <row r="789" spans="1:14" s="33" customFormat="1" ht="15.75" customHeight="1" x14ac:dyDescent="0.3">
      <c r="A789" s="81">
        <v>3</v>
      </c>
      <c r="B789" s="81"/>
      <c r="C789" s="65" t="s">
        <v>280</v>
      </c>
      <c r="D789" s="64">
        <f>(36.32)*(10.764)</f>
        <v>390.94847999999996</v>
      </c>
      <c r="E789" s="48">
        <v>0</v>
      </c>
      <c r="F789" s="48">
        <f t="shared" si="185"/>
        <v>586.42271999999991</v>
      </c>
      <c r="G789" s="92"/>
      <c r="H789" s="94"/>
      <c r="I789" s="32"/>
      <c r="N789" s="32"/>
    </row>
    <row r="790" spans="1:14" s="33" customFormat="1" ht="15.75" customHeight="1" x14ac:dyDescent="0.3">
      <c r="A790" s="81">
        <v>4</v>
      </c>
      <c r="B790" s="81"/>
      <c r="C790" s="65" t="s">
        <v>265</v>
      </c>
      <c r="D790" s="64">
        <f>(171.705)*(10.764)</f>
        <v>1848.23262</v>
      </c>
      <c r="E790" s="48">
        <v>0</v>
      </c>
      <c r="F790" s="48">
        <f t="shared" si="185"/>
        <v>2772.3489300000001</v>
      </c>
      <c r="G790" s="92"/>
      <c r="H790" s="94"/>
      <c r="I790" s="32"/>
      <c r="L790" s="41"/>
      <c r="N790" s="32"/>
    </row>
    <row r="791" spans="1:14" s="33" customFormat="1" ht="15.75" customHeight="1" x14ac:dyDescent="0.3">
      <c r="A791" s="81">
        <v>5</v>
      </c>
      <c r="B791" s="81"/>
      <c r="C791" s="65" t="s">
        <v>265</v>
      </c>
      <c r="D791" s="64">
        <f>(119.198+2.843*1.225)*(10.764)</f>
        <v>1320.5347856999999</v>
      </c>
      <c r="E791" s="48">
        <v>0</v>
      </c>
      <c r="F791" s="48">
        <f t="shared" si="185"/>
        <v>1980.80217855</v>
      </c>
      <c r="G791" s="92"/>
      <c r="H791" s="94"/>
      <c r="I791" s="32"/>
      <c r="N791" s="32"/>
    </row>
    <row r="792" spans="1:14" s="33" customFormat="1" ht="15.75" customHeight="1" x14ac:dyDescent="0.3">
      <c r="A792" s="81">
        <v>6</v>
      </c>
      <c r="B792" s="81"/>
      <c r="C792" s="65" t="s">
        <v>265</v>
      </c>
      <c r="D792" s="64">
        <f>(119.198+2.843*1.225)*(10.764)</f>
        <v>1320.5347856999999</v>
      </c>
      <c r="E792" s="48">
        <v>0</v>
      </c>
      <c r="F792" s="48">
        <f t="shared" si="185"/>
        <v>1980.80217855</v>
      </c>
      <c r="G792" s="92"/>
      <c r="H792" s="94"/>
      <c r="I792" s="32"/>
      <c r="L792" s="41"/>
      <c r="N792" s="32"/>
    </row>
    <row r="793" spans="1:14" s="33" customFormat="1" ht="15.75" customHeight="1" x14ac:dyDescent="0.3">
      <c r="A793" s="81">
        <v>7</v>
      </c>
      <c r="B793" s="81"/>
      <c r="C793" s="65" t="s">
        <v>265</v>
      </c>
      <c r="D793" s="64">
        <f>(122.344+2.843*1.225)*(10.764)</f>
        <v>1354.3983296999997</v>
      </c>
      <c r="E793" s="48">
        <v>0</v>
      </c>
      <c r="F793" s="48">
        <f t="shared" si="185"/>
        <v>2031.5974945499997</v>
      </c>
      <c r="G793" s="92"/>
      <c r="H793" s="94"/>
      <c r="I793" s="32"/>
      <c r="N793" s="32"/>
    </row>
    <row r="794" spans="1:14" s="33" customFormat="1" ht="15.75" customHeight="1" x14ac:dyDescent="0.3">
      <c r="A794" s="81">
        <v>8</v>
      </c>
      <c r="B794" s="81"/>
      <c r="C794" s="65" t="s">
        <v>265</v>
      </c>
      <c r="D794" s="64">
        <f>(122.344+2.843*1.225)*(10.764)</f>
        <v>1354.3983296999997</v>
      </c>
      <c r="E794" s="48">
        <v>0</v>
      </c>
      <c r="F794" s="48">
        <f t="shared" si="185"/>
        <v>2031.5974945499997</v>
      </c>
      <c r="G794" s="95"/>
      <c r="H794" s="97"/>
      <c r="I794" s="32"/>
      <c r="L794" s="41"/>
      <c r="N794" s="32"/>
    </row>
    <row r="795" spans="1:14" s="33" customFormat="1" x14ac:dyDescent="0.3">
      <c r="A795" s="80" t="s">
        <v>282</v>
      </c>
      <c r="B795" s="80"/>
      <c r="C795" s="80"/>
      <c r="D795" s="80"/>
      <c r="E795" s="80"/>
      <c r="F795" s="80"/>
      <c r="G795" s="80"/>
      <c r="H795" s="80"/>
      <c r="I795" s="32"/>
      <c r="L795" s="82"/>
      <c r="M795" s="82"/>
    </row>
    <row r="796" spans="1:14" s="33" customFormat="1" ht="15.75" customHeight="1" x14ac:dyDescent="0.3">
      <c r="A796" s="81">
        <v>1</v>
      </c>
      <c r="B796" s="81"/>
      <c r="C796" s="65" t="s">
        <v>265</v>
      </c>
      <c r="D796" s="64">
        <f>(171.082)*(10.764)</f>
        <v>1841.5266479999998</v>
      </c>
      <c r="E796" s="48">
        <v>0</v>
      </c>
      <c r="F796" s="48">
        <f>D796*(($F$203)+1)+(IF(E796&lt;101,E796,IF(E796&lt;201,E796/2,IF(E796&lt;=301,E796/3,E796/4))))</f>
        <v>2762.2899719999996</v>
      </c>
      <c r="G796" s="89" t="str">
        <f>A795</f>
        <v>36th &amp; 43rd Floor (Part Refuge Area)</v>
      </c>
      <c r="H796" s="91"/>
      <c r="I796" s="32"/>
      <c r="N796" s="32"/>
    </row>
    <row r="797" spans="1:14" s="33" customFormat="1" ht="15.75" customHeight="1" x14ac:dyDescent="0.3">
      <c r="A797" s="81">
        <f t="shared" ref="A797:A803" si="186">A796+1</f>
        <v>2</v>
      </c>
      <c r="B797" s="81"/>
      <c r="C797" s="65" t="s">
        <v>280</v>
      </c>
      <c r="D797" s="64">
        <f>(36.32)*(10.764)</f>
        <v>390.94847999999996</v>
      </c>
      <c r="E797" s="48">
        <v>0</v>
      </c>
      <c r="F797" s="48">
        <f t="shared" ref="F797:F801" si="187">D797*(($F$203)+1)+(IF(E797&lt;101,E797,IF(E797&lt;201,E797/2,IF(E797&lt;=301,E797/3,E797/4))))</f>
        <v>586.42271999999991</v>
      </c>
      <c r="G797" s="92"/>
      <c r="H797" s="94"/>
      <c r="I797" s="32"/>
      <c r="L797" s="41"/>
      <c r="N797" s="32"/>
    </row>
    <row r="798" spans="1:14" s="33" customFormat="1" ht="15.75" customHeight="1" x14ac:dyDescent="0.3">
      <c r="A798" s="81">
        <v>3</v>
      </c>
      <c r="B798" s="81"/>
      <c r="C798" s="65" t="s">
        <v>280</v>
      </c>
      <c r="D798" s="64">
        <f>(36.32)*(10.764)</f>
        <v>390.94847999999996</v>
      </c>
      <c r="E798" s="48">
        <v>0</v>
      </c>
      <c r="F798" s="48">
        <f t="shared" si="187"/>
        <v>586.42271999999991</v>
      </c>
      <c r="G798" s="92"/>
      <c r="H798" s="94"/>
      <c r="I798" s="32"/>
      <c r="N798" s="32"/>
    </row>
    <row r="799" spans="1:14" s="33" customFormat="1" ht="15.75" customHeight="1" x14ac:dyDescent="0.3">
      <c r="A799" s="81">
        <v>4</v>
      </c>
      <c r="B799" s="81"/>
      <c r="C799" s="65" t="s">
        <v>265</v>
      </c>
      <c r="D799" s="64">
        <f>(171.181)*(10.764)</f>
        <v>1842.5922840000001</v>
      </c>
      <c r="E799" s="48">
        <v>0</v>
      </c>
      <c r="F799" s="48">
        <f t="shared" si="187"/>
        <v>2763.888426</v>
      </c>
      <c r="G799" s="92"/>
      <c r="H799" s="94"/>
      <c r="I799" s="32"/>
      <c r="L799" s="41"/>
      <c r="N799" s="32"/>
    </row>
    <row r="800" spans="1:14" s="33" customFormat="1" ht="15.75" customHeight="1" x14ac:dyDescent="0.3">
      <c r="A800" s="81">
        <v>5</v>
      </c>
      <c r="B800" s="81"/>
      <c r="C800" s="65" t="s">
        <v>265</v>
      </c>
      <c r="D800" s="64">
        <f>(118.741+2.843*1.225)*(10.764)</f>
        <v>1315.6156377</v>
      </c>
      <c r="E800" s="48">
        <v>0</v>
      </c>
      <c r="F800" s="48">
        <f t="shared" si="187"/>
        <v>1973.4234565500001</v>
      </c>
      <c r="G800" s="92"/>
      <c r="H800" s="94"/>
      <c r="I800" s="32"/>
      <c r="N800" s="32"/>
    </row>
    <row r="801" spans="1:14" s="33" customFormat="1" ht="15.75" customHeight="1" x14ac:dyDescent="0.3">
      <c r="A801" s="81">
        <v>6</v>
      </c>
      <c r="B801" s="81"/>
      <c r="C801" s="65" t="s">
        <v>265</v>
      </c>
      <c r="D801" s="64">
        <f>(118.741+2.843*1.225)*(10.764)</f>
        <v>1315.6156377</v>
      </c>
      <c r="E801" s="48">
        <v>0</v>
      </c>
      <c r="F801" s="48">
        <f t="shared" si="187"/>
        <v>1973.4234565500001</v>
      </c>
      <c r="G801" s="92"/>
      <c r="H801" s="94"/>
      <c r="I801" s="32"/>
      <c r="L801" s="41"/>
      <c r="N801" s="32"/>
    </row>
    <row r="802" spans="1:14" s="33" customFormat="1" ht="15.75" customHeight="1" x14ac:dyDescent="0.3">
      <c r="A802" s="81">
        <v>7</v>
      </c>
      <c r="B802" s="81"/>
      <c r="C802" s="83" t="s">
        <v>183</v>
      </c>
      <c r="D802" s="84"/>
      <c r="E802" s="84"/>
      <c r="F802" s="85"/>
      <c r="G802" s="92"/>
      <c r="H802" s="94"/>
      <c r="I802" s="32"/>
      <c r="N802" s="32"/>
    </row>
    <row r="803" spans="1:14" s="33" customFormat="1" ht="15.75" customHeight="1" x14ac:dyDescent="0.3">
      <c r="A803" s="81">
        <f t="shared" si="186"/>
        <v>8</v>
      </c>
      <c r="B803" s="81"/>
      <c r="C803" s="86"/>
      <c r="D803" s="87"/>
      <c r="E803" s="87"/>
      <c r="F803" s="88"/>
      <c r="G803" s="95"/>
      <c r="H803" s="97"/>
      <c r="I803" s="32"/>
      <c r="L803" s="41"/>
      <c r="N803" s="32"/>
    </row>
    <row r="804" spans="1:14" s="33" customFormat="1" x14ac:dyDescent="0.3">
      <c r="A804" s="80" t="s">
        <v>283</v>
      </c>
      <c r="B804" s="80"/>
      <c r="C804" s="80"/>
      <c r="D804" s="80"/>
      <c r="E804" s="80"/>
      <c r="F804" s="80"/>
      <c r="G804" s="80"/>
      <c r="H804" s="80"/>
      <c r="I804" s="32"/>
      <c r="L804" s="82"/>
      <c r="M804" s="82"/>
    </row>
    <row r="805" spans="1:14" s="33" customFormat="1" ht="15.75" customHeight="1" x14ac:dyDescent="0.3">
      <c r="A805" s="81">
        <v>1</v>
      </c>
      <c r="B805" s="81"/>
      <c r="C805" s="65" t="s">
        <v>265</v>
      </c>
      <c r="D805" s="64">
        <f>(171.621)*(10.764)</f>
        <v>1847.328444</v>
      </c>
      <c r="E805" s="48">
        <v>0</v>
      </c>
      <c r="F805" s="48">
        <f>D805*(($F$203)+1)+(IF(E805&lt;101,E805,IF(E805&lt;201,E805/2,IF(E805&lt;=301,E805/3,E805/4))))</f>
        <v>2770.9926660000001</v>
      </c>
      <c r="G805" s="89" t="str">
        <f>A804</f>
        <v>50th Floor (Part Terrace Area)</v>
      </c>
      <c r="H805" s="91"/>
      <c r="I805" s="32"/>
      <c r="N805" s="32"/>
    </row>
    <row r="806" spans="1:14" s="33" customFormat="1" ht="15.75" customHeight="1" x14ac:dyDescent="0.3">
      <c r="A806" s="81">
        <f t="shared" ref="A806:A812" si="188">A805+1</f>
        <v>2</v>
      </c>
      <c r="B806" s="81"/>
      <c r="C806" s="65" t="s">
        <v>280</v>
      </c>
      <c r="D806" s="64">
        <f>(36.32)*(10.764)</f>
        <v>390.94847999999996</v>
      </c>
      <c r="E806" s="48">
        <v>0</v>
      </c>
      <c r="F806" s="48">
        <f t="shared" ref="F806:F808" si="189">D806*(($F$203)+1)+(IF(E806&lt;101,E806,IF(E806&lt;201,E806/2,IF(E806&lt;=301,E806/3,E806/4))))</f>
        <v>586.42271999999991</v>
      </c>
      <c r="G806" s="92"/>
      <c r="H806" s="94"/>
      <c r="I806" s="32"/>
      <c r="L806" s="41"/>
      <c r="N806" s="32"/>
    </row>
    <row r="807" spans="1:14" s="33" customFormat="1" ht="15.75" customHeight="1" x14ac:dyDescent="0.3">
      <c r="A807" s="81">
        <v>3</v>
      </c>
      <c r="B807" s="81"/>
      <c r="C807" s="65" t="s">
        <v>280</v>
      </c>
      <c r="D807" s="64">
        <f>(36.32)*(10.764)</f>
        <v>390.94847999999996</v>
      </c>
      <c r="E807" s="48">
        <v>0</v>
      </c>
      <c r="F807" s="48">
        <f t="shared" si="189"/>
        <v>586.42271999999991</v>
      </c>
      <c r="G807" s="92"/>
      <c r="H807" s="94"/>
      <c r="I807" s="32"/>
      <c r="N807" s="32"/>
    </row>
    <row r="808" spans="1:14" s="33" customFormat="1" ht="15.75" customHeight="1" x14ac:dyDescent="0.3">
      <c r="A808" s="81">
        <v>4</v>
      </c>
      <c r="B808" s="81"/>
      <c r="C808" s="65" t="s">
        <v>265</v>
      </c>
      <c r="D808" s="64">
        <f>(171.705)*(10.764)</f>
        <v>1848.23262</v>
      </c>
      <c r="E808" s="48">
        <v>0</v>
      </c>
      <c r="F808" s="48">
        <f t="shared" si="189"/>
        <v>2772.3489300000001</v>
      </c>
      <c r="G808" s="92"/>
      <c r="H808" s="94"/>
      <c r="I808" s="32"/>
      <c r="L808" s="41"/>
      <c r="N808" s="32"/>
    </row>
    <row r="809" spans="1:14" s="33" customFormat="1" ht="15.75" customHeight="1" x14ac:dyDescent="0.3">
      <c r="A809" s="81">
        <v>5</v>
      </c>
      <c r="B809" s="81"/>
      <c r="C809" s="89" t="s">
        <v>284</v>
      </c>
      <c r="D809" s="90"/>
      <c r="E809" s="90"/>
      <c r="F809" s="91"/>
      <c r="G809" s="92"/>
      <c r="H809" s="94"/>
      <c r="I809" s="32"/>
      <c r="N809" s="32"/>
    </row>
    <row r="810" spans="1:14" s="33" customFormat="1" ht="15.75" customHeight="1" x14ac:dyDescent="0.3">
      <c r="A810" s="81">
        <v>6</v>
      </c>
      <c r="B810" s="81"/>
      <c r="C810" s="92"/>
      <c r="D810" s="93"/>
      <c r="E810" s="93"/>
      <c r="F810" s="94"/>
      <c r="G810" s="92"/>
      <c r="H810" s="94"/>
      <c r="I810" s="32"/>
      <c r="L810" s="41"/>
      <c r="N810" s="32"/>
    </row>
    <row r="811" spans="1:14" s="33" customFormat="1" ht="15.75" customHeight="1" x14ac:dyDescent="0.3">
      <c r="A811" s="81">
        <v>7</v>
      </c>
      <c r="B811" s="81"/>
      <c r="C811" s="92"/>
      <c r="D811" s="93"/>
      <c r="E811" s="93"/>
      <c r="F811" s="94"/>
      <c r="G811" s="92"/>
      <c r="H811" s="94"/>
      <c r="I811" s="32"/>
      <c r="N811" s="32"/>
    </row>
    <row r="812" spans="1:14" s="33" customFormat="1" ht="15.75" customHeight="1" x14ac:dyDescent="0.3">
      <c r="A812" s="81">
        <f t="shared" si="188"/>
        <v>8</v>
      </c>
      <c r="B812" s="81"/>
      <c r="C812" s="95"/>
      <c r="D812" s="96"/>
      <c r="E812" s="96"/>
      <c r="F812" s="97"/>
      <c r="G812" s="95"/>
      <c r="H812" s="97"/>
      <c r="I812" s="32"/>
      <c r="L812" s="41"/>
      <c r="N812" s="32"/>
    </row>
    <row r="813" spans="1:14" s="33" customFormat="1" x14ac:dyDescent="0.3">
      <c r="A813" s="80"/>
      <c r="B813" s="80"/>
      <c r="C813" s="80"/>
      <c r="D813" s="80"/>
      <c r="E813" s="80"/>
      <c r="F813" s="80"/>
      <c r="G813" s="80"/>
      <c r="H813" s="80"/>
      <c r="I813" s="32"/>
      <c r="L813" s="82"/>
      <c r="M813" s="82"/>
    </row>
    <row r="814" spans="1:14" s="31" customFormat="1" x14ac:dyDescent="0.3">
      <c r="A814" s="223" t="s">
        <v>68</v>
      </c>
      <c r="B814" s="224"/>
      <c r="C814" s="224"/>
      <c r="D814" s="224"/>
      <c r="E814" s="224"/>
      <c r="F814" s="224"/>
      <c r="G814" s="224"/>
      <c r="H814" s="225"/>
    </row>
    <row r="815" spans="1:14" s="31" customFormat="1" ht="97.8" customHeight="1" x14ac:dyDescent="0.3">
      <c r="A815" s="45" t="s">
        <v>156</v>
      </c>
      <c r="B815" s="77" t="s">
        <v>310</v>
      </c>
      <c r="C815" s="78"/>
      <c r="D815" s="78"/>
      <c r="E815" s="78"/>
      <c r="F815" s="78"/>
      <c r="G815" s="78"/>
      <c r="H815" s="79"/>
    </row>
    <row r="816" spans="1:14" s="31" customFormat="1" ht="15.75" customHeight="1" x14ac:dyDescent="0.3">
      <c r="A816" s="45" t="s">
        <v>156</v>
      </c>
      <c r="B816" s="77" t="str">
        <f>(IF(F202="Saleable area Loading :","We have considered Saleable area of Flats as per our Calculation.","We considered Saleable area of Flat as per Builder area Sheet."))</f>
        <v>We have considered Saleable area of Flats as per our Calculation.</v>
      </c>
      <c r="C816" s="78"/>
      <c r="D816" s="78"/>
      <c r="E816" s="78"/>
      <c r="F816" s="78"/>
      <c r="G816" s="78"/>
      <c r="H816" s="79"/>
    </row>
    <row r="817" spans="1:15" s="31" customFormat="1" ht="15.75" hidden="1" customHeight="1" x14ac:dyDescent="0.3">
      <c r="A817" s="45" t="s">
        <v>156</v>
      </c>
      <c r="B817" s="77" t="str">
        <f>(IF(F187="Saleable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817" s="78"/>
      <c r="D817" s="78"/>
      <c r="E817" s="78"/>
      <c r="F817" s="78"/>
      <c r="G817" s="78"/>
      <c r="H817" s="79"/>
    </row>
    <row r="818" spans="1:15" s="31" customFormat="1" ht="15.75" customHeight="1" x14ac:dyDescent="0.3">
      <c r="A818" s="45" t="s">
        <v>156</v>
      </c>
      <c r="B818" s="77" t="s">
        <v>125</v>
      </c>
      <c r="C818" s="78"/>
      <c r="D818" s="78"/>
      <c r="E818" s="78"/>
      <c r="F818" s="78"/>
      <c r="G818" s="78"/>
      <c r="H818" s="79"/>
    </row>
    <row r="819" spans="1:15" s="31" customFormat="1" ht="15.75" customHeight="1" x14ac:dyDescent="0.3">
      <c r="A819" s="45" t="s">
        <v>156</v>
      </c>
      <c r="B819" s="77" t="s">
        <v>212</v>
      </c>
      <c r="C819" s="78"/>
      <c r="D819" s="78"/>
      <c r="E819" s="78"/>
      <c r="F819" s="78"/>
      <c r="G819" s="78"/>
      <c r="H819" s="79"/>
      <c r="K819" s="31" t="s">
        <v>290</v>
      </c>
    </row>
    <row r="820" spans="1:15" s="31" customFormat="1" ht="15.75" customHeight="1" x14ac:dyDescent="0.3">
      <c r="A820" s="45" t="s">
        <v>156</v>
      </c>
      <c r="B820" s="77" t="s">
        <v>155</v>
      </c>
      <c r="C820" s="78"/>
      <c r="D820" s="78"/>
      <c r="E820" s="78"/>
      <c r="F820" s="78"/>
      <c r="G820" s="78"/>
      <c r="H820" s="79"/>
    </row>
    <row r="821" spans="1:15" s="31" customFormat="1" ht="15.75" customHeight="1" x14ac:dyDescent="0.3">
      <c r="A821" s="50" t="s">
        <v>156</v>
      </c>
      <c r="B821" s="219" t="s">
        <v>126</v>
      </c>
      <c r="C821" s="220"/>
      <c r="D821" s="220"/>
      <c r="E821" s="220"/>
      <c r="F821" s="220"/>
      <c r="G821" s="220"/>
      <c r="H821" s="221"/>
    </row>
    <row r="822" spans="1:15" s="31" customFormat="1" ht="34.5" customHeight="1" x14ac:dyDescent="0.3">
      <c r="A822" s="50" t="s">
        <v>156</v>
      </c>
      <c r="B822" s="219" t="s">
        <v>157</v>
      </c>
      <c r="C822" s="220"/>
      <c r="D822" s="220"/>
      <c r="E822" s="220"/>
      <c r="F822" s="220"/>
      <c r="G822" s="220"/>
      <c r="H822" s="221"/>
    </row>
    <row r="823" spans="1:15" s="31" customFormat="1" ht="15.75" customHeight="1" x14ac:dyDescent="0.3">
      <c r="A823" s="45" t="s">
        <v>156</v>
      </c>
      <c r="B823" s="77" t="s">
        <v>127</v>
      </c>
      <c r="C823" s="78"/>
      <c r="D823" s="78"/>
      <c r="E823" s="78"/>
      <c r="F823" s="78"/>
      <c r="G823" s="78"/>
      <c r="H823" s="79"/>
    </row>
    <row r="824" spans="1:15" s="31" customFormat="1" ht="15.75" customHeight="1" x14ac:dyDescent="0.3">
      <c r="A824" s="45" t="s">
        <v>156</v>
      </c>
      <c r="B824" s="77" t="s">
        <v>285</v>
      </c>
      <c r="C824" s="78"/>
      <c r="D824" s="78"/>
      <c r="E824" s="78"/>
      <c r="F824" s="78"/>
      <c r="G824" s="78"/>
      <c r="H824" s="79"/>
    </row>
    <row r="825" spans="1:15" s="31" customFormat="1" ht="15.75" customHeight="1" x14ac:dyDescent="0.3">
      <c r="A825" s="45" t="s">
        <v>156</v>
      </c>
      <c r="B825" s="77" t="s">
        <v>291</v>
      </c>
      <c r="C825" s="78"/>
      <c r="D825" s="78"/>
      <c r="E825" s="78"/>
      <c r="F825" s="78"/>
      <c r="G825" s="78"/>
      <c r="H825" s="79"/>
    </row>
    <row r="826" spans="1:15" s="31" customFormat="1" ht="15.75" customHeight="1" x14ac:dyDescent="0.3">
      <c r="A826" s="45" t="s">
        <v>156</v>
      </c>
      <c r="B826" s="77" t="s">
        <v>303</v>
      </c>
      <c r="C826" s="78"/>
      <c r="D826" s="78"/>
      <c r="E826" s="78"/>
      <c r="F826" s="78"/>
      <c r="G826" s="78"/>
      <c r="H826" s="79"/>
      <c r="I826" s="77" t="s">
        <v>302</v>
      </c>
      <c r="J826" s="78"/>
      <c r="K826" s="78"/>
      <c r="L826" s="78"/>
      <c r="M826" s="78"/>
      <c r="N826" s="78"/>
      <c r="O826" s="79"/>
    </row>
    <row r="827" spans="1:15" s="31" customFormat="1" ht="16.5" customHeight="1" x14ac:dyDescent="0.3">
      <c r="A827" s="45" t="s">
        <v>156</v>
      </c>
      <c r="B827" s="77" t="s">
        <v>311</v>
      </c>
      <c r="C827" s="78"/>
      <c r="D827" s="78"/>
      <c r="E827" s="78"/>
      <c r="F827" s="78"/>
      <c r="G827" s="78"/>
      <c r="H827" s="79"/>
    </row>
    <row r="828" spans="1:15" x14ac:dyDescent="0.3">
      <c r="A828" s="253" t="s">
        <v>61</v>
      </c>
      <c r="B828" s="254"/>
      <c r="C828" s="254"/>
      <c r="D828" s="254"/>
      <c r="E828" s="254"/>
      <c r="F828" s="254"/>
      <c r="G828" s="254"/>
      <c r="H828" s="255"/>
    </row>
    <row r="829" spans="1:15" x14ac:dyDescent="0.3">
      <c r="A829" s="213" t="s">
        <v>62</v>
      </c>
      <c r="B829" s="214"/>
      <c r="C829" s="214"/>
      <c r="D829" s="214"/>
      <c r="E829" s="214"/>
      <c r="F829" s="214"/>
      <c r="G829" s="214"/>
      <c r="H829" s="215"/>
    </row>
    <row r="830" spans="1:15" ht="15.75" customHeight="1" x14ac:dyDescent="0.3">
      <c r="A830" s="249" t="s">
        <v>63</v>
      </c>
      <c r="B830" s="250"/>
      <c r="C830" s="250"/>
      <c r="D830" s="250"/>
      <c r="E830" s="250"/>
      <c r="F830" s="250"/>
      <c r="G830" s="250"/>
      <c r="H830" s="251"/>
    </row>
    <row r="831" spans="1:15" x14ac:dyDescent="0.3">
      <c r="A831" s="213" t="s">
        <v>64</v>
      </c>
      <c r="B831" s="214"/>
      <c r="C831" s="214"/>
      <c r="D831" s="214"/>
      <c r="E831" s="214"/>
      <c r="F831" s="214"/>
      <c r="G831" s="214"/>
      <c r="H831" s="215"/>
    </row>
    <row r="832" spans="1:15" x14ac:dyDescent="0.3">
      <c r="A832" s="213" t="s">
        <v>65</v>
      </c>
      <c r="B832" s="214"/>
      <c r="C832" s="214"/>
      <c r="D832" s="214"/>
      <c r="E832" s="214"/>
      <c r="F832" s="214"/>
      <c r="G832" s="214"/>
      <c r="H832" s="215"/>
    </row>
    <row r="833" spans="1:8" hidden="1" x14ac:dyDescent="0.3">
      <c r="A833" s="213" t="s">
        <v>128</v>
      </c>
      <c r="B833" s="214"/>
      <c r="C833" s="214"/>
      <c r="D833" s="214"/>
      <c r="E833" s="214"/>
      <c r="F833" s="214"/>
      <c r="G833" s="214"/>
      <c r="H833" s="215"/>
    </row>
    <row r="834" spans="1:8" ht="35.25" hidden="1" customHeight="1" x14ac:dyDescent="0.3">
      <c r="A834" s="216" t="s">
        <v>129</v>
      </c>
      <c r="B834" s="217"/>
      <c r="C834" s="217"/>
      <c r="D834" s="217"/>
      <c r="E834" s="217"/>
      <c r="F834" s="217"/>
      <c r="G834" s="217"/>
      <c r="H834" s="218"/>
    </row>
    <row r="835" spans="1:8" x14ac:dyDescent="0.3">
      <c r="A835" s="212" t="s">
        <v>77</v>
      </c>
      <c r="B835" s="212"/>
      <c r="C835" s="212" t="s">
        <v>307</v>
      </c>
      <c r="D835" s="212"/>
      <c r="E835" s="212" t="s">
        <v>105</v>
      </c>
      <c r="F835" s="212"/>
      <c r="G835" s="212" t="s">
        <v>312</v>
      </c>
      <c r="H835" s="212"/>
    </row>
    <row r="836" spans="1:8" ht="15.75" customHeight="1" x14ac:dyDescent="0.3">
      <c r="A836" s="203" t="s">
        <v>79</v>
      </c>
      <c r="B836" s="204"/>
      <c r="C836" s="204"/>
      <c r="D836" s="204"/>
      <c r="E836" s="204"/>
      <c r="F836" s="204"/>
      <c r="G836" s="204"/>
      <c r="H836" s="205"/>
    </row>
    <row r="837" spans="1:8" x14ac:dyDescent="0.3">
      <c r="A837" s="206"/>
      <c r="B837" s="207"/>
      <c r="C837" s="207"/>
      <c r="D837" s="207"/>
      <c r="E837" s="207"/>
      <c r="F837" s="207"/>
      <c r="G837" s="207"/>
      <c r="H837" s="208"/>
    </row>
    <row r="838" spans="1:8" x14ac:dyDescent="0.3">
      <c r="A838" s="206"/>
      <c r="B838" s="207"/>
      <c r="C838" s="207"/>
      <c r="D838" s="207"/>
      <c r="E838" s="207"/>
      <c r="F838" s="207"/>
      <c r="G838" s="207"/>
      <c r="H838" s="208"/>
    </row>
    <row r="839" spans="1:8" x14ac:dyDescent="0.3">
      <c r="A839" s="209"/>
      <c r="B839" s="210"/>
      <c r="C839" s="210"/>
      <c r="D839" s="210"/>
      <c r="E839" s="210"/>
      <c r="F839" s="210"/>
      <c r="G839" s="210"/>
      <c r="H839" s="211"/>
    </row>
    <row r="840" spans="1:8" x14ac:dyDescent="0.3">
      <c r="A840" s="34" t="s">
        <v>66</v>
      </c>
      <c r="B840" s="35"/>
      <c r="C840" s="35"/>
      <c r="D840" s="34" t="str">
        <f>E8</f>
        <v>Skycity (Ten Towers)</v>
      </c>
      <c r="F840" s="35"/>
      <c r="G840" s="35"/>
      <c r="H840" s="35"/>
    </row>
    <row r="841" spans="1:8" x14ac:dyDescent="0.3">
      <c r="A841" s="35"/>
      <c r="B841" s="35"/>
      <c r="C841" s="35"/>
      <c r="D841" s="35"/>
      <c r="E841" s="35"/>
      <c r="F841" s="35"/>
      <c r="G841" s="35"/>
      <c r="H841" s="35"/>
    </row>
    <row r="842" spans="1:8" x14ac:dyDescent="0.3">
      <c r="A842" s="35"/>
      <c r="B842" s="35"/>
      <c r="C842" s="35"/>
      <c r="D842" s="35"/>
      <c r="E842" s="35"/>
      <c r="F842" s="35"/>
      <c r="G842" s="35"/>
      <c r="H842" s="35"/>
    </row>
    <row r="843" spans="1:8" ht="15" customHeight="1" x14ac:dyDescent="0.3"/>
    <row r="882" spans="1:1" x14ac:dyDescent="0.3">
      <c r="A882" s="37" t="s">
        <v>67</v>
      </c>
    </row>
  </sheetData>
  <mergeCells count="1497">
    <mergeCell ref="I10:L10"/>
    <mergeCell ref="B827:H827"/>
    <mergeCell ref="I826:O826"/>
    <mergeCell ref="G747:H753"/>
    <mergeCell ref="G755:H759"/>
    <mergeCell ref="G769:H776"/>
    <mergeCell ref="G778:H785"/>
    <mergeCell ref="G787:H794"/>
    <mergeCell ref="G796:H803"/>
    <mergeCell ref="G805:H812"/>
    <mergeCell ref="B826:H826"/>
    <mergeCell ref="G520:H527"/>
    <mergeCell ref="G529:H536"/>
    <mergeCell ref="G538:H545"/>
    <mergeCell ref="G547:H554"/>
    <mergeCell ref="G557:H564"/>
    <mergeCell ref="G566:H573"/>
    <mergeCell ref="G575:H582"/>
    <mergeCell ref="G585:H592"/>
    <mergeCell ref="G597:H602"/>
    <mergeCell ref="G604:H609"/>
    <mergeCell ref="G611:H616"/>
    <mergeCell ref="G618:H623"/>
    <mergeCell ref="G625:H630"/>
    <mergeCell ref="G632:H637"/>
    <mergeCell ref="G640:H645"/>
    <mergeCell ref="G647:H652"/>
    <mergeCell ref="A786:H786"/>
    <mergeCell ref="A749:B749"/>
    <mergeCell ref="A750:B750"/>
    <mergeCell ref="C37:H37"/>
    <mergeCell ref="G209:H214"/>
    <mergeCell ref="G216:H221"/>
    <mergeCell ref="G223:H228"/>
    <mergeCell ref="G230:H235"/>
    <mergeCell ref="G237:H242"/>
    <mergeCell ref="G244:H249"/>
    <mergeCell ref="G251:H256"/>
    <mergeCell ref="G259:H264"/>
    <mergeCell ref="G266:H271"/>
    <mergeCell ref="G273:H278"/>
    <mergeCell ref="G281:H286"/>
    <mergeCell ref="G288:H293"/>
    <mergeCell ref="G295:H300"/>
    <mergeCell ref="G306:H313"/>
    <mergeCell ref="G315:H322"/>
    <mergeCell ref="G324:H331"/>
    <mergeCell ref="A68:C68"/>
    <mergeCell ref="D68:H68"/>
    <mergeCell ref="A69:C69"/>
    <mergeCell ref="D69:H69"/>
    <mergeCell ref="A76:B76"/>
    <mergeCell ref="G75:H75"/>
    <mergeCell ref="A65:C65"/>
    <mergeCell ref="E76:F85"/>
    <mergeCell ref="G76:H85"/>
    <mergeCell ref="A84:B84"/>
    <mergeCell ref="A85:B85"/>
    <mergeCell ref="D65:H65"/>
    <mergeCell ref="E74:F74"/>
    <mergeCell ref="G74:H74"/>
    <mergeCell ref="A83:B83"/>
    <mergeCell ref="A74:B74"/>
    <mergeCell ref="C74:D74"/>
    <mergeCell ref="A82:B82"/>
    <mergeCell ref="A128:B128"/>
    <mergeCell ref="C128:H128"/>
    <mergeCell ref="A130:B130"/>
    <mergeCell ref="C130:H130"/>
    <mergeCell ref="A131:B131"/>
    <mergeCell ref="E131:F131"/>
    <mergeCell ref="G131:H131"/>
    <mergeCell ref="A132:B132"/>
    <mergeCell ref="E132:F141"/>
    <mergeCell ref="G132:H141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13:B113"/>
    <mergeCell ref="A116:B116"/>
    <mergeCell ref="C116:H116"/>
    <mergeCell ref="A117:B117"/>
    <mergeCell ref="E117:F117"/>
    <mergeCell ref="G117:H117"/>
    <mergeCell ref="A88:B88"/>
    <mergeCell ref="C88:H88"/>
    <mergeCell ref="A89:B89"/>
    <mergeCell ref="L786:M786"/>
    <mergeCell ref="A793:B793"/>
    <mergeCell ref="A794:B794"/>
    <mergeCell ref="A183:B183"/>
    <mergeCell ref="C183:D183"/>
    <mergeCell ref="E183:F183"/>
    <mergeCell ref="G183:H183"/>
    <mergeCell ref="A761:H761"/>
    <mergeCell ref="A762:H762"/>
    <mergeCell ref="A763:H763"/>
    <mergeCell ref="A764:H764"/>
    <mergeCell ref="A765:H765"/>
    <mergeCell ref="A768:H768"/>
    <mergeCell ref="L768:M768"/>
    <mergeCell ref="A769:B769"/>
    <mergeCell ref="A770:B770"/>
    <mergeCell ref="L194:M194"/>
    <mergeCell ref="L195:M195"/>
    <mergeCell ref="L196:M196"/>
    <mergeCell ref="L197:M197"/>
    <mergeCell ref="L198:M198"/>
    <mergeCell ref="L199:M199"/>
    <mergeCell ref="G200:H200"/>
    <mergeCell ref="A199:B199"/>
    <mergeCell ref="G199:H199"/>
    <mergeCell ref="A200:B200"/>
    <mergeCell ref="A700:B700"/>
    <mergeCell ref="L193:M193"/>
    <mergeCell ref="L192:M192"/>
    <mergeCell ref="A525:B525"/>
    <mergeCell ref="A532:B532"/>
    <mergeCell ref="A545:B545"/>
    <mergeCell ref="L191:M191"/>
    <mergeCell ref="L190:M190"/>
    <mergeCell ref="A748:B748"/>
    <mergeCell ref="A75:B75"/>
    <mergeCell ref="A78:B78"/>
    <mergeCell ref="A73:B73"/>
    <mergeCell ref="A71:B71"/>
    <mergeCell ref="C71:H71"/>
    <mergeCell ref="A80:B80"/>
    <mergeCell ref="A66:C66"/>
    <mergeCell ref="D66:H66"/>
    <mergeCell ref="C73:H73"/>
    <mergeCell ref="A77:B77"/>
    <mergeCell ref="A79:B79"/>
    <mergeCell ref="E75:F75"/>
    <mergeCell ref="A67:C67"/>
    <mergeCell ref="D67:H67"/>
    <mergeCell ref="A70:C70"/>
    <mergeCell ref="D70:H70"/>
    <mergeCell ref="G191:H191"/>
    <mergeCell ref="G193:H193"/>
    <mergeCell ref="F156:H156"/>
    <mergeCell ref="F161:H161"/>
    <mergeCell ref="G177:H177"/>
    <mergeCell ref="A160:E160"/>
    <mergeCell ref="A91:B91"/>
    <mergeCell ref="G184:H184"/>
    <mergeCell ref="A182:B182"/>
    <mergeCell ref="C182:D182"/>
    <mergeCell ref="E182:F182"/>
    <mergeCell ref="E171:F171"/>
    <mergeCell ref="A171:B171"/>
    <mergeCell ref="A833:H833"/>
    <mergeCell ref="A830:H830"/>
    <mergeCell ref="A695:B695"/>
    <mergeCell ref="A176:B176"/>
    <mergeCell ref="D202:D203"/>
    <mergeCell ref="E202:E203"/>
    <mergeCell ref="G202:H203"/>
    <mergeCell ref="A94:B94"/>
    <mergeCell ref="A95:B95"/>
    <mergeCell ref="A96:B96"/>
    <mergeCell ref="A86:B86"/>
    <mergeCell ref="C86:H86"/>
    <mergeCell ref="A110:B110"/>
    <mergeCell ref="A81:B81"/>
    <mergeCell ref="F157:H157"/>
    <mergeCell ref="G172:H172"/>
    <mergeCell ref="A145:B145"/>
    <mergeCell ref="E145:F145"/>
    <mergeCell ref="G145:H145"/>
    <mergeCell ref="A146:B146"/>
    <mergeCell ref="E146:F155"/>
    <mergeCell ref="G146:H155"/>
    <mergeCell ref="A147:B147"/>
    <mergeCell ref="A148:B148"/>
    <mergeCell ref="A149:B149"/>
    <mergeCell ref="A828:H828"/>
    <mergeCell ref="A829:H829"/>
    <mergeCell ref="E176:F176"/>
    <mergeCell ref="B823:H823"/>
    <mergeCell ref="B825:H825"/>
    <mergeCell ref="G192:H192"/>
    <mergeCell ref="G190:H190"/>
    <mergeCell ref="A153:B153"/>
    <mergeCell ref="A154:B154"/>
    <mergeCell ref="A155:B155"/>
    <mergeCell ref="E118:F127"/>
    <mergeCell ref="A100:B100"/>
    <mergeCell ref="C100:H100"/>
    <mergeCell ref="A90:B90"/>
    <mergeCell ref="E90:F99"/>
    <mergeCell ref="A97:B97"/>
    <mergeCell ref="A98:B98"/>
    <mergeCell ref="A99:B99"/>
    <mergeCell ref="A104:B104"/>
    <mergeCell ref="E104:F113"/>
    <mergeCell ref="A150:B150"/>
    <mergeCell ref="A151:B151"/>
    <mergeCell ref="G89:H89"/>
    <mergeCell ref="A102:B102"/>
    <mergeCell ref="C102:H102"/>
    <mergeCell ref="A103:B103"/>
    <mergeCell ref="E103:F103"/>
    <mergeCell ref="A119:B119"/>
    <mergeCell ref="A120:B120"/>
    <mergeCell ref="A114:B114"/>
    <mergeCell ref="C114:H114"/>
    <mergeCell ref="G90:H99"/>
    <mergeCell ref="E89:F89"/>
    <mergeCell ref="A92:B92"/>
    <mergeCell ref="A93:B93"/>
    <mergeCell ref="A41:D41"/>
    <mergeCell ref="A48:B48"/>
    <mergeCell ref="C48:E48"/>
    <mergeCell ref="C52:E52"/>
    <mergeCell ref="G52:H52"/>
    <mergeCell ref="D61:H61"/>
    <mergeCell ref="A47:B47"/>
    <mergeCell ref="C47:H47"/>
    <mergeCell ref="G51:H51"/>
    <mergeCell ref="D56:H56"/>
    <mergeCell ref="C51:E51"/>
    <mergeCell ref="D59:H59"/>
    <mergeCell ref="D60:H60"/>
    <mergeCell ref="C49:E49"/>
    <mergeCell ref="C53:E53"/>
    <mergeCell ref="A49:B49"/>
    <mergeCell ref="A50:B50"/>
    <mergeCell ref="C50:E50"/>
    <mergeCell ref="G50:H50"/>
    <mergeCell ref="D57:H57"/>
    <mergeCell ref="G53:H53"/>
    <mergeCell ref="A53:B54"/>
    <mergeCell ref="C54:H54"/>
    <mergeCell ref="A59:C63"/>
    <mergeCell ref="D58:H58"/>
    <mergeCell ref="A58:C58"/>
    <mergeCell ref="B821:H821"/>
    <mergeCell ref="B817:H817"/>
    <mergeCell ref="A185:H185"/>
    <mergeCell ref="A726:B726"/>
    <mergeCell ref="A186:H186"/>
    <mergeCell ref="G194:H194"/>
    <mergeCell ref="B815:H815"/>
    <mergeCell ref="B816:H816"/>
    <mergeCell ref="B818:H818"/>
    <mergeCell ref="B819:H819"/>
    <mergeCell ref="A814:H814"/>
    <mergeCell ref="A746:H746"/>
    <mergeCell ref="A708:B708"/>
    <mergeCell ref="A709:B709"/>
    <mergeCell ref="A710:H710"/>
    <mergeCell ref="A715:B715"/>
    <mergeCell ref="A699:B699"/>
    <mergeCell ref="A720:B720"/>
    <mergeCell ref="A721:B721"/>
    <mergeCell ref="A722:B722"/>
    <mergeCell ref="A723:B723"/>
    <mergeCell ref="A730:B730"/>
    <mergeCell ref="A731:B731"/>
    <mergeCell ref="B187:B188"/>
    <mergeCell ref="A187:A188"/>
    <mergeCell ref="A253:B253"/>
    <mergeCell ref="A244:B244"/>
    <mergeCell ref="A245:B245"/>
    <mergeCell ref="A246:B246"/>
    <mergeCell ref="C253:F254"/>
    <mergeCell ref="A257:H257"/>
    <mergeCell ref="A258:H258"/>
    <mergeCell ref="A836:H839"/>
    <mergeCell ref="A835:B835"/>
    <mergeCell ref="E835:F835"/>
    <mergeCell ref="C835:D835"/>
    <mergeCell ref="G835:H835"/>
    <mergeCell ref="A170:H170"/>
    <mergeCell ref="A168:E168"/>
    <mergeCell ref="F168:H168"/>
    <mergeCell ref="A169:E169"/>
    <mergeCell ref="F169:H169"/>
    <mergeCell ref="A694:H694"/>
    <mergeCell ref="A177:B177"/>
    <mergeCell ref="A727:B727"/>
    <mergeCell ref="A172:B172"/>
    <mergeCell ref="A831:H831"/>
    <mergeCell ref="A175:H175"/>
    <mergeCell ref="A834:H834"/>
    <mergeCell ref="A832:H832"/>
    <mergeCell ref="C177:D177"/>
    <mergeCell ref="E177:F177"/>
    <mergeCell ref="B822:H822"/>
    <mergeCell ref="B820:H820"/>
    <mergeCell ref="A752:B752"/>
    <mergeCell ref="A753:B753"/>
    <mergeCell ref="A696:B696"/>
    <mergeCell ref="A697:B697"/>
    <mergeCell ref="A698:B698"/>
    <mergeCell ref="A701:B701"/>
    <mergeCell ref="A707:B707"/>
    <mergeCell ref="A189:H189"/>
    <mergeCell ref="E187:E188"/>
    <mergeCell ref="G187:H188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6:B16"/>
    <mergeCell ref="C16:H16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4:C64"/>
    <mergeCell ref="D64:H64"/>
    <mergeCell ref="A42:D42"/>
    <mergeCell ref="E42:H42"/>
    <mergeCell ref="E43:H43"/>
    <mergeCell ref="E44:H44"/>
    <mergeCell ref="E45:H45"/>
    <mergeCell ref="A43:D43"/>
    <mergeCell ref="F35:H35"/>
    <mergeCell ref="A37:B37"/>
    <mergeCell ref="A44:D44"/>
    <mergeCell ref="A45:D45"/>
    <mergeCell ref="A46:H46"/>
    <mergeCell ref="G48:H48"/>
    <mergeCell ref="A55:H55"/>
    <mergeCell ref="A56:C56"/>
    <mergeCell ref="A57:C57"/>
    <mergeCell ref="A38:B38"/>
    <mergeCell ref="C38:H38"/>
    <mergeCell ref="G49:H49"/>
    <mergeCell ref="A51:B52"/>
    <mergeCell ref="D62:H62"/>
    <mergeCell ref="D63:H63"/>
    <mergeCell ref="E41:H41"/>
    <mergeCell ref="F164:H164"/>
    <mergeCell ref="C171:D171"/>
    <mergeCell ref="F167:H167"/>
    <mergeCell ref="F165:H165"/>
    <mergeCell ref="G171:H171"/>
    <mergeCell ref="A166:E166"/>
    <mergeCell ref="C172:D172"/>
    <mergeCell ref="E172:F172"/>
    <mergeCell ref="C187:C188"/>
    <mergeCell ref="A106:B106"/>
    <mergeCell ref="L694:M694"/>
    <mergeCell ref="A202:A203"/>
    <mergeCell ref="L692:M692"/>
    <mergeCell ref="L689:M689"/>
    <mergeCell ref="A690:B690"/>
    <mergeCell ref="C202:C203"/>
    <mergeCell ref="A688:H688"/>
    <mergeCell ref="A194:B194"/>
    <mergeCell ref="D187:D188"/>
    <mergeCell ref="A190:B190"/>
    <mergeCell ref="A191:B191"/>
    <mergeCell ref="A192:B192"/>
    <mergeCell ref="A121:B121"/>
    <mergeCell ref="F160:H160"/>
    <mergeCell ref="A198:B198"/>
    <mergeCell ref="A691:B691"/>
    <mergeCell ref="A173:B173"/>
    <mergeCell ref="A167:E167"/>
    <mergeCell ref="C173:D173"/>
    <mergeCell ref="E173:F173"/>
    <mergeCell ref="G173:H173"/>
    <mergeCell ref="A174:B174"/>
    <mergeCell ref="G103:H103"/>
    <mergeCell ref="F166:H166"/>
    <mergeCell ref="A193:B193"/>
    <mergeCell ref="C176:D176"/>
    <mergeCell ref="G176:H176"/>
    <mergeCell ref="G104:H113"/>
    <mergeCell ref="A118:B118"/>
    <mergeCell ref="A195:B195"/>
    <mergeCell ref="G195:H195"/>
    <mergeCell ref="A196:B196"/>
    <mergeCell ref="G196:H196"/>
    <mergeCell ref="A197:B197"/>
    <mergeCell ref="G197:H197"/>
    <mergeCell ref="A109:B109"/>
    <mergeCell ref="A111:B111"/>
    <mergeCell ref="A112:B112"/>
    <mergeCell ref="A161:E161"/>
    <mergeCell ref="A105:B105"/>
    <mergeCell ref="A181:B181"/>
    <mergeCell ref="C181:D181"/>
    <mergeCell ref="E181:F181"/>
    <mergeCell ref="G181:H181"/>
    <mergeCell ref="A184:B184"/>
    <mergeCell ref="C184:D184"/>
    <mergeCell ref="E184:F184"/>
    <mergeCell ref="A152:B152"/>
    <mergeCell ref="G118:H127"/>
    <mergeCell ref="F163:H163"/>
    <mergeCell ref="A157:E157"/>
    <mergeCell ref="A122:B122"/>
    <mergeCell ref="A123:B123"/>
    <mergeCell ref="A124:B124"/>
    <mergeCell ref="C174:D174"/>
    <mergeCell ref="E174:F174"/>
    <mergeCell ref="G174:H174"/>
    <mergeCell ref="A159:E159"/>
    <mergeCell ref="A156:E156"/>
    <mergeCell ref="A162:E162"/>
    <mergeCell ref="F162:H162"/>
    <mergeCell ref="A163:E163"/>
    <mergeCell ref="A165:E165"/>
    <mergeCell ref="F159:H159"/>
    <mergeCell ref="A164:E164"/>
    <mergeCell ref="A107:B107"/>
    <mergeCell ref="A108:B108"/>
    <mergeCell ref="A689:B689"/>
    <mergeCell ref="L690:M690"/>
    <mergeCell ref="L691:M691"/>
    <mergeCell ref="A213:B213"/>
    <mergeCell ref="L213:M213"/>
    <mergeCell ref="A214:B214"/>
    <mergeCell ref="L214:M214"/>
    <mergeCell ref="C209:F210"/>
    <mergeCell ref="C213:F214"/>
    <mergeCell ref="A222:H222"/>
    <mergeCell ref="A211:B211"/>
    <mergeCell ref="L211:M211"/>
    <mergeCell ref="A238:B238"/>
    <mergeCell ref="A225:B225"/>
    <mergeCell ref="A226:B226"/>
    <mergeCell ref="A249:B249"/>
    <mergeCell ref="A250:H250"/>
    <mergeCell ref="A251:B251"/>
    <mergeCell ref="A252:B252"/>
    <mergeCell ref="F158:H158"/>
    <mergeCell ref="A158:E158"/>
    <mergeCell ref="A125:B125"/>
    <mergeCell ref="A126:B126"/>
    <mergeCell ref="A127:B127"/>
    <mergeCell ref="A142:B142"/>
    <mergeCell ref="C142:H142"/>
    <mergeCell ref="A144:B144"/>
    <mergeCell ref="C144:H144"/>
    <mergeCell ref="G198:H198"/>
    <mergeCell ref="A702:H702"/>
    <mergeCell ref="A228:B228"/>
    <mergeCell ref="A229:H229"/>
    <mergeCell ref="A230:B230"/>
    <mergeCell ref="A231:B231"/>
    <mergeCell ref="A223:B223"/>
    <mergeCell ref="A224:B224"/>
    <mergeCell ref="A239:B239"/>
    <mergeCell ref="A240:B240"/>
    <mergeCell ref="A241:B241"/>
    <mergeCell ref="A242:B242"/>
    <mergeCell ref="A243:H243"/>
    <mergeCell ref="A220:B220"/>
    <mergeCell ref="A221:B221"/>
    <mergeCell ref="A236:H236"/>
    <mergeCell ref="A237:B237"/>
    <mergeCell ref="C233:F233"/>
    <mergeCell ref="G654:H659"/>
    <mergeCell ref="G689:H693"/>
    <mergeCell ref="G695:H701"/>
    <mergeCell ref="A255:B255"/>
    <mergeCell ref="A256:B256"/>
    <mergeCell ref="L702:M702"/>
    <mergeCell ref="A703:B703"/>
    <mergeCell ref="A704:B704"/>
    <mergeCell ref="A705:B705"/>
    <mergeCell ref="A706:B706"/>
    <mergeCell ref="A717:B717"/>
    <mergeCell ref="A718:B718"/>
    <mergeCell ref="A719:B719"/>
    <mergeCell ref="L200:M200"/>
    <mergeCell ref="A682:H682"/>
    <mergeCell ref="A683:H683"/>
    <mergeCell ref="A684:H684"/>
    <mergeCell ref="A685:H685"/>
    <mergeCell ref="A686:H686"/>
    <mergeCell ref="A687:H687"/>
    <mergeCell ref="C693:F693"/>
    <mergeCell ref="A201:B201"/>
    <mergeCell ref="G201:H201"/>
    <mergeCell ref="L201:M201"/>
    <mergeCell ref="A693:B693"/>
    <mergeCell ref="L693:M693"/>
    <mergeCell ref="B202:B203"/>
    <mergeCell ref="A692:B692"/>
    <mergeCell ref="A716:H716"/>
    <mergeCell ref="L716:M716"/>
    <mergeCell ref="L710:M710"/>
    <mergeCell ref="A711:B711"/>
    <mergeCell ref="A712:B712"/>
    <mergeCell ref="A713:B713"/>
    <mergeCell ref="A233:B233"/>
    <mergeCell ref="A234:B234"/>
    <mergeCell ref="A235:B235"/>
    <mergeCell ref="A732:H732"/>
    <mergeCell ref="A728:B728"/>
    <mergeCell ref="A724:H724"/>
    <mergeCell ref="A729:B729"/>
    <mergeCell ref="A725:B725"/>
    <mergeCell ref="A733:B733"/>
    <mergeCell ref="A734:B734"/>
    <mergeCell ref="A735:B735"/>
    <mergeCell ref="A736:B736"/>
    <mergeCell ref="A737:B737"/>
    <mergeCell ref="A742:B742"/>
    <mergeCell ref="A743:B743"/>
    <mergeCell ref="A738:H738"/>
    <mergeCell ref="A739:B739"/>
    <mergeCell ref="A740:B740"/>
    <mergeCell ref="A741:B741"/>
    <mergeCell ref="A714:B714"/>
    <mergeCell ref="C715:F715"/>
    <mergeCell ref="G703:H709"/>
    <mergeCell ref="G711:H715"/>
    <mergeCell ref="G717:H723"/>
    <mergeCell ref="G725:H731"/>
    <mergeCell ref="G733:H737"/>
    <mergeCell ref="G739:H745"/>
    <mergeCell ref="A247:B247"/>
    <mergeCell ref="A248:B248"/>
    <mergeCell ref="A259:B259"/>
    <mergeCell ref="A260:B260"/>
    <mergeCell ref="A261:B261"/>
    <mergeCell ref="A212:B212"/>
    <mergeCell ref="L212:M212"/>
    <mergeCell ref="A204:H204"/>
    <mergeCell ref="A205:H205"/>
    <mergeCell ref="A206:H206"/>
    <mergeCell ref="A207:H207"/>
    <mergeCell ref="A208:H208"/>
    <mergeCell ref="A209:B209"/>
    <mergeCell ref="L209:M209"/>
    <mergeCell ref="A210:B210"/>
    <mergeCell ref="L210:M210"/>
    <mergeCell ref="A215:H215"/>
    <mergeCell ref="A216:B216"/>
    <mergeCell ref="A217:B217"/>
    <mergeCell ref="A218:B218"/>
    <mergeCell ref="A219:B219"/>
    <mergeCell ref="A232:B232"/>
    <mergeCell ref="A227:B227"/>
    <mergeCell ref="C232:F232"/>
    <mergeCell ref="A262:B262"/>
    <mergeCell ref="A254:B254"/>
    <mergeCell ref="A270:B270"/>
    <mergeCell ref="A263:B263"/>
    <mergeCell ref="A264:B264"/>
    <mergeCell ref="C261:F261"/>
    <mergeCell ref="C262:F262"/>
    <mergeCell ref="A265:H265"/>
    <mergeCell ref="A266:B266"/>
    <mergeCell ref="A276:B276"/>
    <mergeCell ref="A277:B277"/>
    <mergeCell ref="A278:B278"/>
    <mergeCell ref="C275:F276"/>
    <mergeCell ref="A279:H279"/>
    <mergeCell ref="A280:H280"/>
    <mergeCell ref="A271:B271"/>
    <mergeCell ref="A272:H272"/>
    <mergeCell ref="A273:B273"/>
    <mergeCell ref="A274:B274"/>
    <mergeCell ref="A275:B275"/>
    <mergeCell ref="A267:B267"/>
    <mergeCell ref="A268:B268"/>
    <mergeCell ref="A269:B269"/>
    <mergeCell ref="A285:B285"/>
    <mergeCell ref="A286:B286"/>
    <mergeCell ref="A287:H287"/>
    <mergeCell ref="A288:B288"/>
    <mergeCell ref="A289:B289"/>
    <mergeCell ref="A281:B281"/>
    <mergeCell ref="A282:B282"/>
    <mergeCell ref="A283:B283"/>
    <mergeCell ref="A284:B284"/>
    <mergeCell ref="A290:B290"/>
    <mergeCell ref="A291:B291"/>
    <mergeCell ref="A292:B292"/>
    <mergeCell ref="A293:B293"/>
    <mergeCell ref="C290:F290"/>
    <mergeCell ref="C291:F291"/>
    <mergeCell ref="A306:B306"/>
    <mergeCell ref="L306:M306"/>
    <mergeCell ref="A301:H301"/>
    <mergeCell ref="A302:H302"/>
    <mergeCell ref="A303:H303"/>
    <mergeCell ref="A304:H304"/>
    <mergeCell ref="A305:H305"/>
    <mergeCell ref="C306:F309"/>
    <mergeCell ref="A294:H294"/>
    <mergeCell ref="A295:B295"/>
    <mergeCell ref="A296:B296"/>
    <mergeCell ref="A297:B297"/>
    <mergeCell ref="A298:B298"/>
    <mergeCell ref="C298:F298"/>
    <mergeCell ref="A322:B322"/>
    <mergeCell ref="L322:M322"/>
    <mergeCell ref="C312:F313"/>
    <mergeCell ref="A323:H323"/>
    <mergeCell ref="A309:B309"/>
    <mergeCell ref="L309:M309"/>
    <mergeCell ref="A310:B310"/>
    <mergeCell ref="L310:M310"/>
    <mergeCell ref="A311:B311"/>
    <mergeCell ref="L311:M311"/>
    <mergeCell ref="A324:B324"/>
    <mergeCell ref="A307:B307"/>
    <mergeCell ref="L307:M307"/>
    <mergeCell ref="A308:B308"/>
    <mergeCell ref="L308:M308"/>
    <mergeCell ref="A299:B299"/>
    <mergeCell ref="A300:B300"/>
    <mergeCell ref="A331:B331"/>
    <mergeCell ref="L331:M331"/>
    <mergeCell ref="C328:F329"/>
    <mergeCell ref="A332:H332"/>
    <mergeCell ref="A318:B318"/>
    <mergeCell ref="L318:M318"/>
    <mergeCell ref="A319:B319"/>
    <mergeCell ref="L319:M319"/>
    <mergeCell ref="A320:B320"/>
    <mergeCell ref="L320:M320"/>
    <mergeCell ref="A314:H314"/>
    <mergeCell ref="A315:B315"/>
    <mergeCell ref="L315:M315"/>
    <mergeCell ref="A316:B316"/>
    <mergeCell ref="L316:M316"/>
    <mergeCell ref="A317:B317"/>
    <mergeCell ref="L317:M317"/>
    <mergeCell ref="A325:B325"/>
    <mergeCell ref="L325:M325"/>
    <mergeCell ref="A328:B328"/>
    <mergeCell ref="L328:M328"/>
    <mergeCell ref="A329:B329"/>
    <mergeCell ref="L329:M329"/>
    <mergeCell ref="A330:B330"/>
    <mergeCell ref="L330:M330"/>
    <mergeCell ref="A326:B326"/>
    <mergeCell ref="L326:M326"/>
    <mergeCell ref="A327:B327"/>
    <mergeCell ref="L327:M327"/>
    <mergeCell ref="A343:B343"/>
    <mergeCell ref="L343:M343"/>
    <mergeCell ref="A344:B344"/>
    <mergeCell ref="L344:M344"/>
    <mergeCell ref="L324:M324"/>
    <mergeCell ref="A312:B312"/>
    <mergeCell ref="L312:M312"/>
    <mergeCell ref="A313:B313"/>
    <mergeCell ref="L313:M313"/>
    <mergeCell ref="A321:B321"/>
    <mergeCell ref="L321:M321"/>
    <mergeCell ref="A345:B345"/>
    <mergeCell ref="L345:M345"/>
    <mergeCell ref="A339:B339"/>
    <mergeCell ref="L339:M339"/>
    <mergeCell ref="A340:B340"/>
    <mergeCell ref="L340:M340"/>
    <mergeCell ref="A341:H341"/>
    <mergeCell ref="A342:B342"/>
    <mergeCell ref="L342:M342"/>
    <mergeCell ref="G333:H340"/>
    <mergeCell ref="G342:H349"/>
    <mergeCell ref="A349:B349"/>
    <mergeCell ref="L349:M349"/>
    <mergeCell ref="C346:F347"/>
    <mergeCell ref="A335:B335"/>
    <mergeCell ref="L335:M335"/>
    <mergeCell ref="A336:B336"/>
    <mergeCell ref="L336:M336"/>
    <mergeCell ref="A337:B337"/>
    <mergeCell ref="L337:M337"/>
    <mergeCell ref="A338:B338"/>
    <mergeCell ref="L338:M338"/>
    <mergeCell ref="A333:B333"/>
    <mergeCell ref="L333:M333"/>
    <mergeCell ref="A334:B334"/>
    <mergeCell ref="L334:M334"/>
    <mergeCell ref="A350:H350"/>
    <mergeCell ref="A351:B351"/>
    <mergeCell ref="L351:M351"/>
    <mergeCell ref="A352:B352"/>
    <mergeCell ref="L352:M352"/>
    <mergeCell ref="A346:B346"/>
    <mergeCell ref="L346:M346"/>
    <mergeCell ref="A347:B347"/>
    <mergeCell ref="L347:M347"/>
    <mergeCell ref="A348:B348"/>
    <mergeCell ref="L348:M348"/>
    <mergeCell ref="G351:H358"/>
    <mergeCell ref="A357:B357"/>
    <mergeCell ref="L357:M357"/>
    <mergeCell ref="A358:B358"/>
    <mergeCell ref="L358:M358"/>
    <mergeCell ref="A359:H359"/>
    <mergeCell ref="A360:H360"/>
    <mergeCell ref="A361:B361"/>
    <mergeCell ref="L361:M361"/>
    <mergeCell ref="A353:B353"/>
    <mergeCell ref="L353:M353"/>
    <mergeCell ref="A354:B354"/>
    <mergeCell ref="L354:M354"/>
    <mergeCell ref="A355:B355"/>
    <mergeCell ref="C355:F356"/>
    <mergeCell ref="L355:M355"/>
    <mergeCell ref="A356:B356"/>
    <mergeCell ref="L356:M356"/>
    <mergeCell ref="G361:H368"/>
    <mergeCell ref="A365:B365"/>
    <mergeCell ref="L365:M365"/>
    <mergeCell ref="A366:B366"/>
    <mergeCell ref="L366:M366"/>
    <mergeCell ref="A367:B367"/>
    <mergeCell ref="L367:M367"/>
    <mergeCell ref="A362:B362"/>
    <mergeCell ref="L362:M362"/>
    <mergeCell ref="A363:B363"/>
    <mergeCell ref="L363:M363"/>
    <mergeCell ref="A364:B364"/>
    <mergeCell ref="L364:M364"/>
    <mergeCell ref="A372:B372"/>
    <mergeCell ref="L372:M372"/>
    <mergeCell ref="A373:B373"/>
    <mergeCell ref="L373:M373"/>
    <mergeCell ref="A374:B374"/>
    <mergeCell ref="L374:M374"/>
    <mergeCell ref="A368:B368"/>
    <mergeCell ref="L368:M368"/>
    <mergeCell ref="A369:H369"/>
    <mergeCell ref="A370:B370"/>
    <mergeCell ref="L370:M370"/>
    <mergeCell ref="A371:B371"/>
    <mergeCell ref="L371:M371"/>
    <mergeCell ref="G370:H377"/>
    <mergeCell ref="A378:H378"/>
    <mergeCell ref="A379:B379"/>
    <mergeCell ref="L379:M379"/>
    <mergeCell ref="A380:B380"/>
    <mergeCell ref="L380:M380"/>
    <mergeCell ref="A381:B381"/>
    <mergeCell ref="L381:M381"/>
    <mergeCell ref="A375:B375"/>
    <mergeCell ref="L375:M375"/>
    <mergeCell ref="A376:B376"/>
    <mergeCell ref="L376:M376"/>
    <mergeCell ref="A377:B377"/>
    <mergeCell ref="L377:M377"/>
    <mergeCell ref="C374:F375"/>
    <mergeCell ref="G379:H386"/>
    <mergeCell ref="A385:B385"/>
    <mergeCell ref="L385:M385"/>
    <mergeCell ref="A386:B386"/>
    <mergeCell ref="L386:M386"/>
    <mergeCell ref="A387:H387"/>
    <mergeCell ref="A388:H388"/>
    <mergeCell ref="A389:B389"/>
    <mergeCell ref="L389:M389"/>
    <mergeCell ref="A382:B382"/>
    <mergeCell ref="L382:M382"/>
    <mergeCell ref="A383:B383"/>
    <mergeCell ref="C383:F384"/>
    <mergeCell ref="L383:M383"/>
    <mergeCell ref="A384:B384"/>
    <mergeCell ref="L384:M384"/>
    <mergeCell ref="G389:H396"/>
    <mergeCell ref="A393:B393"/>
    <mergeCell ref="L393:M393"/>
    <mergeCell ref="A394:B394"/>
    <mergeCell ref="L394:M394"/>
    <mergeCell ref="A395:B395"/>
    <mergeCell ref="L395:M395"/>
    <mergeCell ref="A390:B390"/>
    <mergeCell ref="L390:M390"/>
    <mergeCell ref="A391:B391"/>
    <mergeCell ref="L391:M391"/>
    <mergeCell ref="A392:B392"/>
    <mergeCell ref="L392:M392"/>
    <mergeCell ref="A402:B402"/>
    <mergeCell ref="L402:M402"/>
    <mergeCell ref="A403:B403"/>
    <mergeCell ref="L403:M403"/>
    <mergeCell ref="A404:B404"/>
    <mergeCell ref="L404:M404"/>
    <mergeCell ref="A396:B396"/>
    <mergeCell ref="L396:M396"/>
    <mergeCell ref="C394:F394"/>
    <mergeCell ref="A397:H397"/>
    <mergeCell ref="A398:H398"/>
    <mergeCell ref="A399:H399"/>
    <mergeCell ref="A400:H400"/>
    <mergeCell ref="A401:H401"/>
    <mergeCell ref="G402:H408"/>
    <mergeCell ref="A408:B408"/>
    <mergeCell ref="L408:M408"/>
    <mergeCell ref="C407:F408"/>
    <mergeCell ref="A409:H409"/>
    <mergeCell ref="A410:B410"/>
    <mergeCell ref="L410:M410"/>
    <mergeCell ref="A411:B411"/>
    <mergeCell ref="L411:M411"/>
    <mergeCell ref="A405:B405"/>
    <mergeCell ref="L405:M405"/>
    <mergeCell ref="A406:B406"/>
    <mergeCell ref="L406:M406"/>
    <mergeCell ref="A407:B407"/>
    <mergeCell ref="L407:M407"/>
    <mergeCell ref="G410:H416"/>
    <mergeCell ref="A415:B415"/>
    <mergeCell ref="L415:M415"/>
    <mergeCell ref="A416:B416"/>
    <mergeCell ref="L416:M416"/>
    <mergeCell ref="A417:H417"/>
    <mergeCell ref="A418:B418"/>
    <mergeCell ref="L418:M418"/>
    <mergeCell ref="A412:B412"/>
    <mergeCell ref="L412:M412"/>
    <mergeCell ref="A413:B413"/>
    <mergeCell ref="L413:M413"/>
    <mergeCell ref="A414:B414"/>
    <mergeCell ref="L414:M414"/>
    <mergeCell ref="G418:H424"/>
    <mergeCell ref="A422:B422"/>
    <mergeCell ref="L422:M422"/>
    <mergeCell ref="A423:B423"/>
    <mergeCell ref="L423:M423"/>
    <mergeCell ref="A424:B424"/>
    <mergeCell ref="L424:M424"/>
    <mergeCell ref="C421:F422"/>
    <mergeCell ref="A419:B419"/>
    <mergeCell ref="L419:M419"/>
    <mergeCell ref="A420:B420"/>
    <mergeCell ref="L420:M420"/>
    <mergeCell ref="A421:B421"/>
    <mergeCell ref="L421:M421"/>
    <mergeCell ref="C420:F420"/>
    <mergeCell ref="A429:B429"/>
    <mergeCell ref="L429:M429"/>
    <mergeCell ref="A430:B430"/>
    <mergeCell ref="L430:M430"/>
    <mergeCell ref="A431:B431"/>
    <mergeCell ref="L431:M431"/>
    <mergeCell ref="A425:H425"/>
    <mergeCell ref="A426:B426"/>
    <mergeCell ref="L426:M426"/>
    <mergeCell ref="A427:B427"/>
    <mergeCell ref="L427:M427"/>
    <mergeCell ref="A428:B428"/>
    <mergeCell ref="L428:M428"/>
    <mergeCell ref="G426:H432"/>
    <mergeCell ref="A436:B436"/>
    <mergeCell ref="L436:M436"/>
    <mergeCell ref="A437:B437"/>
    <mergeCell ref="L437:M437"/>
    <mergeCell ref="A438:B438"/>
    <mergeCell ref="L438:M438"/>
    <mergeCell ref="A432:B432"/>
    <mergeCell ref="L432:M432"/>
    <mergeCell ref="A433:H433"/>
    <mergeCell ref="A434:B434"/>
    <mergeCell ref="L434:M434"/>
    <mergeCell ref="A435:B435"/>
    <mergeCell ref="L435:M435"/>
    <mergeCell ref="G434:H440"/>
    <mergeCell ref="A443:B443"/>
    <mergeCell ref="L443:M443"/>
    <mergeCell ref="A444:B444"/>
    <mergeCell ref="L444:M444"/>
    <mergeCell ref="A445:B445"/>
    <mergeCell ref="L445:M445"/>
    <mergeCell ref="A439:B439"/>
    <mergeCell ref="L439:M439"/>
    <mergeCell ref="A440:B440"/>
    <mergeCell ref="L440:M440"/>
    <mergeCell ref="A441:H441"/>
    <mergeCell ref="A442:B442"/>
    <mergeCell ref="L442:M442"/>
    <mergeCell ref="G442:H448"/>
    <mergeCell ref="A449:H449"/>
    <mergeCell ref="A450:B450"/>
    <mergeCell ref="L450:M450"/>
    <mergeCell ref="A451:B451"/>
    <mergeCell ref="L451:M451"/>
    <mergeCell ref="A452:B452"/>
    <mergeCell ref="L452:M452"/>
    <mergeCell ref="A446:B446"/>
    <mergeCell ref="L446:M446"/>
    <mergeCell ref="A447:B447"/>
    <mergeCell ref="L447:M447"/>
    <mergeCell ref="A448:B448"/>
    <mergeCell ref="L448:M448"/>
    <mergeCell ref="G450:H456"/>
    <mergeCell ref="A456:B456"/>
    <mergeCell ref="L456:M456"/>
    <mergeCell ref="C452:F454"/>
    <mergeCell ref="A457:H457"/>
    <mergeCell ref="A458:H458"/>
    <mergeCell ref="A459:B459"/>
    <mergeCell ref="L459:M459"/>
    <mergeCell ref="A460:B460"/>
    <mergeCell ref="L460:M460"/>
    <mergeCell ref="A461:B461"/>
    <mergeCell ref="L461:M461"/>
    <mergeCell ref="A462:B462"/>
    <mergeCell ref="L462:M462"/>
    <mergeCell ref="A453:B453"/>
    <mergeCell ref="L453:M453"/>
    <mergeCell ref="A454:B454"/>
    <mergeCell ref="L454:M454"/>
    <mergeCell ref="A455:B455"/>
    <mergeCell ref="L455:M455"/>
    <mergeCell ref="G459:H465"/>
    <mergeCell ref="A468:B468"/>
    <mergeCell ref="L468:M468"/>
    <mergeCell ref="A469:B469"/>
    <mergeCell ref="L469:M469"/>
    <mergeCell ref="A470:B470"/>
    <mergeCell ref="L470:M470"/>
    <mergeCell ref="A471:B471"/>
    <mergeCell ref="L471:M471"/>
    <mergeCell ref="L464:M464"/>
    <mergeCell ref="A465:B465"/>
    <mergeCell ref="L465:M465"/>
    <mergeCell ref="C461:F461"/>
    <mergeCell ref="C462:F463"/>
    <mergeCell ref="A466:H466"/>
    <mergeCell ref="A467:B467"/>
    <mergeCell ref="L467:M467"/>
    <mergeCell ref="A463:B463"/>
    <mergeCell ref="L463:M463"/>
    <mergeCell ref="A464:B464"/>
    <mergeCell ref="G467:H473"/>
    <mergeCell ref="A496:B496"/>
    <mergeCell ref="L496:M496"/>
    <mergeCell ref="A497:B497"/>
    <mergeCell ref="L497:M497"/>
    <mergeCell ref="C493:F495"/>
    <mergeCell ref="A476:B476"/>
    <mergeCell ref="L476:M476"/>
    <mergeCell ref="A477:B477"/>
    <mergeCell ref="L477:M477"/>
    <mergeCell ref="A478:B478"/>
    <mergeCell ref="L478:M478"/>
    <mergeCell ref="A472:B472"/>
    <mergeCell ref="L472:M472"/>
    <mergeCell ref="A473:B473"/>
    <mergeCell ref="L473:M473"/>
    <mergeCell ref="A474:H474"/>
    <mergeCell ref="A475:B475"/>
    <mergeCell ref="L475:M475"/>
    <mergeCell ref="G475:H481"/>
    <mergeCell ref="A482:H482"/>
    <mergeCell ref="A483:B483"/>
    <mergeCell ref="L483:M483"/>
    <mergeCell ref="A502:B502"/>
    <mergeCell ref="L502:M502"/>
    <mergeCell ref="A503:B503"/>
    <mergeCell ref="L503:M503"/>
    <mergeCell ref="A504:B504"/>
    <mergeCell ref="L504:M504"/>
    <mergeCell ref="G500:H506"/>
    <mergeCell ref="A484:B484"/>
    <mergeCell ref="L484:M484"/>
    <mergeCell ref="A485:B485"/>
    <mergeCell ref="L485:M485"/>
    <mergeCell ref="A479:B479"/>
    <mergeCell ref="L479:M479"/>
    <mergeCell ref="A480:B480"/>
    <mergeCell ref="L480:M480"/>
    <mergeCell ref="A481:B481"/>
    <mergeCell ref="L481:M481"/>
    <mergeCell ref="G483:H489"/>
    <mergeCell ref="A489:B489"/>
    <mergeCell ref="L489:M489"/>
    <mergeCell ref="C485:F485"/>
    <mergeCell ref="C486:F487"/>
    <mergeCell ref="A490:H490"/>
    <mergeCell ref="A491:B491"/>
    <mergeCell ref="L491:M491"/>
    <mergeCell ref="A486:B486"/>
    <mergeCell ref="L486:M486"/>
    <mergeCell ref="A487:B487"/>
    <mergeCell ref="L487:M487"/>
    <mergeCell ref="A488:B488"/>
    <mergeCell ref="L488:M488"/>
    <mergeCell ref="G491:H497"/>
    <mergeCell ref="A509:H509"/>
    <mergeCell ref="A510:H510"/>
    <mergeCell ref="A511:B511"/>
    <mergeCell ref="L511:M511"/>
    <mergeCell ref="A512:B512"/>
    <mergeCell ref="L512:M512"/>
    <mergeCell ref="A513:B513"/>
    <mergeCell ref="L513:M513"/>
    <mergeCell ref="G511:H518"/>
    <mergeCell ref="A524:B524"/>
    <mergeCell ref="L524:M524"/>
    <mergeCell ref="A498:H498"/>
    <mergeCell ref="A499:H499"/>
    <mergeCell ref="A492:B492"/>
    <mergeCell ref="L492:M492"/>
    <mergeCell ref="A493:B493"/>
    <mergeCell ref="L493:M493"/>
    <mergeCell ref="A494:B494"/>
    <mergeCell ref="L494:M494"/>
    <mergeCell ref="A495:B495"/>
    <mergeCell ref="L495:M495"/>
    <mergeCell ref="A505:B505"/>
    <mergeCell ref="L505:M505"/>
    <mergeCell ref="A506:B506"/>
    <mergeCell ref="L506:M506"/>
    <mergeCell ref="C503:F504"/>
    <mergeCell ref="A507:H507"/>
    <mergeCell ref="A508:H508"/>
    <mergeCell ref="A500:B500"/>
    <mergeCell ref="L500:M500"/>
    <mergeCell ref="A501:B501"/>
    <mergeCell ref="L501:M501"/>
    <mergeCell ref="L525:M525"/>
    <mergeCell ref="A526:B526"/>
    <mergeCell ref="L526:M526"/>
    <mergeCell ref="A527:B527"/>
    <mergeCell ref="L527:M527"/>
    <mergeCell ref="C524:F525"/>
    <mergeCell ref="A518:B518"/>
    <mergeCell ref="L518:M518"/>
    <mergeCell ref="C511:F514"/>
    <mergeCell ref="C517:F518"/>
    <mergeCell ref="A519:H519"/>
    <mergeCell ref="A520:B520"/>
    <mergeCell ref="L520:M520"/>
    <mergeCell ref="A521:B521"/>
    <mergeCell ref="L521:M521"/>
    <mergeCell ref="A522:B522"/>
    <mergeCell ref="L522:M522"/>
    <mergeCell ref="A523:B523"/>
    <mergeCell ref="L523:M523"/>
    <mergeCell ref="A514:B514"/>
    <mergeCell ref="L514:M514"/>
    <mergeCell ref="A515:B515"/>
    <mergeCell ref="L515:M515"/>
    <mergeCell ref="A516:B516"/>
    <mergeCell ref="L516:M516"/>
    <mergeCell ref="A517:B517"/>
    <mergeCell ref="L517:M517"/>
    <mergeCell ref="L532:M532"/>
    <mergeCell ref="A533:B533"/>
    <mergeCell ref="L533:M533"/>
    <mergeCell ref="A534:B534"/>
    <mergeCell ref="L534:M534"/>
    <mergeCell ref="A528:H528"/>
    <mergeCell ref="A529:B529"/>
    <mergeCell ref="L529:M529"/>
    <mergeCell ref="A530:B530"/>
    <mergeCell ref="L530:M530"/>
    <mergeCell ref="A531:B531"/>
    <mergeCell ref="L531:M531"/>
    <mergeCell ref="A539:B539"/>
    <mergeCell ref="L539:M539"/>
    <mergeCell ref="A540:B540"/>
    <mergeCell ref="L540:M540"/>
    <mergeCell ref="A541:B541"/>
    <mergeCell ref="L541:M541"/>
    <mergeCell ref="A535:B535"/>
    <mergeCell ref="L535:M535"/>
    <mergeCell ref="A536:B536"/>
    <mergeCell ref="L536:M536"/>
    <mergeCell ref="A537:H537"/>
    <mergeCell ref="A538:B538"/>
    <mergeCell ref="L538:M538"/>
    <mergeCell ref="L545:M545"/>
    <mergeCell ref="C542:F543"/>
    <mergeCell ref="A546:H546"/>
    <mergeCell ref="A547:B547"/>
    <mergeCell ref="L547:M547"/>
    <mergeCell ref="A548:B548"/>
    <mergeCell ref="L548:M548"/>
    <mergeCell ref="A542:B542"/>
    <mergeCell ref="L542:M542"/>
    <mergeCell ref="A543:B543"/>
    <mergeCell ref="L543:M543"/>
    <mergeCell ref="A544:B544"/>
    <mergeCell ref="L544:M544"/>
    <mergeCell ref="A553:B553"/>
    <mergeCell ref="L553:M553"/>
    <mergeCell ref="A554:B554"/>
    <mergeCell ref="L554:M554"/>
    <mergeCell ref="A557:B557"/>
    <mergeCell ref="L557:M557"/>
    <mergeCell ref="A549:B549"/>
    <mergeCell ref="L549:M549"/>
    <mergeCell ref="A550:B550"/>
    <mergeCell ref="L550:M550"/>
    <mergeCell ref="A551:B551"/>
    <mergeCell ref="C551:F552"/>
    <mergeCell ref="L551:M551"/>
    <mergeCell ref="A552:B552"/>
    <mergeCell ref="L552:M552"/>
    <mergeCell ref="A561:B561"/>
    <mergeCell ref="L561:M561"/>
    <mergeCell ref="A562:B562"/>
    <mergeCell ref="L562:M562"/>
    <mergeCell ref="A563:B563"/>
    <mergeCell ref="L563:M563"/>
    <mergeCell ref="A558:B558"/>
    <mergeCell ref="L558:M558"/>
    <mergeCell ref="A559:B559"/>
    <mergeCell ref="L559:M559"/>
    <mergeCell ref="A560:B560"/>
    <mergeCell ref="L560:M560"/>
    <mergeCell ref="A555:H555"/>
    <mergeCell ref="A556:H556"/>
    <mergeCell ref="A568:B568"/>
    <mergeCell ref="L568:M568"/>
    <mergeCell ref="A569:B569"/>
    <mergeCell ref="L569:M569"/>
    <mergeCell ref="A570:B570"/>
    <mergeCell ref="L570:M570"/>
    <mergeCell ref="A564:B564"/>
    <mergeCell ref="L564:M564"/>
    <mergeCell ref="A565:H565"/>
    <mergeCell ref="A566:B566"/>
    <mergeCell ref="L566:M566"/>
    <mergeCell ref="A567:B567"/>
    <mergeCell ref="L567:M567"/>
    <mergeCell ref="A574:H574"/>
    <mergeCell ref="A575:B575"/>
    <mergeCell ref="L575:M575"/>
    <mergeCell ref="A576:B576"/>
    <mergeCell ref="L576:M576"/>
    <mergeCell ref="A577:B577"/>
    <mergeCell ref="L577:M577"/>
    <mergeCell ref="A571:B571"/>
    <mergeCell ref="L571:M571"/>
    <mergeCell ref="A572:B572"/>
    <mergeCell ref="L572:M572"/>
    <mergeCell ref="A573:B573"/>
    <mergeCell ref="L573:M573"/>
    <mergeCell ref="C570:F571"/>
    <mergeCell ref="A581:B581"/>
    <mergeCell ref="L581:M581"/>
    <mergeCell ref="A582:B582"/>
    <mergeCell ref="L582:M582"/>
    <mergeCell ref="A583:H583"/>
    <mergeCell ref="A584:H584"/>
    <mergeCell ref="A585:B585"/>
    <mergeCell ref="L585:M585"/>
    <mergeCell ref="A578:B578"/>
    <mergeCell ref="L578:M578"/>
    <mergeCell ref="A579:B579"/>
    <mergeCell ref="C579:F580"/>
    <mergeCell ref="L579:M579"/>
    <mergeCell ref="A580:B580"/>
    <mergeCell ref="L580:M580"/>
    <mergeCell ref="A589:B589"/>
    <mergeCell ref="L589:M589"/>
    <mergeCell ref="A590:B590"/>
    <mergeCell ref="L590:M590"/>
    <mergeCell ref="A591:B591"/>
    <mergeCell ref="L591:M591"/>
    <mergeCell ref="A586:B586"/>
    <mergeCell ref="L586:M586"/>
    <mergeCell ref="A587:B587"/>
    <mergeCell ref="L587:M587"/>
    <mergeCell ref="A588:B588"/>
    <mergeCell ref="L588:M588"/>
    <mergeCell ref="A601:B601"/>
    <mergeCell ref="L601:M601"/>
    <mergeCell ref="A602:B602"/>
    <mergeCell ref="L602:M602"/>
    <mergeCell ref="A592:B592"/>
    <mergeCell ref="L592:M592"/>
    <mergeCell ref="C590:F590"/>
    <mergeCell ref="A593:H593"/>
    <mergeCell ref="A594:H594"/>
    <mergeCell ref="A595:H595"/>
    <mergeCell ref="A596:H596"/>
    <mergeCell ref="A597:B597"/>
    <mergeCell ref="L597:M597"/>
    <mergeCell ref="A598:B598"/>
    <mergeCell ref="L598:M598"/>
    <mergeCell ref="A599:B599"/>
    <mergeCell ref="L599:M599"/>
    <mergeCell ref="A600:B600"/>
    <mergeCell ref="L600:M600"/>
    <mergeCell ref="C599:F600"/>
    <mergeCell ref="A608:B608"/>
    <mergeCell ref="L608:M608"/>
    <mergeCell ref="A609:B609"/>
    <mergeCell ref="L609:M609"/>
    <mergeCell ref="A610:H610"/>
    <mergeCell ref="A611:B611"/>
    <mergeCell ref="L611:M611"/>
    <mergeCell ref="A603:H603"/>
    <mergeCell ref="A604:B604"/>
    <mergeCell ref="L604:M604"/>
    <mergeCell ref="A605:B605"/>
    <mergeCell ref="L605:M605"/>
    <mergeCell ref="A606:B606"/>
    <mergeCell ref="L606:M606"/>
    <mergeCell ref="A607:B607"/>
    <mergeCell ref="L607:M607"/>
    <mergeCell ref="A615:B615"/>
    <mergeCell ref="L615:M615"/>
    <mergeCell ref="A616:B616"/>
    <mergeCell ref="L616:M616"/>
    <mergeCell ref="C615:F615"/>
    <mergeCell ref="C616:F616"/>
    <mergeCell ref="A617:H617"/>
    <mergeCell ref="A612:B612"/>
    <mergeCell ref="L612:M612"/>
    <mergeCell ref="A613:B613"/>
    <mergeCell ref="L613:M613"/>
    <mergeCell ref="A614:B614"/>
    <mergeCell ref="L614:M614"/>
    <mergeCell ref="A621:B621"/>
    <mergeCell ref="L621:M621"/>
    <mergeCell ref="A622:B622"/>
    <mergeCell ref="L622:M622"/>
    <mergeCell ref="A623:B623"/>
    <mergeCell ref="L623:M623"/>
    <mergeCell ref="A618:B618"/>
    <mergeCell ref="L618:M618"/>
    <mergeCell ref="A619:B619"/>
    <mergeCell ref="L619:M619"/>
    <mergeCell ref="A620:B620"/>
    <mergeCell ref="L620:M620"/>
    <mergeCell ref="A628:B628"/>
    <mergeCell ref="L628:M628"/>
    <mergeCell ref="A629:B629"/>
    <mergeCell ref="L629:M629"/>
    <mergeCell ref="A630:B630"/>
    <mergeCell ref="L630:M630"/>
    <mergeCell ref="A624:H624"/>
    <mergeCell ref="A625:B625"/>
    <mergeCell ref="L625:M625"/>
    <mergeCell ref="A626:B626"/>
    <mergeCell ref="L626:M626"/>
    <mergeCell ref="A627:B627"/>
    <mergeCell ref="L627:M627"/>
    <mergeCell ref="A635:B635"/>
    <mergeCell ref="L635:M635"/>
    <mergeCell ref="A636:B636"/>
    <mergeCell ref="L636:M636"/>
    <mergeCell ref="A637:B637"/>
    <mergeCell ref="L637:M637"/>
    <mergeCell ref="C636:F637"/>
    <mergeCell ref="A631:H631"/>
    <mergeCell ref="A632:B632"/>
    <mergeCell ref="L632:M632"/>
    <mergeCell ref="A633:B633"/>
    <mergeCell ref="L633:M633"/>
    <mergeCell ref="A634:B634"/>
    <mergeCell ref="L634:M634"/>
    <mergeCell ref="A643:B643"/>
    <mergeCell ref="L643:M643"/>
    <mergeCell ref="A644:B644"/>
    <mergeCell ref="L644:M644"/>
    <mergeCell ref="A645:B645"/>
    <mergeCell ref="L645:M645"/>
    <mergeCell ref="C644:F644"/>
    <mergeCell ref="C645:F645"/>
    <mergeCell ref="A638:H638"/>
    <mergeCell ref="A639:H639"/>
    <mergeCell ref="A640:B640"/>
    <mergeCell ref="L640:M640"/>
    <mergeCell ref="A641:B641"/>
    <mergeCell ref="L641:M641"/>
    <mergeCell ref="A642:B642"/>
    <mergeCell ref="L642:M642"/>
    <mergeCell ref="A663:B663"/>
    <mergeCell ref="L663:M663"/>
    <mergeCell ref="A664:B664"/>
    <mergeCell ref="L664:M664"/>
    <mergeCell ref="G662:H667"/>
    <mergeCell ref="A650:B650"/>
    <mergeCell ref="L650:M650"/>
    <mergeCell ref="A651:B651"/>
    <mergeCell ref="L651:M651"/>
    <mergeCell ref="A652:B652"/>
    <mergeCell ref="L652:M652"/>
    <mergeCell ref="A646:H646"/>
    <mergeCell ref="A647:B647"/>
    <mergeCell ref="L647:M647"/>
    <mergeCell ref="A648:B648"/>
    <mergeCell ref="L648:M648"/>
    <mergeCell ref="A649:B649"/>
    <mergeCell ref="L649:M649"/>
    <mergeCell ref="A657:B657"/>
    <mergeCell ref="L657:M657"/>
    <mergeCell ref="A658:B658"/>
    <mergeCell ref="L658:M658"/>
    <mergeCell ref="A747:B747"/>
    <mergeCell ref="A668:H668"/>
    <mergeCell ref="A669:B669"/>
    <mergeCell ref="L669:M669"/>
    <mergeCell ref="A670:B670"/>
    <mergeCell ref="L670:M670"/>
    <mergeCell ref="A671:B671"/>
    <mergeCell ref="L671:M671"/>
    <mergeCell ref="G669:H674"/>
    <mergeCell ref="L679:M679"/>
    <mergeCell ref="A680:B680"/>
    <mergeCell ref="C680:F680"/>
    <mergeCell ref="L680:M680"/>
    <mergeCell ref="A659:B659"/>
    <mergeCell ref="L659:M659"/>
    <mergeCell ref="C658:F659"/>
    <mergeCell ref="A653:H653"/>
    <mergeCell ref="A654:B654"/>
    <mergeCell ref="L654:M654"/>
    <mergeCell ref="A655:B655"/>
    <mergeCell ref="L655:M655"/>
    <mergeCell ref="A656:B656"/>
    <mergeCell ref="L656:M656"/>
    <mergeCell ref="L665:M665"/>
    <mergeCell ref="A666:B666"/>
    <mergeCell ref="L666:M666"/>
    <mergeCell ref="A667:B667"/>
    <mergeCell ref="L667:M667"/>
    <mergeCell ref="A660:H660"/>
    <mergeCell ref="A661:H661"/>
    <mergeCell ref="A662:B662"/>
    <mergeCell ref="L662:M662"/>
    <mergeCell ref="L676:M676"/>
    <mergeCell ref="A677:B677"/>
    <mergeCell ref="L677:M677"/>
    <mergeCell ref="A678:B678"/>
    <mergeCell ref="L678:M678"/>
    <mergeCell ref="G676:H681"/>
    <mergeCell ref="A766:H766"/>
    <mergeCell ref="A767:H767"/>
    <mergeCell ref="A771:B771"/>
    <mergeCell ref="A772:B772"/>
    <mergeCell ref="A773:B773"/>
    <mergeCell ref="A774:B774"/>
    <mergeCell ref="A775:B775"/>
    <mergeCell ref="L672:M672"/>
    <mergeCell ref="A673:B673"/>
    <mergeCell ref="L673:M673"/>
    <mergeCell ref="A674:B674"/>
    <mergeCell ref="L674:M674"/>
    <mergeCell ref="C673:F673"/>
    <mergeCell ref="C674:F674"/>
    <mergeCell ref="A760:H760"/>
    <mergeCell ref="A754:H754"/>
    <mergeCell ref="A755:B755"/>
    <mergeCell ref="A756:B756"/>
    <mergeCell ref="A757:B757"/>
    <mergeCell ref="A758:B758"/>
    <mergeCell ref="C737:F737"/>
    <mergeCell ref="A744:B744"/>
    <mergeCell ref="A745:B745"/>
    <mergeCell ref="A751:B751"/>
    <mergeCell ref="A759:B759"/>
    <mergeCell ref="C759:F759"/>
    <mergeCell ref="A802:B802"/>
    <mergeCell ref="C802:F803"/>
    <mergeCell ref="A812:B812"/>
    <mergeCell ref="C809:F812"/>
    <mergeCell ref="L804:M804"/>
    <mergeCell ref="A787:B787"/>
    <mergeCell ref="A788:B788"/>
    <mergeCell ref="A789:B789"/>
    <mergeCell ref="A790:B790"/>
    <mergeCell ref="A791:B791"/>
    <mergeCell ref="A792:B792"/>
    <mergeCell ref="A776:B776"/>
    <mergeCell ref="G182:H182"/>
    <mergeCell ref="A178:B178"/>
    <mergeCell ref="C178:D178"/>
    <mergeCell ref="E178:F178"/>
    <mergeCell ref="G178:H178"/>
    <mergeCell ref="A179:B179"/>
    <mergeCell ref="C179:D179"/>
    <mergeCell ref="E179:F179"/>
    <mergeCell ref="G179:H179"/>
    <mergeCell ref="A180:B180"/>
    <mergeCell ref="C180:D180"/>
    <mergeCell ref="E180:F180"/>
    <mergeCell ref="G180:H180"/>
    <mergeCell ref="A679:B679"/>
    <mergeCell ref="A672:B672"/>
    <mergeCell ref="A665:B665"/>
    <mergeCell ref="A681:B681"/>
    <mergeCell ref="L681:M681"/>
    <mergeCell ref="A675:H675"/>
    <mergeCell ref="A676:B676"/>
    <mergeCell ref="I65:M65"/>
    <mergeCell ref="B824:H824"/>
    <mergeCell ref="A813:H813"/>
    <mergeCell ref="A803:B803"/>
    <mergeCell ref="A804:H804"/>
    <mergeCell ref="A805:B805"/>
    <mergeCell ref="A806:B806"/>
    <mergeCell ref="A807:B807"/>
    <mergeCell ref="A808:B808"/>
    <mergeCell ref="A809:B809"/>
    <mergeCell ref="A810:B810"/>
    <mergeCell ref="A811:B811"/>
    <mergeCell ref="A777:H777"/>
    <mergeCell ref="L777:M777"/>
    <mergeCell ref="A778:B778"/>
    <mergeCell ref="A779:B779"/>
    <mergeCell ref="A780:B780"/>
    <mergeCell ref="A781:B781"/>
    <mergeCell ref="A782:B782"/>
    <mergeCell ref="A783:B783"/>
    <mergeCell ref="A784:B784"/>
    <mergeCell ref="A785:B785"/>
    <mergeCell ref="C784:F785"/>
    <mergeCell ref="L813:M813"/>
    <mergeCell ref="A795:H795"/>
    <mergeCell ref="L795:M795"/>
    <mergeCell ref="A796:B796"/>
    <mergeCell ref="A797:B797"/>
    <mergeCell ref="A798:B798"/>
    <mergeCell ref="A799:B799"/>
    <mergeCell ref="A800:B800"/>
    <mergeCell ref="A801:B801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
&amp;G&amp;R&amp;"Times New Roman,Bold"&amp;12&amp;P</oddFooter>
  </headerFooter>
  <rowBreaks count="4" manualBreakCount="4">
    <brk id="99" max="16383" man="1"/>
    <brk id="127" max="16383" man="1"/>
    <brk id="839" max="16383" man="1"/>
    <brk id="88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79" t="s">
        <v>106</v>
      </c>
      <c r="C3" s="279"/>
      <c r="D3" s="279"/>
      <c r="E3" s="279"/>
      <c r="F3" s="279"/>
      <c r="G3" s="279"/>
      <c r="H3" s="279"/>
    </row>
    <row r="4" spans="1:9" x14ac:dyDescent="0.3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2025-08-21T07:47:28Z</cp:lastPrinted>
  <dcterms:created xsi:type="dcterms:W3CDTF">2019-07-16T09:29:46Z</dcterms:created>
  <dcterms:modified xsi:type="dcterms:W3CDTF">2025-08-21T07:49:01Z</dcterms:modified>
</cp:coreProperties>
</file>