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Runwal Aveneu\"/>
    </mc:Choice>
  </mc:AlternateContent>
  <xr:revisionPtr revIDLastSave="0" documentId="13_ncr:1_{4DDA5C54-004B-4F7A-93FA-8E56F0F91663}" xr6:coauthVersionLast="47" xr6:coauthVersionMax="47" xr10:uidLastSave="{00000000-0000-0000-0000-000000000000}"/>
  <bookViews>
    <workbookView xWindow="-108" yWindow="-108" windowWidth="23256" windowHeight="12456" xr2:uid="{00000000-000D-0000-FFFF-FFFF00000000}"/>
  </bookViews>
  <sheets>
    <sheet name="Report" sheetId="1" r:id="rId1"/>
    <sheet name="Sheet1" sheetId="6" r:id="rId2"/>
    <sheet name="Flat detail" sheetId="3" r:id="rId3"/>
    <sheet name="Note" sheetId="4" r:id="rId4"/>
    <sheet name="valuation" sheetId="5" r:id="rId5"/>
  </sheets>
  <definedNames>
    <definedName name="_xlnm.Print_Area" localSheetId="0">Report!$A$1:$H$822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6" i="1" l="1"/>
  <c r="C72" i="1"/>
  <c r="J185" i="1"/>
  <c r="I177" i="1"/>
  <c r="I647" i="1"/>
  <c r="L640" i="1" s="1"/>
  <c r="J184" i="1"/>
  <c r="I576" i="1"/>
  <c r="I593" i="1"/>
  <c r="K177" i="1"/>
  <c r="J176" i="1"/>
  <c r="J183" i="1"/>
  <c r="J178" i="1"/>
  <c r="I521" i="1"/>
  <c r="K520" i="1" s="1"/>
  <c r="J182" i="1"/>
  <c r="J181" i="1"/>
  <c r="J180" i="1"/>
  <c r="I178" i="1"/>
  <c r="K180" i="1"/>
  <c r="I185" i="1"/>
  <c r="I184" i="1"/>
  <c r="I180" i="1"/>
  <c r="I183" i="1"/>
  <c r="I182" i="1"/>
  <c r="I181" i="1"/>
  <c r="C148" i="1"/>
  <c r="C120" i="1"/>
  <c r="C92" i="1"/>
  <c r="C78" i="1"/>
  <c r="C79" i="1" s="1"/>
  <c r="C81" i="1" s="1"/>
  <c r="J81" i="1"/>
  <c r="J80" i="1"/>
  <c r="J79" i="1"/>
  <c r="J78" i="1"/>
  <c r="H73" i="1"/>
  <c r="I186" i="1" l="1"/>
  <c r="L581" i="1"/>
  <c r="J186" i="1"/>
  <c r="C80" i="1"/>
  <c r="D80" i="1" s="1"/>
  <c r="D78" i="1"/>
  <c r="J74" i="1"/>
  <c r="D84" i="1"/>
  <c r="D82" i="1"/>
  <c r="D79" i="1"/>
  <c r="J75" i="1"/>
  <c r="C76" i="1" s="1"/>
  <c r="D76" i="1" s="1"/>
  <c r="J73" i="1"/>
  <c r="D85" i="1"/>
  <c r="D83" i="1"/>
  <c r="D81" i="1"/>
  <c r="J76" i="1"/>
  <c r="J77" i="1" s="1"/>
  <c r="J82" i="1" s="1"/>
  <c r="J83" i="1" s="1"/>
  <c r="C77" i="1" s="1"/>
  <c r="E76" i="1" l="1"/>
  <c r="I70" i="1" s="1"/>
  <c r="C74" i="1" s="1"/>
  <c r="D77" i="1"/>
  <c r="G76" i="1"/>
  <c r="I364" i="1" l="1"/>
  <c r="I356" i="1"/>
  <c r="I331" i="1"/>
  <c r="J365" i="1"/>
  <c r="J356" i="1"/>
  <c r="I299" i="1"/>
  <c r="L299" i="1" s="1"/>
  <c r="E651" i="1"/>
  <c r="E650" i="1"/>
  <c r="E649" i="1"/>
  <c r="E648" i="1"/>
  <c r="D658" i="1"/>
  <c r="F658" i="1" s="1"/>
  <c r="D657" i="1"/>
  <c r="F657" i="1" s="1"/>
  <c r="D656" i="1"/>
  <c r="F656" i="1" s="1"/>
  <c r="D655" i="1"/>
  <c r="F655" i="1" s="1"/>
  <c r="D654" i="1"/>
  <c r="F654" i="1" s="1"/>
  <c r="G653" i="1"/>
  <c r="D653" i="1"/>
  <c r="F653" i="1" s="1"/>
  <c r="D633" i="1"/>
  <c r="D640" i="1"/>
  <c r="D639" i="1"/>
  <c r="D626" i="1"/>
  <c r="D625" i="1"/>
  <c r="D621" i="1"/>
  <c r="F621" i="1" s="1"/>
  <c r="D619" i="1"/>
  <c r="F619" i="1" s="1"/>
  <c r="D618" i="1"/>
  <c r="F618" i="1" s="1"/>
  <c r="D617" i="1"/>
  <c r="F617" i="1" s="1"/>
  <c r="D616" i="1"/>
  <c r="F616" i="1" s="1"/>
  <c r="G615" i="1"/>
  <c r="D615" i="1"/>
  <c r="F615" i="1" s="1"/>
  <c r="E576" i="1"/>
  <c r="E575" i="1"/>
  <c r="E574" i="1"/>
  <c r="D588" i="1"/>
  <c r="F588" i="1" s="1"/>
  <c r="D587" i="1"/>
  <c r="F587" i="1" s="1"/>
  <c r="D586" i="1"/>
  <c r="F586" i="1" s="1"/>
  <c r="D585" i="1"/>
  <c r="F585" i="1" s="1"/>
  <c r="D584" i="1"/>
  <c r="F584" i="1" s="1"/>
  <c r="D583" i="1"/>
  <c r="F583" i="1" s="1"/>
  <c r="G582" i="1"/>
  <c r="D582" i="1"/>
  <c r="F582" i="1" s="1"/>
  <c r="D554" i="1"/>
  <c r="F554" i="1" s="1"/>
  <c r="D552" i="1"/>
  <c r="F552" i="1" s="1"/>
  <c r="D551" i="1"/>
  <c r="F551" i="1" s="1"/>
  <c r="D550" i="1"/>
  <c r="F550" i="1" s="1"/>
  <c r="G549" i="1"/>
  <c r="D549" i="1"/>
  <c r="F549" i="1" s="1"/>
  <c r="D522" i="1"/>
  <c r="F522" i="1" s="1"/>
  <c r="D524" i="1"/>
  <c r="F524" i="1" s="1"/>
  <c r="D523" i="1"/>
  <c r="F523" i="1" s="1"/>
  <c r="D521" i="1"/>
  <c r="F521" i="1" s="1"/>
  <c r="D520" i="1"/>
  <c r="F520" i="1" s="1"/>
  <c r="G519" i="1"/>
  <c r="D519" i="1"/>
  <c r="F519" i="1" s="1"/>
  <c r="E512" i="1"/>
  <c r="E511" i="1"/>
  <c r="D532" i="1"/>
  <c r="F532" i="1" s="1"/>
  <c r="D531" i="1"/>
  <c r="F531" i="1" s="1"/>
  <c r="D530" i="1"/>
  <c r="F530" i="1" s="1"/>
  <c r="D529" i="1"/>
  <c r="F529" i="1" s="1"/>
  <c r="D528" i="1"/>
  <c r="F528" i="1" s="1"/>
  <c r="D527" i="1"/>
  <c r="F527" i="1" s="1"/>
  <c r="G526" i="1"/>
  <c r="D526" i="1"/>
  <c r="F526" i="1" s="1"/>
  <c r="D488" i="1"/>
  <c r="F488" i="1" s="1"/>
  <c r="D491" i="1"/>
  <c r="F491" i="1" s="1"/>
  <c r="D490" i="1"/>
  <c r="F490" i="1" s="1"/>
  <c r="D487" i="1"/>
  <c r="F487" i="1" s="1"/>
  <c r="D486" i="1"/>
  <c r="F486" i="1" s="1"/>
  <c r="D485" i="1"/>
  <c r="F485" i="1" s="1"/>
  <c r="G485" i="1"/>
  <c r="E461" i="1"/>
  <c r="D474" i="1"/>
  <c r="F474" i="1" s="1"/>
  <c r="D473" i="1"/>
  <c r="F473" i="1" s="1"/>
  <c r="D472" i="1"/>
  <c r="F472" i="1" s="1"/>
  <c r="D471" i="1"/>
  <c r="F471" i="1" s="1"/>
  <c r="D470" i="1"/>
  <c r="F470" i="1" s="1"/>
  <c r="D469" i="1"/>
  <c r="F469" i="1" s="1"/>
  <c r="G468" i="1"/>
  <c r="D468" i="1"/>
  <c r="F468" i="1" s="1"/>
  <c r="D437" i="1"/>
  <c r="F437" i="1" s="1"/>
  <c r="D440" i="1"/>
  <c r="F440" i="1" s="1"/>
  <c r="D439" i="1"/>
  <c r="F439" i="1" s="1"/>
  <c r="D436" i="1"/>
  <c r="F436" i="1" s="1"/>
  <c r="D435" i="1"/>
  <c r="F435" i="1" s="1"/>
  <c r="D434" i="1"/>
  <c r="F434" i="1" s="1"/>
  <c r="G433" i="1"/>
  <c r="D433" i="1"/>
  <c r="F433" i="1" s="1"/>
  <c r="E407" i="1"/>
  <c r="E406" i="1"/>
  <c r="E405" i="1"/>
  <c r="D421" i="1"/>
  <c r="F421" i="1" s="1"/>
  <c r="D420" i="1"/>
  <c r="F420" i="1" s="1"/>
  <c r="D419" i="1"/>
  <c r="F419" i="1" s="1"/>
  <c r="D418" i="1"/>
  <c r="F418" i="1" s="1"/>
  <c r="D417" i="1"/>
  <c r="F417" i="1" s="1"/>
  <c r="D416" i="1"/>
  <c r="F416" i="1" s="1"/>
  <c r="D415" i="1"/>
  <c r="F415" i="1" s="1"/>
  <c r="G414" i="1"/>
  <c r="D414" i="1"/>
  <c r="F414" i="1" s="1"/>
  <c r="E328" i="1"/>
  <c r="E327" i="1"/>
  <c r="E329" i="1"/>
  <c r="D340" i="1"/>
  <c r="F340" i="1" s="1"/>
  <c r="D339" i="1"/>
  <c r="F339" i="1" s="1"/>
  <c r="D338" i="1"/>
  <c r="F338" i="1" s="1"/>
  <c r="D337" i="1"/>
  <c r="F337" i="1" s="1"/>
  <c r="D336" i="1"/>
  <c r="F336" i="1" s="1"/>
  <c r="D335" i="1"/>
  <c r="F335" i="1" s="1"/>
  <c r="G334" i="1"/>
  <c r="D334" i="1"/>
  <c r="F334" i="1" s="1"/>
  <c r="I325" i="1"/>
  <c r="I394" i="1"/>
  <c r="I392" i="1"/>
  <c r="I539" i="1" l="1"/>
  <c r="D247" i="1" l="1"/>
  <c r="F247" i="1" s="1"/>
  <c r="D248" i="1"/>
  <c r="F248" i="1" s="1"/>
  <c r="D313" i="1"/>
  <c r="C86" i="1"/>
  <c r="C107" i="1" l="1"/>
  <c r="C108" i="1" l="1"/>
  <c r="C109" i="1"/>
  <c r="J362" i="1"/>
  <c r="G378" i="1"/>
  <c r="D371" i="1"/>
  <c r="F371" i="1" s="1"/>
  <c r="D376" i="1"/>
  <c r="F376" i="1" s="1"/>
  <c r="D383" i="1"/>
  <c r="F383" i="1" s="1"/>
  <c r="D381" i="1"/>
  <c r="F381" i="1" s="1"/>
  <c r="D380" i="1"/>
  <c r="F380" i="1" s="1"/>
  <c r="D379" i="1"/>
  <c r="F379" i="1" s="1"/>
  <c r="D378" i="1"/>
  <c r="F378" i="1" s="1"/>
  <c r="I354" i="1"/>
  <c r="D374" i="1"/>
  <c r="F374" i="1" s="1"/>
  <c r="D375" i="1"/>
  <c r="F375" i="1" s="1"/>
  <c r="G373" i="1"/>
  <c r="D373" i="1"/>
  <c r="F373" i="1" s="1"/>
  <c r="D370" i="1"/>
  <c r="F370" i="1" s="1"/>
  <c r="D362" i="1"/>
  <c r="D363" i="1"/>
  <c r="I346" i="1"/>
  <c r="D365" i="1" l="1"/>
  <c r="D364" i="1"/>
  <c r="D357" i="1"/>
  <c r="D356" i="1"/>
  <c r="I340" i="1"/>
  <c r="D324" i="1"/>
  <c r="F324" i="1" s="1"/>
  <c r="D323" i="1"/>
  <c r="F323" i="1" s="1"/>
  <c r="G318" i="1"/>
  <c r="D316" i="1"/>
  <c r="F316" i="1" s="1"/>
  <c r="D315" i="1"/>
  <c r="F315" i="1" s="1"/>
  <c r="D314" i="1"/>
  <c r="F314" i="1" s="1"/>
  <c r="F313" i="1"/>
  <c r="G310" i="1"/>
  <c r="J298" i="1"/>
  <c r="J297" i="1"/>
  <c r="D59" i="1"/>
  <c r="C93" i="1" l="1"/>
  <c r="C94" i="1" l="1"/>
  <c r="C95" i="1"/>
  <c r="D277" i="1"/>
  <c r="D257" i="1"/>
  <c r="D256" i="1"/>
  <c r="L240" i="1"/>
  <c r="L239" i="1"/>
  <c r="I240" i="1"/>
  <c r="D232" i="1"/>
  <c r="D230" i="1"/>
  <c r="D229" i="1"/>
  <c r="D218" i="1"/>
  <c r="D213" i="1"/>
  <c r="D206" i="1"/>
  <c r="D205" i="1"/>
  <c r="D199" i="1"/>
  <c r="D198" i="1"/>
  <c r="I194" i="1"/>
  <c r="I193" i="1"/>
  <c r="I192" i="1"/>
  <c r="A668" i="1" l="1"/>
  <c r="A669" i="1" s="1"/>
  <c r="A670" i="1" s="1"/>
  <c r="A671" i="1" s="1"/>
  <c r="A672" i="1" s="1"/>
  <c r="A673" i="1" s="1"/>
  <c r="A674" i="1" s="1"/>
  <c r="A675" i="1" s="1"/>
  <c r="A676" i="1" s="1"/>
  <c r="A677" i="1" s="1"/>
  <c r="A678" i="1" s="1"/>
  <c r="A679" i="1" s="1"/>
  <c r="A680" i="1" s="1"/>
  <c r="A681" i="1" s="1"/>
  <c r="A682" i="1" s="1"/>
  <c r="A683" i="1" s="1"/>
  <c r="A684" i="1" s="1"/>
  <c r="I492" i="1" l="1"/>
  <c r="D665" i="1"/>
  <c r="D664" i="1"/>
  <c r="D663" i="1"/>
  <c r="D662" i="1"/>
  <c r="D661" i="1"/>
  <c r="D651" i="1"/>
  <c r="F651" i="1" s="1"/>
  <c r="D650" i="1"/>
  <c r="D649" i="1"/>
  <c r="D648" i="1"/>
  <c r="D646" i="1"/>
  <c r="D647" i="1"/>
  <c r="E187" i="1" l="1"/>
  <c r="C187" i="1"/>
  <c r="U506" i="1"/>
  <c r="F665" i="1"/>
  <c r="F664" i="1"/>
  <c r="F663" i="1"/>
  <c r="I503" i="1"/>
  <c r="F662" i="1"/>
  <c r="U502" i="1"/>
  <c r="U503" i="1" s="1"/>
  <c r="U504" i="1" s="1"/>
  <c r="F661" i="1"/>
  <c r="G660" i="1"/>
  <c r="V500" i="1"/>
  <c r="I495" i="1"/>
  <c r="U498" i="1"/>
  <c r="U499" i="1" s="1"/>
  <c r="F650" i="1"/>
  <c r="F649" i="1"/>
  <c r="F648" i="1"/>
  <c r="U494" i="1"/>
  <c r="U495" i="1" s="1"/>
  <c r="U496" i="1" s="1"/>
  <c r="F647" i="1"/>
  <c r="G646" i="1"/>
  <c r="F646" i="1"/>
  <c r="V492" i="1"/>
  <c r="U490" i="1"/>
  <c r="U491" i="1" s="1"/>
  <c r="U486" i="1"/>
  <c r="U487" i="1" s="1"/>
  <c r="U488" i="1" s="1"/>
  <c r="F640" i="1"/>
  <c r="G639" i="1"/>
  <c r="F639" i="1"/>
  <c r="V484" i="1"/>
  <c r="F633" i="1"/>
  <c r="F625" i="1"/>
  <c r="F626" i="1"/>
  <c r="U482" i="1"/>
  <c r="U483" i="1" s="1"/>
  <c r="U478" i="1"/>
  <c r="U479" i="1" s="1"/>
  <c r="U480" i="1" s="1"/>
  <c r="G632" i="1"/>
  <c r="V476" i="1"/>
  <c r="J469" i="1"/>
  <c r="G625" i="1"/>
  <c r="V468" i="1"/>
  <c r="U474" i="1"/>
  <c r="U475" i="1" s="1"/>
  <c r="U470" i="1"/>
  <c r="U471" i="1" s="1"/>
  <c r="U472" i="1" s="1"/>
  <c r="V467" i="1"/>
  <c r="V466" i="1"/>
  <c r="C142" i="1"/>
  <c r="J151" i="1"/>
  <c r="J150" i="1"/>
  <c r="J149" i="1"/>
  <c r="J148" i="1"/>
  <c r="C149" i="1"/>
  <c r="V485" i="1"/>
  <c r="V477" i="1"/>
  <c r="V489" i="1"/>
  <c r="V501" i="1"/>
  <c r="V505" i="1"/>
  <c r="V469" i="1"/>
  <c r="V493" i="1"/>
  <c r="V473" i="1"/>
  <c r="V497" i="1"/>
  <c r="V481" i="1"/>
  <c r="G187" i="1" l="1"/>
  <c r="C151" i="1"/>
  <c r="C150" i="1"/>
  <c r="V502" i="1"/>
  <c r="S501" i="1"/>
  <c r="V506" i="1"/>
  <c r="S506" i="1" s="1"/>
  <c r="S505" i="1"/>
  <c r="V498" i="1"/>
  <c r="S497" i="1"/>
  <c r="V494" i="1"/>
  <c r="S493" i="1"/>
  <c r="V490" i="1"/>
  <c r="S489" i="1"/>
  <c r="V486" i="1"/>
  <c r="S485" i="1"/>
  <c r="V478" i="1"/>
  <c r="S477" i="1"/>
  <c r="V482" i="1"/>
  <c r="S481" i="1"/>
  <c r="V470" i="1"/>
  <c r="S469" i="1"/>
  <c r="V474" i="1"/>
  <c r="S473" i="1"/>
  <c r="V503" i="1" l="1"/>
  <c r="S502" i="1"/>
  <c r="S494" i="1"/>
  <c r="V495" i="1"/>
  <c r="V499" i="1"/>
  <c r="S499" i="1" s="1"/>
  <c r="S498" i="1"/>
  <c r="S486" i="1"/>
  <c r="V487" i="1"/>
  <c r="V491" i="1"/>
  <c r="S491" i="1" s="1"/>
  <c r="S490" i="1"/>
  <c r="V483" i="1"/>
  <c r="S483" i="1" s="1"/>
  <c r="S482" i="1"/>
  <c r="S478" i="1"/>
  <c r="V479" i="1"/>
  <c r="V475" i="1"/>
  <c r="S475" i="1" s="1"/>
  <c r="S474" i="1"/>
  <c r="S470" i="1"/>
  <c r="V471" i="1"/>
  <c r="C135" i="1"/>
  <c r="C121" i="1"/>
  <c r="C136" i="1" l="1"/>
  <c r="C137" i="1"/>
  <c r="C122" i="1"/>
  <c r="C123" i="1"/>
  <c r="S503" i="1"/>
  <c r="V504" i="1"/>
  <c r="S504" i="1" s="1"/>
  <c r="V496" i="1"/>
  <c r="S496" i="1" s="1"/>
  <c r="S495" i="1"/>
  <c r="V488" i="1"/>
  <c r="S488" i="1" s="1"/>
  <c r="S487" i="1"/>
  <c r="V480" i="1"/>
  <c r="S480" i="1" s="1"/>
  <c r="S479" i="1"/>
  <c r="V472" i="1"/>
  <c r="S472" i="1" s="1"/>
  <c r="S471" i="1"/>
  <c r="K295" i="1"/>
  <c r="D348" i="1"/>
  <c r="D347" i="1"/>
  <c r="D332" i="1"/>
  <c r="D331" i="1"/>
  <c r="D330" i="1"/>
  <c r="D329" i="1"/>
  <c r="D328" i="1"/>
  <c r="D327" i="1"/>
  <c r="D326" i="1"/>
  <c r="D271" i="1"/>
  <c r="D228" i="1"/>
  <c r="D223" i="1"/>
  <c r="D369" i="1" l="1"/>
  <c r="F369" i="1" s="1"/>
  <c r="D368" i="1"/>
  <c r="F368" i="1" s="1"/>
  <c r="D367" i="1"/>
  <c r="F367" i="1" s="1"/>
  <c r="F357" i="1"/>
  <c r="F356" i="1"/>
  <c r="D353" i="1"/>
  <c r="F353" i="1" s="1"/>
  <c r="D352" i="1"/>
  <c r="F352" i="1" s="1"/>
  <c r="D351" i="1"/>
  <c r="F351" i="1" s="1"/>
  <c r="F365" i="1"/>
  <c r="F364" i="1"/>
  <c r="F363" i="1"/>
  <c r="D361" i="1"/>
  <c r="F361" i="1" s="1"/>
  <c r="D360" i="1"/>
  <c r="F360" i="1" s="1"/>
  <c r="D359" i="1"/>
  <c r="F359" i="1" s="1"/>
  <c r="D344" i="1"/>
  <c r="F344" i="1" s="1"/>
  <c r="D343" i="1"/>
  <c r="F343" i="1" s="1"/>
  <c r="D342" i="1"/>
  <c r="F342" i="1" s="1"/>
  <c r="F331" i="1"/>
  <c r="F327" i="1"/>
  <c r="D308" i="1"/>
  <c r="F308" i="1" s="1"/>
  <c r="D307" i="1"/>
  <c r="F307" i="1" s="1"/>
  <c r="D306" i="1"/>
  <c r="F306" i="1" s="1"/>
  <c r="D305" i="1"/>
  <c r="D483" i="1"/>
  <c r="D479" i="1"/>
  <c r="D478" i="1"/>
  <c r="D477" i="1"/>
  <c r="D466" i="1"/>
  <c r="D463" i="1"/>
  <c r="D462" i="1"/>
  <c r="D461" i="1"/>
  <c r="D460" i="1"/>
  <c r="D458" i="1"/>
  <c r="D450" i="1"/>
  <c r="D447" i="1"/>
  <c r="D609" i="1"/>
  <c r="D601" i="1"/>
  <c r="D593" i="1"/>
  <c r="F593" i="1" s="1"/>
  <c r="D576" i="1"/>
  <c r="D547" i="1"/>
  <c r="F547" i="1" s="1"/>
  <c r="D546" i="1"/>
  <c r="F546" i="1" s="1"/>
  <c r="D545" i="1"/>
  <c r="F545" i="1" s="1"/>
  <c r="U412" i="1"/>
  <c r="U413" i="1" s="1"/>
  <c r="U414" i="1" s="1"/>
  <c r="D544" i="1"/>
  <c r="F544" i="1" s="1"/>
  <c r="G543" i="1"/>
  <c r="D543" i="1"/>
  <c r="F543" i="1" s="1"/>
  <c r="V410" i="1"/>
  <c r="D539" i="1"/>
  <c r="D538" i="1"/>
  <c r="D537" i="1"/>
  <c r="D536" i="1"/>
  <c r="D535" i="1"/>
  <c r="D515" i="1"/>
  <c r="D514" i="1"/>
  <c r="D513" i="1"/>
  <c r="D512" i="1"/>
  <c r="I395" i="1"/>
  <c r="D511" i="1"/>
  <c r="D507" i="1"/>
  <c r="D506" i="1"/>
  <c r="D501" i="1"/>
  <c r="D499" i="1"/>
  <c r="D498" i="1"/>
  <c r="I381" i="1"/>
  <c r="V311" i="1"/>
  <c r="U308" i="1"/>
  <c r="U309" i="1" s="1"/>
  <c r="U304" i="1"/>
  <c r="U305" i="1" s="1"/>
  <c r="U306" i="1" s="1"/>
  <c r="G367" i="1"/>
  <c r="V302" i="1"/>
  <c r="U301" i="1"/>
  <c r="G351" i="1"/>
  <c r="F362" i="1"/>
  <c r="G359" i="1"/>
  <c r="F348" i="1"/>
  <c r="F347" i="1"/>
  <c r="G342" i="1"/>
  <c r="F330" i="1"/>
  <c r="F329" i="1"/>
  <c r="F328" i="1"/>
  <c r="F326" i="1"/>
  <c r="F332" i="1"/>
  <c r="G326" i="1"/>
  <c r="V292" i="1"/>
  <c r="I297" i="1"/>
  <c r="V291" i="1"/>
  <c r="V290" i="1"/>
  <c r="V289" i="1"/>
  <c r="G302" i="1"/>
  <c r="U299" i="1"/>
  <c r="U300" i="1" s="1"/>
  <c r="U295" i="1"/>
  <c r="U296" i="1" s="1"/>
  <c r="U297" i="1" s="1"/>
  <c r="V293" i="1"/>
  <c r="D289" i="1"/>
  <c r="F289" i="1" s="1"/>
  <c r="D288" i="1"/>
  <c r="D287" i="1"/>
  <c r="D286" i="1"/>
  <c r="D285" i="1"/>
  <c r="D281" i="1"/>
  <c r="D280" i="1"/>
  <c r="D279" i="1"/>
  <c r="D278" i="1"/>
  <c r="D276" i="1"/>
  <c r="D275" i="1"/>
  <c r="D274" i="1"/>
  <c r="D273" i="1"/>
  <c r="D272" i="1"/>
  <c r="D268" i="1"/>
  <c r="D267" i="1"/>
  <c r="D262" i="1"/>
  <c r="D258" i="1"/>
  <c r="F256" i="1"/>
  <c r="D255" i="1"/>
  <c r="F255" i="1" s="1"/>
  <c r="D254" i="1"/>
  <c r="F254" i="1" s="1"/>
  <c r="D253" i="1"/>
  <c r="F253" i="1" s="1"/>
  <c r="D252" i="1"/>
  <c r="F252" i="1" s="1"/>
  <c r="D251" i="1"/>
  <c r="F251" i="1" s="1"/>
  <c r="D250" i="1"/>
  <c r="U247" i="1"/>
  <c r="U248" i="1" s="1"/>
  <c r="U243" i="1"/>
  <c r="U244" i="1" s="1"/>
  <c r="U245" i="1" s="1"/>
  <c r="D238" i="1"/>
  <c r="D227" i="1"/>
  <c r="D222" i="1"/>
  <c r="D217" i="1"/>
  <c r="F217" i="1" s="1"/>
  <c r="D216" i="1"/>
  <c r="D214" i="1"/>
  <c r="D211" i="1"/>
  <c r="D204" i="1"/>
  <c r="F204" i="1" s="1"/>
  <c r="D203" i="1"/>
  <c r="F203" i="1" s="1"/>
  <c r="D202" i="1"/>
  <c r="F202" i="1" s="1"/>
  <c r="D201" i="1"/>
  <c r="F201" i="1" s="1"/>
  <c r="D200" i="1"/>
  <c r="F199" i="1"/>
  <c r="F205" i="1"/>
  <c r="U197" i="1"/>
  <c r="U198" i="1" s="1"/>
  <c r="U199" i="1" s="1"/>
  <c r="U193" i="1"/>
  <c r="U194" i="1" s="1"/>
  <c r="U195" i="1" s="1"/>
  <c r="V188" i="1"/>
  <c r="V192" i="1"/>
  <c r="V242" i="1"/>
  <c r="V307" i="1"/>
  <c r="V411" i="1"/>
  <c r="V196" i="1"/>
  <c r="V303" i="1"/>
  <c r="V298" i="1"/>
  <c r="V294" i="1"/>
  <c r="V415" i="1"/>
  <c r="E182" i="1" l="1"/>
  <c r="C182" i="1"/>
  <c r="F305" i="1"/>
  <c r="G182" i="1" s="1"/>
  <c r="F250" i="1"/>
  <c r="F200" i="1"/>
  <c r="F198" i="1"/>
  <c r="S415" i="1"/>
  <c r="S411" i="1"/>
  <c r="V412" i="1"/>
  <c r="S307" i="1"/>
  <c r="V308" i="1"/>
  <c r="V304" i="1"/>
  <c r="S303" i="1"/>
  <c r="V299" i="1"/>
  <c r="S298" i="1"/>
  <c r="V295" i="1"/>
  <c r="S294" i="1"/>
  <c r="V243" i="1"/>
  <c r="S242" i="1"/>
  <c r="S192" i="1"/>
  <c r="V193" i="1"/>
  <c r="S196" i="1"/>
  <c r="V197" i="1"/>
  <c r="V413" i="1" l="1"/>
  <c r="S412" i="1"/>
  <c r="V305" i="1"/>
  <c r="S304" i="1"/>
  <c r="V309" i="1"/>
  <c r="S309" i="1" s="1"/>
  <c r="S308" i="1"/>
  <c r="V301" i="1"/>
  <c r="S301" i="1" s="1"/>
  <c r="V296" i="1"/>
  <c r="S295" i="1"/>
  <c r="V300" i="1"/>
  <c r="S300" i="1" s="1"/>
  <c r="S299" i="1"/>
  <c r="V244" i="1"/>
  <c r="S243" i="1"/>
  <c r="S197" i="1"/>
  <c r="V198" i="1"/>
  <c r="S193" i="1"/>
  <c r="V194" i="1"/>
  <c r="C128" i="1"/>
  <c r="D561" i="1"/>
  <c r="V414" i="1" l="1"/>
  <c r="S414" i="1" s="1"/>
  <c r="S413" i="1"/>
  <c r="V306" i="1"/>
  <c r="S306" i="1" s="1"/>
  <c r="S305" i="1"/>
  <c r="V297" i="1"/>
  <c r="S297" i="1" s="1"/>
  <c r="S296" i="1"/>
  <c r="V245" i="1"/>
  <c r="S245" i="1" s="1"/>
  <c r="S244" i="1"/>
  <c r="V199" i="1"/>
  <c r="S199" i="1" s="1"/>
  <c r="S198" i="1"/>
  <c r="V195" i="1"/>
  <c r="S195" i="1" s="1"/>
  <c r="S194" i="1"/>
  <c r="D611" i="1"/>
  <c r="F611" i="1" s="1"/>
  <c r="D610" i="1"/>
  <c r="F610" i="1" s="1"/>
  <c r="D608" i="1"/>
  <c r="F608" i="1" s="1"/>
  <c r="D607" i="1"/>
  <c r="F607" i="1" s="1"/>
  <c r="D605" i="1"/>
  <c r="F605" i="1" s="1"/>
  <c r="D604" i="1"/>
  <c r="F604" i="1" s="1"/>
  <c r="D603" i="1"/>
  <c r="F603" i="1" s="1"/>
  <c r="D602" i="1"/>
  <c r="F602" i="1" s="1"/>
  <c r="D600" i="1"/>
  <c r="F600" i="1" s="1"/>
  <c r="D599" i="1"/>
  <c r="F599" i="1" s="1"/>
  <c r="D595" i="1"/>
  <c r="F595" i="1" s="1"/>
  <c r="D594" i="1"/>
  <c r="F594" i="1" s="1"/>
  <c r="D592" i="1"/>
  <c r="F592" i="1" s="1"/>
  <c r="D591" i="1"/>
  <c r="D580" i="1"/>
  <c r="F580" i="1" s="1"/>
  <c r="D579" i="1"/>
  <c r="F579" i="1" s="1"/>
  <c r="D578" i="1"/>
  <c r="F578" i="1" s="1"/>
  <c r="D577" i="1"/>
  <c r="F577" i="1" s="1"/>
  <c r="D575" i="1"/>
  <c r="F575" i="1" s="1"/>
  <c r="D574" i="1"/>
  <c r="F574" i="1" s="1"/>
  <c r="D570" i="1"/>
  <c r="F570" i="1" s="1"/>
  <c r="D569" i="1"/>
  <c r="F569" i="1" s="1"/>
  <c r="D564" i="1"/>
  <c r="F564" i="1" s="1"/>
  <c r="D563" i="1"/>
  <c r="F563" i="1" s="1"/>
  <c r="D562" i="1"/>
  <c r="F562" i="1" s="1"/>
  <c r="I421" i="1"/>
  <c r="F561" i="1"/>
  <c r="V441" i="1"/>
  <c r="U464" i="1"/>
  <c r="U465" i="1" s="1"/>
  <c r="F609" i="1"/>
  <c r="U460" i="1"/>
  <c r="U461" i="1" s="1"/>
  <c r="U462" i="1" s="1"/>
  <c r="G607" i="1"/>
  <c r="V458" i="1"/>
  <c r="U456" i="1"/>
  <c r="U457" i="1" s="1"/>
  <c r="F601" i="1"/>
  <c r="U452" i="1"/>
  <c r="U453" i="1" s="1"/>
  <c r="U454" i="1" s="1"/>
  <c r="G599" i="1"/>
  <c r="V450" i="1"/>
  <c r="U448" i="1"/>
  <c r="U449" i="1" s="1"/>
  <c r="U444" i="1"/>
  <c r="U445" i="1" s="1"/>
  <c r="U446" i="1" s="1"/>
  <c r="G591" i="1"/>
  <c r="F591" i="1"/>
  <c r="V442" i="1"/>
  <c r="U439" i="1"/>
  <c r="U440" i="1" s="1"/>
  <c r="F576" i="1"/>
  <c r="U435" i="1"/>
  <c r="U436" i="1" s="1"/>
  <c r="U437" i="1" s="1"/>
  <c r="G574" i="1"/>
  <c r="V433" i="1"/>
  <c r="U431" i="1"/>
  <c r="U432" i="1" s="1"/>
  <c r="U427" i="1"/>
  <c r="U428" i="1" s="1"/>
  <c r="U429" i="1" s="1"/>
  <c r="G566" i="1"/>
  <c r="V425" i="1"/>
  <c r="G558" i="1"/>
  <c r="U423" i="1"/>
  <c r="U424" i="1" s="1"/>
  <c r="U419" i="1"/>
  <c r="U420" i="1" s="1"/>
  <c r="U421" i="1" s="1"/>
  <c r="V417" i="1"/>
  <c r="V416" i="1"/>
  <c r="D293" i="1"/>
  <c r="F293" i="1" s="1"/>
  <c r="D292" i="1"/>
  <c r="F292" i="1" s="1"/>
  <c r="D291" i="1"/>
  <c r="F291" i="1" s="1"/>
  <c r="D290" i="1"/>
  <c r="F290" i="1" s="1"/>
  <c r="F285" i="1"/>
  <c r="D284" i="1"/>
  <c r="F284" i="1" s="1"/>
  <c r="F288" i="1"/>
  <c r="U282" i="1"/>
  <c r="U283" i="1" s="1"/>
  <c r="U284" i="1" s="1"/>
  <c r="U285" i="1" s="1"/>
  <c r="F287" i="1"/>
  <c r="F286" i="1"/>
  <c r="U277" i="1"/>
  <c r="U278" i="1" s="1"/>
  <c r="U279" i="1" s="1"/>
  <c r="D246" i="1"/>
  <c r="F246" i="1" s="1"/>
  <c r="D245" i="1"/>
  <c r="F245" i="1" s="1"/>
  <c r="D244" i="1"/>
  <c r="F244" i="1" s="1"/>
  <c r="D243" i="1"/>
  <c r="F243" i="1" s="1"/>
  <c r="D242" i="1"/>
  <c r="F242" i="1" s="1"/>
  <c r="D241" i="1"/>
  <c r="F241" i="1" s="1"/>
  <c r="D240" i="1"/>
  <c r="F240" i="1" s="1"/>
  <c r="D239" i="1"/>
  <c r="F239" i="1" s="1"/>
  <c r="D237" i="1"/>
  <c r="F237" i="1" s="1"/>
  <c r="D236" i="1"/>
  <c r="F236" i="1" s="1"/>
  <c r="D235" i="1"/>
  <c r="F235" i="1" s="1"/>
  <c r="F238" i="1"/>
  <c r="U236" i="1"/>
  <c r="U237" i="1" s="1"/>
  <c r="U238" i="1" s="1"/>
  <c r="U239" i="1" s="1"/>
  <c r="U240" i="1" s="1"/>
  <c r="U232" i="1"/>
  <c r="U233" i="1" s="1"/>
  <c r="U234" i="1" s="1"/>
  <c r="V189" i="1"/>
  <c r="J137" i="1"/>
  <c r="J136" i="1"/>
  <c r="J135" i="1"/>
  <c r="J134" i="1"/>
  <c r="V443" i="1"/>
  <c r="V455" i="1"/>
  <c r="V418" i="1"/>
  <c r="V447" i="1"/>
  <c r="V434" i="1"/>
  <c r="V438" i="1"/>
  <c r="V426" i="1"/>
  <c r="V451" i="1"/>
  <c r="V235" i="1"/>
  <c r="V231" i="1"/>
  <c r="V459" i="1"/>
  <c r="V463" i="1"/>
  <c r="V276" i="1"/>
  <c r="C186" i="1" l="1"/>
  <c r="E186" i="1"/>
  <c r="G186" i="1"/>
  <c r="V464" i="1"/>
  <c r="S463" i="1"/>
  <c r="S459" i="1"/>
  <c r="V460" i="1"/>
  <c r="V452" i="1"/>
  <c r="S451" i="1"/>
  <c r="V456" i="1"/>
  <c r="S455" i="1"/>
  <c r="V444" i="1"/>
  <c r="S443" i="1"/>
  <c r="V448" i="1"/>
  <c r="S447" i="1"/>
  <c r="V439" i="1"/>
  <c r="S438" i="1"/>
  <c r="V435" i="1"/>
  <c r="S434" i="1"/>
  <c r="V427" i="1"/>
  <c r="S426" i="1"/>
  <c r="V419" i="1"/>
  <c r="S418" i="1"/>
  <c r="S276" i="1"/>
  <c r="V277" i="1"/>
  <c r="S231" i="1"/>
  <c r="V232" i="1"/>
  <c r="S235" i="1"/>
  <c r="V236" i="1"/>
  <c r="E3" i="1"/>
  <c r="C100" i="1"/>
  <c r="V281" i="1"/>
  <c r="S281" i="1" l="1"/>
  <c r="V465" i="1"/>
  <c r="S465" i="1" s="1"/>
  <c r="S464" i="1"/>
  <c r="S460" i="1"/>
  <c r="V461" i="1"/>
  <c r="V453" i="1"/>
  <c r="S452" i="1"/>
  <c r="V457" i="1"/>
  <c r="S457" i="1" s="1"/>
  <c r="S456" i="1"/>
  <c r="V449" i="1"/>
  <c r="S449" i="1" s="1"/>
  <c r="S448" i="1"/>
  <c r="V445" i="1"/>
  <c r="S444" i="1"/>
  <c r="V436" i="1"/>
  <c r="S435" i="1"/>
  <c r="V440" i="1"/>
  <c r="S440" i="1" s="1"/>
  <c r="S439" i="1"/>
  <c r="V428" i="1"/>
  <c r="S427" i="1"/>
  <c r="S419" i="1"/>
  <c r="V420" i="1"/>
  <c r="S277" i="1"/>
  <c r="V278" i="1"/>
  <c r="S232" i="1"/>
  <c r="V233" i="1"/>
  <c r="S236" i="1"/>
  <c r="V237" i="1"/>
  <c r="G503" i="1"/>
  <c r="U387" i="1"/>
  <c r="U388" i="1" s="1"/>
  <c r="G495" i="1"/>
  <c r="F501" i="1"/>
  <c r="D500" i="1"/>
  <c r="U382" i="1"/>
  <c r="U383" i="1" s="1"/>
  <c r="U384" i="1" s="1"/>
  <c r="F499" i="1"/>
  <c r="F498" i="1"/>
  <c r="G452" i="1"/>
  <c r="U358" i="1"/>
  <c r="G444" i="1"/>
  <c r="F450" i="1"/>
  <c r="D449" i="1"/>
  <c r="F449" i="1" s="1"/>
  <c r="U355" i="1"/>
  <c r="D448" i="1"/>
  <c r="F447" i="1"/>
  <c r="G396" i="1"/>
  <c r="U323" i="1"/>
  <c r="U324" i="1" s="1"/>
  <c r="U325" i="1" s="1"/>
  <c r="D394" i="1"/>
  <c r="F394" i="1" s="1"/>
  <c r="D393" i="1"/>
  <c r="F393" i="1" s="1"/>
  <c r="U318" i="1"/>
  <c r="U319" i="1" s="1"/>
  <c r="U320" i="1" s="1"/>
  <c r="D392" i="1"/>
  <c r="F392" i="1" s="1"/>
  <c r="D391" i="1"/>
  <c r="F539" i="1"/>
  <c r="F538" i="1"/>
  <c r="F537" i="1"/>
  <c r="F536" i="1"/>
  <c r="U408" i="1"/>
  <c r="U409" i="1" s="1"/>
  <c r="U404" i="1"/>
  <c r="U405" i="1" s="1"/>
  <c r="U406" i="1" s="1"/>
  <c r="G535" i="1"/>
  <c r="F535" i="1"/>
  <c r="I403" i="1" s="1"/>
  <c r="V402" i="1"/>
  <c r="V401" i="1"/>
  <c r="D517" i="1"/>
  <c r="F517" i="1" s="1"/>
  <c r="D516" i="1"/>
  <c r="F516" i="1" s="1"/>
  <c r="F515" i="1"/>
  <c r="F514" i="1"/>
  <c r="I397" i="1" s="1"/>
  <c r="F513" i="1"/>
  <c r="F512" i="1"/>
  <c r="F511" i="1"/>
  <c r="U399" i="1"/>
  <c r="U400" i="1" s="1"/>
  <c r="U395" i="1"/>
  <c r="U396" i="1" s="1"/>
  <c r="U397" i="1" s="1"/>
  <c r="G511" i="1"/>
  <c r="V393" i="1"/>
  <c r="F507" i="1"/>
  <c r="F506" i="1"/>
  <c r="U390" i="1"/>
  <c r="U391" i="1" s="1"/>
  <c r="U392" i="1" s="1"/>
  <c r="V385" i="1"/>
  <c r="U379" i="1"/>
  <c r="U380" i="1" s="1"/>
  <c r="V377" i="1"/>
  <c r="V376" i="1"/>
  <c r="D464" i="1"/>
  <c r="D465" i="1"/>
  <c r="G387" i="1"/>
  <c r="V389" i="1"/>
  <c r="V398" i="1"/>
  <c r="V394" i="1"/>
  <c r="V378" i="1"/>
  <c r="V407" i="1"/>
  <c r="E185" i="1" l="1"/>
  <c r="C185" i="1"/>
  <c r="F500" i="1"/>
  <c r="G185" i="1" s="1"/>
  <c r="F448" i="1"/>
  <c r="S461" i="1"/>
  <c r="V462" i="1"/>
  <c r="S462" i="1" s="1"/>
  <c r="S453" i="1"/>
  <c r="V454" i="1"/>
  <c r="S454" i="1" s="1"/>
  <c r="S445" i="1"/>
  <c r="V446" i="1"/>
  <c r="S446" i="1" s="1"/>
  <c r="V437" i="1"/>
  <c r="S437" i="1" s="1"/>
  <c r="S436" i="1"/>
  <c r="S428" i="1"/>
  <c r="V429" i="1"/>
  <c r="V421" i="1"/>
  <c r="S420" i="1"/>
  <c r="V279" i="1"/>
  <c r="S279" i="1" s="1"/>
  <c r="S278" i="1"/>
  <c r="S237" i="1"/>
  <c r="V238" i="1"/>
  <c r="V234" i="1"/>
  <c r="S233" i="1"/>
  <c r="F391" i="1"/>
  <c r="S407" i="1"/>
  <c r="V408" i="1"/>
  <c r="S398" i="1"/>
  <c r="V399" i="1"/>
  <c r="V395" i="1"/>
  <c r="S394" i="1"/>
  <c r="S389" i="1"/>
  <c r="V390" i="1"/>
  <c r="S378" i="1"/>
  <c r="V379" i="1"/>
  <c r="D283" i="1"/>
  <c r="F283" i="1" s="1"/>
  <c r="D282" i="1"/>
  <c r="F282" i="1" s="1"/>
  <c r="F281" i="1"/>
  <c r="F280" i="1"/>
  <c r="F279" i="1"/>
  <c r="F278" i="1"/>
  <c r="I270" i="1" s="1"/>
  <c r="F277" i="1"/>
  <c r="F276" i="1"/>
  <c r="F275" i="1"/>
  <c r="U272" i="1"/>
  <c r="U273" i="1" s="1"/>
  <c r="U274" i="1" s="1"/>
  <c r="U275" i="1" s="1"/>
  <c r="U268" i="1"/>
  <c r="U269" i="1" s="1"/>
  <c r="U270" i="1" s="1"/>
  <c r="D260" i="1"/>
  <c r="D233" i="1"/>
  <c r="F233" i="1" s="1"/>
  <c r="D234" i="1"/>
  <c r="F234" i="1" s="1"/>
  <c r="F232" i="1"/>
  <c r="D231" i="1"/>
  <c r="F231" i="1" s="1"/>
  <c r="F230" i="1"/>
  <c r="F229" i="1"/>
  <c r="I223" i="1" s="1"/>
  <c r="F228" i="1"/>
  <c r="F227" i="1"/>
  <c r="D226" i="1"/>
  <c r="F226" i="1" s="1"/>
  <c r="U225" i="1"/>
  <c r="U226" i="1" s="1"/>
  <c r="U227" i="1" s="1"/>
  <c r="U228" i="1" s="1"/>
  <c r="U229" i="1" s="1"/>
  <c r="U230" i="1" s="1"/>
  <c r="U221" i="1"/>
  <c r="U222" i="1" s="1"/>
  <c r="U223" i="1" s="1"/>
  <c r="C114" i="1"/>
  <c r="J123" i="1"/>
  <c r="J122" i="1"/>
  <c r="J121" i="1"/>
  <c r="J120" i="1"/>
  <c r="V386" i="1"/>
  <c r="V224" i="1"/>
  <c r="V403" i="1"/>
  <c r="V220" i="1"/>
  <c r="V267" i="1"/>
  <c r="S234" i="1" l="1"/>
  <c r="S429" i="1"/>
  <c r="S421" i="1"/>
  <c r="V239" i="1"/>
  <c r="S238" i="1"/>
  <c r="S386" i="1"/>
  <c r="V387" i="1"/>
  <c r="V388" i="1" s="1"/>
  <c r="S388" i="1" s="1"/>
  <c r="S403" i="1"/>
  <c r="V404" i="1"/>
  <c r="V409" i="1"/>
  <c r="S409" i="1" s="1"/>
  <c r="S408" i="1"/>
  <c r="V396" i="1"/>
  <c r="S395" i="1"/>
  <c r="V400" i="1"/>
  <c r="S400" i="1" s="1"/>
  <c r="S399" i="1"/>
  <c r="V391" i="1"/>
  <c r="S390" i="1"/>
  <c r="S379" i="1"/>
  <c r="V380" i="1"/>
  <c r="S267" i="1"/>
  <c r="V268" i="1"/>
  <c r="V225" i="1"/>
  <c r="S224" i="1"/>
  <c r="V221" i="1"/>
  <c r="S220" i="1"/>
  <c r="J109" i="1"/>
  <c r="J108" i="1"/>
  <c r="J107" i="1"/>
  <c r="J95" i="1"/>
  <c r="J94" i="1"/>
  <c r="J93" i="1"/>
  <c r="H87" i="1"/>
  <c r="V430" i="1"/>
  <c r="V422" i="1"/>
  <c r="V246" i="1"/>
  <c r="V247" i="1" l="1"/>
  <c r="S246" i="1"/>
  <c r="V431" i="1"/>
  <c r="S430" i="1"/>
  <c r="S422" i="1"/>
  <c r="V423" i="1"/>
  <c r="S239" i="1"/>
  <c r="V240" i="1"/>
  <c r="S387" i="1"/>
  <c r="S404" i="1"/>
  <c r="V405" i="1"/>
  <c r="V397" i="1"/>
  <c r="S397" i="1" s="1"/>
  <c r="S396" i="1"/>
  <c r="S391" i="1"/>
  <c r="V392" i="1"/>
  <c r="S392" i="1" s="1"/>
  <c r="S380" i="1"/>
  <c r="S268" i="1"/>
  <c r="V269" i="1"/>
  <c r="S221" i="1"/>
  <c r="V222" i="1"/>
  <c r="S225" i="1"/>
  <c r="V226" i="1"/>
  <c r="D99" i="1"/>
  <c r="D97" i="1"/>
  <c r="D95" i="1"/>
  <c r="D93" i="1"/>
  <c r="J89" i="1"/>
  <c r="C90" i="1" s="1"/>
  <c r="D90" i="1" s="1"/>
  <c r="J87" i="1"/>
  <c r="J90" i="1"/>
  <c r="D98" i="1"/>
  <c r="D96" i="1"/>
  <c r="D94" i="1"/>
  <c r="D92" i="1"/>
  <c r="J88" i="1"/>
  <c r="H115" i="1"/>
  <c r="H101" i="1"/>
  <c r="H129" i="1"/>
  <c r="H143" i="1"/>
  <c r="S240" i="1" l="1"/>
  <c r="D150" i="1"/>
  <c r="D148" i="1"/>
  <c r="J144" i="1"/>
  <c r="D155" i="1"/>
  <c r="D154" i="1"/>
  <c r="D153" i="1"/>
  <c r="D152" i="1"/>
  <c r="D151" i="1"/>
  <c r="D149" i="1"/>
  <c r="J146" i="1"/>
  <c r="J147" i="1" s="1"/>
  <c r="J152" i="1" s="1"/>
  <c r="J153" i="1" s="1"/>
  <c r="C147" i="1" s="1"/>
  <c r="J145" i="1"/>
  <c r="C146" i="1" s="1"/>
  <c r="D146" i="1" s="1"/>
  <c r="J143" i="1"/>
  <c r="V248" i="1"/>
  <c r="S248" i="1" s="1"/>
  <c r="S247" i="1"/>
  <c r="V432" i="1"/>
  <c r="S432" i="1" s="1"/>
  <c r="S431" i="1"/>
  <c r="V424" i="1"/>
  <c r="S424" i="1" s="1"/>
  <c r="S423" i="1"/>
  <c r="J131" i="1"/>
  <c r="C132" i="1" s="1"/>
  <c r="D132" i="1" s="1"/>
  <c r="D136" i="1"/>
  <c r="J129" i="1"/>
  <c r="D141" i="1"/>
  <c r="D139" i="1"/>
  <c r="D137" i="1"/>
  <c r="D135" i="1"/>
  <c r="J130" i="1"/>
  <c r="D138" i="1"/>
  <c r="J132" i="1"/>
  <c r="D140" i="1"/>
  <c r="D134" i="1"/>
  <c r="S405" i="1"/>
  <c r="V406" i="1"/>
  <c r="S406" i="1" s="1"/>
  <c r="V270" i="1"/>
  <c r="S270" i="1" s="1"/>
  <c r="S269" i="1"/>
  <c r="V227" i="1"/>
  <c r="S226" i="1"/>
  <c r="V223" i="1"/>
  <c r="S223" i="1" s="1"/>
  <c r="S222" i="1"/>
  <c r="D121" i="1"/>
  <c r="D126" i="1"/>
  <c r="D124" i="1"/>
  <c r="D122" i="1"/>
  <c r="D120" i="1"/>
  <c r="J116" i="1"/>
  <c r="J117" i="1"/>
  <c r="C118" i="1" s="1"/>
  <c r="D118" i="1" s="1"/>
  <c r="J115" i="1"/>
  <c r="D127" i="1"/>
  <c r="D125" i="1"/>
  <c r="D123" i="1"/>
  <c r="J118" i="1"/>
  <c r="J91" i="1"/>
  <c r="J96" i="1" s="1"/>
  <c r="D113" i="1"/>
  <c r="D111" i="1"/>
  <c r="D109" i="1"/>
  <c r="D107" i="1"/>
  <c r="J103" i="1"/>
  <c r="D104" i="1" s="1"/>
  <c r="J101" i="1"/>
  <c r="J104" i="1"/>
  <c r="J105" i="1" s="1"/>
  <c r="J110" i="1" s="1"/>
  <c r="D112" i="1"/>
  <c r="D110" i="1"/>
  <c r="D108" i="1"/>
  <c r="D106" i="1"/>
  <c r="J102" i="1"/>
  <c r="V381" i="1"/>
  <c r="E146" i="1" l="1"/>
  <c r="I140" i="1" s="1"/>
  <c r="C144" i="1" s="1"/>
  <c r="D147" i="1"/>
  <c r="G146" i="1"/>
  <c r="J133" i="1"/>
  <c r="J138" i="1" s="1"/>
  <c r="J139" i="1" s="1"/>
  <c r="C133" i="1" s="1"/>
  <c r="G132" i="1" s="1"/>
  <c r="J119" i="1"/>
  <c r="J124" i="1" s="1"/>
  <c r="J125" i="1" s="1"/>
  <c r="G118" i="1"/>
  <c r="S381" i="1"/>
  <c r="V382" i="1"/>
  <c r="S227" i="1"/>
  <c r="V228" i="1"/>
  <c r="V229" i="1" s="1"/>
  <c r="J92" i="1"/>
  <c r="J97" i="1" s="1"/>
  <c r="C91" i="1" s="1"/>
  <c r="G90" i="1" s="1"/>
  <c r="J106" i="1"/>
  <c r="J111" i="1" s="1"/>
  <c r="G104" i="1" s="1"/>
  <c r="D91" i="1" l="1"/>
  <c r="E90" i="1"/>
  <c r="I84" i="1" s="1"/>
  <c r="C88" i="1" s="1"/>
  <c r="S229" i="1"/>
  <c r="V230" i="1"/>
  <c r="S230" i="1" s="1"/>
  <c r="D133" i="1"/>
  <c r="E132" i="1"/>
  <c r="I126" i="1" s="1"/>
  <c r="C130" i="1" s="1"/>
  <c r="S382" i="1"/>
  <c r="V383" i="1"/>
  <c r="S228" i="1"/>
  <c r="E118" i="1"/>
  <c r="I112" i="1" s="1"/>
  <c r="C116" i="1" s="1"/>
  <c r="D119" i="1"/>
  <c r="D71" i="1"/>
  <c r="F156" i="1"/>
  <c r="E104" i="1"/>
  <c r="I98" i="1" s="1"/>
  <c r="C102" i="1" s="1"/>
  <c r="D105" i="1"/>
  <c r="V384" i="1" l="1"/>
  <c r="S384" i="1" s="1"/>
  <c r="S383" i="1"/>
  <c r="D403" i="1"/>
  <c r="D402" i="1"/>
  <c r="D427" i="1"/>
  <c r="D426" i="1"/>
  <c r="D425" i="1"/>
  <c r="D424" i="1"/>
  <c r="D406" i="1"/>
  <c r="D405" i="1"/>
  <c r="D407" i="1"/>
  <c r="D408" i="1"/>
  <c r="D409" i="1"/>
  <c r="D410" i="1"/>
  <c r="D412" i="1"/>
  <c r="D411" i="1"/>
  <c r="D430" i="1"/>
  <c r="D431" i="1"/>
  <c r="D457" i="1"/>
  <c r="F483" i="1"/>
  <c r="D482" i="1"/>
  <c r="F482" i="1" s="1"/>
  <c r="F479" i="1"/>
  <c r="F478" i="1"/>
  <c r="F477" i="1"/>
  <c r="C183" i="1" l="1"/>
  <c r="E183" i="1"/>
  <c r="E184" i="1"/>
  <c r="C184" i="1"/>
  <c r="F458" i="1"/>
  <c r="F457" i="1"/>
  <c r="U360" i="1"/>
  <c r="U361" i="1" s="1"/>
  <c r="V356" i="1"/>
  <c r="F403" i="1"/>
  <c r="F402" i="1"/>
  <c r="U327" i="1"/>
  <c r="U328" i="1" s="1"/>
  <c r="U329" i="1" s="1"/>
  <c r="V321" i="1"/>
  <c r="I321" i="1"/>
  <c r="F466" i="1"/>
  <c r="F465" i="1"/>
  <c r="F464" i="1"/>
  <c r="F463" i="1"/>
  <c r="I367" i="1" s="1"/>
  <c r="F462" i="1"/>
  <c r="U374" i="1"/>
  <c r="U375" i="1" s="1"/>
  <c r="U370" i="1"/>
  <c r="U371" i="1" s="1"/>
  <c r="U372" i="1" s="1"/>
  <c r="G477" i="1"/>
  <c r="I369" i="1"/>
  <c r="V368" i="1"/>
  <c r="U364" i="1"/>
  <c r="U365" i="1" s="1"/>
  <c r="U367" i="1" s="1"/>
  <c r="F461" i="1"/>
  <c r="G460" i="1"/>
  <c r="F460" i="1"/>
  <c r="V362" i="1"/>
  <c r="I362" i="1"/>
  <c r="U352" i="1"/>
  <c r="U353" i="1" s="1"/>
  <c r="V350" i="1"/>
  <c r="I350" i="1"/>
  <c r="V349" i="1"/>
  <c r="I349" i="1"/>
  <c r="V310" i="1"/>
  <c r="U314" i="1"/>
  <c r="U315" i="1" s="1"/>
  <c r="U316" i="1" s="1"/>
  <c r="V312" i="1"/>
  <c r="I312" i="1"/>
  <c r="F274" i="1"/>
  <c r="F273" i="1"/>
  <c r="F272" i="1"/>
  <c r="F271" i="1"/>
  <c r="D270" i="1"/>
  <c r="F270" i="1" s="1"/>
  <c r="D269" i="1"/>
  <c r="F269" i="1" s="1"/>
  <c r="I261" i="1" s="1"/>
  <c r="F268" i="1"/>
  <c r="F267" i="1"/>
  <c r="D266" i="1"/>
  <c r="F266" i="1" s="1"/>
  <c r="D265" i="1"/>
  <c r="F265" i="1" s="1"/>
  <c r="D264" i="1"/>
  <c r="F264" i="1" s="1"/>
  <c r="D263" i="1"/>
  <c r="F263" i="1" s="1"/>
  <c r="F262" i="1"/>
  <c r="D261" i="1"/>
  <c r="F261" i="1" s="1"/>
  <c r="F260" i="1"/>
  <c r="I252" i="1" s="1"/>
  <c r="D259" i="1"/>
  <c r="D210" i="1"/>
  <c r="F210" i="1" s="1"/>
  <c r="D209" i="1"/>
  <c r="F209" i="1" s="1"/>
  <c r="D208" i="1"/>
  <c r="F208" i="1" s="1"/>
  <c r="D207" i="1"/>
  <c r="F257" i="1"/>
  <c r="U254" i="1"/>
  <c r="U255" i="1" s="1"/>
  <c r="U256" i="1" s="1"/>
  <c r="U257" i="1" s="1"/>
  <c r="U250" i="1"/>
  <c r="U251" i="1" s="1"/>
  <c r="U252" i="1" s="1"/>
  <c r="G250" i="1"/>
  <c r="V241" i="1"/>
  <c r="I241" i="1"/>
  <c r="U263" i="1"/>
  <c r="U264" i="1" s="1"/>
  <c r="U265" i="1" s="1"/>
  <c r="U266" i="1" s="1"/>
  <c r="U259" i="1"/>
  <c r="U260" i="1" s="1"/>
  <c r="U261" i="1" s="1"/>
  <c r="D225" i="1"/>
  <c r="F225" i="1" s="1"/>
  <c r="D224" i="1"/>
  <c r="F224" i="1" s="1"/>
  <c r="F223" i="1"/>
  <c r="F222" i="1"/>
  <c r="D221" i="1"/>
  <c r="F221" i="1" s="1"/>
  <c r="D220" i="1"/>
  <c r="F220" i="1" s="1"/>
  <c r="D219" i="1"/>
  <c r="F219" i="1" s="1"/>
  <c r="I213" i="1" s="1"/>
  <c r="F218" i="1"/>
  <c r="F216" i="1"/>
  <c r="D215" i="1"/>
  <c r="U215" i="1"/>
  <c r="U216" i="1" s="1"/>
  <c r="U217" i="1" s="1"/>
  <c r="U218" i="1" s="1"/>
  <c r="U219" i="1" s="1"/>
  <c r="U210" i="1"/>
  <c r="F214" i="1"/>
  <c r="F213" i="1"/>
  <c r="D212" i="1"/>
  <c r="F212" i="1" s="1"/>
  <c r="F211" i="1"/>
  <c r="V190" i="1"/>
  <c r="I190" i="1"/>
  <c r="F206" i="1"/>
  <c r="U205" i="1"/>
  <c r="U206" i="1" s="1"/>
  <c r="U207" i="1" s="1"/>
  <c r="U208" i="1" s="1"/>
  <c r="U201" i="1"/>
  <c r="U202" i="1" s="1"/>
  <c r="U203" i="1" s="1"/>
  <c r="G198" i="1"/>
  <c r="V191" i="1"/>
  <c r="I191" i="1"/>
  <c r="V253" i="1"/>
  <c r="V262" i="1"/>
  <c r="V209" i="1"/>
  <c r="V357" i="1"/>
  <c r="V204" i="1"/>
  <c r="V258" i="1"/>
  <c r="V214" i="1"/>
  <c r="V200" i="1"/>
  <c r="V363" i="1"/>
  <c r="V249" i="1"/>
  <c r="V326" i="1"/>
  <c r="V373" i="1"/>
  <c r="V313" i="1"/>
  <c r="V351" i="1"/>
  <c r="C178" i="1" l="1"/>
  <c r="G184" i="1"/>
  <c r="E178" i="1"/>
  <c r="E188" i="1"/>
  <c r="C188" i="1"/>
  <c r="U212" i="1"/>
  <c r="U213" i="1" s="1"/>
  <c r="U211" i="1"/>
  <c r="F259" i="1"/>
  <c r="V358" i="1"/>
  <c r="S357" i="1"/>
  <c r="F258" i="1"/>
  <c r="F207" i="1"/>
  <c r="F215" i="1"/>
  <c r="S326" i="1"/>
  <c r="V327" i="1"/>
  <c r="V374" i="1"/>
  <c r="S373" i="1"/>
  <c r="V364" i="1"/>
  <c r="S363" i="1"/>
  <c r="S351" i="1"/>
  <c r="V352" i="1"/>
  <c r="S313" i="1"/>
  <c r="V314" i="1"/>
  <c r="S249" i="1"/>
  <c r="V250" i="1"/>
  <c r="S253" i="1"/>
  <c r="V254" i="1"/>
  <c r="V263" i="1"/>
  <c r="S262" i="1"/>
  <c r="V259" i="1"/>
  <c r="S258" i="1"/>
  <c r="S214" i="1"/>
  <c r="V215" i="1"/>
  <c r="S209" i="1"/>
  <c r="V210" i="1"/>
  <c r="V211" i="1" s="1"/>
  <c r="S211" i="1" s="1"/>
  <c r="I203" i="1"/>
  <c r="V205" i="1"/>
  <c r="S204" i="1"/>
  <c r="V201" i="1"/>
  <c r="S200" i="1"/>
  <c r="V322" i="1"/>
  <c r="V359" i="1"/>
  <c r="V369" i="1"/>
  <c r="G178" i="1" l="1"/>
  <c r="C179" i="1"/>
  <c r="C189" i="1" s="1"/>
  <c r="E179" i="1"/>
  <c r="E189" i="1" s="1"/>
  <c r="S322" i="1"/>
  <c r="V323" i="1"/>
  <c r="S323" i="1" s="1"/>
  <c r="S359" i="1"/>
  <c r="V360" i="1"/>
  <c r="V361" i="1" s="1"/>
  <c r="S358" i="1"/>
  <c r="S327" i="1"/>
  <c r="V328" i="1"/>
  <c r="V370" i="1"/>
  <c r="S369" i="1"/>
  <c r="S374" i="1"/>
  <c r="V375" i="1"/>
  <c r="S352" i="1"/>
  <c r="V353" i="1"/>
  <c r="V365" i="1"/>
  <c r="S364" i="1"/>
  <c r="S314" i="1"/>
  <c r="V315" i="1"/>
  <c r="S250" i="1"/>
  <c r="V251" i="1"/>
  <c r="S254" i="1"/>
  <c r="V255" i="1"/>
  <c r="S259" i="1"/>
  <c r="V260" i="1"/>
  <c r="V264" i="1"/>
  <c r="S263" i="1"/>
  <c r="S210" i="1"/>
  <c r="V212" i="1"/>
  <c r="S215" i="1"/>
  <c r="V216" i="1"/>
  <c r="V202" i="1"/>
  <c r="S201" i="1"/>
  <c r="V206" i="1"/>
  <c r="S205" i="1"/>
  <c r="V339" i="1"/>
  <c r="G179" i="1" l="1"/>
  <c r="V324" i="1"/>
  <c r="S324" i="1" s="1"/>
  <c r="S360" i="1"/>
  <c r="S361" i="1"/>
  <c r="V329" i="1"/>
  <c r="S329" i="1" s="1"/>
  <c r="S328" i="1"/>
  <c r="S353" i="1"/>
  <c r="V371" i="1"/>
  <c r="S370" i="1"/>
  <c r="S375" i="1"/>
  <c r="V367" i="1"/>
  <c r="S367" i="1" s="1"/>
  <c r="S365" i="1"/>
  <c r="V316" i="1"/>
  <c r="S315" i="1"/>
  <c r="S255" i="1"/>
  <c r="V256" i="1"/>
  <c r="V252" i="1"/>
  <c r="S252" i="1" s="1"/>
  <c r="S251" i="1"/>
  <c r="V265" i="1"/>
  <c r="S264" i="1"/>
  <c r="V261" i="1"/>
  <c r="S261" i="1" s="1"/>
  <c r="S260" i="1"/>
  <c r="S216" i="1"/>
  <c r="V217" i="1"/>
  <c r="V213" i="1"/>
  <c r="S213" i="1" s="1"/>
  <c r="S212" i="1"/>
  <c r="V207" i="1"/>
  <c r="S206" i="1"/>
  <c r="V203" i="1"/>
  <c r="S203" i="1" s="1"/>
  <c r="S202" i="1"/>
  <c r="G12" i="5"/>
  <c r="F11" i="5"/>
  <c r="G11" i="5" s="1"/>
  <c r="V325" i="1" l="1"/>
  <c r="S325" i="1" s="1"/>
  <c r="S316" i="1"/>
  <c r="V372" i="1"/>
  <c r="S372" i="1" s="1"/>
  <c r="S371" i="1"/>
  <c r="V257" i="1"/>
  <c r="S257" i="1" s="1"/>
  <c r="S256" i="1"/>
  <c r="S265" i="1"/>
  <c r="V266" i="1"/>
  <c r="V218" i="1"/>
  <c r="S217" i="1"/>
  <c r="S207" i="1"/>
  <c r="V208" i="1"/>
  <c r="S208" i="1" s="1"/>
  <c r="G424" i="1"/>
  <c r="G405" i="1"/>
  <c r="I330" i="1"/>
  <c r="F431" i="1"/>
  <c r="F412" i="1"/>
  <c r="F430" i="1"/>
  <c r="F411" i="1"/>
  <c r="F410" i="1"/>
  <c r="F408" i="1"/>
  <c r="I334" i="1" s="1"/>
  <c r="F407" i="1"/>
  <c r="F427" i="1"/>
  <c r="F426" i="1"/>
  <c r="F425" i="1"/>
  <c r="F406" i="1"/>
  <c r="F409" i="1"/>
  <c r="F424" i="1"/>
  <c r="I341" i="1" s="1"/>
  <c r="U346" i="1"/>
  <c r="U347" i="1" s="1"/>
  <c r="U348" i="1" s="1"/>
  <c r="U342" i="1"/>
  <c r="U343" i="1" s="1"/>
  <c r="U344" i="1" s="1"/>
  <c r="V340" i="1"/>
  <c r="U332" i="1"/>
  <c r="U333" i="1" s="1"/>
  <c r="U334" i="1" s="1"/>
  <c r="U336" i="1"/>
  <c r="U337" i="1" s="1"/>
  <c r="U338" i="1" s="1"/>
  <c r="V330" i="1"/>
  <c r="V345" i="1"/>
  <c r="V354" i="1"/>
  <c r="V317" i="1"/>
  <c r="V335" i="1"/>
  <c r="V271" i="1"/>
  <c r="S354" i="1" l="1"/>
  <c r="V355" i="1"/>
  <c r="S317" i="1"/>
  <c r="V318" i="1"/>
  <c r="S271" i="1"/>
  <c r="V272" i="1"/>
  <c r="F405" i="1"/>
  <c r="G183" i="1" s="1"/>
  <c r="S266" i="1"/>
  <c r="S218" i="1"/>
  <c r="V219" i="1"/>
  <c r="S219" i="1" s="1"/>
  <c r="S345" i="1"/>
  <c r="V346" i="1"/>
  <c r="S335" i="1"/>
  <c r="V336" i="1"/>
  <c r="E23" i="1"/>
  <c r="V331" i="1"/>
  <c r="V341" i="1"/>
  <c r="J331" i="1" l="1"/>
  <c r="S355" i="1"/>
  <c r="S318" i="1"/>
  <c r="V319" i="1"/>
  <c r="S272" i="1"/>
  <c r="V273" i="1"/>
  <c r="S341" i="1"/>
  <c r="V342" i="1"/>
  <c r="S346" i="1"/>
  <c r="V347" i="1"/>
  <c r="S331" i="1"/>
  <c r="V332" i="1"/>
  <c r="S336" i="1"/>
  <c r="V337" i="1"/>
  <c r="G188" i="1" l="1"/>
  <c r="G189" i="1" s="1"/>
  <c r="V320" i="1"/>
  <c r="S320" i="1" s="1"/>
  <c r="S319" i="1"/>
  <c r="S273" i="1"/>
  <c r="V274" i="1"/>
  <c r="V343" i="1"/>
  <c r="S342" i="1"/>
  <c r="V348" i="1"/>
  <c r="S348" i="1" s="1"/>
  <c r="S347" i="1"/>
  <c r="S332" i="1"/>
  <c r="V333" i="1"/>
  <c r="V338" i="1"/>
  <c r="S338" i="1" s="1"/>
  <c r="S337" i="1"/>
  <c r="V275" i="1" l="1"/>
  <c r="S274" i="1"/>
  <c r="V344" i="1"/>
  <c r="S344" i="1" s="1"/>
  <c r="S343" i="1"/>
  <c r="V334" i="1"/>
  <c r="S334" i="1" s="1"/>
  <c r="S333" i="1"/>
  <c r="E41" i="1"/>
  <c r="E25" i="1"/>
  <c r="S275" i="1" l="1"/>
  <c r="F6" i="5"/>
  <c r="G6" i="5" s="1"/>
  <c r="F7" i="5"/>
  <c r="G7" i="5" s="1"/>
  <c r="F8" i="5"/>
  <c r="G8" i="5" s="1"/>
  <c r="F9" i="5"/>
  <c r="G9" i="5" s="1"/>
  <c r="F10" i="5"/>
  <c r="G10" i="5" s="1"/>
  <c r="F5" i="5"/>
  <c r="G5" i="5" s="1"/>
  <c r="V280" i="1"/>
  <c r="S280" i="1" l="1"/>
  <c r="V282" i="1"/>
  <c r="G13" i="5"/>
  <c r="E7" i="1"/>
  <c r="S282" i="1" l="1"/>
  <c r="V283" i="1"/>
  <c r="D697" i="1"/>
  <c r="F175" i="1"/>
  <c r="E42" i="1"/>
  <c r="S283" i="1" l="1"/>
  <c r="V284"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V285" i="1" l="1"/>
  <c r="S285" i="1" s="1"/>
  <c r="S284" i="1"/>
  <c r="L34" i="3"/>
  <c r="K34" i="3" s="1"/>
  <c r="E34" i="3"/>
  <c r="I34" i="3"/>
  <c r="H34" i="3" s="1"/>
  <c r="D34" i="3" l="1"/>
  <c r="D36" i="3" s="1"/>
  <c r="E36" i="3"/>
</calcChain>
</file>

<file path=xl/sharedStrings.xml><?xml version="1.0" encoding="utf-8"?>
<sst xmlns="http://schemas.openxmlformats.org/spreadsheetml/2006/main" count="986" uniqueCount="340">
  <si>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</si>
  <si>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</si>
  <si>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</si>
  <si>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</si>
  <si>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</si>
  <si>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</si>
  <si>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</si>
  <si>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</si>
  <si>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</si>
  <si>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</si>
  <si>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</si>
  <si>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</si>
  <si>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</si>
  <si>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</si>
  <si>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</si>
  <si>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</si>
  <si>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</si>
  <si>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</si>
  <si>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</si>
  <si>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</si>
  <si>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</si>
  <si>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</si>
  <si>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</si>
  <si>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</si>
  <si>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</si>
  <si>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</si>
  <si>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</si>
  <si>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</si>
  <si>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</si>
  <si>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</si>
  <si>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</si>
  <si>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</si>
  <si>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</si>
  <si>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</si>
  <si>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</si>
  <si>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</si>
  <si>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</si>
  <si>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</si>
  <si>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</si>
  <si>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</si>
  <si>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</si>
  <si>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</si>
  <si>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</si>
  <si>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</si>
  <si>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</si>
  <si>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</si>
  <si>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</si>
  <si>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</si>
  <si>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</si>
  <si>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</si>
  <si>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</si>
  <si>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</si>
  <si>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</si>
  <si>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</si>
  <si>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</si>
  <si>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</si>
  <si>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</si>
  <si>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</si>
  <si>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</si>
  <si>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</si>
  <si>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</si>
  <si>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</si>
  <si>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</si>
  <si>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</si>
  <si>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</si>
  <si>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</si>
  <si>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</si>
  <si>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</si>
  <si>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</si>
  <si>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</si>
  <si>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</si>
  <si>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</si>
  <si>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</si>
  <si>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</si>
  <si>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</si>
  <si>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</si>
  <si>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</si>
  <si>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</si>
  <si>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</si>
  <si>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</si>
  <si>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</si>
  <si>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</si>
  <si>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</si>
  <si>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</si>
  <si>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</si>
  <si>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</si>
  <si>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</si>
  <si>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</si>
  <si>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</si>
  <si>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</si>
  <si>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</si>
  <si>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</si>
  <si>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</si>
  <si>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</si>
  <si>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</si>
  <si>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</si>
  <si>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</si>
  <si>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</si>
  <si>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</si>
  <si>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</si>
  <si>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</si>
  <si>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</si>
  <si>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</si>
  <si>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</si>
  <si>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</si>
  <si>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Residential + Commercial</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</si>
  <si>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</si>
  <si>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</si>
  <si>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</si>
  <si>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</si>
  <si>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</si>
  <si>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</si>
  <si>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</si>
  <si>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</si>
  <si>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</si>
  <si>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</si>
  <si>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</si>
  <si>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</si>
  <si>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</si>
  <si>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</si>
  <si>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</si>
  <si>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</si>
  <si>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</si>
  <si>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</si>
  <si>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</si>
  <si>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</si>
  <si>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</si>
  <si>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</si>
  <si>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</si>
  <si>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</si>
  <si>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</si>
  <si>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</si>
  <si>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</si>
  <si>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</si>
  <si>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</si>
  <si>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</si>
  <si>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</si>
  <si>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</si>
  <si>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</si>
  <si>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</si>
  <si>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99 Acres</t>
  </si>
  <si>
    <t>Average</t>
  </si>
  <si>
    <t xml:space="preserve">Valuation Adopted </t>
  </si>
  <si>
    <t>Saleable Area</t>
  </si>
  <si>
    <t>Rate on Saleable</t>
  </si>
  <si>
    <t xml:space="preserve">Wheather the construction is as per approved Building plan : </t>
  </si>
  <si>
    <t>Saleable area
Loading :</t>
  </si>
  <si>
    <r>
      <t xml:space="preserve">Flat No.
</t>
    </r>
    <r>
      <rPr>
        <b/>
        <sz val="11"/>
        <color rgb="FF000000"/>
        <rFont val="Times New Roman"/>
        <family val="1"/>
      </rPr>
      <t>(Approved Plan)</t>
    </r>
  </si>
  <si>
    <t>Contact Details ( Name &amp; Contact No.)</t>
  </si>
  <si>
    <t xml:space="preserve">Runwal Avenue </t>
  </si>
  <si>
    <t>2BHK</t>
  </si>
  <si>
    <t>1BHK</t>
  </si>
  <si>
    <t>Refuge Area</t>
  </si>
  <si>
    <t>13th, 20th, 27th, 34th &amp; 41st Floor</t>
  </si>
  <si>
    <t>Kanjurmarg Station Road</t>
  </si>
  <si>
    <t>N G Royal Park</t>
  </si>
  <si>
    <t>Kanjur</t>
  </si>
  <si>
    <t>Mumbai</t>
  </si>
  <si>
    <t>Kurla</t>
  </si>
  <si>
    <t>CTS No</t>
  </si>
  <si>
    <t>Axis Sanpada</t>
  </si>
  <si>
    <t>250m from Kanjur Marg Railway Station</t>
  </si>
  <si>
    <t>magicbricks.</t>
  </si>
  <si>
    <t>Approved Plans, CC, Costsheet, Sale Plan</t>
  </si>
  <si>
    <t>Recommended rate of Parking (Stack Parking)</t>
  </si>
  <si>
    <t>Society Charges</t>
  </si>
  <si>
    <t>J Wing</t>
  </si>
  <si>
    <t>Shop</t>
  </si>
  <si>
    <t>K Wing</t>
  </si>
  <si>
    <t>3BHK</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</si>
  <si>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</si>
  <si>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</si>
  <si>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</si>
  <si>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</si>
  <si>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</si>
  <si>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</si>
  <si>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</si>
  <si>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</si>
  <si>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</si>
  <si>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</si>
  <si>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</si>
  <si>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</si>
  <si>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</si>
  <si>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</si>
  <si>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</si>
  <si>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</si>
  <si>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</si>
  <si>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</si>
  <si>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</si>
  <si>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Maintenance Charges for 24 months</t>
  </si>
  <si>
    <t>Corpus Fund</t>
  </si>
  <si>
    <t>L Wing</t>
  </si>
  <si>
    <t>Service Floor is between 26th &amp; 27th Floor</t>
  </si>
  <si>
    <t>13th, 20th, 27th, 34th &amp; 41st Floor (Part Refuge Area)</t>
  </si>
  <si>
    <t>6th Floor (Part Refuge Area)</t>
  </si>
  <si>
    <t>Parking Area</t>
  </si>
  <si>
    <t>M Wing</t>
  </si>
  <si>
    <t>13th &amp; 20th Floor (Part Refuge Area)</t>
  </si>
  <si>
    <t>27th, 34th &amp; 41st Floor (Part Refuge Area)</t>
  </si>
  <si>
    <t>1.5BHK</t>
  </si>
  <si>
    <t>Location Link</t>
  </si>
  <si>
    <t>Sub Plot : A</t>
  </si>
  <si>
    <t>19a</t>
  </si>
  <si>
    <t>39a</t>
  </si>
  <si>
    <t>I Wing</t>
  </si>
  <si>
    <t>3.5BHK</t>
  </si>
  <si>
    <t>Layout Plan:</t>
  </si>
  <si>
    <t>Office No. 1031, Wing J, Akshar Business Park, Plot No. 03 Sector 25, Near APMC Market, 
Vashi, Navi Mumbai, Maharashtra 400703 TEL: 022-46090378/79/80                                                                                                                   E mail : vsjcapf@gmail.com. Web site : www.vsjadon.com</t>
  </si>
  <si>
    <t>M/s. Susneh Infrapark Private Limited</t>
  </si>
  <si>
    <t>15000 to 15700</t>
  </si>
  <si>
    <t>Akash Mote</t>
  </si>
  <si>
    <t>Verbal</t>
  </si>
  <si>
    <t>I Wing - P51800048234
J Wing - P51800026860
K Wing - P51800028811
L Wing - P51800031895
M Wing - P51800033514
N Wing - P51800047714</t>
  </si>
  <si>
    <t>Runwal Avenue - Wing I, J, K, L, M &amp; N</t>
  </si>
  <si>
    <t>N Wing</t>
  </si>
  <si>
    <t>2.5BHK</t>
  </si>
  <si>
    <t>7th Floor For Residential, Gym &amp; Yoga</t>
  </si>
  <si>
    <t>Yoga Room</t>
  </si>
  <si>
    <t>Gym</t>
  </si>
  <si>
    <t>https://maps.app.goo.gl/pkE3uwr8WjmjGTeu6</t>
  </si>
  <si>
    <t>Grand Total</t>
  </si>
  <si>
    <t>18.30 M. Wide Road</t>
  </si>
  <si>
    <t>Other plot</t>
  </si>
  <si>
    <t>Floor Rise Rate Per Sq.ft from 14th Floor</t>
  </si>
  <si>
    <t>We considered Saleable area as per our calculation.</t>
  </si>
  <si>
    <t>We considered Carpet area as per Approved Plan.</t>
  </si>
  <si>
    <t>We considered Gross carpet area = Net carpet + Deck Area.</t>
  </si>
  <si>
    <t>We have considered rate by verifying it from market inquire.</t>
  </si>
  <si>
    <t>Car parking is subjected to authentic documentation.</t>
  </si>
  <si>
    <t>We have updated C.C &amp; approved plan of J &amp; K Wing. (on 27/01/2022)</t>
  </si>
  <si>
    <t>We have updated C.C (on 25/02/2022) &amp; approved plan of L Wing. (on 27/01/2022)</t>
  </si>
  <si>
    <t xml:space="preserve">We have updated approved floor plan &amp; CC of M wing from MCGM site .(on 16/02/2023)
</t>
  </si>
  <si>
    <t>We have updated latest approved floor plans &amp; CC from MCGM site (On 21/09/2023).</t>
  </si>
  <si>
    <t xml:space="preserve"> 
7. 
11. 
9. On Site, we meet Mr. Zeeshan CRM
</t>
  </si>
  <si>
    <t>We have updated latest approved CC from MCGM site (On 20/03/2024).</t>
  </si>
  <si>
    <t>We have updated approved floor plan &amp; CC of N wing (on 30/07/2024).</t>
  </si>
  <si>
    <t>FR added by Shailesh 25/09/2024</t>
  </si>
  <si>
    <t>Nainesh Tambe</t>
  </si>
  <si>
    <t>Rate change by Nilesh on 06/07/2024</t>
  </si>
  <si>
    <t>Rate change by Viraj on 07/11/2024 https://mail.google.com/mail/u/0/#inbox/FMfcgzQXKDVMmkhjhbGmMKjwCdpSqfdC</t>
  </si>
  <si>
    <t>We have updated the CC revalidation date on 25/11/2024.</t>
  </si>
  <si>
    <t>CHE/ES/3092/S/337(NEW)/337/12/Amend</t>
  </si>
  <si>
    <t>Approved area of building (Wing I to N) (Sq.Mt)</t>
  </si>
  <si>
    <t>1st Floor For Residential &amp; Part Parking Area</t>
  </si>
  <si>
    <t>2nd to 5th &amp; 7th  Floor For Residential &amp; Part Parking Area</t>
  </si>
  <si>
    <t>6th Floor For Residential (Part Parking &amp; Refuge Area)</t>
  </si>
  <si>
    <t>28th to 33rd &amp; 35th to 40th &amp; 42nd Floor</t>
  </si>
  <si>
    <t>43rd to 45th, 47th &amp; 49th Floor</t>
  </si>
  <si>
    <t>46th Floor</t>
  </si>
  <si>
    <t>-</t>
  </si>
  <si>
    <t>48th Floor For Part Refuge Area</t>
  </si>
  <si>
    <t xml:space="preserve"> Refuge Area</t>
  </si>
  <si>
    <t>Name of Municipal Corporation/Authority</t>
  </si>
  <si>
    <t>Municipal Corporation of Greater Mumbai (MCGM)</t>
  </si>
  <si>
    <t>19.131528,72.931639</t>
  </si>
  <si>
    <t>Building Details Floor Wise</t>
  </si>
  <si>
    <t xml:space="preserve">Details of Residential &amp; Commercials in Building   </t>
  </si>
  <si>
    <t xml:space="preserve">CHE/ES/3092/S/337 (NEW)-CFO </t>
  </si>
  <si>
    <t>Building No.2 (Wing I to N) = Gr + 1 Retail + 1st to 49th Floor (Height = 155.77 Mtrs)</t>
  </si>
  <si>
    <t xml:space="preserve">Fire Noc No
Valid Up to: </t>
  </si>
  <si>
    <t>We have updated revised approved 1st to 49th Floor plan For Wing I &amp; Fire Noc From MCGM Site on 19/12/2024</t>
  </si>
  <si>
    <t>Recommended Rates / Other charges of the Property have been revised on 31/05/2024, 06/07/2024, 25/09/2024 &amp; 07/11/2024.</t>
  </si>
  <si>
    <t>Site Person - Contact Details (Name &amp; Contact No.)</t>
  </si>
  <si>
    <t>CHE/ES/3092/S/337(NEW)/FCC/8/Amend</t>
  </si>
  <si>
    <t xml:space="preserve">CHE/ES/3092/S/337(NEW)/FCC/9/Amend
</t>
  </si>
  <si>
    <t>Wing I =  Ground Floor Shop No. 01 &amp; 2 is completed upto RCC Brick Plaster. Therefore it can be considered as Progress 75% and Disbursement 90%.</t>
  </si>
  <si>
    <t>4BHK</t>
  </si>
  <si>
    <t xml:space="preserve">Commencement Certificate No.
Valid Up to: </t>
  </si>
  <si>
    <t>Mr. Abhishek Joshi 9920684949</t>
  </si>
  <si>
    <t>We have updated Part OC on 11/04/2025.</t>
  </si>
  <si>
    <t>Approved Floor plan No.</t>
  </si>
  <si>
    <t>Ground Floor For Commercial &amp; Parking</t>
  </si>
  <si>
    <t xml:space="preserve">Wing I to N </t>
  </si>
  <si>
    <t>Retail - 1 Floor For Commercial</t>
  </si>
  <si>
    <t>1st to 5th Floor For Residential &amp; Parking</t>
  </si>
  <si>
    <t>1st to 5th &amp; 7th Floor for Residential</t>
  </si>
  <si>
    <t>I to M Wing = Gr + Retail 1 + Service + 1st to 26th + Service + 27th to 49th Floor
N Wing = Gr + Retail 1 + Service + 1st to 25th Floor</t>
  </si>
  <si>
    <t>J Wing = Gr + Retail 1 + Service + 1st to 26th + Service + 27th to 49th Floor</t>
  </si>
  <si>
    <t>K Wing = Gr + Retail 1 + Service + 1st to 26th + Service + 27th to 53rd Floor</t>
  </si>
  <si>
    <t>L Wing = Gr + Retail 1 + Service + 1st to 26th + Service + 27th to 53rd Floor</t>
  </si>
  <si>
    <t>M Wing = Gr + Retail 1 + Service + 1st to 26th + Service + 27th to 53rd Floor</t>
  </si>
  <si>
    <t>I Wing = Gr + Retail 1 + Service + 1st to 26th + Service + 27th to 49th Floor</t>
  </si>
  <si>
    <t>N Wing = Gr + Retail 1 + Service + 1st to 26th + Service + 27th to 53rd Floor</t>
  </si>
  <si>
    <t>9th to 12th, 14th to 19th &amp; 21st to 26th Floor</t>
  </si>
  <si>
    <t>8th Floor For Residential</t>
  </si>
  <si>
    <t>9th to 12th, 14th to 19th, 21st to 26th, 28th to 33rd, 35th to 40th, 42nd to 47th &amp; 49th Floor</t>
  </si>
  <si>
    <t>48th Floor (Part Refuge Area)</t>
  </si>
  <si>
    <t>9th to 12th, 14th to 19th, 22nd to 26th, 28th to 33rd, 35th to 40th, 42nd Floor</t>
  </si>
  <si>
    <t>21st Floor</t>
  </si>
  <si>
    <t>43rd to 47th &amp; 49th Floor</t>
  </si>
  <si>
    <t>9th to 12th, 14th to 19th, 21st to 26th Floor</t>
  </si>
  <si>
    <t>28th to 33rd, 35th to 40th, 42nd to 47th &amp; 49th Floor</t>
  </si>
  <si>
    <t>Service Floor Between Retail Floor &amp; 1st floor</t>
  </si>
  <si>
    <t>9th to 12th, 14th to 19th &amp; 21st to 25th Floor</t>
  </si>
  <si>
    <t>Commercial Area Details : (Shop)</t>
  </si>
  <si>
    <t>Residential Area Details : (Flat)</t>
  </si>
  <si>
    <t xml:space="preserve"> Wing I</t>
  </si>
  <si>
    <t xml:space="preserve">Wing J </t>
  </si>
  <si>
    <t xml:space="preserve">Wing K </t>
  </si>
  <si>
    <t xml:space="preserve">Wing L </t>
  </si>
  <si>
    <t xml:space="preserve">Wing M </t>
  </si>
  <si>
    <t xml:space="preserve">Wing N </t>
  </si>
  <si>
    <t>Pranita Mhatre</t>
  </si>
  <si>
    <t xml:space="preserve">Aqua Gym, Jacuzzi, Jogging Track, Multipurpose Court, Open Green Vistas, Badminton Court, Yoga &amp; Medition Area, Kids play area, creche, Indoor games, etc.
</t>
  </si>
  <si>
    <r>
      <t xml:space="preserve">Shop No.
</t>
    </r>
    <r>
      <rPr>
        <b/>
        <sz val="11"/>
        <color rgb="FF000000"/>
        <rFont val="Times New Roman"/>
        <family val="1"/>
      </rPr>
      <t>(Approved Plan)</t>
    </r>
  </si>
  <si>
    <t>I Wing - First Avenue
J Wing - Madison
K Wing - Broadway
L Wing - Park View
M Wing - Manhattan
N Wing - Liberty</t>
  </si>
  <si>
    <t>As per Layout</t>
  </si>
  <si>
    <t>Latitude, Longitude</t>
  </si>
  <si>
    <t>06 Wings</t>
  </si>
  <si>
    <t>CHE/ES/3092/S/337(NEW)/OCC/
1/New
Wing I to N = Shops on Ground floor (part) &amp; First floor (part) (as mark in red hatch in attached plan)</t>
  </si>
  <si>
    <t xml:space="preserve">Part O. Certificate No.: 
Approved upto : </t>
  </si>
  <si>
    <t>Full C.C. is granted for Wing ‘'J', 'K’, I and N and CC up to 44th upper floors for wing 'L’ &amp; ‘M’ is granted as per approved amended plans dated 14.03.2023 by restricting C.C. of 45th to 47th for wing ‘L’ &amp; ‘M’ for instalment facility subject to timely renewal of B.G, SWM NOC, Workmen’s compensation policy and taking all sorts of precautions during construction and for air pollution.</t>
  </si>
  <si>
    <t>Further C.C. is granted for Wing ‘I, ‘L’ &amp; ‘M’ upto 47th floor, C.C. for Wing ‘N’ is granted upto 14th upper floors and C.C. is re endorsed for wing ‘J’ &amp; ’K’ as per approved amended plans dated 06.11.2024 by restricting C.C. of 15th to 25th upper floors of wing ‘N’ against instalment facility subject to timely renewal of B.G, SWM NOC, Workmen’s compensation policy and taking all sorts of precautions during construction and for air pollution.</t>
  </si>
  <si>
    <t>Kanjur Marg East</t>
  </si>
  <si>
    <t>Flats - 1678, Shops - 95</t>
  </si>
  <si>
    <t>Service Floor Between Retail Floor &amp; 1st Floor</t>
  </si>
  <si>
    <t>Service Floor Between 26th &amp; 27th Floor</t>
  </si>
  <si>
    <t>Runwal Avenue (Wing I to N)</t>
  </si>
  <si>
    <t>676, 1004, 1005, 1005/1, 1006, 1007(Pt), 1007/1 To 4, 1008, 1008/1, 1009, 1009/1 Τo 6, 1010, 1011, 1013, 1014, 1014/1 Τo 6, 1017, 1017/1 To 6, 1018, 1018/1 Τo 9</t>
  </si>
  <si>
    <t>We have updated approved floor plans of Wing J to N &amp; Gr + Retail 1 floor for Wing I from MCGM site on 21/08/2025</t>
  </si>
  <si>
    <t>Mr. Ajit Sharma 9987035507</t>
  </si>
  <si>
    <t>Please check for Environment Clearance Certificate &amp; Airport NOC.</t>
  </si>
  <si>
    <t>Open Plot</t>
  </si>
  <si>
    <t>NG Royal Park</t>
  </si>
  <si>
    <t>Internal Road</t>
  </si>
  <si>
    <t>Kanjur Village Road</t>
  </si>
  <si>
    <t>5.M Wide Access</t>
  </si>
  <si>
    <t>Runwal Avenue, Proposed Residential with Retail Building No.2 Comprising of Wings Wing I, J, K, L, M &amp; N on Property Bearing C.T.S No.676, 1004, 1005, 1005/1, 1006, 1007(Pt), 1007/1 To 4, 1008, 1008/1, 1009, 1009/1 Τo 6, 1010, 1011, 1013, 1014, 1014/1 Τo 6, 1017, 1017/1 To 6, 1018, 1018/1 Τo 9 Of Village Kanjur at Kanjurmarg (E), Mumbai - 400042.</t>
  </si>
  <si>
    <t>Building No.2</t>
  </si>
  <si>
    <t xml:space="preserve">As per RERA  - I Wing = 20/04/2028
                           J &amp; K Wing = 30/06/2027
                           L Wing = 31/12/2026
                           M Wing = 18/04/2026
                           N Wing = 31/12/2027
</t>
  </si>
  <si>
    <t>Recommended rate of the Shop at 1st Floor Per Sq. Ft. (on Saleable area)</t>
  </si>
  <si>
    <t>Recommended rate of the flat Per Sq. Ft. (on Saleable area)</t>
  </si>
  <si>
    <t>Recommended rate of the Shop at Ground Floor Per Sq. Ft.
(on Saleable area)</t>
  </si>
  <si>
    <t>Recommended rate of the Shop No. 1 &amp; 2 at Ground Floor Per Sq. Ft. (on Saleable area)</t>
  </si>
  <si>
    <t xml:space="preserve">Wing I to L &amp; N = Construction work is in process at the time of visit. (Internal Photos not allowed).
Wing M = Construction work is same as last visit dtd. 06/06/2025 but work is in process.(Slow speed).
Wing I to N = Ground Floor &amp; 1st floor shop has received OC . Therefore it can be considered as Progress 100% and Disbursement 100%
</t>
  </si>
  <si>
    <t>Please Insepect the proposed floor of Wing K WITH SITE MEET PER SON  WHEN REVISED VISIST</t>
  </si>
  <si>
    <t>as per photo I can not count how many floor done we are matched stage as per godrej report</t>
  </si>
  <si>
    <t xml:space="preserve"> relasing ther report on urgent basis 22/08/2025</t>
  </si>
  <si>
    <t>15,00,000</t>
  </si>
  <si>
    <t>8,00,000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</si>
</sst>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0_);_(* \(#,##0.00\);_(* &quot;-&quot;??_);_(@_)"/>
    <numFmt numFmtId="166" formatCode="0.0"/>
    <numFmt numFmtId="167" formatCode="_(* #,##0_);_(* \(#,##0\);_(* &quot;-&quot;??_);_(@_)"/>
    <numFmt numFmtId="168" formatCode="dd\/mm\/yyyy"/>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b/>
      <sz val="12"/>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14">
    <xf numFmtId="0" fontId="0" fillId="0" borderId="0"/>
    <xf numFmtId="0" fontId="5" fillId="0" borderId="0"/>
    <xf numFmtId="0" fontId="7" fillId="0" borderId="0"/>
    <xf numFmtId="0" fontId="4" fillId="0" borderId="0"/>
    <xf numFmtId="0" fontId="7" fillId="0" borderId="0"/>
    <xf numFmtId="0" fontId="3" fillId="0" borderId="0"/>
    <xf numFmtId="165" fontId="7" fillId="0" borderId="0" applyFont="0" applyFill="0" applyBorder="0" applyAlignment="0" applyProtection="0"/>
    <xf numFmtId="0" fontId="22" fillId="0" borderId="0"/>
    <xf numFmtId="9" fontId="23" fillId="0" borderId="0" applyFont="0" applyFill="0" applyBorder="0" applyAlignment="0" applyProtection="0"/>
    <xf numFmtId="0" fontId="1" fillId="0" borderId="0"/>
    <xf numFmtId="0" fontId="1" fillId="0" borderId="0"/>
    <xf numFmtId="0" fontId="1" fillId="0" borderId="0"/>
    <xf numFmtId="164" fontId="7" fillId="0" borderId="0" applyFont="0" applyFill="0" applyBorder="0" applyAlignment="0" applyProtection="0"/>
    <xf numFmtId="0" fontId="25" fillId="0" borderId="0" applyNumberFormat="0" applyFill="0" applyBorder="0" applyAlignment="0" applyProtection="0"/>
  </cellStyleXfs>
  <cellXfs count="242">
    <xf numFmtId="0" fontId="0" fillId="0" borderId="0" xfId="0"/>
    <xf numFmtId="0" fontId="0" fillId="2" borderId="1" xfId="0" applyFill="1" applyBorder="1"/>
    <xf numFmtId="0" fontId="0" fillId="0" borderId="2" xfId="0" applyBorder="1"/>
    <xf numFmtId="0" fontId="11" fillId="0" borderId="1" xfId="0" applyFont="1" applyBorder="1"/>
    <xf numFmtId="0" fontId="11" fillId="0" borderId="1" xfId="0" applyFont="1" applyBorder="1" applyAlignment="1">
      <alignment horizontal="center"/>
    </xf>
    <xf numFmtId="0" fontId="0" fillId="0" borderId="1" xfId="0" applyBorder="1"/>
    <xf numFmtId="0" fontId="7" fillId="0" borderId="0" xfId="4"/>
    <xf numFmtId="0" fontId="3" fillId="0" borderId="0" xfId="5"/>
    <xf numFmtId="0" fontId="11" fillId="0" borderId="1" xfId="5" applyFont="1" applyBorder="1" applyAlignment="1">
      <alignment horizontal="center" vertical="top" wrapText="1"/>
    </xf>
    <xf numFmtId="0" fontId="21" fillId="0" borderId="0" xfId="4" applyFont="1"/>
    <xf numFmtId="0" fontId="3" fillId="0" borderId="1" xfId="5" applyBorder="1" applyAlignment="1">
      <alignment horizontal="center" vertical="center"/>
    </xf>
    <xf numFmtId="1" fontId="3" fillId="0" borderId="1" xfId="5" applyNumberFormat="1" applyBorder="1" applyAlignment="1">
      <alignment horizontal="center" vertical="center"/>
    </xf>
    <xf numFmtId="167" fontId="3" fillId="0" borderId="1" xfId="6" applyNumberFormat="1" applyFont="1" applyBorder="1" applyAlignment="1">
      <alignment horizontal="right" vertical="center"/>
    </xf>
    <xf numFmtId="0" fontId="11" fillId="0" borderId="1" xfId="5" applyFont="1" applyBorder="1" applyAlignment="1">
      <alignment horizontal="center" vertical="center"/>
    </xf>
    <xf numFmtId="1" fontId="20" fillId="0" borderId="1" xfId="5" applyNumberFormat="1" applyFont="1" applyBorder="1" applyAlignment="1">
      <alignment horizontal="center" vertical="center"/>
    </xf>
    <xf numFmtId="0" fontId="7" fillId="0" borderId="1" xfId="4" applyBorder="1" applyAlignment="1">
      <alignment horizontal="center" vertical="center"/>
    </xf>
    <xf numFmtId="9" fontId="10" fillId="0" borderId="16" xfId="8" applyFont="1" applyFill="1" applyBorder="1" applyAlignment="1" applyProtection="1">
      <alignment horizontal="center" vertical="top" wrapText="1"/>
      <protection locked="0"/>
    </xf>
    <xf numFmtId="0" fontId="14" fillId="0" borderId="4" xfId="1" applyFont="1" applyBorder="1" applyAlignment="1" applyProtection="1">
      <alignment horizontal="center" vertical="top"/>
      <protection locked="0"/>
    </xf>
    <xf numFmtId="0" fontId="2" fillId="0" borderId="1" xfId="5" applyFont="1" applyBorder="1" applyAlignment="1">
      <alignment horizontal="left" vertical="center"/>
    </xf>
    <xf numFmtId="0" fontId="2" fillId="0" borderId="1" xfId="5" applyFont="1" applyBorder="1" applyAlignment="1">
      <alignment horizontal="center" vertical="center"/>
    </xf>
    <xf numFmtId="1" fontId="14" fillId="0" borderId="1" xfId="1" applyNumberFormat="1" applyFont="1" applyBorder="1" applyAlignment="1" applyProtection="1">
      <alignment horizontal="center" vertical="center" wrapText="1"/>
      <protection locked="0"/>
    </xf>
    <xf numFmtId="0" fontId="9" fillId="0" borderId="8" xfId="1" applyFont="1" applyBorder="1" applyProtection="1">
      <protection hidden="1"/>
    </xf>
    <xf numFmtId="0" fontId="14" fillId="0" borderId="27" xfId="1" applyFont="1" applyBorder="1" applyAlignment="1" applyProtection="1">
      <alignment horizontal="center" vertical="top"/>
      <protection locked="0"/>
    </xf>
    <xf numFmtId="0" fontId="9" fillId="0" borderId="0" xfId="1" applyFont="1" applyProtection="1">
      <protection hidden="1"/>
    </xf>
    <xf numFmtId="0" fontId="19" fillId="0" borderId="0" xfId="0" applyFont="1" applyProtection="1">
      <protection hidden="1"/>
    </xf>
    <xf numFmtId="0" fontId="19" fillId="0" borderId="11" xfId="0" applyFont="1" applyBorder="1" applyProtection="1">
      <protection hidden="1"/>
    </xf>
    <xf numFmtId="0" fontId="9" fillId="0" borderId="0" xfId="0" applyFont="1" applyAlignment="1">
      <alignment vertical="top" wrapText="1"/>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center" vertical="top"/>
      <protection locked="0"/>
    </xf>
    <xf numFmtId="1" fontId="10" fillId="0" borderId="3" xfId="1" applyNumberFormat="1" applyFont="1" applyBorder="1" applyAlignment="1" applyProtection="1">
      <alignment horizontal="center" vertical="top" wrapText="1"/>
      <protection locked="0"/>
    </xf>
    <xf numFmtId="0" fontId="15" fillId="0" borderId="1" xfId="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9" fillId="0" borderId="0" xfId="1" applyFont="1"/>
    <xf numFmtId="0" fontId="14" fillId="0" borderId="0" xfId="1" applyFont="1"/>
    <xf numFmtId="0" fontId="17" fillId="0" borderId="0" xfId="1" applyFont="1"/>
    <xf numFmtId="0" fontId="14" fillId="0" borderId="1" xfId="1" applyFont="1" applyBorder="1" applyAlignment="1" applyProtection="1">
      <alignment vertical="top"/>
      <protection locked="0"/>
    </xf>
    <xf numFmtId="0" fontId="14" fillId="0" borderId="1" xfId="1" applyFont="1" applyBorder="1" applyAlignment="1" applyProtection="1">
      <alignment vertical="top" wrapText="1"/>
      <protection locked="0"/>
    </xf>
    <xf numFmtId="0" fontId="9" fillId="0" borderId="9" xfId="1" applyFont="1" applyBorder="1" applyProtection="1">
      <protection hidden="1"/>
    </xf>
    <xf numFmtId="0" fontId="9" fillId="0" borderId="10" xfId="1" applyFont="1" applyBorder="1" applyProtection="1">
      <protection hidden="1"/>
    </xf>
    <xf numFmtId="0" fontId="9" fillId="0" borderId="10" xfId="1" applyFont="1" applyBorder="1"/>
    <xf numFmtId="0" fontId="14" fillId="0" borderId="1" xfId="1" applyFont="1" applyBorder="1" applyAlignment="1" applyProtection="1">
      <alignment horizontal="center" wrapText="1"/>
      <protection locked="0"/>
    </xf>
    <xf numFmtId="9" fontId="14" fillId="0" borderId="1" xfId="1" applyNumberFormat="1" applyFont="1" applyBorder="1" applyAlignment="1" applyProtection="1">
      <alignment horizontal="center" vertical="center" wrapText="1"/>
      <protection hidden="1"/>
    </xf>
    <xf numFmtId="0" fontId="19" fillId="0" borderId="10" xfId="0" applyFont="1" applyBorder="1" applyProtection="1">
      <protection hidden="1"/>
    </xf>
    <xf numFmtId="1" fontId="14" fillId="0" borderId="1" xfId="1" applyNumberFormat="1" applyFont="1" applyBorder="1" applyAlignment="1" applyProtection="1">
      <alignment horizontal="center" wrapText="1"/>
      <protection locked="0"/>
    </xf>
    <xf numFmtId="1" fontId="0" fillId="0" borderId="10" xfId="0" applyNumberFormat="1" applyBorder="1"/>
    <xf numFmtId="1" fontId="0" fillId="0" borderId="10" xfId="0" applyNumberFormat="1" applyBorder="1" applyAlignment="1">
      <alignment horizontal="right"/>
    </xf>
    <xf numFmtId="0" fontId="14" fillId="0" borderId="5" xfId="1" applyFont="1" applyBorder="1" applyAlignment="1" applyProtection="1">
      <alignment horizontal="center" wrapText="1"/>
      <protection locked="0"/>
    </xf>
    <xf numFmtId="9" fontId="14" fillId="0" borderId="5" xfId="1" applyNumberFormat="1" applyFont="1" applyBorder="1" applyAlignment="1" applyProtection="1">
      <alignment horizontal="center" vertical="center" wrapText="1"/>
      <protection hidden="1"/>
    </xf>
    <xf numFmtId="1" fontId="0" fillId="0" borderId="12" xfId="0" applyNumberFormat="1" applyBorder="1"/>
    <xf numFmtId="0" fontId="18" fillId="0" borderId="0" xfId="1" applyFont="1"/>
    <xf numFmtId="0" fontId="8" fillId="0" borderId="0" xfId="2" applyFont="1"/>
    <xf numFmtId="0" fontId="9" fillId="0" borderId="0" xfId="0" applyFont="1" applyAlignment="1">
      <alignment horizontal="center" vertical="center"/>
    </xf>
    <xf numFmtId="1" fontId="9" fillId="0" borderId="0" xfId="1" applyNumberFormat="1" applyFont="1" applyAlignment="1">
      <alignment horizontal="center" vertical="center"/>
    </xf>
    <xf numFmtId="0" fontId="9" fillId="0" borderId="0" xfId="1" applyFont="1" applyAlignment="1">
      <alignment horizontal="center" vertical="center"/>
    </xf>
    <xf numFmtId="0" fontId="9" fillId="0" borderId="0" xfId="0" applyFont="1"/>
    <xf numFmtId="0" fontId="10" fillId="0" borderId="0" xfId="1" applyFont="1" applyAlignment="1" applyProtection="1">
      <alignment vertical="top"/>
      <protection locked="0"/>
    </xf>
    <xf numFmtId="0" fontId="10" fillId="0" borderId="0" xfId="1" applyFont="1" applyAlignment="1" applyProtection="1">
      <alignment vertical="top" wrapText="1"/>
      <protection locked="0"/>
    </xf>
    <xf numFmtId="0" fontId="9" fillId="0" borderId="0" xfId="1" applyFont="1" applyProtection="1">
      <protection locked="0"/>
    </xf>
    <xf numFmtId="0" fontId="12" fillId="0" borderId="0" xfId="1" applyFont="1" applyProtection="1">
      <protection locked="0"/>
    </xf>
    <xf numFmtId="1" fontId="10" fillId="0" borderId="1" xfId="1" applyNumberFormat="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9" fillId="0" borderId="1" xfId="1" applyNumberFormat="1" applyFont="1" applyBorder="1" applyAlignment="1">
      <alignment horizontal="center" vertical="center"/>
    </xf>
    <xf numFmtId="0" fontId="9" fillId="2" borderId="0" xfId="1" applyFont="1" applyFill="1"/>
    <xf numFmtId="14" fontId="9" fillId="2" borderId="0" xfId="1" applyNumberFormat="1" applyFont="1" applyFill="1"/>
    <xf numFmtId="0" fontId="16" fillId="0" borderId="1" xfId="1" applyFont="1" applyBorder="1" applyAlignment="1" applyProtection="1">
      <alignment horizontal="center" vertical="top" wrapText="1"/>
      <protection locked="0"/>
    </xf>
    <xf numFmtId="0" fontId="15" fillId="0" borderId="1" xfId="2" applyFont="1" applyBorder="1" applyAlignment="1" applyProtection="1">
      <alignment horizontal="center" vertical="top" wrapText="1"/>
      <protection locked="0"/>
    </xf>
    <xf numFmtId="0" fontId="18" fillId="2" borderId="0" xfId="1" applyFont="1" applyFill="1"/>
    <xf numFmtId="0" fontId="15" fillId="3" borderId="1" xfId="2" applyFont="1" applyFill="1" applyBorder="1" applyAlignment="1" applyProtection="1">
      <alignment horizontal="center" vertical="center" wrapText="1"/>
      <protection locked="0"/>
    </xf>
    <xf numFmtId="1" fontId="14" fillId="0" borderId="1" xfId="1" applyNumberFormat="1" applyFont="1" applyBorder="1" applyAlignment="1">
      <alignment horizontal="center" vertical="center"/>
    </xf>
    <xf numFmtId="1" fontId="12" fillId="0" borderId="0" xfId="1" applyNumberFormat="1" applyFont="1" applyAlignment="1">
      <alignment horizontal="center" vertical="center"/>
    </xf>
    <xf numFmtId="0" fontId="15" fillId="0" borderId="1" xfId="2" applyFont="1" applyBorder="1" applyAlignment="1" applyProtection="1">
      <alignment horizontal="center" vertical="center" wrapText="1"/>
      <protection locked="0"/>
    </xf>
    <xf numFmtId="0" fontId="12" fillId="0" borderId="0" xfId="0" applyFont="1" applyAlignment="1">
      <alignment horizontal="center" vertical="center"/>
    </xf>
    <xf numFmtId="0" fontId="10" fillId="0" borderId="0" xfId="2" applyFont="1" applyAlignment="1">
      <alignment horizontal="center"/>
    </xf>
    <xf numFmtId="0" fontId="12" fillId="0" borderId="0" xfId="1" applyFont="1" applyAlignment="1">
      <alignment horizontal="center"/>
    </xf>
    <xf numFmtId="0" fontId="12" fillId="0" borderId="0" xfId="1" applyFont="1"/>
    <xf numFmtId="1" fontId="9" fillId="0" borderId="0" xfId="0" applyNumberFormat="1" applyFont="1"/>
    <xf numFmtId="0" fontId="12" fillId="0" borderId="0" xfId="2" applyFont="1" applyAlignment="1">
      <alignment horizontal="center"/>
    </xf>
    <xf numFmtId="1" fontId="12" fillId="0" borderId="0" xfId="1" applyNumberFormat="1" applyFont="1" applyAlignment="1">
      <alignment horizontal="center"/>
    </xf>
    <xf numFmtId="0" fontId="14" fillId="0" borderId="1" xfId="1" applyFont="1" applyBorder="1" applyAlignment="1" applyProtection="1">
      <alignment horizontal="center" vertical="center" wrapText="1"/>
      <protection locked="0"/>
    </xf>
    <xf numFmtId="0" fontId="26" fillId="0" borderId="33" xfId="1" applyFont="1" applyBorder="1"/>
    <xf numFmtId="0" fontId="26" fillId="0" borderId="0" xfId="1" applyFont="1"/>
    <xf numFmtId="1" fontId="8" fillId="0" borderId="6"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0" xfId="1" applyNumberFormat="1" applyFont="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0" fontId="14" fillId="0" borderId="17"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2" fillId="0" borderId="6" xfId="2" applyFont="1" applyBorder="1" applyAlignment="1" applyProtection="1">
      <alignment horizontal="left" vertical="top" wrapText="1"/>
      <protection locked="0"/>
    </xf>
    <xf numFmtId="0" fontId="12" fillId="0" borderId="21" xfId="2" applyFont="1" applyBorder="1" applyAlignment="1" applyProtection="1">
      <alignment horizontal="left" vertical="top" wrapText="1"/>
      <protection locked="0"/>
    </xf>
    <xf numFmtId="0" fontId="12" fillId="0" borderId="7" xfId="2"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27"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4" xfId="1" applyFont="1" applyBorder="1" applyAlignment="1" applyProtection="1">
      <alignment horizontal="left" vertical="top" wrapText="1"/>
      <protection locked="0"/>
    </xf>
    <xf numFmtId="0" fontId="14" fillId="0" borderId="27"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9" fontId="14" fillId="0" borderId="1" xfId="1" applyNumberFormat="1" applyFont="1" applyBorder="1" applyAlignment="1" applyProtection="1">
      <alignment horizontal="center" vertical="center" wrapText="1"/>
      <protection hidden="1"/>
    </xf>
    <xf numFmtId="9" fontId="14" fillId="0" borderId="5" xfId="1" applyNumberFormat="1" applyFont="1" applyBorder="1" applyAlignment="1" applyProtection="1">
      <alignment horizontal="center" vertical="center" wrapText="1"/>
      <protection hidden="1"/>
    </xf>
    <xf numFmtId="9" fontId="14" fillId="0" borderId="4" xfId="1" applyNumberFormat="1" applyFont="1" applyBorder="1" applyAlignment="1" applyProtection="1">
      <alignment horizontal="center" vertical="center" wrapText="1"/>
      <protection hidden="1"/>
    </xf>
    <xf numFmtId="9" fontId="14" fillId="0" borderId="29" xfId="1" applyNumberFormat="1" applyFont="1" applyBorder="1" applyAlignment="1" applyProtection="1">
      <alignment horizontal="center" vertical="center" wrapText="1"/>
      <protection hidden="1"/>
    </xf>
    <xf numFmtId="0" fontId="14" fillId="0" borderId="28" xfId="1" applyFont="1" applyBorder="1" applyAlignment="1" applyProtection="1">
      <alignment horizontal="center" vertical="top" wrapText="1"/>
      <protection locked="0"/>
    </xf>
    <xf numFmtId="0" fontId="14" fillId="0" borderId="5" xfId="1" applyFont="1" applyBorder="1" applyAlignment="1" applyProtection="1">
      <alignment horizontal="center" vertical="top" wrapText="1"/>
      <protection locked="0"/>
    </xf>
    <xf numFmtId="0" fontId="9" fillId="0" borderId="0" xfId="1" applyFont="1" applyAlignment="1">
      <alignment horizontal="center" vertical="center"/>
    </xf>
    <xf numFmtId="0" fontId="14" fillId="0" borderId="6"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168" fontId="14" fillId="0" borderId="1" xfId="1"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14" fillId="0" borderId="6" xfId="1" applyNumberFormat="1" applyFont="1" applyBorder="1" applyAlignment="1" applyProtection="1">
      <alignment horizontal="center" vertical="center" wrapText="1"/>
      <protection locked="0"/>
    </xf>
    <xf numFmtId="1" fontId="14" fillId="0" borderId="7" xfId="1" applyNumberFormat="1" applyFont="1" applyBorder="1" applyAlignment="1" applyProtection="1">
      <alignment horizontal="center" vertical="center" wrapText="1"/>
      <protection locked="0"/>
    </xf>
    <xf numFmtId="0" fontId="15" fillId="3" borderId="6" xfId="2" applyFont="1" applyFill="1" applyBorder="1" applyAlignment="1" applyProtection="1">
      <alignment horizontal="left" vertical="top" wrapText="1"/>
      <protection locked="0"/>
    </xf>
    <xf numFmtId="0" fontId="15" fillId="3" borderId="21" xfId="2" applyFont="1" applyFill="1" applyBorder="1" applyAlignment="1" applyProtection="1">
      <alignment horizontal="left" vertical="top" wrapText="1"/>
      <protection locked="0"/>
    </xf>
    <xf numFmtId="0" fontId="15" fillId="3" borderId="7" xfId="2" applyFont="1" applyFill="1" applyBorder="1" applyAlignment="1" applyProtection="1">
      <alignment horizontal="left" vertical="top" wrapText="1"/>
      <protection locked="0"/>
    </xf>
    <xf numFmtId="0" fontId="15" fillId="0" borderId="6" xfId="2" applyFont="1" applyBorder="1" applyAlignment="1" applyProtection="1">
      <alignment horizontal="left" vertical="top" wrapText="1"/>
      <protection locked="0"/>
    </xf>
    <xf numFmtId="0" fontId="15" fillId="0" borderId="21"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1" fontId="10" fillId="6" borderId="1" xfId="1" applyNumberFormat="1" applyFont="1" applyFill="1" applyBorder="1" applyAlignment="1" applyProtection="1">
      <alignment horizontal="center" vertical="center" wrapText="1"/>
      <protection locked="0"/>
    </xf>
    <xf numFmtId="1" fontId="15"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top" wrapText="1"/>
      <protection locked="0"/>
    </xf>
    <xf numFmtId="1" fontId="14"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0" applyFont="1" applyBorder="1" applyAlignment="1" applyProtection="1">
      <alignment horizontal="center" vertical="top" wrapText="1"/>
      <protection locked="0"/>
    </xf>
    <xf numFmtId="1" fontId="12" fillId="0" borderId="31" xfId="0" applyNumberFormat="1" applyFont="1" applyBorder="1" applyAlignment="1" applyProtection="1">
      <alignment horizontal="center" vertical="top" wrapText="1"/>
      <protection locked="0"/>
    </xf>
    <xf numFmtId="0" fontId="14" fillId="0" borderId="13" xfId="1" applyFont="1" applyBorder="1" applyAlignment="1" applyProtection="1">
      <alignment horizontal="left" vertical="top"/>
      <protection locked="0"/>
    </xf>
    <xf numFmtId="0" fontId="14" fillId="0" borderId="14"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1" fontId="14" fillId="0" borderId="17" xfId="1" applyNumberFormat="1" applyFont="1" applyBorder="1" applyAlignment="1" applyProtection="1">
      <alignment horizontal="center" vertical="center" wrapText="1"/>
      <protection locked="0"/>
    </xf>
    <xf numFmtId="1" fontId="14" fillId="0" borderId="18" xfId="1" applyNumberFormat="1" applyFont="1" applyBorder="1" applyAlignment="1" applyProtection="1">
      <alignment horizontal="center" vertical="center" wrapText="1"/>
      <protection locked="0"/>
    </xf>
    <xf numFmtId="1" fontId="14" fillId="0" borderId="23" xfId="1" applyNumberFormat="1" applyFont="1" applyBorder="1" applyAlignment="1" applyProtection="1">
      <alignment horizontal="center" vertical="center" wrapText="1"/>
      <protection locked="0"/>
    </xf>
    <xf numFmtId="1" fontId="14" fillId="0" borderId="24" xfId="1" applyNumberFormat="1" applyFont="1" applyBorder="1" applyAlignment="1" applyProtection="1">
      <alignment horizontal="center" vertical="center" wrapText="1"/>
      <protection locked="0"/>
    </xf>
    <xf numFmtId="1" fontId="10" fillId="4" borderId="1" xfId="1" applyNumberFormat="1" applyFont="1" applyFill="1" applyBorder="1" applyAlignment="1" applyProtection="1">
      <alignment horizontal="center" vertical="center" wrapText="1"/>
      <protection locked="0"/>
    </xf>
    <xf numFmtId="1" fontId="10" fillId="5" borderId="1" xfId="1" applyNumberFormat="1" applyFont="1" applyFill="1" applyBorder="1" applyAlignment="1" applyProtection="1">
      <alignment horizontal="center" vertical="center" wrapText="1"/>
      <protection locked="0"/>
    </xf>
    <xf numFmtId="1" fontId="12" fillId="0" borderId="32" xfId="0"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1" fontId="1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8" fillId="0" borderId="1" xfId="1" applyFont="1" applyBorder="1" applyAlignment="1" applyProtection="1">
      <alignment horizontal="left" vertical="top" wrapText="1"/>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left" vertical="top" wrapText="1"/>
      <protection locked="0"/>
    </xf>
    <xf numFmtId="0" fontId="8" fillId="0" borderId="6"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7" xfId="1" applyFont="1" applyBorder="1" applyAlignment="1" applyProtection="1">
      <alignment vertical="top"/>
      <protection locked="0"/>
    </xf>
    <xf numFmtId="0" fontId="15" fillId="0" borderId="1" xfId="1" applyFont="1" applyBorder="1" applyAlignment="1" applyProtection="1">
      <alignment horizontal="center" vertical="top"/>
      <protection locked="0"/>
    </xf>
    <xf numFmtId="0" fontId="10" fillId="0" borderId="16" xfId="1" applyFont="1" applyBorder="1" applyAlignment="1" applyProtection="1">
      <alignment horizontal="center" vertical="top"/>
      <protection locked="0"/>
    </xf>
    <xf numFmtId="1" fontId="6" fillId="0" borderId="3" xfId="1" applyNumberFormat="1" applyFont="1" applyBorder="1" applyAlignment="1" applyProtection="1">
      <alignment horizontal="center" vertical="top" wrapText="1"/>
      <protection locked="0"/>
    </xf>
    <xf numFmtId="1" fontId="6" fillId="0" borderId="16" xfId="1" applyNumberFormat="1" applyFont="1" applyBorder="1" applyAlignment="1" applyProtection="1">
      <alignment horizontal="center" vertical="top" wrapText="1"/>
      <protection locked="0"/>
    </xf>
    <xf numFmtId="1" fontId="10" fillId="0" borderId="17" xfId="1" applyNumberFormat="1" applyFont="1" applyBorder="1" applyAlignment="1" applyProtection="1">
      <alignment horizontal="center" vertical="top" wrapText="1"/>
      <protection locked="0"/>
    </xf>
    <xf numFmtId="1" fontId="10" fillId="0" borderId="18"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10" fillId="0" borderId="20" xfId="1" applyNumberFormat="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168" fontId="15" fillId="0" borderId="1" xfId="1" applyNumberFormat="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0" fontId="10" fillId="0" borderId="1" xfId="1" applyFont="1" applyBorder="1" applyAlignment="1" applyProtection="1">
      <alignment vertical="top"/>
      <protection locked="0"/>
    </xf>
    <xf numFmtId="0" fontId="9" fillId="0" borderId="1"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0" fontId="14" fillId="0" borderId="5" xfId="1" applyFont="1" applyBorder="1" applyAlignment="1" applyProtection="1">
      <alignment horizontal="left" vertical="top" wrapText="1"/>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168" fontId="8"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left" vertical="center" wrapText="1"/>
      <protection locked="0"/>
    </xf>
    <xf numFmtId="168" fontId="14"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left"/>
      <protection locked="0"/>
    </xf>
    <xf numFmtId="0" fontId="12" fillId="0" borderId="1" xfId="0" applyFont="1" applyBorder="1" applyAlignment="1" applyProtection="1">
      <alignment horizontal="center" vertical="center"/>
      <protection locked="0"/>
    </xf>
    <xf numFmtId="0" fontId="15" fillId="0" borderId="1" xfId="1" applyFont="1" applyBorder="1" applyAlignment="1" applyProtection="1">
      <alignment horizontal="center"/>
      <protection locked="0"/>
    </xf>
    <xf numFmtId="166" fontId="8" fillId="0" borderId="1" xfId="1" applyNumberFormat="1" applyFont="1" applyBorder="1" applyAlignment="1" applyProtection="1">
      <alignment horizontal="left" vertical="top"/>
      <protection locked="0"/>
    </xf>
    <xf numFmtId="2" fontId="8" fillId="0" borderId="1" xfId="1" applyNumberFormat="1" applyFont="1" applyBorder="1" applyAlignment="1" applyProtection="1">
      <alignment horizontal="left" vertical="top"/>
      <protection locked="0"/>
    </xf>
    <xf numFmtId="0" fontId="25" fillId="0" borderId="6" xfId="13" applyBorder="1" applyAlignment="1" applyProtection="1">
      <alignment horizontal="left"/>
      <protection locked="0"/>
    </xf>
    <xf numFmtId="0" fontId="9" fillId="0" borderId="21" xfId="1" applyFont="1" applyBorder="1" applyAlignment="1" applyProtection="1">
      <alignment horizontal="left"/>
      <protection locked="0"/>
    </xf>
    <xf numFmtId="0" fontId="9" fillId="0" borderId="7" xfId="1" applyFont="1" applyBorder="1" applyAlignment="1" applyProtection="1">
      <alignment horizontal="left"/>
      <protection locked="0"/>
    </xf>
    <xf numFmtId="0" fontId="12" fillId="0" borderId="6" xfId="1" applyFont="1" applyBorder="1" applyAlignment="1" applyProtection="1">
      <alignment horizontal="left"/>
      <protection locked="0"/>
    </xf>
    <xf numFmtId="0" fontId="12" fillId="0" borderId="21" xfId="1" applyFont="1" applyBorder="1" applyAlignment="1" applyProtection="1">
      <alignment horizontal="left"/>
      <protection locked="0"/>
    </xf>
    <xf numFmtId="0" fontId="12" fillId="0" borderId="7" xfId="1" applyFont="1" applyBorder="1" applyAlignment="1" applyProtection="1">
      <alignment horizontal="left"/>
      <protection locked="0"/>
    </xf>
    <xf numFmtId="1" fontId="8" fillId="0" borderId="1" xfId="1" applyNumberFormat="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wrapText="1"/>
      <protection locked="0"/>
    </xf>
    <xf numFmtId="0" fontId="14" fillId="0" borderId="27"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30"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center" wrapText="1"/>
      <protection locked="0"/>
    </xf>
    <xf numFmtId="1" fontId="12" fillId="0" borderId="31" xfId="0" applyNumberFormat="1"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0" fontId="10" fillId="0" borderId="6"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7" xfId="1" applyFont="1" applyBorder="1" applyAlignment="1" applyProtection="1">
      <alignment horizontal="left" vertical="top"/>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0" fillId="2" borderId="1" xfId="0" applyFill="1" applyBorder="1" applyAlignment="1">
      <alignment horizontal="center" wrapText="1"/>
    </xf>
    <xf numFmtId="0" fontId="11" fillId="0" borderId="1" xfId="0" applyFont="1" applyBorder="1" applyAlignment="1">
      <alignment horizontal="center"/>
    </xf>
    <xf numFmtId="0" fontId="11" fillId="0" borderId="1" xfId="5" applyFont="1" applyBorder="1" applyAlignment="1">
      <alignment horizontal="left"/>
    </xf>
    <xf numFmtId="0" fontId="14" fillId="0" borderId="1" xfId="1" applyNumberFormat="1" applyFont="1" applyBorder="1" applyAlignment="1" applyProtection="1">
      <alignment horizontal="left" vertical="top" wrapText="1"/>
      <protection locked="0"/>
    </xf>
    <xf numFmtId="1" fontId="14" fillId="0" borderId="1" xfId="1" applyNumberFormat="1" applyFont="1" applyBorder="1" applyAlignment="1" applyProtection="1">
      <alignment horizontal="left" vertical="top" wrapText="1"/>
      <protection locked="0"/>
    </xf>
  </cellXfs>
  <cellStyles count="14">
    <cellStyle name="Comma 2" xfId="6" xr:uid="{00000000-0005-0000-0000-000000000000}"/>
    <cellStyle name="Comma 2 2" xfId="12" xr:uid="{00000000-0005-0000-0000-000001000000}"/>
    <cellStyle name="Excel Built-in Normal" xfId="2" xr:uid="{00000000-0005-0000-0000-000002000000}"/>
    <cellStyle name="Excel Built-in Normal 2" xfId="4" xr:uid="{00000000-0005-0000-0000-000003000000}"/>
    <cellStyle name="Hyperlink" xfId="13" builtinId="8"/>
    <cellStyle name="Normal" xfId="0" builtinId="0"/>
    <cellStyle name="Normal 2" xfId="3" xr:uid="{00000000-0005-0000-0000-000006000000}"/>
    <cellStyle name="Normal 2 2" xfId="10" xr:uid="{00000000-0005-0000-0000-000007000000}"/>
    <cellStyle name="Normal 3" xfId="1" xr:uid="{00000000-0005-0000-0000-000008000000}"/>
    <cellStyle name="Normal 3 2" xfId="9" xr:uid="{00000000-0005-0000-0000-000009000000}"/>
    <cellStyle name="Normal 3 3" xfId="7" xr:uid="{00000000-0005-0000-0000-00000A000000}"/>
    <cellStyle name="Normal 4" xfId="5" xr:uid="{00000000-0005-0000-0000-00000B000000}"/>
    <cellStyle name="Normal 4 2" xfId="11" xr:uid="{00000000-0005-0000-0000-00000C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eg"/><Relationship Id="rId43" Type="http://schemas.openxmlformats.org/officeDocument/2006/relationships/image" Target="../media/image43.png"/><Relationship Id="rId8" Type="http://schemas.openxmlformats.org/officeDocument/2006/relationships/image" Target="../media/image8.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g"/><Relationship Id="rId33" Type="http://schemas.openxmlformats.org/officeDocument/2006/relationships/image" Target="../media/image33.png"/><Relationship Id="rId38" Type="http://schemas.openxmlformats.org/officeDocument/2006/relationships/image" Target="../media/image38.jpeg"/><Relationship Id="rId20" Type="http://schemas.openxmlformats.org/officeDocument/2006/relationships/image" Target="../media/image20.jpeg"/><Relationship Id="rId41" Type="http://schemas.openxmlformats.org/officeDocument/2006/relationships/image" Target="../media/image4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 Id="rId6" Type="http://schemas.openxmlformats.org/officeDocument/2006/relationships/image" Target="../media/image53.png"/><Relationship Id="rId5" Type="http://schemas.openxmlformats.org/officeDocument/2006/relationships/image" Target="../media/image52.png"/><Relationship Id="rId4" Type="http://schemas.openxmlformats.org/officeDocument/2006/relationships/image" Target="../media/image5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drawing1.xml><?xml version="1.0" encoding="utf-8"?>
<xdr:wsDr xmlns:xdr="http://schemas.openxmlformats.org/drawingml/2006/spreadsheetDrawing" xmlns:a="http://schemas.openxmlformats.org/drawingml/2006/main">
  <xdr:twoCellAnchor editAs="oneCell">
    <xdr:from>
      <xdr:col>1</xdr:col>
      <xdr:colOff>463022</xdr:colOff>
      <xdr:row>781</xdr:row>
      <xdr:rowOff>72596</xdr:rowOff>
    </xdr:from>
    <xdr:to>
      <xdr:col>6</xdr:col>
      <xdr:colOff>619247</xdr:colOff>
      <xdr:row>797</xdr:row>
      <xdr:rowOff>155418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4991" t="2730" r="8071" b="14760"/>
        <a:stretch/>
      </xdr:blipFill>
      <xdr:spPr>
        <a:xfrm>
          <a:off x="1225022" y="149301331"/>
          <a:ext cx="4392049" cy="3310118"/>
        </a:xfrm>
        <a:prstGeom prst="rect">
          <a:avLst/>
        </a:prstGeom>
        <a:ln>
          <a:solidFill>
            <a:schemeClr val="tx1"/>
          </a:solidFill>
        </a:ln>
      </xdr:spPr>
    </xdr:pic>
    <xdr:clientData/>
  </xdr:twoCellAnchor>
  <xdr:twoCellAnchor editAs="oneCell">
    <xdr:from>
      <xdr:col>8</xdr:col>
      <xdr:colOff>364751</xdr:colOff>
      <xdr:row>46</xdr:row>
      <xdr:rowOff>373156</xdr:rowOff>
    </xdr:from>
    <xdr:to>
      <xdr:col>16</xdr:col>
      <xdr:colOff>81384</xdr:colOff>
      <xdr:row>47</xdr:row>
      <xdr:rowOff>386866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451351" y="14174881"/>
          <a:ext cx="6088858" cy="422724"/>
        </a:xfrm>
        <a:prstGeom prst="rect">
          <a:avLst/>
        </a:prstGeom>
        <a:ln>
          <a:solidFill>
            <a:schemeClr val="tx1"/>
          </a:solidFill>
        </a:ln>
      </xdr:spPr>
    </xdr:pic>
    <xdr:clientData/>
  </xdr:twoCellAnchor>
  <xdr:twoCellAnchor editAs="oneCell">
    <xdr:from>
      <xdr:col>8</xdr:col>
      <xdr:colOff>1266266</xdr:colOff>
      <xdr:row>36</xdr:row>
      <xdr:rowOff>44824</xdr:rowOff>
    </xdr:from>
    <xdr:to>
      <xdr:col>13</xdr:col>
      <xdr:colOff>388313</xdr:colOff>
      <xdr:row>45</xdr:row>
      <xdr:rowOff>301215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8180295" y="11362765"/>
          <a:ext cx="3676190" cy="2104762"/>
        </a:xfrm>
        <a:prstGeom prst="rect">
          <a:avLst/>
        </a:prstGeom>
        <a:ln>
          <a:solidFill>
            <a:schemeClr val="tx1"/>
          </a:solidFill>
        </a:ln>
      </xdr:spPr>
    </xdr:pic>
    <xdr:clientData/>
  </xdr:twoCellAnchor>
  <xdr:twoCellAnchor editAs="oneCell">
    <xdr:from>
      <xdr:col>8</xdr:col>
      <xdr:colOff>685240</xdr:colOff>
      <xdr:row>47</xdr:row>
      <xdr:rowOff>298636</xdr:rowOff>
    </xdr:from>
    <xdr:to>
      <xdr:col>15</xdr:col>
      <xdr:colOff>459092</xdr:colOff>
      <xdr:row>50</xdr:row>
      <xdr:rowOff>11008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7771840" y="14643286"/>
          <a:ext cx="5536477" cy="747729"/>
        </a:xfrm>
        <a:prstGeom prst="rect">
          <a:avLst/>
        </a:prstGeom>
        <a:ln>
          <a:solidFill>
            <a:schemeClr val="tx1"/>
          </a:solidFill>
        </a:ln>
      </xdr:spPr>
    </xdr:pic>
    <xdr:clientData/>
  </xdr:twoCellAnchor>
  <xdr:twoCellAnchor editAs="oneCell">
    <xdr:from>
      <xdr:col>9</xdr:col>
      <xdr:colOff>134471</xdr:colOff>
      <xdr:row>12</xdr:row>
      <xdr:rowOff>190500</xdr:rowOff>
    </xdr:from>
    <xdr:to>
      <xdr:col>29</xdr:col>
      <xdr:colOff>54429</xdr:colOff>
      <xdr:row>13</xdr:row>
      <xdr:rowOff>721823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8843042" y="4033157"/>
          <a:ext cx="10021901" cy="1783180"/>
        </a:xfrm>
        <a:prstGeom prst="rect">
          <a:avLst/>
        </a:prstGeom>
        <a:ln>
          <a:solidFill>
            <a:schemeClr val="tx1"/>
          </a:solidFill>
        </a:ln>
      </xdr:spPr>
    </xdr:pic>
    <xdr:clientData/>
  </xdr:twoCellAnchor>
  <xdr:oneCellAnchor>
    <xdr:from>
      <xdr:col>9</xdr:col>
      <xdr:colOff>532840</xdr:colOff>
      <xdr:row>48</xdr:row>
      <xdr:rowOff>0</xdr:rowOff>
    </xdr:from>
    <xdr:ext cx="5523809" cy="742857"/>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stretch>
          <a:fillRect/>
        </a:stretch>
      </xdr:blipFill>
      <xdr:spPr>
        <a:xfrm>
          <a:off x="8981515" y="13325475"/>
          <a:ext cx="5523809" cy="742857"/>
        </a:xfrm>
        <a:prstGeom prst="rect">
          <a:avLst/>
        </a:prstGeom>
        <a:ln>
          <a:solidFill>
            <a:schemeClr val="tx1"/>
          </a:solidFill>
        </a:ln>
      </xdr:spPr>
    </xdr:pic>
    <xdr:clientData/>
  </xdr:oneCellAnchor>
  <xdr:twoCellAnchor>
    <xdr:from>
      <xdr:col>10</xdr:col>
      <xdr:colOff>450702</xdr:colOff>
      <xdr:row>551</xdr:row>
      <xdr:rowOff>197222</xdr:rowOff>
    </xdr:from>
    <xdr:to>
      <xdr:col>26</xdr:col>
      <xdr:colOff>198937</xdr:colOff>
      <xdr:row>588</xdr:row>
      <xdr:rowOff>138792</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10251194" y="122169976"/>
          <a:ext cx="6934481" cy="7309524"/>
          <a:chOff x="393550" y="261300"/>
          <a:chExt cx="6326450" cy="7917984"/>
        </a:xfrm>
      </xdr:grpSpPr>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93550" y="261300"/>
            <a:ext cx="1417500"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052902" y="261300"/>
            <a:ext cx="1417500"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302500" y="261300"/>
            <a:ext cx="1417500"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690803" y="261300"/>
            <a:ext cx="1417500"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97650" y="5659284"/>
            <a:ext cx="4480000" cy="252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97650" y="2954458"/>
            <a:ext cx="4480000" cy="2520000"/>
          </a:xfrm>
          <a:prstGeom prst="rect">
            <a:avLst/>
          </a:prstGeom>
          <a:ln>
            <a:solidFill>
              <a:schemeClr val="tx1"/>
            </a:solidFill>
          </a:ln>
        </xdr:spPr>
      </xdr:pic>
      <xdr:sp macro="" textlink="">
        <xdr:nvSpPr>
          <xdr:cNvPr id="41" name="TextBox 9">
            <a:extLst>
              <a:ext uri="{FF2B5EF4-FFF2-40B4-BE49-F238E27FC236}">
                <a16:creationId xmlns:a16="http://schemas.microsoft.com/office/drawing/2014/main" id="{00000000-0008-0000-0000-000029000000}"/>
              </a:ext>
            </a:extLst>
          </xdr:cNvPr>
          <xdr:cNvSpPr txBox="1"/>
        </xdr:nvSpPr>
        <xdr:spPr>
          <a:xfrm>
            <a:off x="3296502" y="5647616"/>
            <a:ext cx="88838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 Wing</a:t>
            </a:r>
            <a:endParaRPr lang="en-IN" b="1"/>
          </a:p>
        </xdr:txBody>
      </xdr:sp>
      <xdr:sp macro="" textlink="">
        <xdr:nvSpPr>
          <xdr:cNvPr id="42" name="TextBox 10">
            <a:extLst>
              <a:ext uri="{FF2B5EF4-FFF2-40B4-BE49-F238E27FC236}">
                <a16:creationId xmlns:a16="http://schemas.microsoft.com/office/drawing/2014/main" id="{00000000-0008-0000-0000-00002A000000}"/>
              </a:ext>
            </a:extLst>
          </xdr:cNvPr>
          <xdr:cNvSpPr txBox="1"/>
        </xdr:nvSpPr>
        <xdr:spPr>
          <a:xfrm>
            <a:off x="4303637" y="3175120"/>
            <a:ext cx="93807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M Wing</a:t>
            </a:r>
            <a:endParaRPr lang="en-IN" b="1"/>
          </a:p>
        </xdr:txBody>
      </xdr:sp>
      <xdr:sp macro="" textlink="">
        <xdr:nvSpPr>
          <xdr:cNvPr id="43" name="TextBox 11">
            <a:extLst>
              <a:ext uri="{FF2B5EF4-FFF2-40B4-BE49-F238E27FC236}">
                <a16:creationId xmlns:a16="http://schemas.microsoft.com/office/drawing/2014/main" id="{00000000-0008-0000-0000-00002B000000}"/>
              </a:ext>
            </a:extLst>
          </xdr:cNvPr>
          <xdr:cNvSpPr txBox="1"/>
        </xdr:nvSpPr>
        <xdr:spPr>
          <a:xfrm>
            <a:off x="3675597" y="287732"/>
            <a:ext cx="83388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L Wing</a:t>
            </a:r>
            <a:endParaRPr lang="en-IN" b="1"/>
          </a:p>
        </xdr:txBody>
      </xdr:sp>
      <xdr:sp macro="" textlink="">
        <xdr:nvSpPr>
          <xdr:cNvPr id="44" name="TextBox 12">
            <a:extLst>
              <a:ext uri="{FF2B5EF4-FFF2-40B4-BE49-F238E27FC236}">
                <a16:creationId xmlns:a16="http://schemas.microsoft.com/office/drawing/2014/main" id="{00000000-0008-0000-0000-00002C000000}"/>
              </a:ext>
            </a:extLst>
          </xdr:cNvPr>
          <xdr:cNvSpPr txBox="1"/>
        </xdr:nvSpPr>
        <xdr:spPr>
          <a:xfrm>
            <a:off x="5302500" y="261300"/>
            <a:ext cx="86273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K Wing</a:t>
            </a:r>
            <a:endParaRPr lang="en-IN" b="1"/>
          </a:p>
        </xdr:txBody>
      </xdr:sp>
      <xdr:sp macro="" textlink="">
        <xdr:nvSpPr>
          <xdr:cNvPr id="70" name="TextBox 13">
            <a:extLst>
              <a:ext uri="{FF2B5EF4-FFF2-40B4-BE49-F238E27FC236}">
                <a16:creationId xmlns:a16="http://schemas.microsoft.com/office/drawing/2014/main" id="{00000000-0008-0000-0000-000046000000}"/>
              </a:ext>
            </a:extLst>
          </xdr:cNvPr>
          <xdr:cNvSpPr txBox="1"/>
        </xdr:nvSpPr>
        <xdr:spPr>
          <a:xfrm>
            <a:off x="2020190" y="261300"/>
            <a:ext cx="8130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J Wing</a:t>
            </a:r>
            <a:endParaRPr lang="en-IN" b="1"/>
          </a:p>
        </xdr:txBody>
      </xdr:sp>
      <xdr:sp macro="" textlink="">
        <xdr:nvSpPr>
          <xdr:cNvPr id="71" name="TextBox 14">
            <a:extLst>
              <a:ext uri="{FF2B5EF4-FFF2-40B4-BE49-F238E27FC236}">
                <a16:creationId xmlns:a16="http://schemas.microsoft.com/office/drawing/2014/main" id="{00000000-0008-0000-0000-000047000000}"/>
              </a:ext>
            </a:extLst>
          </xdr:cNvPr>
          <xdr:cNvSpPr txBox="1"/>
        </xdr:nvSpPr>
        <xdr:spPr>
          <a:xfrm>
            <a:off x="430107" y="261300"/>
            <a:ext cx="79701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I Wing</a:t>
            </a:r>
            <a:endParaRPr lang="en-IN" b="1"/>
          </a:p>
        </xdr:txBody>
      </xdr:sp>
    </xdr:grpSp>
    <xdr:clientData/>
  </xdr:twoCellAnchor>
  <xdr:twoCellAnchor editAs="oneCell">
    <xdr:from>
      <xdr:col>14</xdr:col>
      <xdr:colOff>584566</xdr:colOff>
      <xdr:row>173</xdr:row>
      <xdr:rowOff>54429</xdr:rowOff>
    </xdr:from>
    <xdr:to>
      <xdr:col>34</xdr:col>
      <xdr:colOff>586223</xdr:colOff>
      <xdr:row>196</xdr:row>
      <xdr:rowOff>122843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2"/>
        <a:stretch>
          <a:fillRect/>
        </a:stretch>
      </xdr:blipFill>
      <xdr:spPr>
        <a:xfrm>
          <a:off x="12817387" y="47597786"/>
          <a:ext cx="9186479" cy="5223746"/>
        </a:xfrm>
        <a:prstGeom prst="rect">
          <a:avLst/>
        </a:prstGeom>
      </xdr:spPr>
    </xdr:pic>
    <xdr:clientData/>
  </xdr:twoCellAnchor>
  <xdr:twoCellAnchor>
    <xdr:from>
      <xdr:col>0</xdr:col>
      <xdr:colOff>627530</xdr:colOff>
      <xdr:row>798</xdr:row>
      <xdr:rowOff>91063</xdr:rowOff>
    </xdr:from>
    <xdr:to>
      <xdr:col>7</xdr:col>
      <xdr:colOff>448236</xdr:colOff>
      <xdr:row>820</xdr:row>
      <xdr:rowOff>73552</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627530" y="172625448"/>
          <a:ext cx="5764306" cy="4366919"/>
          <a:chOff x="627530" y="150826259"/>
          <a:chExt cx="5593684" cy="4355706"/>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627530" y="150826259"/>
            <a:ext cx="5593684" cy="4355706"/>
            <a:chOff x="627530" y="150826259"/>
            <a:chExt cx="5593684" cy="435570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3"/>
            <a:stretch>
              <a:fillRect/>
            </a:stretch>
          </xdr:blipFill>
          <xdr:spPr>
            <a:xfrm>
              <a:off x="627530" y="150826259"/>
              <a:ext cx="5593684" cy="4355706"/>
            </a:xfrm>
            <a:prstGeom prst="rect">
              <a:avLst/>
            </a:prstGeom>
            <a:ln>
              <a:solidFill>
                <a:sysClr val="windowText" lastClr="000000"/>
              </a:solidFill>
            </a:ln>
          </xdr:spPr>
        </xdr:pic>
        <xdr:sp macro="" textlink="">
          <xdr:nvSpPr>
            <xdr:cNvPr id="11" name="Freeform 10">
              <a:extLst>
                <a:ext uri="{FF2B5EF4-FFF2-40B4-BE49-F238E27FC236}">
                  <a16:creationId xmlns:a16="http://schemas.microsoft.com/office/drawing/2014/main" id="{00000000-0008-0000-0000-00000B000000}"/>
                </a:ext>
              </a:extLst>
            </xdr:cNvPr>
            <xdr:cNvSpPr/>
          </xdr:nvSpPr>
          <xdr:spPr>
            <a:xfrm>
              <a:off x="1987826" y="151886479"/>
              <a:ext cx="2120348" cy="2476500"/>
            </a:xfrm>
            <a:custGeom>
              <a:avLst/>
              <a:gdLst>
                <a:gd name="connsiteX0" fmla="*/ 1681370 w 2128631"/>
                <a:gd name="connsiteY0" fmla="*/ 579783 h 2410239"/>
                <a:gd name="connsiteX1" fmla="*/ 1888435 w 2128631"/>
                <a:gd name="connsiteY1" fmla="*/ 646044 h 2410239"/>
                <a:gd name="connsiteX2" fmla="*/ 2128631 w 2128631"/>
                <a:gd name="connsiteY2" fmla="*/ 256761 h 2410239"/>
                <a:gd name="connsiteX3" fmla="*/ 1623392 w 2128631"/>
                <a:gd name="connsiteY3" fmla="*/ 0 h 2410239"/>
                <a:gd name="connsiteX4" fmla="*/ 0 w 2128631"/>
                <a:gd name="connsiteY4" fmla="*/ 2170044 h 2410239"/>
                <a:gd name="connsiteX5" fmla="*/ 438979 w 2128631"/>
                <a:gd name="connsiteY5" fmla="*/ 2410239 h 2410239"/>
                <a:gd name="connsiteX6" fmla="*/ 1681370 w 2128631"/>
                <a:gd name="connsiteY6" fmla="*/ 579783 h 24102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28631" h="2410239">
                  <a:moveTo>
                    <a:pt x="1681370" y="579783"/>
                  </a:moveTo>
                  <a:lnTo>
                    <a:pt x="1888435" y="646044"/>
                  </a:lnTo>
                  <a:lnTo>
                    <a:pt x="2128631" y="256761"/>
                  </a:lnTo>
                  <a:lnTo>
                    <a:pt x="1623392" y="0"/>
                  </a:lnTo>
                  <a:lnTo>
                    <a:pt x="0" y="2170044"/>
                  </a:lnTo>
                  <a:lnTo>
                    <a:pt x="438979" y="2410239"/>
                  </a:lnTo>
                  <a:lnTo>
                    <a:pt x="1681370" y="579783"/>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76" name="TextBox 9">
            <a:extLst>
              <a:ext uri="{FF2B5EF4-FFF2-40B4-BE49-F238E27FC236}">
                <a16:creationId xmlns:a16="http://schemas.microsoft.com/office/drawing/2014/main" id="{00000000-0008-0000-0000-00004C000000}"/>
              </a:ext>
            </a:extLst>
          </xdr:cNvPr>
          <xdr:cNvSpPr txBox="1"/>
        </xdr:nvSpPr>
        <xdr:spPr>
          <a:xfrm rot="18499330">
            <a:off x="1548665" y="152626240"/>
            <a:ext cx="1988521" cy="35849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FF00"/>
                </a:solidFill>
                <a:latin typeface="Times New Roman" panose="02020603050405020304" pitchFamily="18" charset="0"/>
                <a:cs typeface="Times New Roman" panose="02020603050405020304" pitchFamily="18" charset="0"/>
              </a:rPr>
              <a:t>Runwal Avenue</a:t>
            </a:r>
            <a:r>
              <a:rPr lang="en-US" sz="1400" b="1" baseline="0">
                <a:solidFill>
                  <a:srgbClr val="FFFF00"/>
                </a:solidFill>
                <a:latin typeface="Times New Roman" panose="02020603050405020304" pitchFamily="18" charset="0"/>
                <a:cs typeface="Times New Roman" panose="02020603050405020304" pitchFamily="18" charset="0"/>
              </a:rPr>
              <a:t>             </a:t>
            </a:r>
            <a:r>
              <a:rPr lang="en-US" sz="1400" b="1">
                <a:solidFill>
                  <a:srgbClr val="FFFF00"/>
                </a:solidFill>
                <a:latin typeface="Times New Roman" panose="02020603050405020304" pitchFamily="18" charset="0"/>
                <a:cs typeface="Times New Roman" panose="02020603050405020304" pitchFamily="18" charset="0"/>
              </a:rPr>
              <a:t>Wing I, J, K, L, M &amp; N</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9</xdr:col>
      <xdr:colOff>504153</xdr:colOff>
      <xdr:row>47</xdr:row>
      <xdr:rowOff>122816</xdr:rowOff>
    </xdr:from>
    <xdr:to>
      <xdr:col>17</xdr:col>
      <xdr:colOff>581816</xdr:colOff>
      <xdr:row>53</xdr:row>
      <xdr:rowOff>18003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4"/>
        <a:stretch>
          <a:fillRect/>
        </a:stretch>
      </xdr:blipFill>
      <xdr:spPr>
        <a:xfrm>
          <a:off x="9190953" y="13747376"/>
          <a:ext cx="5846003" cy="2591948"/>
        </a:xfrm>
        <a:prstGeom prst="rect">
          <a:avLst/>
        </a:prstGeom>
      </xdr:spPr>
    </xdr:pic>
    <xdr:clientData/>
  </xdr:twoCellAnchor>
  <xdr:twoCellAnchor editAs="oneCell">
    <xdr:from>
      <xdr:col>8</xdr:col>
      <xdr:colOff>299085</xdr:colOff>
      <xdr:row>36</xdr:row>
      <xdr:rowOff>169545</xdr:rowOff>
    </xdr:from>
    <xdr:to>
      <xdr:col>16</xdr:col>
      <xdr:colOff>362846</xdr:colOff>
      <xdr:row>45</xdr:row>
      <xdr:rowOff>358416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5"/>
        <a:stretch>
          <a:fillRect/>
        </a:stretch>
      </xdr:blipFill>
      <xdr:spPr>
        <a:xfrm>
          <a:off x="7583805" y="11401425"/>
          <a:ext cx="6609341" cy="1979573"/>
        </a:xfrm>
        <a:prstGeom prst="rect">
          <a:avLst/>
        </a:prstGeom>
      </xdr:spPr>
    </xdr:pic>
    <xdr:clientData/>
  </xdr:twoCellAnchor>
  <xdr:twoCellAnchor>
    <xdr:from>
      <xdr:col>13</xdr:col>
      <xdr:colOff>119294</xdr:colOff>
      <xdr:row>604</xdr:row>
      <xdr:rowOff>170072</xdr:rowOff>
    </xdr:from>
    <xdr:to>
      <xdr:col>29</xdr:col>
      <xdr:colOff>318270</xdr:colOff>
      <xdr:row>644</xdr:row>
      <xdr:rowOff>81211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2088556" y="132699457"/>
          <a:ext cx="7098006" cy="7882831"/>
          <a:chOff x="98611" y="131949263"/>
          <a:chExt cx="6868109" cy="7908058"/>
        </a:xfrm>
      </xdr:grpSpPr>
      <xdr:pic>
        <xdr:nvPicPr>
          <xdr:cNvPr id="84" name="Picture 83" descr="https://vsjcllp.vsjadon.com/upload/insp-219483-851.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12058" y="131953746"/>
            <a:ext cx="2228312" cy="29308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5" name="Picture 84" descr="https://vsjcllp.vsjadon.com/upload/insp-219233-844.jpg">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432237" y="131949263"/>
            <a:ext cx="2214864" cy="29308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6" name="Picture 85" descr="https://vsjcllp.vsjadon.com/upload/insp-219233-860.jpg">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750174" y="131955988"/>
            <a:ext cx="2216546" cy="29308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7" name="Picture 86" descr="https://vsjcllp.vsjadon.com/upload/insp-219233-862.jpg">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98611" y="134985497"/>
            <a:ext cx="2231682" cy="29353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descr="https://vsjcllp.vsjadon.com/upload/insp-219233-861.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149848" y="138033197"/>
            <a:ext cx="1373762" cy="18241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19233-931.jpg">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421031" y="134983257"/>
            <a:ext cx="2218234" cy="29353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19233-860.jpg">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663388" y="138030956"/>
            <a:ext cx="1388330" cy="18241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2" name="Picture 91" descr="https://vsjcllp.vsjadon.com/upload/insp-219233-851.jpg">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745690" y="134985499"/>
            <a:ext cx="2219916" cy="29353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https://vsjcllp.vsjadon.com/upload/insp-219483-1525.jpg">
            <a:extLst>
              <a:ext uri="{FF2B5EF4-FFF2-40B4-BE49-F238E27FC236}">
                <a16:creationId xmlns:a16="http://schemas.microsoft.com/office/drawing/2014/main" id="{00000000-0008-0000-0000-00005D000000}"/>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b="6306"/>
          <a:stretch/>
        </xdr:blipFill>
        <xdr:spPr bwMode="auto">
          <a:xfrm>
            <a:off x="5118844" y="138032937"/>
            <a:ext cx="1379926" cy="1822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4" name="Picture 93" descr="https://vsjcllp.vsjadon.com/upload/insp-219483-931.jpg">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3637429" y="138028715"/>
            <a:ext cx="1381045" cy="18241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417467</xdr:colOff>
      <xdr:row>693</xdr:row>
      <xdr:rowOff>81642</xdr:rowOff>
    </xdr:from>
    <xdr:to>
      <xdr:col>25</xdr:col>
      <xdr:colOff>75111</xdr:colOff>
      <xdr:row>730</xdr:row>
      <xdr:rowOff>102870</xdr:rowOff>
    </xdr:to>
    <xdr:grpSp>
      <xdr:nvGrpSpPr>
        <xdr:cNvPr id="16" name="Group 15">
          <a:extLst>
            <a:ext uri="{FF2B5EF4-FFF2-40B4-BE49-F238E27FC236}">
              <a16:creationId xmlns:a16="http://schemas.microsoft.com/office/drawing/2014/main" id="{C86D2A04-14AF-7FC8-E7D0-296993993AB4}"/>
            </a:ext>
          </a:extLst>
        </xdr:cNvPr>
        <xdr:cNvGrpSpPr/>
      </xdr:nvGrpSpPr>
      <xdr:grpSpPr>
        <a:xfrm>
          <a:off x="10217959" y="151690334"/>
          <a:ext cx="6216706" cy="7395044"/>
          <a:chOff x="200615" y="241472"/>
          <a:chExt cx="5924866" cy="7064756"/>
        </a:xfrm>
      </xdr:grpSpPr>
      <xdr:grpSp>
        <xdr:nvGrpSpPr>
          <xdr:cNvPr id="17" name="Group 16">
            <a:extLst>
              <a:ext uri="{FF2B5EF4-FFF2-40B4-BE49-F238E27FC236}">
                <a16:creationId xmlns:a16="http://schemas.microsoft.com/office/drawing/2014/main" id="{F17FEAFC-25AC-DB8F-A087-8CB088A494C9}"/>
              </a:ext>
            </a:extLst>
          </xdr:cNvPr>
          <xdr:cNvGrpSpPr/>
        </xdr:nvGrpSpPr>
        <xdr:grpSpPr>
          <a:xfrm>
            <a:off x="1749520" y="5506228"/>
            <a:ext cx="2827057" cy="1800000"/>
            <a:chOff x="1804803" y="5506228"/>
            <a:chExt cx="2827057" cy="1800000"/>
          </a:xfrm>
        </xdr:grpSpPr>
        <xdr:pic>
          <xdr:nvPicPr>
            <xdr:cNvPr id="26" name="Picture 25">
              <a:extLst>
                <a:ext uri="{FF2B5EF4-FFF2-40B4-BE49-F238E27FC236}">
                  <a16:creationId xmlns:a16="http://schemas.microsoft.com/office/drawing/2014/main" id="{FC7A7592-2108-C16A-BBD1-9434624D8D09}"/>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1804803" y="5506228"/>
              <a:ext cx="1353766"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5AEB208F-2A7F-E9C7-4F87-F0E024C8F9DC}"/>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3278094" y="5506228"/>
              <a:ext cx="1353766" cy="180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EEE7903F-2D10-04C4-8432-672CBFD5D211}"/>
              </a:ext>
            </a:extLst>
          </xdr:cNvPr>
          <xdr:cNvGrpSpPr/>
        </xdr:nvGrpSpPr>
        <xdr:grpSpPr>
          <a:xfrm>
            <a:off x="200615" y="2873850"/>
            <a:ext cx="5924866" cy="2520000"/>
            <a:chOff x="200615" y="2873850"/>
            <a:chExt cx="5924866" cy="2520000"/>
          </a:xfrm>
        </xdr:grpSpPr>
        <xdr:pic>
          <xdr:nvPicPr>
            <xdr:cNvPr id="23" name="Picture 22">
              <a:extLst>
                <a:ext uri="{FF2B5EF4-FFF2-40B4-BE49-F238E27FC236}">
                  <a16:creationId xmlns:a16="http://schemas.microsoft.com/office/drawing/2014/main" id="{657632D6-628B-6F14-B28D-DD018F5F7912}"/>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4230209" y="2873850"/>
              <a:ext cx="1895272"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EAC9B5A6-7294-F359-44B7-619492331425}"/>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2215412" y="2873850"/>
              <a:ext cx="1895272"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042457A5-F7AE-F665-87C5-500E994F562C}"/>
                </a:ext>
              </a:extLst>
            </xdr:cNvPr>
            <xdr:cNvPicPr>
              <a:picLocks noChangeAspect="1"/>
            </xdr:cNvPicPr>
          </xdr:nvPicPr>
          <xdr:blipFill>
            <a:blip xmlns:r="http://schemas.openxmlformats.org/officeDocument/2006/relationships" r:embed="rId29" cstate="hqprint">
              <a:extLst>
                <a:ext uri="{28A0092B-C50C-407E-A947-70E740481C1C}">
                  <a14:useLocalDpi xmlns:a14="http://schemas.microsoft.com/office/drawing/2010/main"/>
                </a:ext>
              </a:extLst>
            </a:blip>
            <a:stretch>
              <a:fillRect/>
            </a:stretch>
          </xdr:blipFill>
          <xdr:spPr>
            <a:xfrm>
              <a:off x="200615" y="2873850"/>
              <a:ext cx="1895272" cy="2520000"/>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D456A2A4-D13C-EF37-FFDA-7F8F7D0DFFC1}"/>
              </a:ext>
            </a:extLst>
          </xdr:cNvPr>
          <xdr:cNvGrpSpPr/>
        </xdr:nvGrpSpPr>
        <xdr:grpSpPr>
          <a:xfrm>
            <a:off x="200615" y="241472"/>
            <a:ext cx="5924866" cy="2520000"/>
            <a:chOff x="200615" y="241472"/>
            <a:chExt cx="5924866" cy="2520000"/>
          </a:xfrm>
        </xdr:grpSpPr>
        <xdr:pic>
          <xdr:nvPicPr>
            <xdr:cNvPr id="20" name="Picture 19">
              <a:extLst>
                <a:ext uri="{FF2B5EF4-FFF2-40B4-BE49-F238E27FC236}">
                  <a16:creationId xmlns:a16="http://schemas.microsoft.com/office/drawing/2014/main" id="{AADD5A31-79BA-445E-E2C2-56599EA1A877}"/>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tretch>
              <a:fillRect/>
            </a:stretch>
          </xdr:blipFill>
          <xdr:spPr>
            <a:xfrm>
              <a:off x="200615" y="241472"/>
              <a:ext cx="1895272"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14858D32-0303-72BC-D031-3772810E1249}"/>
                </a:ext>
              </a:extLst>
            </xdr:cNvPr>
            <xdr:cNvPicPr>
              <a:picLocks noChangeAspect="1"/>
            </xdr:cNvPicPr>
          </xdr:nvPicPr>
          <xdr:blipFill>
            <a:blip xmlns:r="http://schemas.openxmlformats.org/officeDocument/2006/relationships" r:embed="rId31" cstate="hqprint">
              <a:extLst>
                <a:ext uri="{28A0092B-C50C-407E-A947-70E740481C1C}">
                  <a14:useLocalDpi xmlns:a14="http://schemas.microsoft.com/office/drawing/2010/main"/>
                </a:ext>
              </a:extLst>
            </a:blip>
            <a:stretch>
              <a:fillRect/>
            </a:stretch>
          </xdr:blipFill>
          <xdr:spPr>
            <a:xfrm>
              <a:off x="2215412" y="241472"/>
              <a:ext cx="1895272"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855251F8-811B-47E3-B395-EBA4C6AE6EE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230209" y="241472"/>
              <a:ext cx="1895272" cy="2520000"/>
            </a:xfrm>
            <a:prstGeom prst="rect">
              <a:avLst/>
            </a:prstGeom>
          </xdr:spPr>
        </xdr:pic>
      </xdr:grpSp>
    </xdr:grpSp>
    <xdr:clientData/>
  </xdr:twoCellAnchor>
  <xdr:twoCellAnchor editAs="oneCell">
    <xdr:from>
      <xdr:col>12</xdr:col>
      <xdr:colOff>45260</xdr:colOff>
      <xdr:row>170</xdr:row>
      <xdr:rowOff>67307</xdr:rowOff>
    </xdr:from>
    <xdr:to>
      <xdr:col>23</xdr:col>
      <xdr:colOff>552026</xdr:colOff>
      <xdr:row>182</xdr:row>
      <xdr:rowOff>167661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3"/>
        <a:stretch>
          <a:fillRect/>
        </a:stretch>
      </xdr:blipFill>
      <xdr:spPr>
        <a:xfrm>
          <a:off x="11076942" y="47519125"/>
          <a:ext cx="4143584" cy="2594174"/>
        </a:xfrm>
        <a:prstGeom prst="rect">
          <a:avLst/>
        </a:prstGeom>
      </xdr:spPr>
    </xdr:pic>
    <xdr:clientData/>
  </xdr:twoCellAnchor>
  <xdr:twoCellAnchor>
    <xdr:from>
      <xdr:col>0</xdr:col>
      <xdr:colOff>157744</xdr:colOff>
      <xdr:row>697</xdr:row>
      <xdr:rowOff>107817</xdr:rowOff>
    </xdr:from>
    <xdr:to>
      <xdr:col>7</xdr:col>
      <xdr:colOff>1096636</xdr:colOff>
      <xdr:row>735</xdr:row>
      <xdr:rowOff>162515</xdr:rowOff>
    </xdr:to>
    <xdr:grpSp>
      <xdr:nvGrpSpPr>
        <xdr:cNvPr id="72" name="Group 71">
          <a:extLst>
            <a:ext uri="{FF2B5EF4-FFF2-40B4-BE49-F238E27FC236}">
              <a16:creationId xmlns:a16="http://schemas.microsoft.com/office/drawing/2014/main" id="{A49E27A8-7083-452A-A843-60286C034DB2}"/>
            </a:ext>
          </a:extLst>
        </xdr:cNvPr>
        <xdr:cNvGrpSpPr/>
      </xdr:nvGrpSpPr>
      <xdr:grpSpPr>
        <a:xfrm>
          <a:off x="157744" y="152513679"/>
          <a:ext cx="6882492" cy="7627805"/>
          <a:chOff x="-904968" y="0"/>
          <a:chExt cx="8560362" cy="9416812"/>
        </a:xfrm>
      </xdr:grpSpPr>
      <xdr:grpSp>
        <xdr:nvGrpSpPr>
          <xdr:cNvPr id="73" name="Group 72">
            <a:extLst>
              <a:ext uri="{FF2B5EF4-FFF2-40B4-BE49-F238E27FC236}">
                <a16:creationId xmlns:a16="http://schemas.microsoft.com/office/drawing/2014/main" id="{09D83080-F248-4206-BB75-9F7E201879FC}"/>
              </a:ext>
            </a:extLst>
          </xdr:cNvPr>
          <xdr:cNvGrpSpPr/>
        </xdr:nvGrpSpPr>
        <xdr:grpSpPr>
          <a:xfrm>
            <a:off x="-904968" y="0"/>
            <a:ext cx="8560362" cy="9416812"/>
            <a:chOff x="-904968" y="0"/>
            <a:chExt cx="8560362" cy="9416812"/>
          </a:xfrm>
        </xdr:grpSpPr>
        <xdr:pic>
          <xdr:nvPicPr>
            <xdr:cNvPr id="81" name="Picture 80">
              <a:extLst>
                <a:ext uri="{FF2B5EF4-FFF2-40B4-BE49-F238E27FC236}">
                  <a16:creationId xmlns:a16="http://schemas.microsoft.com/office/drawing/2014/main" id="{09104D54-4990-472A-B34E-680C30FD576F}"/>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904968" y="0"/>
              <a:ext cx="2700000" cy="3589986"/>
            </a:xfrm>
            <a:prstGeom prst="rect">
              <a:avLst/>
            </a:prstGeom>
            <a:ln>
              <a:solidFill>
                <a:schemeClr val="tx1"/>
              </a:solidFill>
            </a:ln>
          </xdr:spPr>
        </xdr:pic>
        <xdr:pic>
          <xdr:nvPicPr>
            <xdr:cNvPr id="82" name="Picture 81">
              <a:extLst>
                <a:ext uri="{FF2B5EF4-FFF2-40B4-BE49-F238E27FC236}">
                  <a16:creationId xmlns:a16="http://schemas.microsoft.com/office/drawing/2014/main" id="{6AEF4737-6B66-4954-ADEF-6B1BAE116B05}"/>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2025213" y="0"/>
              <a:ext cx="2700000" cy="3589985"/>
            </a:xfrm>
            <a:prstGeom prst="rect">
              <a:avLst/>
            </a:prstGeom>
            <a:ln>
              <a:solidFill>
                <a:schemeClr val="tx1"/>
              </a:solidFill>
            </a:ln>
          </xdr:spPr>
        </xdr:pic>
        <xdr:pic>
          <xdr:nvPicPr>
            <xdr:cNvPr id="83" name="Picture 82">
              <a:extLst>
                <a:ext uri="{FF2B5EF4-FFF2-40B4-BE49-F238E27FC236}">
                  <a16:creationId xmlns:a16="http://schemas.microsoft.com/office/drawing/2014/main" id="{37CEB9C3-B7F8-4D6B-A768-080967004522}"/>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4955394" y="0"/>
              <a:ext cx="2700000" cy="3589986"/>
            </a:xfrm>
            <a:prstGeom prst="rect">
              <a:avLst/>
            </a:prstGeom>
            <a:ln>
              <a:solidFill>
                <a:schemeClr val="tx1"/>
              </a:solidFill>
            </a:ln>
          </xdr:spPr>
        </xdr:pic>
        <xdr:pic>
          <xdr:nvPicPr>
            <xdr:cNvPr id="89" name="Picture 88">
              <a:extLst>
                <a:ext uri="{FF2B5EF4-FFF2-40B4-BE49-F238E27FC236}">
                  <a16:creationId xmlns:a16="http://schemas.microsoft.com/office/drawing/2014/main" id="{615B8EC5-371D-4D19-B0DA-39D307E806F1}"/>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729883" y="3730438"/>
              <a:ext cx="1980000" cy="2632657"/>
            </a:xfrm>
            <a:prstGeom prst="rect">
              <a:avLst/>
            </a:prstGeom>
            <a:ln>
              <a:solidFill>
                <a:schemeClr val="tx1"/>
              </a:solidFill>
            </a:ln>
          </xdr:spPr>
        </xdr:pic>
        <xdr:pic>
          <xdr:nvPicPr>
            <xdr:cNvPr id="95" name="Picture 94">
              <a:extLst>
                <a:ext uri="{FF2B5EF4-FFF2-40B4-BE49-F238E27FC236}">
                  <a16:creationId xmlns:a16="http://schemas.microsoft.com/office/drawing/2014/main" id="{6019B4C0-FE2F-4217-8E01-17DF5F8A4B62}"/>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395213" y="3730438"/>
              <a:ext cx="1980000" cy="2632656"/>
            </a:xfrm>
            <a:prstGeom prst="rect">
              <a:avLst/>
            </a:prstGeom>
            <a:ln>
              <a:solidFill>
                <a:schemeClr val="tx1"/>
              </a:solidFill>
            </a:ln>
          </xdr:spPr>
        </xdr:pic>
        <xdr:pic>
          <xdr:nvPicPr>
            <xdr:cNvPr id="96" name="Picture 95">
              <a:extLst>
                <a:ext uri="{FF2B5EF4-FFF2-40B4-BE49-F238E27FC236}">
                  <a16:creationId xmlns:a16="http://schemas.microsoft.com/office/drawing/2014/main" id="{62DE1D9D-BD63-483F-8048-90C168A2C704}"/>
                </a:ext>
              </a:extLst>
            </xdr:cNvPr>
            <xdr:cNvPicPr>
              <a:picLocks noChangeAspect="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b="5201"/>
            <a:stretch/>
          </xdr:blipFill>
          <xdr:spPr>
            <a:xfrm>
              <a:off x="3520310" y="3730438"/>
              <a:ext cx="1980000" cy="2649485"/>
            </a:xfrm>
            <a:prstGeom prst="rect">
              <a:avLst/>
            </a:prstGeom>
            <a:ln>
              <a:solidFill>
                <a:schemeClr val="tx1"/>
              </a:solidFill>
            </a:ln>
          </xdr:spPr>
        </xdr:pic>
        <xdr:pic>
          <xdr:nvPicPr>
            <xdr:cNvPr id="97" name="Picture 96">
              <a:extLst>
                <a:ext uri="{FF2B5EF4-FFF2-40B4-BE49-F238E27FC236}">
                  <a16:creationId xmlns:a16="http://schemas.microsoft.com/office/drawing/2014/main" id="{44B66A69-7681-4528-BF0E-58EDD99937D6}"/>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5675394" y="3730438"/>
              <a:ext cx="1980000" cy="2632656"/>
            </a:xfrm>
            <a:prstGeom prst="rect">
              <a:avLst/>
            </a:prstGeom>
            <a:ln>
              <a:solidFill>
                <a:schemeClr val="tx1"/>
              </a:solidFill>
            </a:ln>
          </xdr:spPr>
        </xdr:pic>
        <xdr:pic>
          <xdr:nvPicPr>
            <xdr:cNvPr id="98" name="Picture 97">
              <a:extLst>
                <a:ext uri="{FF2B5EF4-FFF2-40B4-BE49-F238E27FC236}">
                  <a16:creationId xmlns:a16="http://schemas.microsoft.com/office/drawing/2014/main" id="{5869A1F7-C24B-4FF4-A5F5-D9B98CA5646A}"/>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047858" y="6534223"/>
              <a:ext cx="2167973" cy="2882589"/>
            </a:xfrm>
            <a:prstGeom prst="rect">
              <a:avLst/>
            </a:prstGeom>
            <a:ln>
              <a:solidFill>
                <a:schemeClr val="tx1"/>
              </a:solidFill>
            </a:ln>
          </xdr:spPr>
        </xdr:pic>
        <xdr:pic>
          <xdr:nvPicPr>
            <xdr:cNvPr id="99" name="Picture 98">
              <a:extLst>
                <a:ext uri="{FF2B5EF4-FFF2-40B4-BE49-F238E27FC236}">
                  <a16:creationId xmlns:a16="http://schemas.microsoft.com/office/drawing/2014/main" id="{01E5D7C7-A15E-4DB9-98B1-D6F3A52E1CCE}"/>
                </a:ext>
              </a:extLst>
            </xdr:cNvPr>
            <xdr:cNvPicPr>
              <a:picLocks noChangeAspect="1"/>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b="6329"/>
            <a:stretch/>
          </xdr:blipFill>
          <xdr:spPr>
            <a:xfrm>
              <a:off x="3363716" y="6517818"/>
              <a:ext cx="2167972" cy="2864181"/>
            </a:xfrm>
            <a:prstGeom prst="rect">
              <a:avLst/>
            </a:prstGeom>
            <a:ln>
              <a:solidFill>
                <a:schemeClr val="tx1"/>
              </a:solidFill>
            </a:ln>
          </xdr:spPr>
        </xdr:pic>
      </xdr:grpSp>
      <xdr:sp macro="" textlink="">
        <xdr:nvSpPr>
          <xdr:cNvPr id="74" name="TextBox 40">
            <a:extLst>
              <a:ext uri="{FF2B5EF4-FFF2-40B4-BE49-F238E27FC236}">
                <a16:creationId xmlns:a16="http://schemas.microsoft.com/office/drawing/2014/main" id="{E66BCA20-5C8D-4AF4-8361-1C56DBDEB96F}"/>
              </a:ext>
            </a:extLst>
          </xdr:cNvPr>
          <xdr:cNvSpPr txBox="1"/>
        </xdr:nvSpPr>
        <xdr:spPr>
          <a:xfrm>
            <a:off x="618169" y="128726"/>
            <a:ext cx="1099643"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I</a:t>
            </a:r>
            <a:endParaRPr lang="en-IN" sz="1400" b="1"/>
          </a:p>
        </xdr:txBody>
      </xdr:sp>
      <xdr:sp macro="" textlink="">
        <xdr:nvSpPr>
          <xdr:cNvPr id="75" name="TextBox 41">
            <a:extLst>
              <a:ext uri="{FF2B5EF4-FFF2-40B4-BE49-F238E27FC236}">
                <a16:creationId xmlns:a16="http://schemas.microsoft.com/office/drawing/2014/main" id="{CA76FF7F-7602-4BEE-81B4-40DC6F86951E}"/>
              </a:ext>
            </a:extLst>
          </xdr:cNvPr>
          <xdr:cNvSpPr txBox="1"/>
        </xdr:nvSpPr>
        <xdr:spPr>
          <a:xfrm>
            <a:off x="3749935" y="135668"/>
            <a:ext cx="870047"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J</a:t>
            </a:r>
            <a:endParaRPr lang="en-IN" sz="1400" b="1"/>
          </a:p>
        </xdr:txBody>
      </xdr:sp>
      <xdr:sp macro="" textlink="">
        <xdr:nvSpPr>
          <xdr:cNvPr id="77" name="TextBox 42">
            <a:extLst>
              <a:ext uri="{FF2B5EF4-FFF2-40B4-BE49-F238E27FC236}">
                <a16:creationId xmlns:a16="http://schemas.microsoft.com/office/drawing/2014/main" id="{764C8B27-3889-4252-8E96-C4D45D23B456}"/>
              </a:ext>
            </a:extLst>
          </xdr:cNvPr>
          <xdr:cNvSpPr txBox="1"/>
        </xdr:nvSpPr>
        <xdr:spPr>
          <a:xfrm>
            <a:off x="6703128" y="68621"/>
            <a:ext cx="924604"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K</a:t>
            </a:r>
            <a:endParaRPr lang="en-IN" sz="1400" b="1"/>
          </a:p>
        </xdr:txBody>
      </xdr:sp>
      <xdr:sp macro="" textlink="">
        <xdr:nvSpPr>
          <xdr:cNvPr id="78" name="TextBox 43">
            <a:extLst>
              <a:ext uri="{FF2B5EF4-FFF2-40B4-BE49-F238E27FC236}">
                <a16:creationId xmlns:a16="http://schemas.microsoft.com/office/drawing/2014/main" id="{F3B088B8-BD48-4D25-8087-A94244F8D03E}"/>
              </a:ext>
            </a:extLst>
          </xdr:cNvPr>
          <xdr:cNvSpPr txBox="1"/>
        </xdr:nvSpPr>
        <xdr:spPr>
          <a:xfrm>
            <a:off x="334927" y="3754271"/>
            <a:ext cx="850337"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L</a:t>
            </a:r>
            <a:endParaRPr lang="en-IN" sz="1400" b="1"/>
          </a:p>
        </xdr:txBody>
      </xdr:sp>
      <xdr:sp macro="" textlink="">
        <xdr:nvSpPr>
          <xdr:cNvPr id="79" name="TextBox 44">
            <a:extLst>
              <a:ext uri="{FF2B5EF4-FFF2-40B4-BE49-F238E27FC236}">
                <a16:creationId xmlns:a16="http://schemas.microsoft.com/office/drawing/2014/main" id="{B43B336B-9366-4AA5-BF24-9A0933994643}"/>
              </a:ext>
            </a:extLst>
          </xdr:cNvPr>
          <xdr:cNvSpPr txBox="1"/>
        </xdr:nvSpPr>
        <xdr:spPr>
          <a:xfrm>
            <a:off x="2001246" y="5807581"/>
            <a:ext cx="1078182"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t>Wing M</a:t>
            </a:r>
            <a:endParaRPr lang="en-IN" sz="1400" b="1"/>
          </a:p>
        </xdr:txBody>
      </xdr:sp>
      <xdr:sp macro="" textlink="">
        <xdr:nvSpPr>
          <xdr:cNvPr id="80" name="TextBox 45">
            <a:extLst>
              <a:ext uri="{FF2B5EF4-FFF2-40B4-BE49-F238E27FC236}">
                <a16:creationId xmlns:a16="http://schemas.microsoft.com/office/drawing/2014/main" id="{B9E37D52-E1D1-40D0-8586-50B3EFD43D27}"/>
              </a:ext>
            </a:extLst>
          </xdr:cNvPr>
          <xdr:cNvSpPr txBox="1"/>
        </xdr:nvSpPr>
        <xdr:spPr>
          <a:xfrm>
            <a:off x="3550296" y="3792580"/>
            <a:ext cx="946339" cy="386813"/>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N</a:t>
            </a:r>
            <a:endParaRPr lang="en-IN" sz="1400" b="1"/>
          </a:p>
        </xdr:txBody>
      </xdr:sp>
    </xdr:grpSp>
    <xdr:clientData/>
  </xdr:twoCellAnchor>
  <xdr:twoCellAnchor editAs="oneCell">
    <xdr:from>
      <xdr:col>8</xdr:col>
      <xdr:colOff>818606</xdr:colOff>
      <xdr:row>13</xdr:row>
      <xdr:rowOff>134984</xdr:rowOff>
    </xdr:from>
    <xdr:to>
      <xdr:col>30</xdr:col>
      <xdr:colOff>538325</xdr:colOff>
      <xdr:row>26</xdr:row>
      <xdr:rowOff>144341</xdr:rowOff>
    </xdr:to>
    <xdr:pic>
      <xdr:nvPicPr>
        <xdr:cNvPr id="28" name="Picture 27">
          <a:extLst>
            <a:ext uri="{FF2B5EF4-FFF2-40B4-BE49-F238E27FC236}">
              <a16:creationId xmlns:a16="http://schemas.microsoft.com/office/drawing/2014/main" id="{9C6D3404-0157-E9EF-A27A-E39CA1E905F6}"/>
            </a:ext>
          </a:extLst>
        </xdr:cNvPr>
        <xdr:cNvPicPr>
          <a:picLocks noChangeAspect="1"/>
        </xdr:cNvPicPr>
      </xdr:nvPicPr>
      <xdr:blipFill>
        <a:blip xmlns:r="http://schemas.openxmlformats.org/officeDocument/2006/relationships" r:embed="rId43"/>
        <a:stretch>
          <a:fillRect/>
        </a:stretch>
      </xdr:blipFill>
      <xdr:spPr>
        <a:xfrm>
          <a:off x="8103326" y="5225144"/>
          <a:ext cx="11888859" cy="3834597"/>
        </a:xfrm>
        <a:prstGeom prst="rect">
          <a:avLst/>
        </a:prstGeom>
      </xdr:spPr>
    </xdr:pic>
    <xdr:clientData/>
  </xdr:twoCellAnchor>
  <xdr:twoCellAnchor>
    <xdr:from>
      <xdr:col>0</xdr:col>
      <xdr:colOff>593911</xdr:colOff>
      <xdr:row>740</xdr:row>
      <xdr:rowOff>67235</xdr:rowOff>
    </xdr:from>
    <xdr:to>
      <xdr:col>7</xdr:col>
      <xdr:colOff>997324</xdr:colOff>
      <xdr:row>778</xdr:row>
      <xdr:rowOff>100852</xdr:rowOff>
    </xdr:to>
    <xdr:grpSp>
      <xdr:nvGrpSpPr>
        <xdr:cNvPr id="32" name="Group 31">
          <a:extLst>
            <a:ext uri="{FF2B5EF4-FFF2-40B4-BE49-F238E27FC236}">
              <a16:creationId xmlns:a16="http://schemas.microsoft.com/office/drawing/2014/main" id="{8C4E3326-7347-5524-BE8F-711EBA3D5D53}"/>
            </a:ext>
          </a:extLst>
        </xdr:cNvPr>
        <xdr:cNvGrpSpPr/>
      </xdr:nvGrpSpPr>
      <xdr:grpSpPr>
        <a:xfrm>
          <a:off x="593911" y="161042666"/>
          <a:ext cx="6347013" cy="7606724"/>
          <a:chOff x="593911" y="158321188"/>
          <a:chExt cx="6338048" cy="7528111"/>
        </a:xfrm>
      </xdr:grpSpPr>
      <xdr:grpSp>
        <xdr:nvGrpSpPr>
          <xdr:cNvPr id="54" name="Group 53">
            <a:extLst>
              <a:ext uri="{FF2B5EF4-FFF2-40B4-BE49-F238E27FC236}">
                <a16:creationId xmlns:a16="http://schemas.microsoft.com/office/drawing/2014/main" id="{00000000-0008-0000-0000-000036000000}"/>
              </a:ext>
            </a:extLst>
          </xdr:cNvPr>
          <xdr:cNvGrpSpPr/>
        </xdr:nvGrpSpPr>
        <xdr:grpSpPr>
          <a:xfrm>
            <a:off x="593911" y="158321188"/>
            <a:ext cx="6338048" cy="7528111"/>
            <a:chOff x="753787" y="485775"/>
            <a:chExt cx="5760000" cy="7069920"/>
          </a:xfrm>
        </xdr:grpSpPr>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4"/>
            <a:stretch>
              <a:fillRect/>
            </a:stretch>
          </xdr:blipFill>
          <xdr:spPr>
            <a:xfrm>
              <a:off x="1113787" y="3752850"/>
              <a:ext cx="5040000" cy="3802845"/>
            </a:xfrm>
            <a:prstGeom prst="rect">
              <a:avLst/>
            </a:prstGeom>
            <a:ln>
              <a:solidFill>
                <a:schemeClr val="tx1"/>
              </a:solidFill>
            </a:ln>
          </xdr:spPr>
        </xdr:pic>
        <xdr:grpSp>
          <xdr:nvGrpSpPr>
            <xdr:cNvPr id="56" name="Group 55">
              <a:extLst>
                <a:ext uri="{FF2B5EF4-FFF2-40B4-BE49-F238E27FC236}">
                  <a16:creationId xmlns:a16="http://schemas.microsoft.com/office/drawing/2014/main" id="{00000000-0008-0000-0000-000038000000}"/>
                </a:ext>
              </a:extLst>
            </xdr:cNvPr>
            <xdr:cNvGrpSpPr/>
          </xdr:nvGrpSpPr>
          <xdr:grpSpPr>
            <a:xfrm>
              <a:off x="753787" y="485775"/>
              <a:ext cx="5760000" cy="3093650"/>
              <a:chOff x="753787" y="485775"/>
              <a:chExt cx="5760000" cy="3093650"/>
            </a:xfrm>
          </xdr:grpSpPr>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5"/>
              <a:stretch>
                <a:fillRect/>
              </a:stretch>
            </xdr:blipFill>
            <xdr:spPr>
              <a:xfrm>
                <a:off x="753787" y="485775"/>
                <a:ext cx="5760000" cy="3093650"/>
              </a:xfrm>
              <a:prstGeom prst="rect">
                <a:avLst/>
              </a:prstGeom>
              <a:ln>
                <a:solidFill>
                  <a:schemeClr val="tx1"/>
                </a:solidFill>
              </a:ln>
            </xdr:spPr>
          </xdr:pic>
          <xdr:sp macro="" textlink="">
            <xdr:nvSpPr>
              <xdr:cNvPr id="58" name="Rectangle 57">
                <a:extLst>
                  <a:ext uri="{FF2B5EF4-FFF2-40B4-BE49-F238E27FC236}">
                    <a16:creationId xmlns:a16="http://schemas.microsoft.com/office/drawing/2014/main" id="{00000000-0008-0000-0000-00003A000000}"/>
                  </a:ext>
                </a:extLst>
              </xdr:cNvPr>
              <xdr:cNvSpPr/>
            </xdr:nvSpPr>
            <xdr:spPr>
              <a:xfrm>
                <a:off x="1585913" y="1367480"/>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9" name="Rectangle 58">
                <a:extLst>
                  <a:ext uri="{FF2B5EF4-FFF2-40B4-BE49-F238E27FC236}">
                    <a16:creationId xmlns:a16="http://schemas.microsoft.com/office/drawing/2014/main" id="{00000000-0008-0000-0000-00003B000000}"/>
                  </a:ext>
                </a:extLst>
              </xdr:cNvPr>
              <xdr:cNvSpPr/>
            </xdr:nvSpPr>
            <xdr:spPr>
              <a:xfrm>
                <a:off x="1790701" y="1954600"/>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0" name="Rectangle 59">
                <a:extLst>
                  <a:ext uri="{FF2B5EF4-FFF2-40B4-BE49-F238E27FC236}">
                    <a16:creationId xmlns:a16="http://schemas.microsoft.com/office/drawing/2014/main" id="{00000000-0008-0000-0000-00003C000000}"/>
                  </a:ext>
                </a:extLst>
              </xdr:cNvPr>
              <xdr:cNvSpPr/>
            </xdr:nvSpPr>
            <xdr:spPr>
              <a:xfrm>
                <a:off x="2581276" y="1954599"/>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a:off x="3502164" y="1954596"/>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2" name="Rectangle 61">
                <a:extLst>
                  <a:ext uri="{FF2B5EF4-FFF2-40B4-BE49-F238E27FC236}">
                    <a16:creationId xmlns:a16="http://schemas.microsoft.com/office/drawing/2014/main" id="{00000000-0008-0000-0000-00003E000000}"/>
                  </a:ext>
                </a:extLst>
              </xdr:cNvPr>
              <xdr:cNvSpPr/>
            </xdr:nvSpPr>
            <xdr:spPr>
              <a:xfrm>
                <a:off x="4351615" y="1954598"/>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Rectangle 62">
                <a:extLst>
                  <a:ext uri="{FF2B5EF4-FFF2-40B4-BE49-F238E27FC236}">
                    <a16:creationId xmlns:a16="http://schemas.microsoft.com/office/drawing/2014/main" id="{00000000-0008-0000-0000-00003F000000}"/>
                  </a:ext>
                </a:extLst>
              </xdr:cNvPr>
              <xdr:cNvSpPr/>
            </xdr:nvSpPr>
            <xdr:spPr>
              <a:xfrm>
                <a:off x="5142190" y="1954597"/>
                <a:ext cx="719137" cy="461963"/>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4" name="TextBox 11">
                <a:extLst>
                  <a:ext uri="{FF2B5EF4-FFF2-40B4-BE49-F238E27FC236}">
                    <a16:creationId xmlns:a16="http://schemas.microsoft.com/office/drawing/2014/main" id="{00000000-0008-0000-0000-000040000000}"/>
                  </a:ext>
                </a:extLst>
              </xdr:cNvPr>
              <xdr:cNvSpPr txBox="1"/>
            </xdr:nvSpPr>
            <xdr:spPr>
              <a:xfrm>
                <a:off x="1624771" y="1009155"/>
                <a:ext cx="595035" cy="253916"/>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N</a:t>
                </a:r>
                <a:endParaRPr lang="en-IN" sz="1050" b="1"/>
              </a:p>
            </xdr:txBody>
          </xdr:sp>
          <xdr:sp macro="" textlink="">
            <xdr:nvSpPr>
              <xdr:cNvPr id="65" name="TextBox 12">
                <a:extLst>
                  <a:ext uri="{FF2B5EF4-FFF2-40B4-BE49-F238E27FC236}">
                    <a16:creationId xmlns:a16="http://schemas.microsoft.com/office/drawing/2014/main" id="{00000000-0008-0000-0000-000041000000}"/>
                  </a:ext>
                </a:extLst>
              </xdr:cNvPr>
              <xdr:cNvSpPr txBox="1"/>
            </xdr:nvSpPr>
            <xdr:spPr>
              <a:xfrm>
                <a:off x="1890809" y="2477942"/>
                <a:ext cx="623889" cy="253916"/>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M</a:t>
                </a:r>
                <a:endParaRPr lang="en-IN" sz="1050" b="1"/>
              </a:p>
            </xdr:txBody>
          </xdr:sp>
          <xdr:sp macro="" textlink="">
            <xdr:nvSpPr>
              <xdr:cNvPr id="66" name="TextBox 13">
                <a:extLst>
                  <a:ext uri="{FF2B5EF4-FFF2-40B4-BE49-F238E27FC236}">
                    <a16:creationId xmlns:a16="http://schemas.microsoft.com/office/drawing/2014/main" id="{00000000-0008-0000-0000-000042000000}"/>
                  </a:ext>
                </a:extLst>
              </xdr:cNvPr>
              <xdr:cNvSpPr txBox="1"/>
            </xdr:nvSpPr>
            <xdr:spPr>
              <a:xfrm>
                <a:off x="2664715" y="2476399"/>
                <a:ext cx="564578" cy="253916"/>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L</a:t>
                </a:r>
                <a:endParaRPr lang="en-IN" sz="1050" b="1"/>
              </a:p>
            </xdr:txBody>
          </xdr:sp>
          <xdr:sp macro="" textlink="">
            <xdr:nvSpPr>
              <xdr:cNvPr id="67" name="TextBox 14">
                <a:extLst>
                  <a:ext uri="{FF2B5EF4-FFF2-40B4-BE49-F238E27FC236}">
                    <a16:creationId xmlns:a16="http://schemas.microsoft.com/office/drawing/2014/main" id="{00000000-0008-0000-0000-000043000000}"/>
                  </a:ext>
                </a:extLst>
              </xdr:cNvPr>
              <xdr:cNvSpPr txBox="1"/>
            </xdr:nvSpPr>
            <xdr:spPr>
              <a:xfrm>
                <a:off x="3587600" y="2476399"/>
                <a:ext cx="580608" cy="253916"/>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K</a:t>
                </a:r>
                <a:endParaRPr lang="en-IN" sz="1050" b="1"/>
              </a:p>
            </xdr:txBody>
          </xdr:sp>
          <xdr:sp macro="" textlink="">
            <xdr:nvSpPr>
              <xdr:cNvPr id="68" name="TextBox 15">
                <a:extLst>
                  <a:ext uri="{FF2B5EF4-FFF2-40B4-BE49-F238E27FC236}">
                    <a16:creationId xmlns:a16="http://schemas.microsoft.com/office/drawing/2014/main" id="{00000000-0008-0000-0000-000044000000}"/>
                  </a:ext>
                </a:extLst>
              </xdr:cNvPr>
              <xdr:cNvSpPr txBox="1"/>
            </xdr:nvSpPr>
            <xdr:spPr>
              <a:xfrm>
                <a:off x="4420766" y="2481280"/>
                <a:ext cx="551754" cy="253916"/>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J</a:t>
                </a:r>
                <a:endParaRPr lang="en-IN" sz="1050" b="1"/>
              </a:p>
            </xdr:txBody>
          </xdr:sp>
          <xdr:sp macro="" textlink="">
            <xdr:nvSpPr>
              <xdr:cNvPr id="69" name="TextBox 16">
                <a:extLst>
                  <a:ext uri="{FF2B5EF4-FFF2-40B4-BE49-F238E27FC236}">
                    <a16:creationId xmlns:a16="http://schemas.microsoft.com/office/drawing/2014/main" id="{00000000-0008-0000-0000-000045000000}"/>
                  </a:ext>
                </a:extLst>
              </xdr:cNvPr>
              <xdr:cNvSpPr txBox="1"/>
            </xdr:nvSpPr>
            <xdr:spPr>
              <a:xfrm>
                <a:off x="5268345" y="2476399"/>
                <a:ext cx="559769" cy="261610"/>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t>Wing I</a:t>
                </a:r>
                <a:endParaRPr lang="en-IN" sz="1050" b="1"/>
              </a:p>
            </xdr:txBody>
          </xdr:sp>
        </xdr:grpSp>
      </xdr:grpSp>
      <xdr:grpSp>
        <xdr:nvGrpSpPr>
          <xdr:cNvPr id="29" name="Group 28">
            <a:extLst>
              <a:ext uri="{FF2B5EF4-FFF2-40B4-BE49-F238E27FC236}">
                <a16:creationId xmlns:a16="http://schemas.microsoft.com/office/drawing/2014/main" id="{5A16578E-83C4-E8A4-6245-7A1F1AA4EDC6}"/>
              </a:ext>
            </a:extLst>
          </xdr:cNvPr>
          <xdr:cNvGrpSpPr/>
        </xdr:nvGrpSpPr>
        <xdr:grpSpPr>
          <a:xfrm rot="16200000">
            <a:off x="826995" y="158428763"/>
            <a:ext cx="497545" cy="655384"/>
            <a:chOff x="141426" y="-157281"/>
            <a:chExt cx="474784" cy="1083380"/>
          </a:xfrm>
        </xdr:grpSpPr>
        <xdr:sp macro="" textlink="">
          <xdr:nvSpPr>
            <xdr:cNvPr id="30" name="Right Arrow 46">
              <a:extLst>
                <a:ext uri="{FF2B5EF4-FFF2-40B4-BE49-F238E27FC236}">
                  <a16:creationId xmlns:a16="http://schemas.microsoft.com/office/drawing/2014/main" id="{D5F1198D-EB39-4DF9-EB6D-53927D251201}"/>
                </a:ext>
              </a:extLst>
            </xdr:cNvPr>
            <xdr:cNvSpPr/>
          </xdr:nvSpPr>
          <xdr:spPr>
            <a:xfrm rot="16200000">
              <a:off x="215550" y="630633"/>
              <a:ext cx="386861" cy="204072"/>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r"/>
              <a:endParaRPr lang="en-IN" sz="1400"/>
            </a:p>
          </xdr:txBody>
        </xdr:sp>
        <xdr:sp macro="" textlink="">
          <xdr:nvSpPr>
            <xdr:cNvPr id="31" name="TextBox 7">
              <a:extLst>
                <a:ext uri="{FF2B5EF4-FFF2-40B4-BE49-F238E27FC236}">
                  <a16:creationId xmlns:a16="http://schemas.microsoft.com/office/drawing/2014/main" id="{FA9A0E43-95D1-D385-AEC5-F1D85732981A}"/>
                </a:ext>
              </a:extLst>
            </xdr:cNvPr>
            <xdr:cNvSpPr txBox="1"/>
          </xdr:nvSpPr>
          <xdr:spPr>
            <a:xfrm>
              <a:off x="141426" y="-157281"/>
              <a:ext cx="474784" cy="763154"/>
            </a:xfrm>
            <a:prstGeom prst="rect">
              <a:avLst/>
            </a:prstGeom>
            <a:noFill/>
          </xdr:spPr>
          <xdr:txBody>
            <a:bodyPr wrap="square" rtlCol="0">
              <a:spAutoFit/>
            </a:bodyPr>
            <a:lstStyle>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a:pPr algn="r"/>
              <a:r>
                <a:rPr lang="en-US" sz="2400" b="1">
                  <a:latin typeface="Times New Roman" panose="02020603050405020304" pitchFamily="18" charset="0"/>
                  <a:cs typeface="Times New Roman" panose="02020603050405020304" pitchFamily="18" charset="0"/>
                </a:rPr>
                <a:t>N</a:t>
              </a:r>
              <a:endParaRPr lang="en-IN" sz="2400" b="1">
                <a:latin typeface="Times New Roman" panose="02020603050405020304" pitchFamily="18" charset="0"/>
                <a:cs typeface="Times New Roman" panose="02020603050405020304" pitchFamily="18" charset="0"/>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66736</xdr:rowOff>
    </xdr:from>
    <xdr:to>
      <xdr:col>6</xdr:col>
      <xdr:colOff>669</xdr:colOff>
      <xdr:row>34</xdr:row>
      <xdr:rowOff>47236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9783" y="2551519"/>
          <a:ext cx="6403125" cy="3600000"/>
        </a:xfrm>
        <a:prstGeom prst="rect">
          <a:avLst/>
        </a:prstGeom>
        <a:ln>
          <a:solidFill>
            <a:schemeClr val="tx1"/>
          </a:solidFill>
        </a:ln>
      </xdr:spPr>
    </xdr:pic>
    <xdr:clientData/>
  </xdr:twoCellAnchor>
  <xdr:twoCellAnchor editAs="oneCell">
    <xdr:from>
      <xdr:col>1</xdr:col>
      <xdr:colOff>79523</xdr:colOff>
      <xdr:row>35</xdr:row>
      <xdr:rowOff>64245</xdr:rowOff>
    </xdr:from>
    <xdr:to>
      <xdr:col>6</xdr:col>
      <xdr:colOff>80192</xdr:colOff>
      <xdr:row>54</xdr:row>
      <xdr:rowOff>44745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59306" y="6359028"/>
          <a:ext cx="6403125" cy="3600000"/>
        </a:xfrm>
        <a:prstGeom prst="rect">
          <a:avLst/>
        </a:prstGeom>
        <a:ln>
          <a:solidFill>
            <a:schemeClr val="tx1"/>
          </a:solidFill>
        </a:ln>
      </xdr:spPr>
    </xdr:pic>
    <xdr:clientData/>
  </xdr:twoCellAnchor>
  <xdr:twoCellAnchor editAs="oneCell">
    <xdr:from>
      <xdr:col>6</xdr:col>
      <xdr:colOff>436374</xdr:colOff>
      <xdr:row>15</xdr:row>
      <xdr:rowOff>0</xdr:rowOff>
    </xdr:from>
    <xdr:to>
      <xdr:col>15</xdr:col>
      <xdr:colOff>354216</xdr:colOff>
      <xdr:row>33</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418613" y="2484783"/>
          <a:ext cx="6403125" cy="3600000"/>
        </a:xfrm>
        <a:prstGeom prst="rect">
          <a:avLst/>
        </a:prstGeom>
        <a:ln>
          <a:solidFill>
            <a:schemeClr val="tx1"/>
          </a:solidFill>
        </a:ln>
      </xdr:spPr>
    </xdr:pic>
    <xdr:clientData/>
  </xdr:twoCellAnchor>
  <xdr:twoCellAnchor editAs="oneCell">
    <xdr:from>
      <xdr:col>6</xdr:col>
      <xdr:colOff>501392</xdr:colOff>
      <xdr:row>34</xdr:row>
      <xdr:rowOff>141801</xdr:rowOff>
    </xdr:from>
    <xdr:to>
      <xdr:col>15</xdr:col>
      <xdr:colOff>419234</xdr:colOff>
      <xdr:row>53</xdr:row>
      <xdr:rowOff>122301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7483631" y="6246084"/>
          <a:ext cx="6403125" cy="3600000"/>
        </a:xfrm>
        <a:prstGeom prst="rect">
          <a:avLst/>
        </a:prstGeom>
        <a:ln>
          <a:solidFill>
            <a:schemeClr val="tx1"/>
          </a:solidFill>
        </a:ln>
      </xdr:spPr>
    </xdr:pic>
    <xdr:clientData/>
  </xdr:twoCellAnchor>
  <xdr:twoCellAnchor editAs="oneCell">
    <xdr:from>
      <xdr:col>1</xdr:col>
      <xdr:colOff>11348</xdr:colOff>
      <xdr:row>75</xdr:row>
      <xdr:rowOff>104356</xdr:rowOff>
    </xdr:from>
    <xdr:to>
      <xdr:col>6</xdr:col>
      <xdr:colOff>12017</xdr:colOff>
      <xdr:row>94</xdr:row>
      <xdr:rowOff>84856</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591131" y="14400139"/>
          <a:ext cx="6403125" cy="3600000"/>
        </a:xfrm>
        <a:prstGeom prst="rect">
          <a:avLst/>
        </a:prstGeom>
        <a:ln>
          <a:solidFill>
            <a:schemeClr val="tx1"/>
          </a:solidFill>
        </a:ln>
      </xdr:spPr>
    </xdr:pic>
    <xdr:clientData/>
  </xdr:twoCellAnchor>
  <xdr:twoCellAnchor editAs="oneCell">
    <xdr:from>
      <xdr:col>1</xdr:col>
      <xdr:colOff>0</xdr:colOff>
      <xdr:row>55</xdr:row>
      <xdr:rowOff>0</xdr:rowOff>
    </xdr:from>
    <xdr:to>
      <xdr:col>6</xdr:col>
      <xdr:colOff>669</xdr:colOff>
      <xdr:row>73</xdr:row>
      <xdr:rowOff>171000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579783" y="1048578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kE3uwr8WjmjGTeu6"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781"/>
  <sheetViews>
    <sheetView tabSelected="1" view="pageBreakPreview" topLeftCell="B182" zoomScale="130" zoomScaleNormal="100" zoomScaleSheetLayoutView="130" zoomScalePageLayoutView="85" workbookViewId="0">
      <selection activeCell="K192" sqref="K192"/>
    </sheetView>
  </sheetViews>
  <sheetFormatPr defaultColWidth="9.109375" defaultRowHeight="15.6" x14ac:dyDescent="0.3"/>
  <cols>
    <col min="1" max="1" width="11.44140625" style="58" customWidth="1"/>
    <col min="2" max="2" width="13.88671875" style="58" customWidth="1"/>
    <col min="3" max="3" width="12.6640625" style="58" customWidth="1"/>
    <col min="4" max="4" width="12.88671875" style="58" customWidth="1"/>
    <col min="5" max="5" width="12.33203125" style="58" customWidth="1"/>
    <col min="6" max="7" width="11.6640625" style="58" customWidth="1"/>
    <col min="8" max="8" width="19.6640625" style="58" customWidth="1"/>
    <col min="9" max="9" width="20.44140625" style="33" customWidth="1"/>
    <col min="10" max="10" width="16.109375" style="33" customWidth="1"/>
    <col min="11" max="11" width="10.5546875" style="33" bestFit="1" customWidth="1"/>
    <col min="12" max="12" width="11.88671875" style="33" bestFit="1" customWidth="1"/>
    <col min="13" max="18" width="9.109375" style="33"/>
    <col min="19" max="19" width="11.109375" style="33" hidden="1" customWidth="1"/>
    <col min="20" max="21" width="9.109375" style="33" hidden="1" customWidth="1"/>
    <col min="22" max="22" width="10.6640625" style="33" hidden="1" customWidth="1"/>
    <col min="23" max="23" width="13.44140625" style="33" hidden="1" customWidth="1"/>
    <col min="24" max="254" width="9.109375" style="33"/>
    <col min="255" max="255" width="8.6640625" style="33" customWidth="1"/>
    <col min="256" max="256" width="9.88671875" style="33" customWidth="1"/>
    <col min="257" max="257" width="14.44140625" style="33" customWidth="1"/>
    <col min="258" max="258" width="7.33203125" style="33" customWidth="1"/>
    <col min="259" max="259" width="5.5546875" style="33" customWidth="1"/>
    <col min="260" max="260" width="9" style="33" customWidth="1"/>
    <col min="261" max="262" width="9.88671875" style="33" customWidth="1"/>
    <col min="263" max="263" width="11.109375" style="33" customWidth="1"/>
    <col min="264" max="264" width="2.88671875" style="33" customWidth="1"/>
    <col min="265" max="265" width="3.5546875" style="33" customWidth="1"/>
    <col min="266" max="510" width="9.109375" style="33"/>
    <col min="511" max="511" width="8.6640625" style="33" customWidth="1"/>
    <col min="512" max="512" width="9.88671875" style="33" customWidth="1"/>
    <col min="513" max="513" width="14.44140625" style="33" customWidth="1"/>
    <col min="514" max="514" width="7.33203125" style="33" customWidth="1"/>
    <col min="515" max="515" width="5.5546875" style="33" customWidth="1"/>
    <col min="516" max="516" width="9" style="33" customWidth="1"/>
    <col min="517" max="518" width="9.88671875" style="33" customWidth="1"/>
    <col min="519" max="519" width="11.109375" style="33" customWidth="1"/>
    <col min="520" max="520" width="2.88671875" style="33" customWidth="1"/>
    <col min="521" max="521" width="3.5546875" style="33" customWidth="1"/>
    <col min="522" max="766" width="9.109375" style="33"/>
    <col min="767" max="767" width="8.6640625" style="33" customWidth="1"/>
    <col min="768" max="768" width="9.88671875" style="33" customWidth="1"/>
    <col min="769" max="769" width="14.44140625" style="33" customWidth="1"/>
    <col min="770" max="770" width="7.33203125" style="33" customWidth="1"/>
    <col min="771" max="771" width="5.5546875" style="33" customWidth="1"/>
    <col min="772" max="772" width="9" style="33" customWidth="1"/>
    <col min="773" max="774" width="9.88671875" style="33" customWidth="1"/>
    <col min="775" max="775" width="11.109375" style="33" customWidth="1"/>
    <col min="776" max="776" width="2.88671875" style="33" customWidth="1"/>
    <col min="777" max="777" width="3.5546875" style="33" customWidth="1"/>
    <col min="778" max="1022" width="9.109375" style="33"/>
    <col min="1023" max="1023" width="8.6640625" style="33" customWidth="1"/>
    <col min="1024" max="1024" width="9.88671875" style="33" customWidth="1"/>
    <col min="1025" max="1025" width="14.44140625" style="33" customWidth="1"/>
    <col min="1026" max="1026" width="7.33203125" style="33" customWidth="1"/>
    <col min="1027" max="1027" width="5.5546875" style="33" customWidth="1"/>
    <col min="1028" max="1028" width="9" style="33" customWidth="1"/>
    <col min="1029" max="1030" width="9.88671875" style="33" customWidth="1"/>
    <col min="1031" max="1031" width="11.109375" style="33" customWidth="1"/>
    <col min="1032" max="1032" width="2.88671875" style="33" customWidth="1"/>
    <col min="1033" max="1033" width="3.5546875" style="33" customWidth="1"/>
    <col min="1034" max="1278" width="9.109375" style="33"/>
    <col min="1279" max="1279" width="8.6640625" style="33" customWidth="1"/>
    <col min="1280" max="1280" width="9.88671875" style="33" customWidth="1"/>
    <col min="1281" max="1281" width="14.44140625" style="33" customWidth="1"/>
    <col min="1282" max="1282" width="7.33203125" style="33" customWidth="1"/>
    <col min="1283" max="1283" width="5.5546875" style="33" customWidth="1"/>
    <col min="1284" max="1284" width="9" style="33" customWidth="1"/>
    <col min="1285" max="1286" width="9.88671875" style="33" customWidth="1"/>
    <col min="1287" max="1287" width="11.109375" style="33" customWidth="1"/>
    <col min="1288" max="1288" width="2.88671875" style="33" customWidth="1"/>
    <col min="1289" max="1289" width="3.5546875" style="33" customWidth="1"/>
    <col min="1290" max="1534" width="9.109375" style="33"/>
    <col min="1535" max="1535" width="8.6640625" style="33" customWidth="1"/>
    <col min="1536" max="1536" width="9.88671875" style="33" customWidth="1"/>
    <col min="1537" max="1537" width="14.44140625" style="33" customWidth="1"/>
    <col min="1538" max="1538" width="7.33203125" style="33" customWidth="1"/>
    <col min="1539" max="1539" width="5.5546875" style="33" customWidth="1"/>
    <col min="1540" max="1540" width="9" style="33" customWidth="1"/>
    <col min="1541" max="1542" width="9.88671875" style="33" customWidth="1"/>
    <col min="1543" max="1543" width="11.109375" style="33" customWidth="1"/>
    <col min="1544" max="1544" width="2.88671875" style="33" customWidth="1"/>
    <col min="1545" max="1545" width="3.5546875" style="33" customWidth="1"/>
    <col min="1546" max="1790" width="9.109375" style="33"/>
    <col min="1791" max="1791" width="8.6640625" style="33" customWidth="1"/>
    <col min="1792" max="1792" width="9.88671875" style="33" customWidth="1"/>
    <col min="1793" max="1793" width="14.44140625" style="33" customWidth="1"/>
    <col min="1794" max="1794" width="7.33203125" style="33" customWidth="1"/>
    <col min="1795" max="1795" width="5.5546875" style="33" customWidth="1"/>
    <col min="1796" max="1796" width="9" style="33" customWidth="1"/>
    <col min="1797" max="1798" width="9.88671875" style="33" customWidth="1"/>
    <col min="1799" max="1799" width="11.109375" style="33" customWidth="1"/>
    <col min="1800" max="1800" width="2.88671875" style="33" customWidth="1"/>
    <col min="1801" max="1801" width="3.5546875" style="33" customWidth="1"/>
    <col min="1802" max="2046" width="9.109375" style="33"/>
    <col min="2047" max="2047" width="8.6640625" style="33" customWidth="1"/>
    <col min="2048" max="2048" width="9.88671875" style="33" customWidth="1"/>
    <col min="2049" max="2049" width="14.44140625" style="33" customWidth="1"/>
    <col min="2050" max="2050" width="7.33203125" style="33" customWidth="1"/>
    <col min="2051" max="2051" width="5.5546875" style="33" customWidth="1"/>
    <col min="2052" max="2052" width="9" style="33" customWidth="1"/>
    <col min="2053" max="2054" width="9.88671875" style="33" customWidth="1"/>
    <col min="2055" max="2055" width="11.109375" style="33" customWidth="1"/>
    <col min="2056" max="2056" width="2.88671875" style="33" customWidth="1"/>
    <col min="2057" max="2057" width="3.5546875" style="33" customWidth="1"/>
    <col min="2058" max="2302" width="9.109375" style="33"/>
    <col min="2303" max="2303" width="8.6640625" style="33" customWidth="1"/>
    <col min="2304" max="2304" width="9.88671875" style="33" customWidth="1"/>
    <col min="2305" max="2305" width="14.44140625" style="33" customWidth="1"/>
    <col min="2306" max="2306" width="7.33203125" style="33" customWidth="1"/>
    <col min="2307" max="2307" width="5.5546875" style="33" customWidth="1"/>
    <col min="2308" max="2308" width="9" style="33" customWidth="1"/>
    <col min="2309" max="2310" width="9.88671875" style="33" customWidth="1"/>
    <col min="2311" max="2311" width="11.109375" style="33" customWidth="1"/>
    <col min="2312" max="2312" width="2.88671875" style="33" customWidth="1"/>
    <col min="2313" max="2313" width="3.5546875" style="33" customWidth="1"/>
    <col min="2314" max="2558" width="9.109375" style="33"/>
    <col min="2559" max="2559" width="8.6640625" style="33" customWidth="1"/>
    <col min="2560" max="2560" width="9.88671875" style="33" customWidth="1"/>
    <col min="2561" max="2561" width="14.44140625" style="33" customWidth="1"/>
    <col min="2562" max="2562" width="7.33203125" style="33" customWidth="1"/>
    <col min="2563" max="2563" width="5.5546875" style="33" customWidth="1"/>
    <col min="2564" max="2564" width="9" style="33" customWidth="1"/>
    <col min="2565" max="2566" width="9.88671875" style="33" customWidth="1"/>
    <col min="2567" max="2567" width="11.109375" style="33" customWidth="1"/>
    <col min="2568" max="2568" width="2.88671875" style="33" customWidth="1"/>
    <col min="2569" max="2569" width="3.5546875" style="33" customWidth="1"/>
    <col min="2570" max="2814" width="9.109375" style="33"/>
    <col min="2815" max="2815" width="8.6640625" style="33" customWidth="1"/>
    <col min="2816" max="2816" width="9.88671875" style="33" customWidth="1"/>
    <col min="2817" max="2817" width="14.44140625" style="33" customWidth="1"/>
    <col min="2818" max="2818" width="7.33203125" style="33" customWidth="1"/>
    <col min="2819" max="2819" width="5.5546875" style="33" customWidth="1"/>
    <col min="2820" max="2820" width="9" style="33" customWidth="1"/>
    <col min="2821" max="2822" width="9.88671875" style="33" customWidth="1"/>
    <col min="2823" max="2823" width="11.109375" style="33" customWidth="1"/>
    <col min="2824" max="2824" width="2.88671875" style="33" customWidth="1"/>
    <col min="2825" max="2825" width="3.5546875" style="33" customWidth="1"/>
    <col min="2826" max="3070" width="9.109375" style="33"/>
    <col min="3071" max="3071" width="8.6640625" style="33" customWidth="1"/>
    <col min="3072" max="3072" width="9.88671875" style="33" customWidth="1"/>
    <col min="3073" max="3073" width="14.44140625" style="33" customWidth="1"/>
    <col min="3074" max="3074" width="7.33203125" style="33" customWidth="1"/>
    <col min="3075" max="3075" width="5.5546875" style="33" customWidth="1"/>
    <col min="3076" max="3076" width="9" style="33" customWidth="1"/>
    <col min="3077" max="3078" width="9.88671875" style="33" customWidth="1"/>
    <col min="3079" max="3079" width="11.109375" style="33" customWidth="1"/>
    <col min="3080" max="3080" width="2.88671875" style="33" customWidth="1"/>
    <col min="3081" max="3081" width="3.5546875" style="33" customWidth="1"/>
    <col min="3082" max="3326" width="9.109375" style="33"/>
    <col min="3327" max="3327" width="8.6640625" style="33" customWidth="1"/>
    <col min="3328" max="3328" width="9.88671875" style="33" customWidth="1"/>
    <col min="3329" max="3329" width="14.44140625" style="33" customWidth="1"/>
    <col min="3330" max="3330" width="7.33203125" style="33" customWidth="1"/>
    <col min="3331" max="3331" width="5.5546875" style="33" customWidth="1"/>
    <col min="3332" max="3332" width="9" style="33" customWidth="1"/>
    <col min="3333" max="3334" width="9.88671875" style="33" customWidth="1"/>
    <col min="3335" max="3335" width="11.109375" style="33" customWidth="1"/>
    <col min="3336" max="3336" width="2.88671875" style="33" customWidth="1"/>
    <col min="3337" max="3337" width="3.5546875" style="33" customWidth="1"/>
    <col min="3338" max="3582" width="9.109375" style="33"/>
    <col min="3583" max="3583" width="8.6640625" style="33" customWidth="1"/>
    <col min="3584" max="3584" width="9.88671875" style="33" customWidth="1"/>
    <col min="3585" max="3585" width="14.44140625" style="33" customWidth="1"/>
    <col min="3586" max="3586" width="7.33203125" style="33" customWidth="1"/>
    <col min="3587" max="3587" width="5.5546875" style="33" customWidth="1"/>
    <col min="3588" max="3588" width="9" style="33" customWidth="1"/>
    <col min="3589" max="3590" width="9.88671875" style="33" customWidth="1"/>
    <col min="3591" max="3591" width="11.109375" style="33" customWidth="1"/>
    <col min="3592" max="3592" width="2.88671875" style="33" customWidth="1"/>
    <col min="3593" max="3593" width="3.5546875" style="33" customWidth="1"/>
    <col min="3594" max="3838" width="9.109375" style="33"/>
    <col min="3839" max="3839" width="8.6640625" style="33" customWidth="1"/>
    <col min="3840" max="3840" width="9.88671875" style="33" customWidth="1"/>
    <col min="3841" max="3841" width="14.44140625" style="33" customWidth="1"/>
    <col min="3842" max="3842" width="7.33203125" style="33" customWidth="1"/>
    <col min="3843" max="3843" width="5.5546875" style="33" customWidth="1"/>
    <col min="3844" max="3844" width="9" style="33" customWidth="1"/>
    <col min="3845" max="3846" width="9.88671875" style="33" customWidth="1"/>
    <col min="3847" max="3847" width="11.109375" style="33" customWidth="1"/>
    <col min="3848" max="3848" width="2.88671875" style="33" customWidth="1"/>
    <col min="3849" max="3849" width="3.5546875" style="33" customWidth="1"/>
    <col min="3850" max="4094" width="9.109375" style="33"/>
    <col min="4095" max="4095" width="8.6640625" style="33" customWidth="1"/>
    <col min="4096" max="4096" width="9.88671875" style="33" customWidth="1"/>
    <col min="4097" max="4097" width="14.44140625" style="33" customWidth="1"/>
    <col min="4098" max="4098" width="7.33203125" style="33" customWidth="1"/>
    <col min="4099" max="4099" width="5.5546875" style="33" customWidth="1"/>
    <col min="4100" max="4100" width="9" style="33" customWidth="1"/>
    <col min="4101" max="4102" width="9.88671875" style="33" customWidth="1"/>
    <col min="4103" max="4103" width="11.109375" style="33" customWidth="1"/>
    <col min="4104" max="4104" width="2.88671875" style="33" customWidth="1"/>
    <col min="4105" max="4105" width="3.5546875" style="33" customWidth="1"/>
    <col min="4106" max="4350" width="9.109375" style="33"/>
    <col min="4351" max="4351" width="8.6640625" style="33" customWidth="1"/>
    <col min="4352" max="4352" width="9.88671875" style="33" customWidth="1"/>
    <col min="4353" max="4353" width="14.44140625" style="33" customWidth="1"/>
    <col min="4354" max="4354" width="7.33203125" style="33" customWidth="1"/>
    <col min="4355" max="4355" width="5.5546875" style="33" customWidth="1"/>
    <col min="4356" max="4356" width="9" style="33" customWidth="1"/>
    <col min="4357" max="4358" width="9.88671875" style="33" customWidth="1"/>
    <col min="4359" max="4359" width="11.109375" style="33" customWidth="1"/>
    <col min="4360" max="4360" width="2.88671875" style="33" customWidth="1"/>
    <col min="4361" max="4361" width="3.5546875" style="33" customWidth="1"/>
    <col min="4362" max="4606" width="9.109375" style="33"/>
    <col min="4607" max="4607" width="8.6640625" style="33" customWidth="1"/>
    <col min="4608" max="4608" width="9.88671875" style="33" customWidth="1"/>
    <col min="4609" max="4609" width="14.44140625" style="33" customWidth="1"/>
    <col min="4610" max="4610" width="7.33203125" style="33" customWidth="1"/>
    <col min="4611" max="4611" width="5.5546875" style="33" customWidth="1"/>
    <col min="4612" max="4612" width="9" style="33" customWidth="1"/>
    <col min="4613" max="4614" width="9.88671875" style="33" customWidth="1"/>
    <col min="4615" max="4615" width="11.109375" style="33" customWidth="1"/>
    <col min="4616" max="4616" width="2.88671875" style="33" customWidth="1"/>
    <col min="4617" max="4617" width="3.5546875" style="33" customWidth="1"/>
    <col min="4618" max="4862" width="9.109375" style="33"/>
    <col min="4863" max="4863" width="8.6640625" style="33" customWidth="1"/>
    <col min="4864" max="4864" width="9.88671875" style="33" customWidth="1"/>
    <col min="4865" max="4865" width="14.44140625" style="33" customWidth="1"/>
    <col min="4866" max="4866" width="7.33203125" style="33" customWidth="1"/>
    <col min="4867" max="4867" width="5.5546875" style="33" customWidth="1"/>
    <col min="4868" max="4868" width="9" style="33" customWidth="1"/>
    <col min="4869" max="4870" width="9.88671875" style="33" customWidth="1"/>
    <col min="4871" max="4871" width="11.109375" style="33" customWidth="1"/>
    <col min="4872" max="4872" width="2.88671875" style="33" customWidth="1"/>
    <col min="4873" max="4873" width="3.5546875" style="33" customWidth="1"/>
    <col min="4874" max="5118" width="9.109375" style="33"/>
    <col min="5119" max="5119" width="8.6640625" style="33" customWidth="1"/>
    <col min="5120" max="5120" width="9.88671875" style="33" customWidth="1"/>
    <col min="5121" max="5121" width="14.44140625" style="33" customWidth="1"/>
    <col min="5122" max="5122" width="7.33203125" style="33" customWidth="1"/>
    <col min="5123" max="5123" width="5.5546875" style="33" customWidth="1"/>
    <col min="5124" max="5124" width="9" style="33" customWidth="1"/>
    <col min="5125" max="5126" width="9.88671875" style="33" customWidth="1"/>
    <col min="5127" max="5127" width="11.109375" style="33" customWidth="1"/>
    <col min="5128" max="5128" width="2.88671875" style="33" customWidth="1"/>
    <col min="5129" max="5129" width="3.5546875" style="33" customWidth="1"/>
    <col min="5130" max="5374" width="9.109375" style="33"/>
    <col min="5375" max="5375" width="8.6640625" style="33" customWidth="1"/>
    <col min="5376" max="5376" width="9.88671875" style="33" customWidth="1"/>
    <col min="5377" max="5377" width="14.44140625" style="33" customWidth="1"/>
    <col min="5378" max="5378" width="7.33203125" style="33" customWidth="1"/>
    <col min="5379" max="5379" width="5.5546875" style="33" customWidth="1"/>
    <col min="5380" max="5380" width="9" style="33" customWidth="1"/>
    <col min="5381" max="5382" width="9.88671875" style="33" customWidth="1"/>
    <col min="5383" max="5383" width="11.109375" style="33" customWidth="1"/>
    <col min="5384" max="5384" width="2.88671875" style="33" customWidth="1"/>
    <col min="5385" max="5385" width="3.5546875" style="33" customWidth="1"/>
    <col min="5386" max="5630" width="9.109375" style="33"/>
    <col min="5631" max="5631" width="8.6640625" style="33" customWidth="1"/>
    <col min="5632" max="5632" width="9.88671875" style="33" customWidth="1"/>
    <col min="5633" max="5633" width="14.44140625" style="33" customWidth="1"/>
    <col min="5634" max="5634" width="7.33203125" style="33" customWidth="1"/>
    <col min="5635" max="5635" width="5.5546875" style="33" customWidth="1"/>
    <col min="5636" max="5636" width="9" style="33" customWidth="1"/>
    <col min="5637" max="5638" width="9.88671875" style="33" customWidth="1"/>
    <col min="5639" max="5639" width="11.109375" style="33" customWidth="1"/>
    <col min="5640" max="5640" width="2.88671875" style="33" customWidth="1"/>
    <col min="5641" max="5641" width="3.5546875" style="33" customWidth="1"/>
    <col min="5642" max="5886" width="9.109375" style="33"/>
    <col min="5887" max="5887" width="8.6640625" style="33" customWidth="1"/>
    <col min="5888" max="5888" width="9.88671875" style="33" customWidth="1"/>
    <col min="5889" max="5889" width="14.44140625" style="33" customWidth="1"/>
    <col min="5890" max="5890" width="7.33203125" style="33" customWidth="1"/>
    <col min="5891" max="5891" width="5.5546875" style="33" customWidth="1"/>
    <col min="5892" max="5892" width="9" style="33" customWidth="1"/>
    <col min="5893" max="5894" width="9.88671875" style="33" customWidth="1"/>
    <col min="5895" max="5895" width="11.109375" style="33" customWidth="1"/>
    <col min="5896" max="5896" width="2.88671875" style="33" customWidth="1"/>
    <col min="5897" max="5897" width="3.5546875" style="33" customWidth="1"/>
    <col min="5898" max="6142" width="9.109375" style="33"/>
    <col min="6143" max="6143" width="8.6640625" style="33" customWidth="1"/>
    <col min="6144" max="6144" width="9.88671875" style="33" customWidth="1"/>
    <col min="6145" max="6145" width="14.44140625" style="33" customWidth="1"/>
    <col min="6146" max="6146" width="7.33203125" style="33" customWidth="1"/>
    <col min="6147" max="6147" width="5.5546875" style="33" customWidth="1"/>
    <col min="6148" max="6148" width="9" style="33" customWidth="1"/>
    <col min="6149" max="6150" width="9.88671875" style="33" customWidth="1"/>
    <col min="6151" max="6151" width="11.109375" style="33" customWidth="1"/>
    <col min="6152" max="6152" width="2.88671875" style="33" customWidth="1"/>
    <col min="6153" max="6153" width="3.5546875" style="33" customWidth="1"/>
    <col min="6154" max="6398" width="9.109375" style="33"/>
    <col min="6399" max="6399" width="8.6640625" style="33" customWidth="1"/>
    <col min="6400" max="6400" width="9.88671875" style="33" customWidth="1"/>
    <col min="6401" max="6401" width="14.44140625" style="33" customWidth="1"/>
    <col min="6402" max="6402" width="7.33203125" style="33" customWidth="1"/>
    <col min="6403" max="6403" width="5.5546875" style="33" customWidth="1"/>
    <col min="6404" max="6404" width="9" style="33" customWidth="1"/>
    <col min="6405" max="6406" width="9.88671875" style="33" customWidth="1"/>
    <col min="6407" max="6407" width="11.109375" style="33" customWidth="1"/>
    <col min="6408" max="6408" width="2.88671875" style="33" customWidth="1"/>
    <col min="6409" max="6409" width="3.5546875" style="33" customWidth="1"/>
    <col min="6410" max="6654" width="9.109375" style="33"/>
    <col min="6655" max="6655" width="8.6640625" style="33" customWidth="1"/>
    <col min="6656" max="6656" width="9.88671875" style="33" customWidth="1"/>
    <col min="6657" max="6657" width="14.44140625" style="33" customWidth="1"/>
    <col min="6658" max="6658" width="7.33203125" style="33" customWidth="1"/>
    <col min="6659" max="6659" width="5.5546875" style="33" customWidth="1"/>
    <col min="6660" max="6660" width="9" style="33" customWidth="1"/>
    <col min="6661" max="6662" width="9.88671875" style="33" customWidth="1"/>
    <col min="6663" max="6663" width="11.109375" style="33" customWidth="1"/>
    <col min="6664" max="6664" width="2.88671875" style="33" customWidth="1"/>
    <col min="6665" max="6665" width="3.5546875" style="33" customWidth="1"/>
    <col min="6666" max="6910" width="9.109375" style="33"/>
    <col min="6911" max="6911" width="8.6640625" style="33" customWidth="1"/>
    <col min="6912" max="6912" width="9.88671875" style="33" customWidth="1"/>
    <col min="6913" max="6913" width="14.44140625" style="33" customWidth="1"/>
    <col min="6914" max="6914" width="7.33203125" style="33" customWidth="1"/>
    <col min="6915" max="6915" width="5.5546875" style="33" customWidth="1"/>
    <col min="6916" max="6916" width="9" style="33" customWidth="1"/>
    <col min="6917" max="6918" width="9.88671875" style="33" customWidth="1"/>
    <col min="6919" max="6919" width="11.109375" style="33" customWidth="1"/>
    <col min="6920" max="6920" width="2.88671875" style="33" customWidth="1"/>
    <col min="6921" max="6921" width="3.5546875" style="33" customWidth="1"/>
    <col min="6922" max="7166" width="9.109375" style="33"/>
    <col min="7167" max="7167" width="8.6640625" style="33" customWidth="1"/>
    <col min="7168" max="7168" width="9.88671875" style="33" customWidth="1"/>
    <col min="7169" max="7169" width="14.44140625" style="33" customWidth="1"/>
    <col min="7170" max="7170" width="7.33203125" style="33" customWidth="1"/>
    <col min="7171" max="7171" width="5.5546875" style="33" customWidth="1"/>
    <col min="7172" max="7172" width="9" style="33" customWidth="1"/>
    <col min="7173" max="7174" width="9.88671875" style="33" customWidth="1"/>
    <col min="7175" max="7175" width="11.109375" style="33" customWidth="1"/>
    <col min="7176" max="7176" width="2.88671875" style="33" customWidth="1"/>
    <col min="7177" max="7177" width="3.5546875" style="33" customWidth="1"/>
    <col min="7178" max="7422" width="9.109375" style="33"/>
    <col min="7423" max="7423" width="8.6640625" style="33" customWidth="1"/>
    <col min="7424" max="7424" width="9.88671875" style="33" customWidth="1"/>
    <col min="7425" max="7425" width="14.44140625" style="33" customWidth="1"/>
    <col min="7426" max="7426" width="7.33203125" style="33" customWidth="1"/>
    <col min="7427" max="7427" width="5.5546875" style="33" customWidth="1"/>
    <col min="7428" max="7428" width="9" style="33" customWidth="1"/>
    <col min="7429" max="7430" width="9.88671875" style="33" customWidth="1"/>
    <col min="7431" max="7431" width="11.109375" style="33" customWidth="1"/>
    <col min="7432" max="7432" width="2.88671875" style="33" customWidth="1"/>
    <col min="7433" max="7433" width="3.5546875" style="33" customWidth="1"/>
    <col min="7434" max="7678" width="9.109375" style="33"/>
    <col min="7679" max="7679" width="8.6640625" style="33" customWidth="1"/>
    <col min="7680" max="7680" width="9.88671875" style="33" customWidth="1"/>
    <col min="7681" max="7681" width="14.44140625" style="33" customWidth="1"/>
    <col min="7682" max="7682" width="7.33203125" style="33" customWidth="1"/>
    <col min="7683" max="7683" width="5.5546875" style="33" customWidth="1"/>
    <col min="7684" max="7684" width="9" style="33" customWidth="1"/>
    <col min="7685" max="7686" width="9.88671875" style="33" customWidth="1"/>
    <col min="7687" max="7687" width="11.109375" style="33" customWidth="1"/>
    <col min="7688" max="7688" width="2.88671875" style="33" customWidth="1"/>
    <col min="7689" max="7689" width="3.5546875" style="33" customWidth="1"/>
    <col min="7690" max="7934" width="9.109375" style="33"/>
    <col min="7935" max="7935" width="8.6640625" style="33" customWidth="1"/>
    <col min="7936" max="7936" width="9.88671875" style="33" customWidth="1"/>
    <col min="7937" max="7937" width="14.44140625" style="33" customWidth="1"/>
    <col min="7938" max="7938" width="7.33203125" style="33" customWidth="1"/>
    <col min="7939" max="7939" width="5.5546875" style="33" customWidth="1"/>
    <col min="7940" max="7940" width="9" style="33" customWidth="1"/>
    <col min="7941" max="7942" width="9.88671875" style="33" customWidth="1"/>
    <col min="7943" max="7943" width="11.109375" style="33" customWidth="1"/>
    <col min="7944" max="7944" width="2.88671875" style="33" customWidth="1"/>
    <col min="7945" max="7945" width="3.5546875" style="33" customWidth="1"/>
    <col min="7946" max="8190" width="9.109375" style="33"/>
    <col min="8191" max="8191" width="8.6640625" style="33" customWidth="1"/>
    <col min="8192" max="8192" width="9.88671875" style="33" customWidth="1"/>
    <col min="8193" max="8193" width="14.44140625" style="33" customWidth="1"/>
    <col min="8194" max="8194" width="7.33203125" style="33" customWidth="1"/>
    <col min="8195" max="8195" width="5.5546875" style="33" customWidth="1"/>
    <col min="8196" max="8196" width="9" style="33" customWidth="1"/>
    <col min="8197" max="8198" width="9.88671875" style="33" customWidth="1"/>
    <col min="8199" max="8199" width="11.109375" style="33" customWidth="1"/>
    <col min="8200" max="8200" width="2.88671875" style="33" customWidth="1"/>
    <col min="8201" max="8201" width="3.5546875" style="33" customWidth="1"/>
    <col min="8202" max="8446" width="9.109375" style="33"/>
    <col min="8447" max="8447" width="8.6640625" style="33" customWidth="1"/>
    <col min="8448" max="8448" width="9.88671875" style="33" customWidth="1"/>
    <col min="8449" max="8449" width="14.44140625" style="33" customWidth="1"/>
    <col min="8450" max="8450" width="7.33203125" style="33" customWidth="1"/>
    <col min="8451" max="8451" width="5.5546875" style="33" customWidth="1"/>
    <col min="8452" max="8452" width="9" style="33" customWidth="1"/>
    <col min="8453" max="8454" width="9.88671875" style="33" customWidth="1"/>
    <col min="8455" max="8455" width="11.109375" style="33" customWidth="1"/>
    <col min="8456" max="8456" width="2.88671875" style="33" customWidth="1"/>
    <col min="8457" max="8457" width="3.5546875" style="33" customWidth="1"/>
    <col min="8458" max="8702" width="9.109375" style="33"/>
    <col min="8703" max="8703" width="8.6640625" style="33" customWidth="1"/>
    <col min="8704" max="8704" width="9.88671875" style="33" customWidth="1"/>
    <col min="8705" max="8705" width="14.44140625" style="33" customWidth="1"/>
    <col min="8706" max="8706" width="7.33203125" style="33" customWidth="1"/>
    <col min="8707" max="8707" width="5.5546875" style="33" customWidth="1"/>
    <col min="8708" max="8708" width="9" style="33" customWidth="1"/>
    <col min="8709" max="8710" width="9.88671875" style="33" customWidth="1"/>
    <col min="8711" max="8711" width="11.109375" style="33" customWidth="1"/>
    <col min="8712" max="8712" width="2.88671875" style="33" customWidth="1"/>
    <col min="8713" max="8713" width="3.5546875" style="33" customWidth="1"/>
    <col min="8714" max="8958" width="9.109375" style="33"/>
    <col min="8959" max="8959" width="8.6640625" style="33" customWidth="1"/>
    <col min="8960" max="8960" width="9.88671875" style="33" customWidth="1"/>
    <col min="8961" max="8961" width="14.44140625" style="33" customWidth="1"/>
    <col min="8962" max="8962" width="7.33203125" style="33" customWidth="1"/>
    <col min="8963" max="8963" width="5.5546875" style="33" customWidth="1"/>
    <col min="8964" max="8964" width="9" style="33" customWidth="1"/>
    <col min="8965" max="8966" width="9.88671875" style="33" customWidth="1"/>
    <col min="8967" max="8967" width="11.109375" style="33" customWidth="1"/>
    <col min="8968" max="8968" width="2.88671875" style="33" customWidth="1"/>
    <col min="8969" max="8969" width="3.5546875" style="33" customWidth="1"/>
    <col min="8970" max="9214" width="9.109375" style="33"/>
    <col min="9215" max="9215" width="8.6640625" style="33" customWidth="1"/>
    <col min="9216" max="9216" width="9.88671875" style="33" customWidth="1"/>
    <col min="9217" max="9217" width="14.44140625" style="33" customWidth="1"/>
    <col min="9218" max="9218" width="7.33203125" style="33" customWidth="1"/>
    <col min="9219" max="9219" width="5.5546875" style="33" customWidth="1"/>
    <col min="9220" max="9220" width="9" style="33" customWidth="1"/>
    <col min="9221" max="9222" width="9.88671875" style="33" customWidth="1"/>
    <col min="9223" max="9223" width="11.109375" style="33" customWidth="1"/>
    <col min="9224" max="9224" width="2.88671875" style="33" customWidth="1"/>
    <col min="9225" max="9225" width="3.5546875" style="33" customWidth="1"/>
    <col min="9226" max="9470" width="9.109375" style="33"/>
    <col min="9471" max="9471" width="8.6640625" style="33" customWidth="1"/>
    <col min="9472" max="9472" width="9.88671875" style="33" customWidth="1"/>
    <col min="9473" max="9473" width="14.44140625" style="33" customWidth="1"/>
    <col min="9474" max="9474" width="7.33203125" style="33" customWidth="1"/>
    <col min="9475" max="9475" width="5.5546875" style="33" customWidth="1"/>
    <col min="9476" max="9476" width="9" style="33" customWidth="1"/>
    <col min="9477" max="9478" width="9.88671875" style="33" customWidth="1"/>
    <col min="9479" max="9479" width="11.109375" style="33" customWidth="1"/>
    <col min="9480" max="9480" width="2.88671875" style="33" customWidth="1"/>
    <col min="9481" max="9481" width="3.5546875" style="33" customWidth="1"/>
    <col min="9482" max="9726" width="9.109375" style="33"/>
    <col min="9727" max="9727" width="8.6640625" style="33" customWidth="1"/>
    <col min="9728" max="9728" width="9.88671875" style="33" customWidth="1"/>
    <col min="9729" max="9729" width="14.44140625" style="33" customWidth="1"/>
    <col min="9730" max="9730" width="7.33203125" style="33" customWidth="1"/>
    <col min="9731" max="9731" width="5.5546875" style="33" customWidth="1"/>
    <col min="9732" max="9732" width="9" style="33" customWidth="1"/>
    <col min="9733" max="9734" width="9.88671875" style="33" customWidth="1"/>
    <col min="9735" max="9735" width="11.109375" style="33" customWidth="1"/>
    <col min="9736" max="9736" width="2.88671875" style="33" customWidth="1"/>
    <col min="9737" max="9737" width="3.5546875" style="33" customWidth="1"/>
    <col min="9738" max="9982" width="9.109375" style="33"/>
    <col min="9983" max="9983" width="8.6640625" style="33" customWidth="1"/>
    <col min="9984" max="9984" width="9.88671875" style="33" customWidth="1"/>
    <col min="9985" max="9985" width="14.44140625" style="33" customWidth="1"/>
    <col min="9986" max="9986" width="7.33203125" style="33" customWidth="1"/>
    <col min="9987" max="9987" width="5.5546875" style="33" customWidth="1"/>
    <col min="9988" max="9988" width="9" style="33" customWidth="1"/>
    <col min="9989" max="9990" width="9.88671875" style="33" customWidth="1"/>
    <col min="9991" max="9991" width="11.109375" style="33" customWidth="1"/>
    <col min="9992" max="9992" width="2.88671875" style="33" customWidth="1"/>
    <col min="9993" max="9993" width="3.5546875" style="33" customWidth="1"/>
    <col min="9994" max="10238" width="9.109375" style="33"/>
    <col min="10239" max="10239" width="8.6640625" style="33" customWidth="1"/>
    <col min="10240" max="10240" width="9.88671875" style="33" customWidth="1"/>
    <col min="10241" max="10241" width="14.44140625" style="33" customWidth="1"/>
    <col min="10242" max="10242" width="7.33203125" style="33" customWidth="1"/>
    <col min="10243" max="10243" width="5.5546875" style="33" customWidth="1"/>
    <col min="10244" max="10244" width="9" style="33" customWidth="1"/>
    <col min="10245" max="10246" width="9.88671875" style="33" customWidth="1"/>
    <col min="10247" max="10247" width="11.109375" style="33" customWidth="1"/>
    <col min="10248" max="10248" width="2.88671875" style="33" customWidth="1"/>
    <col min="10249" max="10249" width="3.5546875" style="33" customWidth="1"/>
    <col min="10250" max="10494" width="9.109375" style="33"/>
    <col min="10495" max="10495" width="8.6640625" style="33" customWidth="1"/>
    <col min="10496" max="10496" width="9.88671875" style="33" customWidth="1"/>
    <col min="10497" max="10497" width="14.44140625" style="33" customWidth="1"/>
    <col min="10498" max="10498" width="7.33203125" style="33" customWidth="1"/>
    <col min="10499" max="10499" width="5.5546875" style="33" customWidth="1"/>
    <col min="10500" max="10500" width="9" style="33" customWidth="1"/>
    <col min="10501" max="10502" width="9.88671875" style="33" customWidth="1"/>
    <col min="10503" max="10503" width="11.109375" style="33" customWidth="1"/>
    <col min="10504" max="10504" width="2.88671875" style="33" customWidth="1"/>
    <col min="10505" max="10505" width="3.5546875" style="33" customWidth="1"/>
    <col min="10506" max="10750" width="9.109375" style="33"/>
    <col min="10751" max="10751" width="8.6640625" style="33" customWidth="1"/>
    <col min="10752" max="10752" width="9.88671875" style="33" customWidth="1"/>
    <col min="10753" max="10753" width="14.44140625" style="33" customWidth="1"/>
    <col min="10754" max="10754" width="7.33203125" style="33" customWidth="1"/>
    <col min="10755" max="10755" width="5.5546875" style="33" customWidth="1"/>
    <col min="10756" max="10756" width="9" style="33" customWidth="1"/>
    <col min="10757" max="10758" width="9.88671875" style="33" customWidth="1"/>
    <col min="10759" max="10759" width="11.109375" style="33" customWidth="1"/>
    <col min="10760" max="10760" width="2.88671875" style="33" customWidth="1"/>
    <col min="10761" max="10761" width="3.5546875" style="33" customWidth="1"/>
    <col min="10762" max="11006" width="9.109375" style="33"/>
    <col min="11007" max="11007" width="8.6640625" style="33" customWidth="1"/>
    <col min="11008" max="11008" width="9.88671875" style="33" customWidth="1"/>
    <col min="11009" max="11009" width="14.44140625" style="33" customWidth="1"/>
    <col min="11010" max="11010" width="7.33203125" style="33" customWidth="1"/>
    <col min="11011" max="11011" width="5.5546875" style="33" customWidth="1"/>
    <col min="11012" max="11012" width="9" style="33" customWidth="1"/>
    <col min="11013" max="11014" width="9.88671875" style="33" customWidth="1"/>
    <col min="11015" max="11015" width="11.109375" style="33" customWidth="1"/>
    <col min="11016" max="11016" width="2.88671875" style="33" customWidth="1"/>
    <col min="11017" max="11017" width="3.5546875" style="33" customWidth="1"/>
    <col min="11018" max="11262" width="9.109375" style="33"/>
    <col min="11263" max="11263" width="8.6640625" style="33" customWidth="1"/>
    <col min="11264" max="11264" width="9.88671875" style="33" customWidth="1"/>
    <col min="11265" max="11265" width="14.44140625" style="33" customWidth="1"/>
    <col min="11266" max="11266" width="7.33203125" style="33" customWidth="1"/>
    <col min="11267" max="11267" width="5.5546875" style="33" customWidth="1"/>
    <col min="11268" max="11268" width="9" style="33" customWidth="1"/>
    <col min="11269" max="11270" width="9.88671875" style="33" customWidth="1"/>
    <col min="11271" max="11271" width="11.109375" style="33" customWidth="1"/>
    <col min="11272" max="11272" width="2.88671875" style="33" customWidth="1"/>
    <col min="11273" max="11273" width="3.5546875" style="33" customWidth="1"/>
    <col min="11274" max="11518" width="9.109375" style="33"/>
    <col min="11519" max="11519" width="8.6640625" style="33" customWidth="1"/>
    <col min="11520" max="11520" width="9.88671875" style="33" customWidth="1"/>
    <col min="11521" max="11521" width="14.44140625" style="33" customWidth="1"/>
    <col min="11522" max="11522" width="7.33203125" style="33" customWidth="1"/>
    <col min="11523" max="11523" width="5.5546875" style="33" customWidth="1"/>
    <col min="11524" max="11524" width="9" style="33" customWidth="1"/>
    <col min="11525" max="11526" width="9.88671875" style="33" customWidth="1"/>
    <col min="11527" max="11527" width="11.109375" style="33" customWidth="1"/>
    <col min="11528" max="11528" width="2.88671875" style="33" customWidth="1"/>
    <col min="11529" max="11529" width="3.5546875" style="33" customWidth="1"/>
    <col min="11530" max="11774" width="9.109375" style="33"/>
    <col min="11775" max="11775" width="8.6640625" style="33" customWidth="1"/>
    <col min="11776" max="11776" width="9.88671875" style="33" customWidth="1"/>
    <col min="11777" max="11777" width="14.44140625" style="33" customWidth="1"/>
    <col min="11778" max="11778" width="7.33203125" style="33" customWidth="1"/>
    <col min="11779" max="11779" width="5.5546875" style="33" customWidth="1"/>
    <col min="11780" max="11780" width="9" style="33" customWidth="1"/>
    <col min="11781" max="11782" width="9.88671875" style="33" customWidth="1"/>
    <col min="11783" max="11783" width="11.109375" style="33" customWidth="1"/>
    <col min="11784" max="11784" width="2.88671875" style="33" customWidth="1"/>
    <col min="11785" max="11785" width="3.5546875" style="33" customWidth="1"/>
    <col min="11786" max="12030" width="9.109375" style="33"/>
    <col min="12031" max="12031" width="8.6640625" style="33" customWidth="1"/>
    <col min="12032" max="12032" width="9.88671875" style="33" customWidth="1"/>
    <col min="12033" max="12033" width="14.44140625" style="33" customWidth="1"/>
    <col min="12034" max="12034" width="7.33203125" style="33" customWidth="1"/>
    <col min="12035" max="12035" width="5.5546875" style="33" customWidth="1"/>
    <col min="12036" max="12036" width="9" style="33" customWidth="1"/>
    <col min="12037" max="12038" width="9.88671875" style="33" customWidth="1"/>
    <col min="12039" max="12039" width="11.109375" style="33" customWidth="1"/>
    <col min="12040" max="12040" width="2.88671875" style="33" customWidth="1"/>
    <col min="12041" max="12041" width="3.5546875" style="33" customWidth="1"/>
    <col min="12042" max="12286" width="9.109375" style="33"/>
    <col min="12287" max="12287" width="8.6640625" style="33" customWidth="1"/>
    <col min="12288" max="12288" width="9.88671875" style="33" customWidth="1"/>
    <col min="12289" max="12289" width="14.44140625" style="33" customWidth="1"/>
    <col min="12290" max="12290" width="7.33203125" style="33" customWidth="1"/>
    <col min="12291" max="12291" width="5.5546875" style="33" customWidth="1"/>
    <col min="12292" max="12292" width="9" style="33" customWidth="1"/>
    <col min="12293" max="12294" width="9.88671875" style="33" customWidth="1"/>
    <col min="12295" max="12295" width="11.109375" style="33" customWidth="1"/>
    <col min="12296" max="12296" width="2.88671875" style="33" customWidth="1"/>
    <col min="12297" max="12297" width="3.5546875" style="33" customWidth="1"/>
    <col min="12298" max="12542" width="9.109375" style="33"/>
    <col min="12543" max="12543" width="8.6640625" style="33" customWidth="1"/>
    <col min="12544" max="12544" width="9.88671875" style="33" customWidth="1"/>
    <col min="12545" max="12545" width="14.44140625" style="33" customWidth="1"/>
    <col min="12546" max="12546" width="7.33203125" style="33" customWidth="1"/>
    <col min="12547" max="12547" width="5.5546875" style="33" customWidth="1"/>
    <col min="12548" max="12548" width="9" style="33" customWidth="1"/>
    <col min="12549" max="12550" width="9.88671875" style="33" customWidth="1"/>
    <col min="12551" max="12551" width="11.109375" style="33" customWidth="1"/>
    <col min="12552" max="12552" width="2.88671875" style="33" customWidth="1"/>
    <col min="12553" max="12553" width="3.5546875" style="33" customWidth="1"/>
    <col min="12554" max="12798" width="9.109375" style="33"/>
    <col min="12799" max="12799" width="8.6640625" style="33" customWidth="1"/>
    <col min="12800" max="12800" width="9.88671875" style="33" customWidth="1"/>
    <col min="12801" max="12801" width="14.44140625" style="33" customWidth="1"/>
    <col min="12802" max="12802" width="7.33203125" style="33" customWidth="1"/>
    <col min="12803" max="12803" width="5.5546875" style="33" customWidth="1"/>
    <col min="12804" max="12804" width="9" style="33" customWidth="1"/>
    <col min="12805" max="12806" width="9.88671875" style="33" customWidth="1"/>
    <col min="12807" max="12807" width="11.109375" style="33" customWidth="1"/>
    <col min="12808" max="12808" width="2.88671875" style="33" customWidth="1"/>
    <col min="12809" max="12809" width="3.5546875" style="33" customWidth="1"/>
    <col min="12810" max="13054" width="9.109375" style="33"/>
    <col min="13055" max="13055" width="8.6640625" style="33" customWidth="1"/>
    <col min="13056" max="13056" width="9.88671875" style="33" customWidth="1"/>
    <col min="13057" max="13057" width="14.44140625" style="33" customWidth="1"/>
    <col min="13058" max="13058" width="7.33203125" style="33" customWidth="1"/>
    <col min="13059" max="13059" width="5.5546875" style="33" customWidth="1"/>
    <col min="13060" max="13060" width="9" style="33" customWidth="1"/>
    <col min="13061" max="13062" width="9.88671875" style="33" customWidth="1"/>
    <col min="13063" max="13063" width="11.109375" style="33" customWidth="1"/>
    <col min="13064" max="13064" width="2.88671875" style="33" customWidth="1"/>
    <col min="13065" max="13065" width="3.5546875" style="33" customWidth="1"/>
    <col min="13066" max="13310" width="9.109375" style="33"/>
    <col min="13311" max="13311" width="8.6640625" style="33" customWidth="1"/>
    <col min="13312" max="13312" width="9.88671875" style="33" customWidth="1"/>
    <col min="13313" max="13313" width="14.44140625" style="33" customWidth="1"/>
    <col min="13314" max="13314" width="7.33203125" style="33" customWidth="1"/>
    <col min="13315" max="13315" width="5.5546875" style="33" customWidth="1"/>
    <col min="13316" max="13316" width="9" style="33" customWidth="1"/>
    <col min="13317" max="13318" width="9.88671875" style="33" customWidth="1"/>
    <col min="13319" max="13319" width="11.109375" style="33" customWidth="1"/>
    <col min="13320" max="13320" width="2.88671875" style="33" customWidth="1"/>
    <col min="13321" max="13321" width="3.5546875" style="33" customWidth="1"/>
    <col min="13322" max="13566" width="9.109375" style="33"/>
    <col min="13567" max="13567" width="8.6640625" style="33" customWidth="1"/>
    <col min="13568" max="13568" width="9.88671875" style="33" customWidth="1"/>
    <col min="13569" max="13569" width="14.44140625" style="33" customWidth="1"/>
    <col min="13570" max="13570" width="7.33203125" style="33" customWidth="1"/>
    <col min="13571" max="13571" width="5.5546875" style="33" customWidth="1"/>
    <col min="13572" max="13572" width="9" style="33" customWidth="1"/>
    <col min="13573" max="13574" width="9.88671875" style="33" customWidth="1"/>
    <col min="13575" max="13575" width="11.109375" style="33" customWidth="1"/>
    <col min="13576" max="13576" width="2.88671875" style="33" customWidth="1"/>
    <col min="13577" max="13577" width="3.5546875" style="33" customWidth="1"/>
    <col min="13578" max="13822" width="9.109375" style="33"/>
    <col min="13823" max="13823" width="8.6640625" style="33" customWidth="1"/>
    <col min="13824" max="13824" width="9.88671875" style="33" customWidth="1"/>
    <col min="13825" max="13825" width="14.44140625" style="33" customWidth="1"/>
    <col min="13826" max="13826" width="7.33203125" style="33" customWidth="1"/>
    <col min="13827" max="13827" width="5.5546875" style="33" customWidth="1"/>
    <col min="13828" max="13828" width="9" style="33" customWidth="1"/>
    <col min="13829" max="13830" width="9.88671875" style="33" customWidth="1"/>
    <col min="13831" max="13831" width="11.109375" style="33" customWidth="1"/>
    <col min="13832" max="13832" width="2.88671875" style="33" customWidth="1"/>
    <col min="13833" max="13833" width="3.5546875" style="33" customWidth="1"/>
    <col min="13834" max="14078" width="9.109375" style="33"/>
    <col min="14079" max="14079" width="8.6640625" style="33" customWidth="1"/>
    <col min="14080" max="14080" width="9.88671875" style="33" customWidth="1"/>
    <col min="14081" max="14081" width="14.44140625" style="33" customWidth="1"/>
    <col min="14082" max="14082" width="7.33203125" style="33" customWidth="1"/>
    <col min="14083" max="14083" width="5.5546875" style="33" customWidth="1"/>
    <col min="14084" max="14084" width="9" style="33" customWidth="1"/>
    <col min="14085" max="14086" width="9.88671875" style="33" customWidth="1"/>
    <col min="14087" max="14087" width="11.109375" style="33" customWidth="1"/>
    <col min="14088" max="14088" width="2.88671875" style="33" customWidth="1"/>
    <col min="14089" max="14089" width="3.5546875" style="33" customWidth="1"/>
    <col min="14090" max="14334" width="9.109375" style="33"/>
    <col min="14335" max="14335" width="8.6640625" style="33" customWidth="1"/>
    <col min="14336" max="14336" width="9.88671875" style="33" customWidth="1"/>
    <col min="14337" max="14337" width="14.44140625" style="33" customWidth="1"/>
    <col min="14338" max="14338" width="7.33203125" style="33" customWidth="1"/>
    <col min="14339" max="14339" width="5.5546875" style="33" customWidth="1"/>
    <col min="14340" max="14340" width="9" style="33" customWidth="1"/>
    <col min="14341" max="14342" width="9.88671875" style="33" customWidth="1"/>
    <col min="14343" max="14343" width="11.109375" style="33" customWidth="1"/>
    <col min="14344" max="14344" width="2.88671875" style="33" customWidth="1"/>
    <col min="14345" max="14345" width="3.5546875" style="33" customWidth="1"/>
    <col min="14346" max="14590" width="9.109375" style="33"/>
    <col min="14591" max="14591" width="8.6640625" style="33" customWidth="1"/>
    <col min="14592" max="14592" width="9.88671875" style="33" customWidth="1"/>
    <col min="14593" max="14593" width="14.44140625" style="33" customWidth="1"/>
    <col min="14594" max="14594" width="7.33203125" style="33" customWidth="1"/>
    <col min="14595" max="14595" width="5.5546875" style="33" customWidth="1"/>
    <col min="14596" max="14596" width="9" style="33" customWidth="1"/>
    <col min="14597" max="14598" width="9.88671875" style="33" customWidth="1"/>
    <col min="14599" max="14599" width="11.109375" style="33" customWidth="1"/>
    <col min="14600" max="14600" width="2.88671875" style="33" customWidth="1"/>
    <col min="14601" max="14601" width="3.5546875" style="33" customWidth="1"/>
    <col min="14602" max="14846" width="9.109375" style="33"/>
    <col min="14847" max="14847" width="8.6640625" style="33" customWidth="1"/>
    <col min="14848" max="14848" width="9.88671875" style="33" customWidth="1"/>
    <col min="14849" max="14849" width="14.44140625" style="33" customWidth="1"/>
    <col min="14850" max="14850" width="7.33203125" style="33" customWidth="1"/>
    <col min="14851" max="14851" width="5.5546875" style="33" customWidth="1"/>
    <col min="14852" max="14852" width="9" style="33" customWidth="1"/>
    <col min="14853" max="14854" width="9.88671875" style="33" customWidth="1"/>
    <col min="14855" max="14855" width="11.109375" style="33" customWidth="1"/>
    <col min="14856" max="14856" width="2.88671875" style="33" customWidth="1"/>
    <col min="14857" max="14857" width="3.5546875" style="33" customWidth="1"/>
    <col min="14858" max="15102" width="9.109375" style="33"/>
    <col min="15103" max="15103" width="8.6640625" style="33" customWidth="1"/>
    <col min="15104" max="15104" width="9.88671875" style="33" customWidth="1"/>
    <col min="15105" max="15105" width="14.44140625" style="33" customWidth="1"/>
    <col min="15106" max="15106" width="7.33203125" style="33" customWidth="1"/>
    <col min="15107" max="15107" width="5.5546875" style="33" customWidth="1"/>
    <col min="15108" max="15108" width="9" style="33" customWidth="1"/>
    <col min="15109" max="15110" width="9.88671875" style="33" customWidth="1"/>
    <col min="15111" max="15111" width="11.109375" style="33" customWidth="1"/>
    <col min="15112" max="15112" width="2.88671875" style="33" customWidth="1"/>
    <col min="15113" max="15113" width="3.5546875" style="33" customWidth="1"/>
    <col min="15114" max="15358" width="9.109375" style="33"/>
    <col min="15359" max="15359" width="8.6640625" style="33" customWidth="1"/>
    <col min="15360" max="15360" width="9.88671875" style="33" customWidth="1"/>
    <col min="15361" max="15361" width="14.44140625" style="33" customWidth="1"/>
    <col min="15362" max="15362" width="7.33203125" style="33" customWidth="1"/>
    <col min="15363" max="15363" width="5.5546875" style="33" customWidth="1"/>
    <col min="15364" max="15364" width="9" style="33" customWidth="1"/>
    <col min="15365" max="15366" width="9.88671875" style="33" customWidth="1"/>
    <col min="15367" max="15367" width="11.109375" style="33" customWidth="1"/>
    <col min="15368" max="15368" width="2.88671875" style="33" customWidth="1"/>
    <col min="15369" max="15369" width="3.5546875" style="33" customWidth="1"/>
    <col min="15370" max="15614" width="9.109375" style="33"/>
    <col min="15615" max="15615" width="8.6640625" style="33" customWidth="1"/>
    <col min="15616" max="15616" width="9.88671875" style="33" customWidth="1"/>
    <col min="15617" max="15617" width="14.44140625" style="33" customWidth="1"/>
    <col min="15618" max="15618" width="7.33203125" style="33" customWidth="1"/>
    <col min="15619" max="15619" width="5.5546875" style="33" customWidth="1"/>
    <col min="15620" max="15620" width="9" style="33" customWidth="1"/>
    <col min="15621" max="15622" width="9.88671875" style="33" customWidth="1"/>
    <col min="15623" max="15623" width="11.109375" style="33" customWidth="1"/>
    <col min="15624" max="15624" width="2.88671875" style="33" customWidth="1"/>
    <col min="15625" max="15625" width="3.5546875" style="33" customWidth="1"/>
    <col min="15626" max="15870" width="9.109375" style="33"/>
    <col min="15871" max="15871" width="8.6640625" style="33" customWidth="1"/>
    <col min="15872" max="15872" width="9.88671875" style="33" customWidth="1"/>
    <col min="15873" max="15873" width="14.44140625" style="33" customWidth="1"/>
    <col min="15874" max="15874" width="7.33203125" style="33" customWidth="1"/>
    <col min="15875" max="15875" width="5.5546875" style="33" customWidth="1"/>
    <col min="15876" max="15876" width="9" style="33" customWidth="1"/>
    <col min="15877" max="15878" width="9.88671875" style="33" customWidth="1"/>
    <col min="15879" max="15879" width="11.109375" style="33" customWidth="1"/>
    <col min="15880" max="15880" width="2.88671875" style="33" customWidth="1"/>
    <col min="15881" max="15881" width="3.5546875" style="33" customWidth="1"/>
    <col min="15882" max="16126" width="9.109375" style="33"/>
    <col min="16127" max="16127" width="8.6640625" style="33" customWidth="1"/>
    <col min="16128" max="16128" width="9.88671875" style="33" customWidth="1"/>
    <col min="16129" max="16129" width="14.44140625" style="33" customWidth="1"/>
    <col min="16130" max="16130" width="7.33203125" style="33" customWidth="1"/>
    <col min="16131" max="16131" width="5.5546875" style="33" customWidth="1"/>
    <col min="16132" max="16132" width="9" style="33" customWidth="1"/>
    <col min="16133" max="16134" width="9.88671875" style="33" customWidth="1"/>
    <col min="16135" max="16135" width="11.109375" style="33" customWidth="1"/>
    <col min="16136" max="16136" width="2.88671875" style="33" customWidth="1"/>
    <col min="16137" max="16137" width="3.5546875" style="33" customWidth="1"/>
    <col min="16138" max="16384" width="9.109375" style="33"/>
  </cols>
  <sheetData>
    <row r="1" spans="1:12" ht="46.5" customHeight="1" x14ac:dyDescent="0.3">
      <c r="A1" s="195" t="s">
        <v>207</v>
      </c>
      <c r="B1" s="195"/>
      <c r="C1" s="195"/>
      <c r="D1" s="195"/>
      <c r="E1" s="195"/>
      <c r="F1" s="195"/>
      <c r="G1" s="195"/>
      <c r="H1" s="195"/>
    </row>
    <row r="2" spans="1:12" ht="16.5" customHeight="1" x14ac:dyDescent="0.3">
      <c r="A2" s="196" t="s">
        <v>0</v>
      </c>
      <c r="B2" s="196"/>
      <c r="C2" s="196"/>
      <c r="D2" s="196"/>
      <c r="E2" s="196"/>
      <c r="F2" s="196"/>
      <c r="G2" s="196"/>
      <c r="H2" s="196"/>
    </row>
    <row r="3" spans="1:12" x14ac:dyDescent="0.3">
      <c r="A3" s="147" t="s">
        <v>1</v>
      </c>
      <c r="B3" s="147"/>
      <c r="C3" s="147"/>
      <c r="D3" s="147"/>
      <c r="E3" s="197" t="str">
        <f ca="1">TEXT(TODAY(),"DD/MM/YYYY")</f>
        <v>22/08/2025</v>
      </c>
      <c r="F3" s="197"/>
      <c r="G3" s="197"/>
      <c r="H3" s="197"/>
    </row>
    <row r="4" spans="1:12" ht="15" customHeight="1" x14ac:dyDescent="0.3">
      <c r="A4" s="147" t="s">
        <v>2</v>
      </c>
      <c r="B4" s="147"/>
      <c r="C4" s="147"/>
      <c r="D4" s="147"/>
      <c r="E4" s="198" t="s">
        <v>160</v>
      </c>
      <c r="F4" s="198"/>
      <c r="G4" s="198"/>
      <c r="H4" s="198"/>
    </row>
    <row r="5" spans="1:12" x14ac:dyDescent="0.3">
      <c r="A5" s="147" t="s">
        <v>3</v>
      </c>
      <c r="B5" s="147"/>
      <c r="C5" s="147"/>
      <c r="D5" s="147"/>
      <c r="E5" s="199">
        <v>45890</v>
      </c>
      <c r="F5" s="199"/>
      <c r="G5" s="199"/>
      <c r="H5" s="199"/>
    </row>
    <row r="6" spans="1:12" ht="16.5" customHeight="1" x14ac:dyDescent="0.3">
      <c r="A6" s="147" t="s">
        <v>4</v>
      </c>
      <c r="B6" s="147"/>
      <c r="C6" s="147"/>
      <c r="D6" s="147"/>
      <c r="E6" s="167" t="s">
        <v>208</v>
      </c>
      <c r="F6" s="167"/>
      <c r="G6" s="167"/>
      <c r="H6" s="167"/>
    </row>
    <row r="7" spans="1:12" ht="15" customHeight="1" x14ac:dyDescent="0.3">
      <c r="A7" s="147" t="s">
        <v>5</v>
      </c>
      <c r="B7" s="147"/>
      <c r="C7" s="147"/>
      <c r="D7" s="147"/>
      <c r="E7" s="167" t="str">
        <f>E6</f>
        <v>M/s. Susneh Infrapark Private Limited</v>
      </c>
      <c r="F7" s="167"/>
      <c r="G7" s="167"/>
      <c r="H7" s="167"/>
    </row>
    <row r="8" spans="1:12" x14ac:dyDescent="0.3">
      <c r="A8" s="147" t="s">
        <v>6</v>
      </c>
      <c r="B8" s="147"/>
      <c r="C8" s="147"/>
      <c r="D8" s="147"/>
      <c r="E8" s="163" t="s">
        <v>213</v>
      </c>
      <c r="F8" s="163"/>
      <c r="G8" s="163"/>
      <c r="H8" s="163"/>
      <c r="I8" s="163" t="s">
        <v>317</v>
      </c>
      <c r="J8" s="163"/>
      <c r="K8" s="163"/>
      <c r="L8" s="163"/>
    </row>
    <row r="9" spans="1:12" x14ac:dyDescent="0.3">
      <c r="A9" s="147" t="s">
        <v>148</v>
      </c>
      <c r="B9" s="147"/>
      <c r="C9" s="147"/>
      <c r="D9" s="147"/>
      <c r="E9" s="147" t="s">
        <v>320</v>
      </c>
      <c r="F9" s="147"/>
      <c r="G9" s="147"/>
      <c r="H9" s="147"/>
    </row>
    <row r="10" spans="1:12" x14ac:dyDescent="0.3">
      <c r="A10" s="147" t="s">
        <v>262</v>
      </c>
      <c r="B10" s="147"/>
      <c r="C10" s="147"/>
      <c r="D10" s="147"/>
      <c r="E10" s="147" t="s">
        <v>268</v>
      </c>
      <c r="F10" s="147"/>
      <c r="G10" s="147"/>
      <c r="H10" s="147"/>
    </row>
    <row r="11" spans="1:12" s="34" customFormat="1" ht="100.2" customHeight="1" x14ac:dyDescent="0.3">
      <c r="A11" s="146" t="s">
        <v>7</v>
      </c>
      <c r="B11" s="146"/>
      <c r="C11" s="146"/>
      <c r="D11" s="146"/>
      <c r="E11" s="79" t="s">
        <v>201</v>
      </c>
      <c r="F11" s="79" t="s">
        <v>328</v>
      </c>
      <c r="G11" s="127" t="s">
        <v>305</v>
      </c>
      <c r="H11" s="129"/>
    </row>
    <row r="12" spans="1:12" x14ac:dyDescent="0.3">
      <c r="A12" s="146" t="s">
        <v>8</v>
      </c>
      <c r="B12" s="146"/>
      <c r="C12" s="146"/>
      <c r="D12" s="146"/>
      <c r="E12" s="104" t="s">
        <v>163</v>
      </c>
      <c r="F12" s="104"/>
      <c r="G12" s="104"/>
      <c r="H12" s="104"/>
    </row>
    <row r="13" spans="1:12" ht="98.4" customHeight="1" x14ac:dyDescent="0.3">
      <c r="A13" s="147" t="s">
        <v>9</v>
      </c>
      <c r="B13" s="147"/>
      <c r="C13" s="147"/>
      <c r="D13" s="147"/>
      <c r="E13" s="104" t="s">
        <v>212</v>
      </c>
      <c r="F13" s="146"/>
      <c r="G13" s="146"/>
      <c r="H13" s="146"/>
    </row>
    <row r="14" spans="1:12" ht="80.400000000000006" customHeight="1" x14ac:dyDescent="0.3">
      <c r="A14" s="167" t="s">
        <v>10</v>
      </c>
      <c r="B14" s="167"/>
      <c r="C14" s="167" t="s">
        <v>327</v>
      </c>
      <c r="D14" s="167"/>
      <c r="E14" s="167"/>
      <c r="F14" s="167"/>
      <c r="G14" s="167"/>
      <c r="H14" s="167"/>
    </row>
    <row r="15" spans="1:12" ht="33.6" customHeight="1" x14ac:dyDescent="0.3">
      <c r="A15" s="104" t="s">
        <v>159</v>
      </c>
      <c r="B15" s="104"/>
      <c r="C15" s="104" t="s">
        <v>318</v>
      </c>
      <c r="D15" s="104"/>
      <c r="E15" s="104"/>
      <c r="F15" s="104"/>
      <c r="G15" s="104"/>
      <c r="H15" s="104"/>
    </row>
    <row r="16" spans="1:12" x14ac:dyDescent="0.3">
      <c r="A16" s="167" t="s">
        <v>11</v>
      </c>
      <c r="B16" s="167"/>
      <c r="C16" s="146" t="s">
        <v>154</v>
      </c>
      <c r="D16" s="146"/>
      <c r="E16" s="167" t="s">
        <v>98</v>
      </c>
      <c r="F16" s="167"/>
      <c r="G16" s="104" t="s">
        <v>156</v>
      </c>
      <c r="H16" s="104"/>
    </row>
    <row r="17" spans="1:8" x14ac:dyDescent="0.3">
      <c r="A17" s="147" t="s">
        <v>13</v>
      </c>
      <c r="B17" s="147"/>
      <c r="C17" s="104" t="s">
        <v>313</v>
      </c>
      <c r="D17" s="104"/>
      <c r="E17" s="167" t="s">
        <v>12</v>
      </c>
      <c r="F17" s="167"/>
      <c r="G17" s="201" t="s">
        <v>157</v>
      </c>
      <c r="H17" s="201"/>
    </row>
    <row r="18" spans="1:8" x14ac:dyDescent="0.3">
      <c r="A18" s="147" t="s">
        <v>99</v>
      </c>
      <c r="B18" s="147"/>
      <c r="C18" s="104" t="s">
        <v>158</v>
      </c>
      <c r="D18" s="104"/>
      <c r="E18" s="167" t="s">
        <v>14</v>
      </c>
      <c r="F18" s="167"/>
      <c r="G18" s="104">
        <v>400042</v>
      </c>
      <c r="H18" s="104"/>
    </row>
    <row r="19" spans="1:8" ht="29.4" customHeight="1" x14ac:dyDescent="0.3">
      <c r="A19" s="147" t="s">
        <v>15</v>
      </c>
      <c r="B19" s="147"/>
      <c r="C19" s="167" t="s">
        <v>155</v>
      </c>
      <c r="D19" s="167"/>
      <c r="E19" s="167" t="s">
        <v>16</v>
      </c>
      <c r="F19" s="167"/>
      <c r="G19" s="104" t="s">
        <v>161</v>
      </c>
      <c r="H19" s="104"/>
    </row>
    <row r="20" spans="1:8" ht="18.75" customHeight="1" x14ac:dyDescent="0.3">
      <c r="A20" s="167" t="s">
        <v>101</v>
      </c>
      <c r="B20" s="167"/>
      <c r="C20" s="167"/>
      <c r="D20" s="167"/>
      <c r="E20" s="146" t="s">
        <v>17</v>
      </c>
      <c r="F20" s="146"/>
      <c r="G20" s="146"/>
      <c r="H20" s="146"/>
    </row>
    <row r="21" spans="1:8" ht="15" customHeight="1" x14ac:dyDescent="0.3">
      <c r="A21" s="167"/>
      <c r="B21" s="167"/>
      <c r="C21" s="167"/>
      <c r="D21" s="167"/>
      <c r="E21" s="146"/>
      <c r="F21" s="146"/>
      <c r="G21" s="146"/>
      <c r="H21" s="146"/>
    </row>
    <row r="22" spans="1:8" ht="15" customHeight="1" x14ac:dyDescent="0.3">
      <c r="A22" s="167" t="s">
        <v>18</v>
      </c>
      <c r="B22" s="167"/>
      <c r="C22" s="167"/>
      <c r="D22" s="167"/>
      <c r="E22" s="104" t="s">
        <v>19</v>
      </c>
      <c r="F22" s="104"/>
      <c r="G22" s="104"/>
      <c r="H22" s="104"/>
    </row>
    <row r="23" spans="1:8" x14ac:dyDescent="0.3">
      <c r="A23" s="147" t="s">
        <v>20</v>
      </c>
      <c r="B23" s="147"/>
      <c r="C23" s="147"/>
      <c r="D23" s="147"/>
      <c r="E23" s="104" t="str">
        <f>IF(AND(G17="Mumbai"),"Upper Class","Middle Class")</f>
        <v>Upper Class</v>
      </c>
      <c r="F23" s="104"/>
      <c r="G23" s="104"/>
      <c r="H23" s="104"/>
    </row>
    <row r="24" spans="1:8" x14ac:dyDescent="0.3">
      <c r="A24" s="147" t="s">
        <v>21</v>
      </c>
      <c r="B24" s="147"/>
      <c r="C24" s="147"/>
      <c r="D24" s="147"/>
      <c r="E24" s="104" t="s">
        <v>22</v>
      </c>
      <c r="F24" s="104"/>
      <c r="G24" s="104"/>
      <c r="H24" s="104"/>
    </row>
    <row r="25" spans="1:8" x14ac:dyDescent="0.3">
      <c r="A25" s="147" t="s">
        <v>23</v>
      </c>
      <c r="B25" s="147"/>
      <c r="C25" s="147"/>
      <c r="D25" s="147"/>
      <c r="E25" s="104" t="str">
        <f>IF(AND(G17="Mumbai"),"Developed","Developing")</f>
        <v>Developed</v>
      </c>
      <c r="F25" s="104"/>
      <c r="G25" s="104"/>
      <c r="H25" s="104"/>
    </row>
    <row r="26" spans="1:8" x14ac:dyDescent="0.3">
      <c r="A26" s="147" t="s">
        <v>24</v>
      </c>
      <c r="B26" s="147"/>
      <c r="C26" s="147"/>
      <c r="D26" s="147"/>
      <c r="E26" s="104" t="s">
        <v>25</v>
      </c>
      <c r="F26" s="104"/>
      <c r="G26" s="104"/>
      <c r="H26" s="104"/>
    </row>
    <row r="27" spans="1:8" ht="15" customHeight="1" x14ac:dyDescent="0.3">
      <c r="A27" s="147" t="s">
        <v>107</v>
      </c>
      <c r="B27" s="147"/>
      <c r="C27" s="147"/>
      <c r="D27" s="147"/>
      <c r="E27" s="104" t="s">
        <v>108</v>
      </c>
      <c r="F27" s="104"/>
      <c r="G27" s="104"/>
      <c r="H27" s="104"/>
    </row>
    <row r="28" spans="1:8" x14ac:dyDescent="0.3">
      <c r="A28" s="167" t="s">
        <v>33</v>
      </c>
      <c r="B28" s="167"/>
      <c r="C28" s="167"/>
      <c r="D28" s="167"/>
      <c r="E28" s="198" t="s">
        <v>105</v>
      </c>
      <c r="F28" s="198"/>
      <c r="G28" s="198"/>
      <c r="H28" s="198"/>
    </row>
    <row r="29" spans="1:8" s="35" customFormat="1" x14ac:dyDescent="0.3">
      <c r="A29" s="167" t="s">
        <v>120</v>
      </c>
      <c r="B29" s="167"/>
      <c r="C29" s="167"/>
      <c r="D29" s="167"/>
      <c r="E29" s="167" t="s">
        <v>34</v>
      </c>
      <c r="F29" s="167"/>
      <c r="G29" s="167"/>
      <c r="H29" s="167"/>
    </row>
    <row r="30" spans="1:8" s="35" customFormat="1" x14ac:dyDescent="0.3">
      <c r="A30" s="203" t="s">
        <v>121</v>
      </c>
      <c r="B30" s="203"/>
      <c r="C30" s="175" t="s">
        <v>306</v>
      </c>
      <c r="D30" s="175"/>
      <c r="E30" s="175"/>
      <c r="F30" s="175" t="s">
        <v>31</v>
      </c>
      <c r="G30" s="175"/>
      <c r="H30" s="175"/>
    </row>
    <row r="31" spans="1:8" x14ac:dyDescent="0.3">
      <c r="A31" s="194" t="s">
        <v>26</v>
      </c>
      <c r="B31" s="194" t="s">
        <v>30</v>
      </c>
      <c r="C31" s="200" t="s">
        <v>222</v>
      </c>
      <c r="D31" s="200"/>
      <c r="E31" s="200"/>
      <c r="F31" s="200" t="s">
        <v>323</v>
      </c>
      <c r="G31" s="200"/>
      <c r="H31" s="200"/>
    </row>
    <row r="32" spans="1:8" s="35" customFormat="1" x14ac:dyDescent="0.3">
      <c r="A32" s="194" t="s">
        <v>27</v>
      </c>
      <c r="B32" s="194" t="s">
        <v>30</v>
      </c>
      <c r="C32" s="200" t="s">
        <v>326</v>
      </c>
      <c r="D32" s="200"/>
      <c r="E32" s="200"/>
      <c r="F32" s="200" t="s">
        <v>324</v>
      </c>
      <c r="G32" s="200"/>
      <c r="H32" s="200"/>
    </row>
    <row r="33" spans="1:8" x14ac:dyDescent="0.3">
      <c r="A33" s="194" t="s">
        <v>29</v>
      </c>
      <c r="B33" s="194" t="s">
        <v>30</v>
      </c>
      <c r="C33" s="200" t="s">
        <v>222</v>
      </c>
      <c r="D33" s="200"/>
      <c r="E33" s="200"/>
      <c r="F33" s="200" t="s">
        <v>322</v>
      </c>
      <c r="G33" s="200"/>
      <c r="H33" s="200"/>
    </row>
    <row r="34" spans="1:8" x14ac:dyDescent="0.3">
      <c r="A34" s="194" t="s">
        <v>28</v>
      </c>
      <c r="B34" s="194" t="s">
        <v>30</v>
      </c>
      <c r="C34" s="200" t="s">
        <v>221</v>
      </c>
      <c r="D34" s="200"/>
      <c r="E34" s="200"/>
      <c r="F34" s="200" t="s">
        <v>325</v>
      </c>
      <c r="G34" s="200"/>
      <c r="H34" s="200"/>
    </row>
    <row r="35" spans="1:8" ht="15.75" customHeight="1" x14ac:dyDescent="0.3">
      <c r="A35" s="147" t="s">
        <v>32</v>
      </c>
      <c r="B35" s="147"/>
      <c r="C35" s="147"/>
      <c r="D35" s="147"/>
      <c r="E35" s="147"/>
      <c r="F35" s="147"/>
      <c r="G35" s="147"/>
      <c r="H35" s="147"/>
    </row>
    <row r="36" spans="1:8" ht="15.75" customHeight="1" x14ac:dyDescent="0.3">
      <c r="A36" s="163" t="s">
        <v>307</v>
      </c>
      <c r="B36" s="163"/>
      <c r="C36" s="209" t="s">
        <v>254</v>
      </c>
      <c r="D36" s="210"/>
      <c r="E36" s="210"/>
      <c r="F36" s="210"/>
      <c r="G36" s="210"/>
      <c r="H36" s="211"/>
    </row>
    <row r="37" spans="1:8" ht="16.5" customHeight="1" x14ac:dyDescent="0.3">
      <c r="A37" s="163" t="s">
        <v>200</v>
      </c>
      <c r="B37" s="163"/>
      <c r="C37" s="206" t="s">
        <v>219</v>
      </c>
      <c r="D37" s="207"/>
      <c r="E37" s="207"/>
      <c r="F37" s="207"/>
      <c r="G37" s="207"/>
      <c r="H37" s="208"/>
    </row>
    <row r="38" spans="1:8" x14ac:dyDescent="0.3">
      <c r="A38" s="163" t="s">
        <v>35</v>
      </c>
      <c r="B38" s="163"/>
      <c r="C38" s="163"/>
      <c r="D38" s="163"/>
      <c r="E38" s="163"/>
      <c r="F38" s="163"/>
      <c r="G38" s="163"/>
      <c r="H38" s="163"/>
    </row>
    <row r="39" spans="1:8" x14ac:dyDescent="0.3">
      <c r="A39" s="147" t="s">
        <v>36</v>
      </c>
      <c r="B39" s="147"/>
      <c r="C39" s="147"/>
      <c r="D39" s="147"/>
      <c r="E39" s="212">
        <v>137707</v>
      </c>
      <c r="F39" s="212"/>
      <c r="G39" s="212"/>
      <c r="H39" s="212"/>
    </row>
    <row r="40" spans="1:8" x14ac:dyDescent="0.3">
      <c r="A40" s="147" t="s">
        <v>37</v>
      </c>
      <c r="B40" s="147"/>
      <c r="C40" s="147"/>
      <c r="D40" s="147"/>
      <c r="E40" s="204">
        <v>1</v>
      </c>
      <c r="F40" s="204"/>
      <c r="G40" s="204"/>
      <c r="H40" s="204"/>
    </row>
    <row r="41" spans="1:8" x14ac:dyDescent="0.3">
      <c r="A41" s="147" t="s">
        <v>38</v>
      </c>
      <c r="B41" s="147"/>
      <c r="C41" s="147"/>
      <c r="D41" s="147"/>
      <c r="E41" s="204">
        <f>E43/E39-E40</f>
        <v>0.82414604922044621</v>
      </c>
      <c r="F41" s="204"/>
      <c r="G41" s="204"/>
      <c r="H41" s="204"/>
    </row>
    <row r="42" spans="1:8" x14ac:dyDescent="0.3">
      <c r="A42" s="147" t="s">
        <v>39</v>
      </c>
      <c r="B42" s="147"/>
      <c r="C42" s="147"/>
      <c r="D42" s="147"/>
      <c r="E42" s="204">
        <f>E40+E41</f>
        <v>1.8241460492204462</v>
      </c>
      <c r="F42" s="204"/>
      <c r="G42" s="204"/>
      <c r="H42" s="204"/>
    </row>
    <row r="43" spans="1:8" x14ac:dyDescent="0.3">
      <c r="A43" s="147" t="s">
        <v>119</v>
      </c>
      <c r="B43" s="147"/>
      <c r="C43" s="147"/>
      <c r="D43" s="147"/>
      <c r="E43" s="205">
        <v>251197.68</v>
      </c>
      <c r="F43" s="205"/>
      <c r="G43" s="205"/>
      <c r="H43" s="205"/>
    </row>
    <row r="44" spans="1:8" x14ac:dyDescent="0.3">
      <c r="A44" s="146" t="s">
        <v>40</v>
      </c>
      <c r="B44" s="146"/>
      <c r="C44" s="146"/>
      <c r="D44" s="146"/>
      <c r="E44" s="146" t="s">
        <v>308</v>
      </c>
      <c r="F44" s="146"/>
      <c r="G44" s="146"/>
      <c r="H44" s="146"/>
    </row>
    <row r="45" spans="1:8" x14ac:dyDescent="0.3">
      <c r="A45" s="163" t="s">
        <v>41</v>
      </c>
      <c r="B45" s="163"/>
      <c r="C45" s="163"/>
      <c r="D45" s="163"/>
      <c r="E45" s="163"/>
      <c r="F45" s="163"/>
      <c r="G45" s="163"/>
      <c r="H45" s="163"/>
    </row>
    <row r="46" spans="1:8" ht="32.4" customHeight="1" x14ac:dyDescent="0.3">
      <c r="A46" s="213" t="s">
        <v>252</v>
      </c>
      <c r="B46" s="215"/>
      <c r="C46" s="230" t="s">
        <v>253</v>
      </c>
      <c r="D46" s="231"/>
      <c r="E46" s="231"/>
      <c r="F46" s="231"/>
      <c r="G46" s="231"/>
      <c r="H46" s="232"/>
    </row>
    <row r="47" spans="1:8" ht="32.25" customHeight="1" x14ac:dyDescent="0.3">
      <c r="A47" s="167" t="s">
        <v>42</v>
      </c>
      <c r="B47" s="167"/>
      <c r="C47" s="104" t="s">
        <v>241</v>
      </c>
      <c r="D47" s="146"/>
      <c r="E47" s="146"/>
      <c r="F47" s="27" t="s">
        <v>43</v>
      </c>
      <c r="G47" s="130">
        <v>45602</v>
      </c>
      <c r="H47" s="130"/>
    </row>
    <row r="48" spans="1:8" ht="31.5" customHeight="1" x14ac:dyDescent="0.3">
      <c r="A48" s="127" t="s">
        <v>270</v>
      </c>
      <c r="B48" s="189"/>
      <c r="C48" s="104" t="s">
        <v>241</v>
      </c>
      <c r="D48" s="146"/>
      <c r="E48" s="146"/>
      <c r="F48" s="27" t="s">
        <v>43</v>
      </c>
      <c r="G48" s="130">
        <v>45602</v>
      </c>
      <c r="H48" s="130"/>
    </row>
    <row r="49" spans="1:8" s="34" customFormat="1" ht="15.75" customHeight="1" x14ac:dyDescent="0.3">
      <c r="A49" s="95" t="s">
        <v>267</v>
      </c>
      <c r="B49" s="97"/>
      <c r="C49" s="95" t="s">
        <v>263</v>
      </c>
      <c r="D49" s="96"/>
      <c r="E49" s="97"/>
      <c r="F49" s="36" t="s">
        <v>43</v>
      </c>
      <c r="G49" s="130">
        <v>45350</v>
      </c>
      <c r="H49" s="130"/>
    </row>
    <row r="50" spans="1:8" s="34" customFormat="1" ht="33" customHeight="1" x14ac:dyDescent="0.3">
      <c r="A50" s="98"/>
      <c r="B50" s="100"/>
      <c r="C50" s="101"/>
      <c r="D50" s="102"/>
      <c r="E50" s="103"/>
      <c r="F50" s="37" t="s">
        <v>116</v>
      </c>
      <c r="G50" s="130">
        <v>45715</v>
      </c>
      <c r="H50" s="130"/>
    </row>
    <row r="51" spans="1:8" s="34" customFormat="1" ht="84.75" customHeight="1" x14ac:dyDescent="0.3">
      <c r="A51" s="98"/>
      <c r="B51" s="100"/>
      <c r="C51" s="127" t="s">
        <v>311</v>
      </c>
      <c r="D51" s="128"/>
      <c r="E51" s="128"/>
      <c r="F51" s="128"/>
      <c r="G51" s="128"/>
      <c r="H51" s="129"/>
    </row>
    <row r="52" spans="1:8" s="34" customFormat="1" x14ac:dyDescent="0.3">
      <c r="A52" s="98"/>
      <c r="B52" s="100"/>
      <c r="C52" s="95" t="s">
        <v>264</v>
      </c>
      <c r="D52" s="96"/>
      <c r="E52" s="97"/>
      <c r="F52" s="36" t="s">
        <v>43</v>
      </c>
      <c r="G52" s="130">
        <v>45625</v>
      </c>
      <c r="H52" s="130"/>
    </row>
    <row r="53" spans="1:8" ht="31.2" x14ac:dyDescent="0.3">
      <c r="A53" s="98"/>
      <c r="B53" s="100"/>
      <c r="C53" s="101"/>
      <c r="D53" s="102"/>
      <c r="E53" s="103"/>
      <c r="F53" s="37" t="s">
        <v>116</v>
      </c>
      <c r="G53" s="130">
        <v>45896</v>
      </c>
      <c r="H53" s="130"/>
    </row>
    <row r="54" spans="1:8" ht="102" customHeight="1" x14ac:dyDescent="0.3">
      <c r="A54" s="101"/>
      <c r="B54" s="103"/>
      <c r="C54" s="127" t="s">
        <v>312</v>
      </c>
      <c r="D54" s="128"/>
      <c r="E54" s="128"/>
      <c r="F54" s="128"/>
      <c r="G54" s="128"/>
      <c r="H54" s="129"/>
    </row>
    <row r="55" spans="1:8" x14ac:dyDescent="0.3">
      <c r="A55" s="233" t="s">
        <v>259</v>
      </c>
      <c r="B55" s="234"/>
      <c r="C55" s="104" t="s">
        <v>257</v>
      </c>
      <c r="D55" s="146"/>
      <c r="E55" s="146"/>
      <c r="F55" s="27" t="s">
        <v>43</v>
      </c>
      <c r="G55" s="130">
        <v>45389</v>
      </c>
      <c r="H55" s="130"/>
    </row>
    <row r="56" spans="1:8" x14ac:dyDescent="0.3">
      <c r="A56" s="235"/>
      <c r="B56" s="236"/>
      <c r="C56" s="127" t="s">
        <v>258</v>
      </c>
      <c r="D56" s="128"/>
      <c r="E56" s="128"/>
      <c r="F56" s="128"/>
      <c r="G56" s="128"/>
      <c r="H56" s="129"/>
    </row>
    <row r="57" spans="1:8" ht="82.2" customHeight="1" x14ac:dyDescent="0.3">
      <c r="A57" s="185" t="s">
        <v>310</v>
      </c>
      <c r="B57" s="185"/>
      <c r="C57" s="115" t="s">
        <v>309</v>
      </c>
      <c r="D57" s="114"/>
      <c r="E57" s="114" t="s">
        <v>44</v>
      </c>
      <c r="F57" s="30" t="s">
        <v>43</v>
      </c>
      <c r="G57" s="184">
        <v>45758</v>
      </c>
      <c r="H57" s="184"/>
    </row>
    <row r="58" spans="1:8" x14ac:dyDescent="0.3">
      <c r="A58" s="190" t="s">
        <v>46</v>
      </c>
      <c r="B58" s="190"/>
      <c r="C58" s="190"/>
      <c r="D58" s="190"/>
      <c r="E58" s="190"/>
      <c r="F58" s="190"/>
      <c r="G58" s="190"/>
      <c r="H58" s="190"/>
    </row>
    <row r="59" spans="1:8" ht="33" customHeight="1" x14ac:dyDescent="0.3">
      <c r="A59" s="167" t="s">
        <v>242</v>
      </c>
      <c r="B59" s="167"/>
      <c r="C59" s="167"/>
      <c r="D59" s="191">
        <f>16727.39+15583.77+17541.34+18138.34+16125.56+6389.39</f>
        <v>90505.79</v>
      </c>
      <c r="E59" s="191"/>
      <c r="F59" s="191"/>
      <c r="G59" s="191"/>
      <c r="H59" s="191"/>
    </row>
    <row r="60" spans="1:8" x14ac:dyDescent="0.3">
      <c r="A60" s="104" t="s">
        <v>47</v>
      </c>
      <c r="B60" s="146"/>
      <c r="C60" s="146"/>
      <c r="D60" s="191" t="s">
        <v>314</v>
      </c>
      <c r="E60" s="191"/>
      <c r="F60" s="191"/>
      <c r="G60" s="191"/>
      <c r="H60" s="191"/>
    </row>
    <row r="61" spans="1:8" ht="48.6" customHeight="1" x14ac:dyDescent="0.3">
      <c r="A61" s="104" t="s">
        <v>48</v>
      </c>
      <c r="B61" s="146"/>
      <c r="C61" s="146"/>
      <c r="D61" s="183" t="s">
        <v>276</v>
      </c>
      <c r="E61" s="183"/>
      <c r="F61" s="183"/>
      <c r="G61" s="183"/>
      <c r="H61" s="183"/>
    </row>
    <row r="62" spans="1:8" x14ac:dyDescent="0.3">
      <c r="A62" s="95" t="s">
        <v>117</v>
      </c>
      <c r="B62" s="96"/>
      <c r="C62" s="97"/>
      <c r="D62" s="104" t="s">
        <v>281</v>
      </c>
      <c r="E62" s="104"/>
      <c r="F62" s="104"/>
      <c r="G62" s="104"/>
      <c r="H62" s="104"/>
    </row>
    <row r="63" spans="1:8" x14ac:dyDescent="0.3">
      <c r="A63" s="98"/>
      <c r="B63" s="99"/>
      <c r="C63" s="100"/>
      <c r="D63" s="104" t="s">
        <v>277</v>
      </c>
      <c r="E63" s="104"/>
      <c r="F63" s="104"/>
      <c r="G63" s="104"/>
      <c r="H63" s="104"/>
    </row>
    <row r="64" spans="1:8" x14ac:dyDescent="0.3">
      <c r="A64" s="98"/>
      <c r="B64" s="99"/>
      <c r="C64" s="100"/>
      <c r="D64" s="104" t="s">
        <v>278</v>
      </c>
      <c r="E64" s="104"/>
      <c r="F64" s="104"/>
      <c r="G64" s="104"/>
      <c r="H64" s="104"/>
    </row>
    <row r="65" spans="1:11" x14ac:dyDescent="0.3">
      <c r="A65" s="98"/>
      <c r="B65" s="99"/>
      <c r="C65" s="100"/>
      <c r="D65" s="104" t="s">
        <v>279</v>
      </c>
      <c r="E65" s="104"/>
      <c r="F65" s="104"/>
      <c r="G65" s="104"/>
      <c r="H65" s="104"/>
      <c r="J65" s="23"/>
      <c r="K65" s="23"/>
    </row>
    <row r="66" spans="1:11" x14ac:dyDescent="0.3">
      <c r="A66" s="98"/>
      <c r="B66" s="99"/>
      <c r="C66" s="100"/>
      <c r="D66" s="104" t="s">
        <v>280</v>
      </c>
      <c r="E66" s="104"/>
      <c r="F66" s="104"/>
      <c r="G66" s="104"/>
      <c r="H66" s="104"/>
    </row>
    <row r="67" spans="1:11" x14ac:dyDescent="0.3">
      <c r="A67" s="101"/>
      <c r="B67" s="102"/>
      <c r="C67" s="103"/>
      <c r="D67" s="104" t="s">
        <v>282</v>
      </c>
      <c r="E67" s="104"/>
      <c r="F67" s="104"/>
      <c r="G67" s="104"/>
      <c r="H67" s="104"/>
    </row>
    <row r="68" spans="1:11" ht="80.400000000000006" customHeight="1" x14ac:dyDescent="0.3">
      <c r="A68" s="147" t="s">
        <v>45</v>
      </c>
      <c r="B68" s="147"/>
      <c r="C68" s="147"/>
      <c r="D68" s="104" t="s">
        <v>329</v>
      </c>
      <c r="E68" s="104"/>
      <c r="F68" s="104"/>
      <c r="G68" s="104"/>
      <c r="H68" s="104"/>
    </row>
    <row r="69" spans="1:11" ht="16.2" thickBot="1" x14ac:dyDescent="0.35">
      <c r="A69" s="147" t="s">
        <v>113</v>
      </c>
      <c r="B69" s="147"/>
      <c r="C69" s="147"/>
      <c r="D69" s="167" t="s">
        <v>114</v>
      </c>
      <c r="E69" s="167"/>
      <c r="F69" s="167"/>
      <c r="G69" s="167"/>
      <c r="H69" s="167"/>
    </row>
    <row r="70" spans="1:11" x14ac:dyDescent="0.3">
      <c r="A70" s="147" t="s">
        <v>115</v>
      </c>
      <c r="B70" s="147"/>
      <c r="C70" s="147"/>
      <c r="D70" s="167" t="s">
        <v>25</v>
      </c>
      <c r="E70" s="167"/>
      <c r="F70" s="167"/>
      <c r="G70" s="167"/>
      <c r="H70" s="167"/>
      <c r="I70" s="21" t="str">
        <f ca="1">(IF(E76&gt;99%,"All work completed. Please provide OC.",IF(E76&gt;89.8%,"Plinth, RCC, Brick, Plaster, Flooring, Painting work Completed. Finishing work is in process.",IF(E76&lt;94%,(IF(C76=0,"Work not yet Started.",IF(D76=25%,"Piling work in process",IF(D76=50%,"Excavation work in process",IF(D76=100%,"Excavation work Completed. ","0")))&amp;(IF(C77=0%,"",IF(C77=J76,"Footing work is process",IF(C77=J77,"Footing work Completed",IF(C77=J78,"1st Basement Completed",IF(C77=J79,"1st &amp; 2nd Basement Completed",IF(C77=J80,"1st to 3rd Basement Completed",IF(C77=J81,"1st to 4th Basement Completed",IF(C77=J82,"Plinth work is process",IF(C77=J83,"Plinth work completed","0")))))))))))&amp;(IF(C78=(D73+F73+H73),", RCC Slab",IF(C78&gt;0,", RCC upto "&amp;C78&amp;" Slab",""))&amp;(IF(C79=H73,", Brickwork",IF(C79&gt;0,", Brickwork upto "&amp;C79&amp;" Floor",""))&amp;(IF(C80=H73,", Internal Plaster",IF(C80&gt;0,", Internal Plaster upto "&amp;C80&amp;" Floor",""))&amp;(IF(C81=H73,", External Plaster",IF(C81&gt;0,", External Plaster upto "&amp;C81&amp;" Floor",""))&amp;(IF(C82=H73,", Flooring",IF(C82&gt;0,", Flooring upto "&amp;C82&amp;" Floor",""))&amp;(IF(C83=H73,", Painting",IF(C83&gt;0,", Painting upto "&amp;C83&amp;" Floor",""))&amp;(IF(C84&gt;0,", Finishing upto "&amp;C84&amp;" Floor","")&amp;(IF(C78&gt;0.5," Completed",""))))))))))))))</f>
        <v>Excavation work Completed. Plinth work completed, RCC upto 21 Slab, Brickwork upto 19 Floor, Internal Plaster upto 14.25 Floor, External Plaster upto 12.35 Floor Completed</v>
      </c>
      <c r="J70" s="38"/>
    </row>
    <row r="71" spans="1:11" ht="16.2" thickBot="1" x14ac:dyDescent="0.35">
      <c r="A71" s="192" t="s">
        <v>112</v>
      </c>
      <c r="B71" s="192"/>
      <c r="C71" s="192"/>
      <c r="D71" s="193" t="str">
        <f ca="1">(IF(G90&gt;95%,"Nothing",IF(G90&gt;0%,"Cement, Aggregate, Steel, etc",IF(G90=0%,"Work not yet Started"))))</f>
        <v>Cement, Aggregate, Steel, etc</v>
      </c>
      <c r="E71" s="193"/>
      <c r="F71" s="193"/>
      <c r="G71" s="193"/>
      <c r="H71" s="193"/>
      <c r="I71" s="23"/>
      <c r="J71" s="39"/>
    </row>
    <row r="72" spans="1:11" x14ac:dyDescent="0.3">
      <c r="A72" s="108" t="s">
        <v>170</v>
      </c>
      <c r="B72" s="109"/>
      <c r="C72" s="110" t="str">
        <f>D62</f>
        <v>I Wing = Gr + Retail 1 + Service + 1st to 26th + Service + 27th to 49th Floor</v>
      </c>
      <c r="D72" s="111"/>
      <c r="E72" s="111"/>
      <c r="F72" s="111"/>
      <c r="G72" s="111"/>
      <c r="H72" s="112"/>
      <c r="I72" s="23" t="s">
        <v>133</v>
      </c>
      <c r="J72" s="39"/>
    </row>
    <row r="73" spans="1:11" x14ac:dyDescent="0.3">
      <c r="A73" s="22" t="s">
        <v>171</v>
      </c>
      <c r="B73" s="28">
        <v>0</v>
      </c>
      <c r="C73" s="28" t="s">
        <v>97</v>
      </c>
      <c r="D73" s="28">
        <v>1</v>
      </c>
      <c r="E73" s="28" t="s">
        <v>96</v>
      </c>
      <c r="F73" s="28">
        <v>1</v>
      </c>
      <c r="G73" s="28" t="s">
        <v>106</v>
      </c>
      <c r="H73" s="17">
        <f ca="1">--TRIM(RIGHT(SUBSTITUTE(LEFT(C72,_xlfn.AGGREGATE(16,6,FIND({0,1,2,3,4,5,6,7,8,9},C72,ROW(INDIRECT("1:"&amp;LEN(C72)))),1))," ",REPT(" ",LEN(C72))),LEN(C72)))</f>
        <v>49</v>
      </c>
      <c r="I73" s="24" t="s">
        <v>173</v>
      </c>
      <c r="J73" s="40">
        <f ca="1">H73*25%</f>
        <v>12.25</v>
      </c>
    </row>
    <row r="74" spans="1:11" ht="45.6" customHeight="1" x14ac:dyDescent="0.3">
      <c r="A74" s="113" t="s">
        <v>118</v>
      </c>
      <c r="B74" s="114"/>
      <c r="C74" s="115" t="str">
        <f ca="1">I70</f>
        <v>Excavation work Completed. Plinth work completed, RCC upto 21 Slab, Brickwork upto 19 Floor, Internal Plaster upto 14.25 Floor, External Plaster upto 12.35 Floor Completed</v>
      </c>
      <c r="D74" s="115"/>
      <c r="E74" s="115"/>
      <c r="F74" s="115"/>
      <c r="G74" s="115"/>
      <c r="H74" s="116"/>
      <c r="I74" s="24" t="s">
        <v>127</v>
      </c>
      <c r="J74" s="43">
        <f ca="1">H73*50%</f>
        <v>24.5</v>
      </c>
    </row>
    <row r="75" spans="1:11" x14ac:dyDescent="0.3">
      <c r="A75" s="117" t="s">
        <v>49</v>
      </c>
      <c r="B75" s="118"/>
      <c r="C75" s="31" t="s">
        <v>172</v>
      </c>
      <c r="D75" s="28" t="s">
        <v>109</v>
      </c>
      <c r="E75" s="118" t="s">
        <v>111</v>
      </c>
      <c r="F75" s="118"/>
      <c r="G75" s="118" t="s">
        <v>110</v>
      </c>
      <c r="H75" s="119"/>
      <c r="I75" s="24" t="s">
        <v>128</v>
      </c>
      <c r="J75" s="43">
        <f ca="1">H73</f>
        <v>49</v>
      </c>
    </row>
    <row r="76" spans="1:11" x14ac:dyDescent="0.3">
      <c r="A76" s="117" t="s">
        <v>174</v>
      </c>
      <c r="B76" s="118"/>
      <c r="C76" s="41">
        <f ca="1">J75</f>
        <v>49</v>
      </c>
      <c r="D76" s="42">
        <f ca="1">((100/H73)*C76)/100</f>
        <v>1</v>
      </c>
      <c r="E76" s="120">
        <f ca="1">(((C77/H73*10)+(40/(D73+F73+H73)*C78)+(7.5/(H73)*C79)+(7.5/(H73)*C80)+(10/H73*C81)+(10/H73*C82)+(5/H73*C83)+(5/H73*C84)+(5/H73*C85))/100)</f>
        <v>0.34080282112845139</v>
      </c>
      <c r="F76" s="120"/>
      <c r="G76" s="120">
        <f ca="1">((((C76/H73)*20)+((C77/H73)*25)+(30/(H73+F73+D73)*C78)+(5/H73*C79)+(5/H73*C80)+(5/H73*C81)+(5/H73*C82)+(0/H73*C83)+(0/H73*C84)+(5/H73*C85))/100)</f>
        <v>0.62006002400960381</v>
      </c>
      <c r="H76" s="122"/>
      <c r="I76" s="24" t="s">
        <v>129</v>
      </c>
      <c r="J76" s="45">
        <f ca="1">(IF(B73&gt;1,(H73/(B73+2)),H73/4))</f>
        <v>12.25</v>
      </c>
    </row>
    <row r="77" spans="1:11" x14ac:dyDescent="0.3">
      <c r="A77" s="117" t="s">
        <v>50</v>
      </c>
      <c r="B77" s="118"/>
      <c r="C77" s="44">
        <f ca="1">J83</f>
        <v>49</v>
      </c>
      <c r="D77" s="42">
        <f ca="1">((100/H73)*C77)/100</f>
        <v>1</v>
      </c>
      <c r="E77" s="120"/>
      <c r="F77" s="120"/>
      <c r="G77" s="120"/>
      <c r="H77" s="122"/>
      <c r="I77" s="24" t="s">
        <v>130</v>
      </c>
      <c r="J77" s="45">
        <f ca="1">(IF(B73&gt;1,(H73/(B73+2)+J76),H73/4+J76))</f>
        <v>24.5</v>
      </c>
    </row>
    <row r="78" spans="1:11" x14ac:dyDescent="0.3">
      <c r="A78" s="117" t="s">
        <v>175</v>
      </c>
      <c r="B78" s="118"/>
      <c r="C78" s="44">
        <f>D73+F73+19</f>
        <v>21</v>
      </c>
      <c r="D78" s="42">
        <f ca="1">((100/(D73+F73+H73))*C78)/100</f>
        <v>0.41176470588235292</v>
      </c>
      <c r="E78" s="120"/>
      <c r="F78" s="120"/>
      <c r="G78" s="120"/>
      <c r="H78" s="122"/>
      <c r="I78" s="24" t="s">
        <v>179</v>
      </c>
      <c r="J78" s="45">
        <f>(IF(B73&gt;1,(H73/(B73+2)+J77),0))</f>
        <v>0</v>
      </c>
    </row>
    <row r="79" spans="1:11" x14ac:dyDescent="0.3">
      <c r="A79" s="117" t="s">
        <v>176</v>
      </c>
      <c r="B79" s="118" t="s">
        <v>177</v>
      </c>
      <c r="C79" s="44">
        <f>C78-F73-D73</f>
        <v>19</v>
      </c>
      <c r="D79" s="42">
        <f ca="1">((100/H73)*C79)/100</f>
        <v>0.38775510204081631</v>
      </c>
      <c r="E79" s="120"/>
      <c r="F79" s="120"/>
      <c r="G79" s="120"/>
      <c r="H79" s="122"/>
      <c r="I79" s="24" t="s">
        <v>182</v>
      </c>
      <c r="J79" s="45">
        <f>(IF(B73&gt;2,(H73/(B73+2)+J78),0))</f>
        <v>0</v>
      </c>
    </row>
    <row r="80" spans="1:11" x14ac:dyDescent="0.3">
      <c r="A80" s="117" t="s">
        <v>178</v>
      </c>
      <c r="B80" s="118" t="s">
        <v>177</v>
      </c>
      <c r="C80" s="44">
        <f>C79*0.75</f>
        <v>14.25</v>
      </c>
      <c r="D80" s="42">
        <f ca="1">((100/H73)*C80)/100</f>
        <v>0.29081632653061223</v>
      </c>
      <c r="E80" s="120"/>
      <c r="F80" s="120"/>
      <c r="G80" s="120"/>
      <c r="H80" s="122"/>
      <c r="I80" s="24" t="s">
        <v>184</v>
      </c>
      <c r="J80" s="46">
        <f>(IF(B73&gt;3,(H73/(B73+2)+J79),0))</f>
        <v>0</v>
      </c>
    </row>
    <row r="81" spans="1:10" x14ac:dyDescent="0.3">
      <c r="A81" s="117" t="s">
        <v>180</v>
      </c>
      <c r="B81" s="118" t="s">
        <v>181</v>
      </c>
      <c r="C81" s="44">
        <f>C79*0.65</f>
        <v>12.35</v>
      </c>
      <c r="D81" s="42">
        <f ca="1">((100/(H73))*C81)/100</f>
        <v>0.25204081632653064</v>
      </c>
      <c r="E81" s="120"/>
      <c r="F81" s="120"/>
      <c r="G81" s="120"/>
      <c r="H81" s="122"/>
      <c r="I81" s="24" t="s">
        <v>186</v>
      </c>
      <c r="J81" s="45">
        <f>(IF(B73&gt;4,(H73/(B73+2)+J80),0))</f>
        <v>0</v>
      </c>
    </row>
    <row r="82" spans="1:10" x14ac:dyDescent="0.3">
      <c r="A82" s="117" t="s">
        <v>183</v>
      </c>
      <c r="B82" s="118" t="s">
        <v>183</v>
      </c>
      <c r="C82" s="41">
        <v>0</v>
      </c>
      <c r="D82" s="42">
        <f ca="1">((100/H73)*C82)/100</f>
        <v>0</v>
      </c>
      <c r="E82" s="120"/>
      <c r="F82" s="120"/>
      <c r="G82" s="120"/>
      <c r="H82" s="122"/>
      <c r="I82" s="24" t="s">
        <v>131</v>
      </c>
      <c r="J82" s="45">
        <f ca="1">(IF(B73=1,(H73/(B73+3)+J77),IF(B73=0,(H73/4+J77),IF(B73&gt;1,0))))</f>
        <v>36.75</v>
      </c>
    </row>
    <row r="83" spans="1:10" ht="16.2" thickBot="1" x14ac:dyDescent="0.35">
      <c r="A83" s="117" t="s">
        <v>185</v>
      </c>
      <c r="B83" s="118"/>
      <c r="C83" s="41">
        <v>0</v>
      </c>
      <c r="D83" s="42">
        <f ca="1">((100/H73)*C83)/100</f>
        <v>0</v>
      </c>
      <c r="E83" s="120"/>
      <c r="F83" s="120"/>
      <c r="G83" s="120"/>
      <c r="H83" s="122"/>
      <c r="I83" s="25" t="s">
        <v>132</v>
      </c>
      <c r="J83" s="49">
        <f ca="1">(IF(B73&gt;1.5,(H73/(B73+2)+J77+MAX(0,J78-J77)+MAX(0,J79-J78)+MAX(0,J80-J79)+MAX(0,J81-J80)+MAX(0,J82-J81)),IF(B73=1,(H73/(B73+3)+J82),IF(B73=0,H73/4+J82))))</f>
        <v>49</v>
      </c>
    </row>
    <row r="84" spans="1:10" x14ac:dyDescent="0.3">
      <c r="A84" s="117" t="s">
        <v>187</v>
      </c>
      <c r="B84" s="118" t="s">
        <v>187</v>
      </c>
      <c r="C84" s="41">
        <v>0</v>
      </c>
      <c r="D84" s="42">
        <f ca="1">((100/(H73))*C84)/100</f>
        <v>0</v>
      </c>
      <c r="E84" s="120"/>
      <c r="F84" s="120"/>
      <c r="G84" s="120"/>
      <c r="H84" s="122"/>
      <c r="I84" s="21" t="str">
        <f ca="1">(IF(E90&gt;99%,"All work completed. Please provide OC.",IF(E90&gt;89.8%,"Plinth, RCC, Brick, Plaster, Flooring, Painting work Completed. Finishing work is in process.",IF(E90&lt;94%,(IF(C90=0,"Work not yet Started.",IF(D90=25%,"Piling work in process",IF(D90=50%,"Excavation work in process",IF(D90=100%,"Excavation work Completed. ","0")))&amp;(IF(C91=0%,"",IF(C91=J90,"Footing work is process",IF(C91=J91,"Footing work Completed",IF(C91=J92,"1st Basement Completed",IF(C91=J93,"1st &amp; 2nd Basement Completed",IF(C91=J94,"1st to 3rd Basement Completed",IF(C91=J95,"1st to 4th Basement Completed",IF(C91=J96,"Plinth work is process",IF(C91=J97,"Plinth work completed","0")))))))))))&amp;(IF(C92=(D87+F87+H87),", RCC Slab",IF(C92&gt;0,", RCC upto "&amp;C92&amp;" Slab",""))&amp;(IF(C93=H87,", Brickwork",IF(C93&gt;0,", Brickwork upto "&amp;C93&amp;" Floor",""))&amp;(IF(C94=H87,", Internal Plaster",IF(C94&gt;0,", Internal Plaster upto "&amp;C94&amp;" Floor",""))&amp;(IF(C95=H87,", External Plaster",IF(C95&gt;0,", External Plaster upto "&amp;C95&amp;" Floor",""))&amp;(IF(C96=H87,", Flooring",IF(C96&gt;0,", Flooring upto "&amp;C96&amp;" Floor",""))&amp;(IF(C97=H87,", Painting",IF(C97&gt;0,", Painting upto "&amp;C97&amp;" Floor",""))&amp;(IF(C98&gt;0,", Finishing upto "&amp;C98&amp;" Floor","")&amp;(IF(C92&gt;0.5," Completed",""))))))))))))))</f>
        <v>Excavation work Completed. Plinth work completed, RCC Slab, Brickwork, Internal Plaster upto 41.65 Floor, External Plaster upto 39.2 Floor, Flooring upto 15 Floor Completed</v>
      </c>
      <c r="J84" s="38"/>
    </row>
    <row r="85" spans="1:10" ht="16.2" thickBot="1" x14ac:dyDescent="0.35">
      <c r="A85" s="124" t="s">
        <v>188</v>
      </c>
      <c r="B85" s="125"/>
      <c r="C85" s="47">
        <v>0</v>
      </c>
      <c r="D85" s="48">
        <f ca="1">((100/(H73))*C85)/100</f>
        <v>0</v>
      </c>
      <c r="E85" s="121"/>
      <c r="F85" s="121"/>
      <c r="G85" s="121"/>
      <c r="H85" s="123"/>
      <c r="I85" s="23"/>
      <c r="J85" s="39"/>
    </row>
    <row r="86" spans="1:10" x14ac:dyDescent="0.3">
      <c r="A86" s="108" t="s">
        <v>170</v>
      </c>
      <c r="B86" s="109"/>
      <c r="C86" s="186" t="str">
        <f>D63</f>
        <v>J Wing = Gr + Retail 1 + Service + 1st to 26th + Service + 27th to 49th Floor</v>
      </c>
      <c r="D86" s="187"/>
      <c r="E86" s="187"/>
      <c r="F86" s="187"/>
      <c r="G86" s="187"/>
      <c r="H86" s="188"/>
      <c r="I86" s="23" t="s">
        <v>133</v>
      </c>
      <c r="J86" s="39"/>
    </row>
    <row r="87" spans="1:10" x14ac:dyDescent="0.3">
      <c r="A87" s="22" t="s">
        <v>171</v>
      </c>
      <c r="B87" s="28">
        <v>0</v>
      </c>
      <c r="C87" s="28" t="s">
        <v>97</v>
      </c>
      <c r="D87" s="28">
        <v>1</v>
      </c>
      <c r="E87" s="28" t="s">
        <v>96</v>
      </c>
      <c r="F87" s="28">
        <v>1</v>
      </c>
      <c r="G87" s="28" t="s">
        <v>106</v>
      </c>
      <c r="H87" s="17">
        <f ca="1">--TRIM(RIGHT(SUBSTITUTE(LEFT(C86,_xlfn.AGGREGATE(16,6,FIND({0,1,2,3,4,5,6,7,8,9},C86,ROW(INDIRECT("1:"&amp;LEN(C86)))),1))," ",REPT(" ",LEN(C86))),LEN(C86)))</f>
        <v>49</v>
      </c>
      <c r="I87" s="24" t="s">
        <v>173</v>
      </c>
      <c r="J87" s="40">
        <f ca="1">H87*25%</f>
        <v>12.25</v>
      </c>
    </row>
    <row r="88" spans="1:10" ht="48.6" customHeight="1" x14ac:dyDescent="0.3">
      <c r="A88" s="113" t="s">
        <v>118</v>
      </c>
      <c r="B88" s="114"/>
      <c r="C88" s="115" t="str">
        <f ca="1">I84</f>
        <v>Excavation work Completed. Plinth work completed, RCC Slab, Brickwork, Internal Plaster upto 41.65 Floor, External Plaster upto 39.2 Floor, Flooring upto 15 Floor Completed</v>
      </c>
      <c r="D88" s="115"/>
      <c r="E88" s="115"/>
      <c r="F88" s="115"/>
      <c r="G88" s="115"/>
      <c r="H88" s="116"/>
      <c r="I88" s="24" t="s">
        <v>127</v>
      </c>
      <c r="J88" s="43">
        <f ca="1">H87*50%</f>
        <v>24.5</v>
      </c>
    </row>
    <row r="89" spans="1:10" ht="15" customHeight="1" x14ac:dyDescent="0.3">
      <c r="A89" s="117" t="s">
        <v>49</v>
      </c>
      <c r="B89" s="118"/>
      <c r="C89" s="31" t="s">
        <v>172</v>
      </c>
      <c r="D89" s="28" t="s">
        <v>109</v>
      </c>
      <c r="E89" s="118" t="s">
        <v>111</v>
      </c>
      <c r="F89" s="118"/>
      <c r="G89" s="118" t="s">
        <v>110</v>
      </c>
      <c r="H89" s="119"/>
      <c r="I89" s="24" t="s">
        <v>128</v>
      </c>
      <c r="J89" s="43">
        <f ca="1">H87</f>
        <v>49</v>
      </c>
    </row>
    <row r="90" spans="1:10" x14ac:dyDescent="0.3">
      <c r="A90" s="117" t="s">
        <v>174</v>
      </c>
      <c r="B90" s="118"/>
      <c r="C90" s="41">
        <f ca="1">J89</f>
        <v>49</v>
      </c>
      <c r="D90" s="42">
        <f ca="1">((100/H87)*C90)/100</f>
        <v>1</v>
      </c>
      <c r="E90" s="120">
        <f ca="1">(((C91/H87*10)+(40/(D87+F87+H87)*C92)+(7.5/(H87)*C93)+(7.5/(H87)*C94)+(10/H87*C95)+(10/H87*C96)+(5/H87*C97)+(5/H87*C98)+(5/H87*C99))/100)</f>
        <v>0.74936224489795922</v>
      </c>
      <c r="F90" s="120"/>
      <c r="G90" s="120">
        <f ca="1">((((C90/H87)*20)+((C91/H87)*25)+(30/(H87+F87+D87)*C92)+(5/H87*C93)+(5/H87*C94)+(5/H87*C95)+(5/H87*C96)+(0/H87*C97)+(0/H87*C98)+(5/H87*C99))/100)</f>
        <v>0.8978061224489795</v>
      </c>
      <c r="H90" s="122"/>
      <c r="I90" s="24" t="s">
        <v>129</v>
      </c>
      <c r="J90" s="45">
        <f ca="1">(IF(B87&gt;1,(H87/(B87+2)),H87/4))</f>
        <v>12.25</v>
      </c>
    </row>
    <row r="91" spans="1:10" x14ac:dyDescent="0.3">
      <c r="A91" s="117" t="s">
        <v>50</v>
      </c>
      <c r="B91" s="118"/>
      <c r="C91" s="44">
        <f ca="1">J97</f>
        <v>49</v>
      </c>
      <c r="D91" s="42">
        <f ca="1">((100/H87)*C91)/100</f>
        <v>1</v>
      </c>
      <c r="E91" s="120"/>
      <c r="F91" s="120"/>
      <c r="G91" s="120"/>
      <c r="H91" s="122"/>
      <c r="I91" s="24" t="s">
        <v>130</v>
      </c>
      <c r="J91" s="45">
        <f ca="1">(IF(B87&gt;1,(H87/(B87+2)+J90),H87/4+J90))</f>
        <v>24.5</v>
      </c>
    </row>
    <row r="92" spans="1:10" x14ac:dyDescent="0.3">
      <c r="A92" s="221" t="s">
        <v>175</v>
      </c>
      <c r="B92" s="200"/>
      <c r="C92" s="44">
        <f>D87+F87+49</f>
        <v>51</v>
      </c>
      <c r="D92" s="42">
        <f ca="1">((100/(D87+F87+H87))*C92)/100</f>
        <v>1</v>
      </c>
      <c r="E92" s="120"/>
      <c r="F92" s="120"/>
      <c r="G92" s="120"/>
      <c r="H92" s="122"/>
      <c r="I92" s="24" t="s">
        <v>179</v>
      </c>
      <c r="J92" s="45">
        <f>(IF(B87&gt;1,(H87/(B87+2)+J91),0))</f>
        <v>0</v>
      </c>
    </row>
    <row r="93" spans="1:10" ht="15" customHeight="1" x14ac:dyDescent="0.3">
      <c r="A93" s="117" t="s">
        <v>176</v>
      </c>
      <c r="B93" s="118" t="s">
        <v>177</v>
      </c>
      <c r="C93" s="44">
        <f>C92-D87-F87</f>
        <v>49</v>
      </c>
      <c r="D93" s="42">
        <f ca="1">((100/H87)*C93)/100</f>
        <v>1</v>
      </c>
      <c r="E93" s="120"/>
      <c r="F93" s="120"/>
      <c r="G93" s="120"/>
      <c r="H93" s="122"/>
      <c r="I93" s="24" t="s">
        <v>182</v>
      </c>
      <c r="J93" s="45">
        <f>(IF(B87&gt;2,(H87/(B87+2)+J92),0))</f>
        <v>0</v>
      </c>
    </row>
    <row r="94" spans="1:10" x14ac:dyDescent="0.3">
      <c r="A94" s="117" t="s">
        <v>178</v>
      </c>
      <c r="B94" s="118" t="s">
        <v>177</v>
      </c>
      <c r="C94" s="44">
        <f>C93*0.85</f>
        <v>41.65</v>
      </c>
      <c r="D94" s="42">
        <f ca="1">((100/H87)*C94)/100</f>
        <v>0.85</v>
      </c>
      <c r="E94" s="120"/>
      <c r="F94" s="120"/>
      <c r="G94" s="120"/>
      <c r="H94" s="122"/>
      <c r="I94" s="24" t="s">
        <v>184</v>
      </c>
      <c r="J94" s="46">
        <f>(IF(B87&gt;3,(H87/(B87+2)+J93),0))</f>
        <v>0</v>
      </c>
    </row>
    <row r="95" spans="1:10" x14ac:dyDescent="0.3">
      <c r="A95" s="117" t="s">
        <v>180</v>
      </c>
      <c r="B95" s="118" t="s">
        <v>181</v>
      </c>
      <c r="C95" s="44">
        <f>C93*0.8</f>
        <v>39.200000000000003</v>
      </c>
      <c r="D95" s="42">
        <f ca="1">((100/(H87))*C95)/100</f>
        <v>0.80000000000000016</v>
      </c>
      <c r="E95" s="120"/>
      <c r="F95" s="120"/>
      <c r="G95" s="120"/>
      <c r="H95" s="122"/>
      <c r="I95" s="24" t="s">
        <v>186</v>
      </c>
      <c r="J95" s="45">
        <f>(IF(B87&gt;4,(H87/(B87+2)+J94),0))</f>
        <v>0</v>
      </c>
    </row>
    <row r="96" spans="1:10" x14ac:dyDescent="0.3">
      <c r="A96" s="117" t="s">
        <v>183</v>
      </c>
      <c r="B96" s="118" t="s">
        <v>183</v>
      </c>
      <c r="C96" s="41">
        <v>15</v>
      </c>
      <c r="D96" s="42">
        <f ca="1">((100/H87)*C96)/100</f>
        <v>0.30612244897959184</v>
      </c>
      <c r="E96" s="120"/>
      <c r="F96" s="120"/>
      <c r="G96" s="120"/>
      <c r="H96" s="122"/>
      <c r="I96" s="24" t="s">
        <v>131</v>
      </c>
      <c r="J96" s="45">
        <f ca="1">(IF(B87=1,(H87/(B87+3)+J91),IF(B87=0,(H87/4+J91),IF(B87&gt;1,0))))</f>
        <v>36.75</v>
      </c>
    </row>
    <row r="97" spans="1:13" ht="16.2" thickBot="1" x14ac:dyDescent="0.35">
      <c r="A97" s="117" t="s">
        <v>185</v>
      </c>
      <c r="B97" s="118"/>
      <c r="C97" s="41">
        <v>0</v>
      </c>
      <c r="D97" s="42">
        <f ca="1">((100/H87)*C97)/100</f>
        <v>0</v>
      </c>
      <c r="E97" s="120"/>
      <c r="F97" s="120"/>
      <c r="G97" s="120"/>
      <c r="H97" s="122"/>
      <c r="I97" s="25" t="s">
        <v>132</v>
      </c>
      <c r="J97" s="49">
        <f ca="1">(IF(B87&gt;1.5,(H87/(B87+2)+J91+MAX(0,J92-J91)+MAX(0,J93-J92)+MAX(0,J94-J93)+MAX(0,J95-J94)+MAX(0,J96-J95)),IF(B87=1,(H87/(B87+3)+J96),IF(B87=0,H87/4+J96))))</f>
        <v>49</v>
      </c>
    </row>
    <row r="98" spans="1:13" x14ac:dyDescent="0.3">
      <c r="A98" s="117" t="s">
        <v>187</v>
      </c>
      <c r="B98" s="118" t="s">
        <v>187</v>
      </c>
      <c r="C98" s="41">
        <v>0</v>
      </c>
      <c r="D98" s="42">
        <f ca="1">((100/(H87))*C98)/100</f>
        <v>0</v>
      </c>
      <c r="E98" s="120"/>
      <c r="F98" s="120"/>
      <c r="G98" s="120"/>
      <c r="H98" s="122"/>
      <c r="I98" s="21" t="str">
        <f ca="1">(IF(E104&gt;99%,"All work completed. Please provide OC.",IF(E104&gt;89.8%,"Plinth, RCC, Brick, Plaster, Flooring, Painting work Completed. Finishing work is in process.",IF(E104&lt;94%,(IF(C104=0,"Work not yet Started.",IF(D104=25%,"Piling work in process",IF(D104=50%,"Excavation work in process",IF(D104=100%,"Excavation work Completed. ","0")))&amp;(IF(C105=0%,"",IF(C105=J104,"Footing work is process",IF(C105=J105,"Footing work Completed",IF(C105=J106,"1st Basement Completed",IF(C105=J107,"1st &amp; 2nd Basement Completed",IF(C105=J108,"1st to 3rd Basement Completed",IF(C105=J109,"1st to 4th Basement Completed",IF(C105=J110,"Plinth work is process",IF(C105=J111,"Plinth work completed","0")))))))))))&amp;(IF(C106=(D101+F101+H101),", RCC Slab",IF(C106&gt;0,", RCC upto "&amp;C106&amp;" Slab",""))&amp;(IF(C107=H101,", Brickwork",IF(C107&gt;0,", Brickwork upto "&amp;C107&amp;" Floor",""))&amp;(IF(C108=H101,", Internal Plaster",IF(C108&gt;0,", Internal Plaster upto "&amp;C108&amp;" Floor",""))&amp;(IF(C109=H101,", External Plaster",IF(C109&gt;0,", External Plaster upto "&amp;C109&amp;" Floor",""))&amp;(IF(C110=H101,", Flooring",IF(C110&gt;0,", Flooring upto "&amp;C110&amp;" Floor",""))&amp;(IF(C111=H101,", Painting",IF(C111&gt;0,", Painting upto "&amp;C111&amp;" Floor",""))&amp;(IF(C112&gt;0,", Finishing upto "&amp;C112&amp;" Floor","")&amp;(IF(C106&gt;0.5," Completed",""))))))))))))))</f>
        <v>Excavation work Completed. Plinth work completed, RCC upto 53 Slab, Brickwork upto 51 Floor, Internal Plaster upto 43.35 Floor, External Plaster upto 38.25 Floor, Flooring upto 16 Floor Completed</v>
      </c>
      <c r="J98" s="38"/>
    </row>
    <row r="99" spans="1:13" ht="16.2" thickBot="1" x14ac:dyDescent="0.35">
      <c r="A99" s="124" t="s">
        <v>188</v>
      </c>
      <c r="B99" s="125"/>
      <c r="C99" s="47">
        <v>0</v>
      </c>
      <c r="D99" s="48">
        <f ca="1">((100/(H87))*C99)/100</f>
        <v>0</v>
      </c>
      <c r="E99" s="121"/>
      <c r="F99" s="121"/>
      <c r="G99" s="121"/>
      <c r="H99" s="123"/>
      <c r="I99" s="23"/>
      <c r="J99" s="39"/>
    </row>
    <row r="100" spans="1:13" x14ac:dyDescent="0.3">
      <c r="A100" s="108" t="s">
        <v>170</v>
      </c>
      <c r="B100" s="109"/>
      <c r="C100" s="110" t="str">
        <f>D64</f>
        <v>K Wing = Gr + Retail 1 + Service + 1st to 26th + Service + 27th to 53rd Floor</v>
      </c>
      <c r="D100" s="111"/>
      <c r="E100" s="111"/>
      <c r="F100" s="111"/>
      <c r="G100" s="111"/>
      <c r="H100" s="112"/>
      <c r="I100" s="23" t="s">
        <v>133</v>
      </c>
      <c r="J100" s="39"/>
    </row>
    <row r="101" spans="1:13" x14ac:dyDescent="0.3">
      <c r="A101" s="22" t="s">
        <v>171</v>
      </c>
      <c r="B101" s="28">
        <v>0</v>
      </c>
      <c r="C101" s="28" t="s">
        <v>97</v>
      </c>
      <c r="D101" s="28">
        <v>1</v>
      </c>
      <c r="E101" s="28" t="s">
        <v>96</v>
      </c>
      <c r="F101" s="28">
        <v>1</v>
      </c>
      <c r="G101" s="28" t="s">
        <v>106</v>
      </c>
      <c r="H101" s="17">
        <f ca="1">--TRIM(RIGHT(SUBSTITUTE(LEFT(C100,_xlfn.AGGREGATE(16,6,FIND({0,1,2,3,4,5,6,7,8,9},C100,ROW(INDIRECT("1:"&amp;LEN(C100)))),1))," ",REPT(" ",LEN(C100))),LEN(C100)))</f>
        <v>53</v>
      </c>
      <c r="I101" s="24" t="s">
        <v>173</v>
      </c>
      <c r="J101" s="40">
        <f ca="1">H101*25%</f>
        <v>13.25</v>
      </c>
      <c r="K101" s="80" t="s">
        <v>335</v>
      </c>
      <c r="L101" s="81"/>
      <c r="M101" s="35"/>
    </row>
    <row r="102" spans="1:13" ht="49.2" customHeight="1" x14ac:dyDescent="0.3">
      <c r="A102" s="113" t="s">
        <v>118</v>
      </c>
      <c r="B102" s="114"/>
      <c r="C102" s="115" t="str">
        <f ca="1">I98</f>
        <v>Excavation work Completed. Plinth work completed, RCC upto 53 Slab, Brickwork upto 51 Floor, Internal Plaster upto 43.35 Floor, External Plaster upto 38.25 Floor, Flooring upto 16 Floor Completed</v>
      </c>
      <c r="D102" s="115"/>
      <c r="E102" s="115"/>
      <c r="F102" s="115"/>
      <c r="G102" s="115"/>
      <c r="H102" s="116"/>
      <c r="I102" s="24" t="s">
        <v>127</v>
      </c>
      <c r="J102" s="43">
        <f ca="1">H101*50%</f>
        <v>26.5</v>
      </c>
      <c r="K102" s="80" t="s">
        <v>337</v>
      </c>
      <c r="L102" s="81"/>
      <c r="M102" s="35"/>
    </row>
    <row r="103" spans="1:13" ht="15" customHeight="1" x14ac:dyDescent="0.3">
      <c r="A103" s="117" t="s">
        <v>49</v>
      </c>
      <c r="B103" s="118"/>
      <c r="C103" s="31" t="s">
        <v>172</v>
      </c>
      <c r="D103" s="28" t="s">
        <v>109</v>
      </c>
      <c r="E103" s="118" t="s">
        <v>111</v>
      </c>
      <c r="F103" s="118"/>
      <c r="G103" s="118" t="s">
        <v>110</v>
      </c>
      <c r="H103" s="119"/>
      <c r="I103" s="24" t="s">
        <v>128</v>
      </c>
      <c r="J103" s="43">
        <f ca="1">H101</f>
        <v>53</v>
      </c>
      <c r="K103" s="81" t="s">
        <v>336</v>
      </c>
      <c r="L103" s="35"/>
      <c r="M103" s="35"/>
    </row>
    <row r="104" spans="1:13" x14ac:dyDescent="0.3">
      <c r="A104" s="117" t="s">
        <v>174</v>
      </c>
      <c r="B104" s="118"/>
      <c r="C104" s="41">
        <v>53</v>
      </c>
      <c r="D104" s="42">
        <f ca="1">((100/H101)*C104)/100</f>
        <v>1</v>
      </c>
      <c r="E104" s="120">
        <f ca="1">(((C105/H101*10)+(40/(D101+F101+H101)*C106)+(7.5/(H101)*C107)+(7.5/(H101)*C108)+(10/H101*C109)+(10/H101*C110)+(5/H101*C111)+(5/H101*C112)+(5/H101*C113))/100)</f>
        <v>0.72132718696397957</v>
      </c>
      <c r="F104" s="120"/>
      <c r="G104" s="120">
        <f ca="1">((((C104/H101)*20)+((C105/H101)*25)+(30/(H101+F101+D101)*C106)+(5/H101*C107)+(5/H101*C108)+(5/H101*C109)+(5/H101*C110)+(0/H101*C111)+(0/H101*C112)+(5/H101*C113))/100)</f>
        <v>0.87927958833619213</v>
      </c>
      <c r="H104" s="122"/>
      <c r="I104" s="24" t="s">
        <v>129</v>
      </c>
      <c r="J104" s="45">
        <f ca="1">(IF(B101&gt;1,(H101/(B101+2)),H101/4))</f>
        <v>13.25</v>
      </c>
    </row>
    <row r="105" spans="1:13" x14ac:dyDescent="0.3">
      <c r="A105" s="117" t="s">
        <v>50</v>
      </c>
      <c r="B105" s="118"/>
      <c r="C105" s="44">
        <v>53</v>
      </c>
      <c r="D105" s="42">
        <f ca="1">((100/H101)*C105)/100</f>
        <v>1</v>
      </c>
      <c r="E105" s="120"/>
      <c r="F105" s="120"/>
      <c r="G105" s="120"/>
      <c r="H105" s="122"/>
      <c r="I105" s="24" t="s">
        <v>130</v>
      </c>
      <c r="J105" s="45">
        <f ca="1">(IF(B101&gt;1,(H101/(B101+2)+J104),H101/4+J104))</f>
        <v>26.5</v>
      </c>
    </row>
    <row r="106" spans="1:13" x14ac:dyDescent="0.3">
      <c r="A106" s="221" t="s">
        <v>175</v>
      </c>
      <c r="B106" s="200"/>
      <c r="C106" s="44">
        <f>D101+F101+51</f>
        <v>53</v>
      </c>
      <c r="D106" s="42">
        <f ca="1">((100/(D101+F101+H101))*C106)/100</f>
        <v>0.96363636363636362</v>
      </c>
      <c r="E106" s="120"/>
      <c r="F106" s="120"/>
      <c r="G106" s="120"/>
      <c r="H106" s="122"/>
      <c r="I106" s="24" t="s">
        <v>179</v>
      </c>
      <c r="J106" s="45">
        <f>(IF(B101&gt;1,(H101/(B101+2)+J105),0))</f>
        <v>0</v>
      </c>
    </row>
    <row r="107" spans="1:13" ht="18" customHeight="1" x14ac:dyDescent="0.3">
      <c r="A107" s="117" t="s">
        <v>176</v>
      </c>
      <c r="B107" s="118" t="s">
        <v>177</v>
      </c>
      <c r="C107" s="44">
        <f>C106-D101-F101</f>
        <v>51</v>
      </c>
      <c r="D107" s="42">
        <f ca="1">((100/H101)*C107)/100</f>
        <v>0.96226415094339623</v>
      </c>
      <c r="E107" s="120"/>
      <c r="F107" s="120"/>
      <c r="G107" s="120"/>
      <c r="H107" s="122"/>
      <c r="I107" s="24" t="s">
        <v>182</v>
      </c>
      <c r="J107" s="45">
        <f>(IF(B101&gt;2,(H101/(B101+2)+J106),0))</f>
        <v>0</v>
      </c>
    </row>
    <row r="108" spans="1:13" x14ac:dyDescent="0.3">
      <c r="A108" s="117" t="s">
        <v>178</v>
      </c>
      <c r="B108" s="118" t="s">
        <v>177</v>
      </c>
      <c r="C108" s="44">
        <f>C107*0.85</f>
        <v>43.35</v>
      </c>
      <c r="D108" s="42">
        <f ca="1">((100/H101)*C108)/100</f>
        <v>0.81792452830188678</v>
      </c>
      <c r="E108" s="120"/>
      <c r="F108" s="120"/>
      <c r="G108" s="120"/>
      <c r="H108" s="122"/>
      <c r="I108" s="24" t="s">
        <v>184</v>
      </c>
      <c r="J108" s="46">
        <f>(IF(B101&gt;3,(H101/(B101+2)+J107),0))</f>
        <v>0</v>
      </c>
    </row>
    <row r="109" spans="1:13" x14ac:dyDescent="0.3">
      <c r="A109" s="117" t="s">
        <v>180</v>
      </c>
      <c r="B109" s="118" t="s">
        <v>181</v>
      </c>
      <c r="C109" s="44">
        <f>C107*0.75</f>
        <v>38.25</v>
      </c>
      <c r="D109" s="42">
        <f ca="1">((100/(H101))*C109)/100</f>
        <v>0.72169811320754718</v>
      </c>
      <c r="E109" s="120"/>
      <c r="F109" s="120"/>
      <c r="G109" s="120"/>
      <c r="H109" s="122"/>
      <c r="I109" s="24" t="s">
        <v>186</v>
      </c>
      <c r="J109" s="45">
        <f>(IF(B101&gt;4,(H101/(B101+2)+J108),0))</f>
        <v>0</v>
      </c>
    </row>
    <row r="110" spans="1:13" x14ac:dyDescent="0.3">
      <c r="A110" s="117" t="s">
        <v>183</v>
      </c>
      <c r="B110" s="118" t="s">
        <v>183</v>
      </c>
      <c r="C110" s="41">
        <v>16</v>
      </c>
      <c r="D110" s="42">
        <f ca="1">((100/H101)*C110)/100</f>
        <v>0.30188679245283018</v>
      </c>
      <c r="E110" s="120"/>
      <c r="F110" s="120"/>
      <c r="G110" s="120"/>
      <c r="H110" s="122"/>
      <c r="I110" s="24" t="s">
        <v>131</v>
      </c>
      <c r="J110" s="45">
        <f ca="1">(IF(B101=1,(H101/(B101+3)+J105),IF(B101=0,(H101/4+J105),IF(B101&gt;1,0))))</f>
        <v>39.75</v>
      </c>
    </row>
    <row r="111" spans="1:13" ht="16.2" thickBot="1" x14ac:dyDescent="0.35">
      <c r="A111" s="117" t="s">
        <v>185</v>
      </c>
      <c r="B111" s="118"/>
      <c r="C111" s="41">
        <v>0</v>
      </c>
      <c r="D111" s="42">
        <f ca="1">((100/H101)*C111)/100</f>
        <v>0</v>
      </c>
      <c r="E111" s="120"/>
      <c r="F111" s="120"/>
      <c r="G111" s="120"/>
      <c r="H111" s="122"/>
      <c r="I111" s="25" t="s">
        <v>132</v>
      </c>
      <c r="J111" s="49">
        <f ca="1">(IF(B101&gt;1.5,(H101/(B101+2)+J105+MAX(0,J106-J105)+MAX(0,J107-J106)+MAX(0,J108-J107)+MAX(0,J109-J108)+MAX(0,J110-J109)),IF(B101=1,(H101/(B101+3)+J110),IF(B101=0,H101/4+J110))))</f>
        <v>53</v>
      </c>
    </row>
    <row r="112" spans="1:13" x14ac:dyDescent="0.3">
      <c r="A112" s="117" t="s">
        <v>187</v>
      </c>
      <c r="B112" s="118" t="s">
        <v>187</v>
      </c>
      <c r="C112" s="41">
        <v>0</v>
      </c>
      <c r="D112" s="42">
        <f ca="1">((100/(H101))*C112)/100</f>
        <v>0</v>
      </c>
      <c r="E112" s="120"/>
      <c r="F112" s="120"/>
      <c r="G112" s="120"/>
      <c r="H112" s="122"/>
      <c r="I112" s="21" t="str">
        <f ca="1">(IF(E118&gt;99%,"All work completed. Please provide OC.",IF(E118&gt;89.8%,"Plinth, RCC, Brick, Plaster, Flooring, Painting work Completed. Finishing work is in process.",IF(E118&lt;94%,(IF(C118=0,"Work not yet Started.",IF(D118=25%,"Piling work in process",IF(D118=50%,"Excavation work in process",IF(D118=100%,"Excavation work Completed. ","0")))&amp;(IF(C119=0%,"",IF(C119=J118,"Footing work is process",IF(C119=J119,"Footing work Completed",IF(C119=J120,"1st Basement Completed",IF(C119=J121,"1st &amp; 2nd Basement Completed",IF(C119=J122,"1st to 3rd Basement Completed",IF(C119=J123,"1st to 4th Basement Completed",IF(C119=J124,"Plinth work is process",IF(C119=J125,"Plinth work completed","0")))))))))))&amp;(IF(C120=(D115+F115+H115),", RCC Slab",IF(C120&gt;0,", RCC upto "&amp;C120&amp;" Slab",""))&amp;(IF(C121=H115,", Brickwork",IF(C121&gt;0,", Brickwork upto "&amp;C121&amp;" Floor",""))&amp;(IF(C122=H115,", Internal Plaster",IF(C122&gt;0,", Internal Plaster upto "&amp;C122&amp;" Floor",""))&amp;(IF(C123=H115,", External Plaster",IF(C123&gt;0,", External Plaster upto "&amp;C123&amp;" Floor",""))&amp;(IF(C124=H115,", Flooring",IF(C124&gt;0,", Flooring upto "&amp;C124&amp;" Floor",""))&amp;(IF(C125=H115,", Painting",IF(C125&gt;0,", Painting upto "&amp;C125&amp;" Floor",""))&amp;(IF(C126&gt;0,", Finishing upto "&amp;C126&amp;" Floor","")&amp;(IF(C120&gt;0.5," Completed",""))))))))))))))</f>
        <v>Excavation work Completed. Plinth work completed, RCC upto 20 Slab, Brickwork upto 18 Floor, Internal Plaster upto 13.5 Floor, External Plaster upto 11.7 Floor Completed</v>
      </c>
      <c r="J112" s="38"/>
    </row>
    <row r="113" spans="1:10" ht="16.2" thickBot="1" x14ac:dyDescent="0.35">
      <c r="A113" s="124" t="s">
        <v>188</v>
      </c>
      <c r="B113" s="125"/>
      <c r="C113" s="47">
        <v>0</v>
      </c>
      <c r="D113" s="48">
        <f ca="1">((100/(H101))*C113)/100</f>
        <v>0</v>
      </c>
      <c r="E113" s="121"/>
      <c r="F113" s="121"/>
      <c r="G113" s="121"/>
      <c r="H113" s="123"/>
      <c r="I113" s="23"/>
      <c r="J113" s="39"/>
    </row>
    <row r="114" spans="1:10" x14ac:dyDescent="0.3">
      <c r="A114" s="108" t="s">
        <v>170</v>
      </c>
      <c r="B114" s="109"/>
      <c r="C114" s="110" t="str">
        <f>D65</f>
        <v>L Wing = Gr + Retail 1 + Service + 1st to 26th + Service + 27th to 53rd Floor</v>
      </c>
      <c r="D114" s="111"/>
      <c r="E114" s="111"/>
      <c r="F114" s="111"/>
      <c r="G114" s="111"/>
      <c r="H114" s="112"/>
      <c r="I114" s="23" t="s">
        <v>133</v>
      </c>
      <c r="J114" s="39"/>
    </row>
    <row r="115" spans="1:10" x14ac:dyDescent="0.3">
      <c r="A115" s="22" t="s">
        <v>171</v>
      </c>
      <c r="B115" s="28">
        <v>0</v>
      </c>
      <c r="C115" s="28" t="s">
        <v>97</v>
      </c>
      <c r="D115" s="28">
        <v>1</v>
      </c>
      <c r="E115" s="28" t="s">
        <v>96</v>
      </c>
      <c r="F115" s="28">
        <v>1</v>
      </c>
      <c r="G115" s="28" t="s">
        <v>106</v>
      </c>
      <c r="H115" s="17">
        <f ca="1">--TRIM(RIGHT(SUBSTITUTE(LEFT(C114,_xlfn.AGGREGATE(16,6,FIND({0,1,2,3,4,5,6,7,8,9},C114,ROW(INDIRECT("1:"&amp;LEN(C114)))),1))," ",REPT(" ",LEN(C114))),LEN(C114)))</f>
        <v>53</v>
      </c>
      <c r="I115" s="24" t="s">
        <v>173</v>
      </c>
      <c r="J115" s="40">
        <f ca="1">H115*25%</f>
        <v>13.25</v>
      </c>
    </row>
    <row r="116" spans="1:10" ht="46.8" customHeight="1" x14ac:dyDescent="0.3">
      <c r="A116" s="113" t="s">
        <v>118</v>
      </c>
      <c r="B116" s="114"/>
      <c r="C116" s="115" t="str">
        <f ca="1">I112</f>
        <v>Excavation work Completed. Plinth work completed, RCC upto 20 Slab, Brickwork upto 18 Floor, Internal Plaster upto 13.5 Floor, External Plaster upto 11.7 Floor Completed</v>
      </c>
      <c r="D116" s="115"/>
      <c r="E116" s="115"/>
      <c r="F116" s="115"/>
      <c r="G116" s="115"/>
      <c r="H116" s="116"/>
      <c r="I116" s="24" t="s">
        <v>127</v>
      </c>
      <c r="J116" s="43">
        <f ca="1">H115*50%</f>
        <v>26.5</v>
      </c>
    </row>
    <row r="117" spans="1:10" ht="15" customHeight="1" x14ac:dyDescent="0.3">
      <c r="A117" s="117" t="s">
        <v>49</v>
      </c>
      <c r="B117" s="118"/>
      <c r="C117" s="31" t="s">
        <v>172</v>
      </c>
      <c r="D117" s="65" t="s">
        <v>109</v>
      </c>
      <c r="E117" s="118" t="s">
        <v>111</v>
      </c>
      <c r="F117" s="118"/>
      <c r="G117" s="118" t="s">
        <v>110</v>
      </c>
      <c r="H117" s="119"/>
      <c r="I117" s="24" t="s">
        <v>128</v>
      </c>
      <c r="J117" s="43">
        <f ca="1">H115</f>
        <v>53</v>
      </c>
    </row>
    <row r="118" spans="1:10" x14ac:dyDescent="0.3">
      <c r="A118" s="117" t="s">
        <v>174</v>
      </c>
      <c r="B118" s="118"/>
      <c r="C118" s="41">
        <f ca="1">J117</f>
        <v>53</v>
      </c>
      <c r="D118" s="42">
        <f ca="1">((100/H115)*C118)/100</f>
        <v>1</v>
      </c>
      <c r="E118" s="120">
        <f ca="1">(((C119/H115*10)+(40/(D115+F115+H115)*C120)+(7.5/(H115)*C121)+(7.5/(H115)*C122)+(10/H115*C123)+(10/H115*C124)+(5/H115*C125)+(5/H115*C126)+(5/H115*C127))/100)</f>
        <v>0.31210548885077194</v>
      </c>
      <c r="F118" s="120"/>
      <c r="G118" s="120">
        <f ca="1">((((C118/H115)*20)+((C119/H115)*25)+(30/(H115+F115+D115)*C120)+(5/H115*C121)+(5/H115*C122)+(5/H115*C123)+(5/H115*C124)+(0/H115*C125)+(0/H115*C126)+(5/H115*C127))/100)</f>
        <v>0.59984562607204106</v>
      </c>
      <c r="H118" s="122"/>
      <c r="I118" s="24" t="s">
        <v>129</v>
      </c>
      <c r="J118" s="45">
        <f ca="1">(IF(B115&gt;1,(H115/(B115+2)),H115/4))</f>
        <v>13.25</v>
      </c>
    </row>
    <row r="119" spans="1:10" x14ac:dyDescent="0.3">
      <c r="A119" s="117" t="s">
        <v>50</v>
      </c>
      <c r="B119" s="118"/>
      <c r="C119" s="44">
        <v>53</v>
      </c>
      <c r="D119" s="42">
        <f ca="1">((100/H115)*C119)/100</f>
        <v>1</v>
      </c>
      <c r="E119" s="120"/>
      <c r="F119" s="120"/>
      <c r="G119" s="120"/>
      <c r="H119" s="122"/>
      <c r="I119" s="24" t="s">
        <v>130</v>
      </c>
      <c r="J119" s="45">
        <f ca="1">(IF(B115&gt;1,(H115/(B115+2)+J118),H115/4+J118))</f>
        <v>26.5</v>
      </c>
    </row>
    <row r="120" spans="1:10" x14ac:dyDescent="0.3">
      <c r="A120" s="117" t="s">
        <v>175</v>
      </c>
      <c r="B120" s="118"/>
      <c r="C120" s="44">
        <f>D115+F115+18</f>
        <v>20</v>
      </c>
      <c r="D120" s="42">
        <f ca="1">((100/(D115+F115+H115))*C120)/100</f>
        <v>0.36363636363636359</v>
      </c>
      <c r="E120" s="120"/>
      <c r="F120" s="120"/>
      <c r="G120" s="120"/>
      <c r="H120" s="122"/>
      <c r="I120" s="24" t="s">
        <v>179</v>
      </c>
      <c r="J120" s="45">
        <f>(IF(B115&gt;1,(H115/(B115+2)+J119),0))</f>
        <v>0</v>
      </c>
    </row>
    <row r="121" spans="1:10" ht="15" customHeight="1" x14ac:dyDescent="0.3">
      <c r="A121" s="117" t="s">
        <v>176</v>
      </c>
      <c r="B121" s="118" t="s">
        <v>177</v>
      </c>
      <c r="C121" s="44">
        <f>C120-F115-D115</f>
        <v>18</v>
      </c>
      <c r="D121" s="42">
        <f ca="1">((100/H115)*C121)/100</f>
        <v>0.339622641509434</v>
      </c>
      <c r="E121" s="120"/>
      <c r="F121" s="120"/>
      <c r="G121" s="120"/>
      <c r="H121" s="122"/>
      <c r="I121" s="24" t="s">
        <v>182</v>
      </c>
      <c r="J121" s="45">
        <f>(IF(B115&gt;2,(H115/(B115+2)+J120),0))</f>
        <v>0</v>
      </c>
    </row>
    <row r="122" spans="1:10" x14ac:dyDescent="0.3">
      <c r="A122" s="117" t="s">
        <v>178</v>
      </c>
      <c r="B122" s="118" t="s">
        <v>177</v>
      </c>
      <c r="C122" s="44">
        <f>C121*0.75</f>
        <v>13.5</v>
      </c>
      <c r="D122" s="42">
        <f ca="1">((100/H115)*C122)/100</f>
        <v>0.25471698113207547</v>
      </c>
      <c r="E122" s="120"/>
      <c r="F122" s="120"/>
      <c r="G122" s="120"/>
      <c r="H122" s="122"/>
      <c r="I122" s="24" t="s">
        <v>184</v>
      </c>
      <c r="J122" s="46">
        <f>(IF(B115&gt;3,(H115/(B115+2)+J121),0))</f>
        <v>0</v>
      </c>
    </row>
    <row r="123" spans="1:10" x14ac:dyDescent="0.3">
      <c r="A123" s="117" t="s">
        <v>180</v>
      </c>
      <c r="B123" s="118" t="s">
        <v>181</v>
      </c>
      <c r="C123" s="44">
        <f>C121*0.65</f>
        <v>11.700000000000001</v>
      </c>
      <c r="D123" s="42">
        <f ca="1">((100/(H115))*C123)/100</f>
        <v>0.22075471698113208</v>
      </c>
      <c r="E123" s="120"/>
      <c r="F123" s="120"/>
      <c r="G123" s="120"/>
      <c r="H123" s="122"/>
      <c r="I123" s="24" t="s">
        <v>186</v>
      </c>
      <c r="J123" s="45">
        <f>(IF(B115&gt;4,(H115/(B115+2)+J122),0))</f>
        <v>0</v>
      </c>
    </row>
    <row r="124" spans="1:10" x14ac:dyDescent="0.3">
      <c r="A124" s="117" t="s">
        <v>183</v>
      </c>
      <c r="B124" s="118" t="s">
        <v>183</v>
      </c>
      <c r="C124" s="41">
        <v>0</v>
      </c>
      <c r="D124" s="42">
        <f ca="1">((100/H115)*C124)/100</f>
        <v>0</v>
      </c>
      <c r="E124" s="120"/>
      <c r="F124" s="120"/>
      <c r="G124" s="120"/>
      <c r="H124" s="122"/>
      <c r="I124" s="24" t="s">
        <v>131</v>
      </c>
      <c r="J124" s="45">
        <f ca="1">(IF(B115=1,(H115/(B115+3)+J119),IF(B115=0,(H115/4+J119),IF(B115&gt;1,0))))</f>
        <v>39.75</v>
      </c>
    </row>
    <row r="125" spans="1:10" ht="16.2" thickBot="1" x14ac:dyDescent="0.35">
      <c r="A125" s="117" t="s">
        <v>185</v>
      </c>
      <c r="B125" s="118"/>
      <c r="C125" s="41">
        <v>0</v>
      </c>
      <c r="D125" s="42">
        <f ca="1">((100/H115)*C125)/100</f>
        <v>0</v>
      </c>
      <c r="E125" s="120"/>
      <c r="F125" s="120"/>
      <c r="G125" s="120"/>
      <c r="H125" s="122"/>
      <c r="I125" s="25" t="s">
        <v>132</v>
      </c>
      <c r="J125" s="49">
        <f ca="1">(IF(B115&gt;1.5,(H115/(B115+2)+J119+MAX(0,J120-J119)+MAX(0,J121-J120)+MAX(0,J122-J121)+MAX(0,J123-J122)+MAX(0,J124-J123)),IF(B115=1,(H115/(B115+3)+J124),IF(B115=0,H115/4+J124))))</f>
        <v>53</v>
      </c>
    </row>
    <row r="126" spans="1:10" x14ac:dyDescent="0.3">
      <c r="A126" s="117" t="s">
        <v>187</v>
      </c>
      <c r="B126" s="118" t="s">
        <v>187</v>
      </c>
      <c r="C126" s="41">
        <v>0</v>
      </c>
      <c r="D126" s="42">
        <f ca="1">((100/(H115))*C126)/100</f>
        <v>0</v>
      </c>
      <c r="E126" s="120"/>
      <c r="F126" s="120"/>
      <c r="G126" s="120"/>
      <c r="H126" s="122"/>
      <c r="I126" s="21" t="str">
        <f ca="1">(IF(E132&gt;99%,"All work completed. Please provide OC.",IF(E132&gt;89.8%,"Plinth, RCC, Brick, Plaster, Flooring, Painting work Completed. Finishing work is in process.",IF(E132&lt;94%,(IF(C132=0,"Work not yet Started.",IF(D132=25%,"Piling work in process",IF(D132=50%,"Excavation work in process",IF(D132=100%,"Excavation work Completed. ","0")))&amp;(IF(C133=0%,"",IF(C133=J132,"Footing work is process",IF(C133=J133,"Footing work Completed",IF(C133=J134,"1st Basement Completed",IF(C133=J135,"1st &amp; 2nd Basement Completed",IF(C133=J136,"1st to 3rd Basement Completed",IF(C133=J137,"1st to 4th Basement Completed",IF(C133=J138,"Plinth work is process",IF(C133=J139,"Plinth work completed","0")))))))))))&amp;(IF(C134=(D129+F129+H129),", RCC Slab",IF(C134&gt;0,", RCC upto "&amp;C134&amp;" Slab",""))&amp;(IF(C135=H129,", Brickwork",IF(C135&gt;0,", Brickwork upto "&amp;C135&amp;" Floor",""))&amp;(IF(C136=H129,", Internal Plaster",IF(C136&gt;0,", Internal Plaster upto "&amp;C136&amp;" Floor",""))&amp;(IF(C137=H129,", External Plaster",IF(C137&gt;0,", External Plaster upto "&amp;C137&amp;" Floor",""))&amp;(IF(C138=H129,", Flooring",IF(C138&gt;0,", Flooring upto "&amp;C138&amp;" Floor",""))&amp;(IF(C139=H129,", Painting",IF(C139&gt;0,", Painting upto "&amp;C139&amp;" Floor",""))&amp;(IF(C140&gt;0,", Finishing upto "&amp;C140&amp;" Floor","")&amp;(IF(C134&gt;0.5," Completed",""))))))))))))))</f>
        <v>Excavation work Completed. Plinth work completed, RCC upto 9 Slab, Brickwork upto 7 Floor, Internal Plaster upto 5.25 Floor, External Plaster upto 4.55 Floor Completed</v>
      </c>
      <c r="J126" s="38"/>
    </row>
    <row r="127" spans="1:10" ht="16.2" thickBot="1" x14ac:dyDescent="0.35">
      <c r="A127" s="124" t="s">
        <v>188</v>
      </c>
      <c r="B127" s="125"/>
      <c r="C127" s="47">
        <v>0</v>
      </c>
      <c r="D127" s="48">
        <f ca="1">((100/(H115))*C127)/100</f>
        <v>0</v>
      </c>
      <c r="E127" s="121"/>
      <c r="F127" s="121"/>
      <c r="G127" s="121"/>
      <c r="H127" s="123"/>
      <c r="I127" s="23"/>
      <c r="J127" s="39"/>
    </row>
    <row r="128" spans="1:10" x14ac:dyDescent="0.3">
      <c r="A128" s="108" t="s">
        <v>170</v>
      </c>
      <c r="B128" s="109"/>
      <c r="C128" s="110" t="str">
        <f>D66</f>
        <v>M Wing = Gr + Retail 1 + Service + 1st to 26th + Service + 27th to 53rd Floor</v>
      </c>
      <c r="D128" s="111"/>
      <c r="E128" s="111"/>
      <c r="F128" s="111"/>
      <c r="G128" s="111"/>
      <c r="H128" s="112"/>
      <c r="I128" s="23" t="s">
        <v>133</v>
      </c>
      <c r="J128" s="39"/>
    </row>
    <row r="129" spans="1:10" x14ac:dyDescent="0.3">
      <c r="A129" s="22" t="s">
        <v>171</v>
      </c>
      <c r="B129" s="28">
        <v>0</v>
      </c>
      <c r="C129" s="28" t="s">
        <v>97</v>
      </c>
      <c r="D129" s="28">
        <v>1</v>
      </c>
      <c r="E129" s="28" t="s">
        <v>96</v>
      </c>
      <c r="F129" s="28">
        <v>1</v>
      </c>
      <c r="G129" s="28" t="s">
        <v>106</v>
      </c>
      <c r="H129" s="17">
        <f ca="1">--TRIM(RIGHT(SUBSTITUTE(LEFT(C128,_xlfn.AGGREGATE(16,6,FIND({0,1,2,3,4,5,6,7,8,9},C128,ROW(INDIRECT("1:"&amp;LEN(C128)))),1))," ",REPT(" ",LEN(C128))),LEN(C128)))</f>
        <v>53</v>
      </c>
      <c r="I129" s="24" t="s">
        <v>173</v>
      </c>
      <c r="J129" s="40">
        <f ca="1">H129*25%</f>
        <v>13.25</v>
      </c>
    </row>
    <row r="130" spans="1:10" ht="44.4" customHeight="1" x14ac:dyDescent="0.3">
      <c r="A130" s="113" t="s">
        <v>118</v>
      </c>
      <c r="B130" s="114"/>
      <c r="C130" s="115" t="str">
        <f ca="1">I126</f>
        <v>Excavation work Completed. Plinth work completed, RCC upto 9 Slab, Brickwork upto 7 Floor, Internal Plaster upto 5.25 Floor, External Plaster upto 4.55 Floor Completed</v>
      </c>
      <c r="D130" s="115"/>
      <c r="E130" s="115"/>
      <c r="F130" s="115"/>
      <c r="G130" s="115"/>
      <c r="H130" s="116"/>
      <c r="I130" s="24" t="s">
        <v>127</v>
      </c>
      <c r="J130" s="43">
        <f ca="1">H129*50%</f>
        <v>26.5</v>
      </c>
    </row>
    <row r="131" spans="1:10" ht="15" customHeight="1" x14ac:dyDescent="0.3">
      <c r="A131" s="117" t="s">
        <v>49</v>
      </c>
      <c r="B131" s="118"/>
      <c r="C131" s="31" t="s">
        <v>172</v>
      </c>
      <c r="D131" s="28" t="s">
        <v>109</v>
      </c>
      <c r="E131" s="118" t="s">
        <v>111</v>
      </c>
      <c r="F131" s="118"/>
      <c r="G131" s="118" t="s">
        <v>110</v>
      </c>
      <c r="H131" s="119"/>
      <c r="I131" s="24" t="s">
        <v>128</v>
      </c>
      <c r="J131" s="43">
        <f ca="1">H129</f>
        <v>53</v>
      </c>
    </row>
    <row r="132" spans="1:10" x14ac:dyDescent="0.3">
      <c r="A132" s="117" t="s">
        <v>174</v>
      </c>
      <c r="B132" s="118"/>
      <c r="C132" s="41">
        <f ca="1">J131</f>
        <v>53</v>
      </c>
      <c r="D132" s="42">
        <f ca="1">((100/H129)*C132)/100</f>
        <v>1</v>
      </c>
      <c r="E132" s="120">
        <f ca="1">(((C133/H129*10)+(40/(D129+F129+H129)*C134)+(7.5/(H129)*C135)+(7.5/(H129)*C136)+(10/H129*C137)+(10/H129*C138)+(5/H129*C139)+(5/H129*C140)+(5/H129*C141))/100)</f>
        <v>0.19137435677530021</v>
      </c>
      <c r="F132" s="120"/>
      <c r="G132" s="120">
        <f ca="1">((((C132/H129)*20)+((C133/H129)*25)+(30/(H129+F129+D129)*C134)+(5/H129*C135)+(5/H129*C136)+(5/H129*C137)+(5/H129*C138)+(0/H129*C139)+(0/H129*C140)+(5/H129*C141))/100)</f>
        <v>0.51493996569468259</v>
      </c>
      <c r="H132" s="122"/>
      <c r="I132" s="24" t="s">
        <v>129</v>
      </c>
      <c r="J132" s="45">
        <f ca="1">(IF(B129&gt;1,(H129/(B129+2)),H129/4))</f>
        <v>13.25</v>
      </c>
    </row>
    <row r="133" spans="1:10" x14ac:dyDescent="0.3">
      <c r="A133" s="117" t="s">
        <v>50</v>
      </c>
      <c r="B133" s="118"/>
      <c r="C133" s="44">
        <f ca="1">J139</f>
        <v>53</v>
      </c>
      <c r="D133" s="42">
        <f ca="1">((100/H129)*C133)/100</f>
        <v>1</v>
      </c>
      <c r="E133" s="120"/>
      <c r="F133" s="120"/>
      <c r="G133" s="120"/>
      <c r="H133" s="122"/>
      <c r="I133" s="24" t="s">
        <v>130</v>
      </c>
      <c r="J133" s="45">
        <f ca="1">(IF(B129&gt;1,(H129/(B129+2)+J132),H129/4+J132))</f>
        <v>26.5</v>
      </c>
    </row>
    <row r="134" spans="1:10" x14ac:dyDescent="0.3">
      <c r="A134" s="117" t="s">
        <v>175</v>
      </c>
      <c r="B134" s="118"/>
      <c r="C134" s="44">
        <v>9</v>
      </c>
      <c r="D134" s="42">
        <f ca="1">((100/(D129+F129+H129))*C134)/100</f>
        <v>0.16363636363636364</v>
      </c>
      <c r="E134" s="120"/>
      <c r="F134" s="120"/>
      <c r="G134" s="120"/>
      <c r="H134" s="122"/>
      <c r="I134" s="24" t="s">
        <v>179</v>
      </c>
      <c r="J134" s="45">
        <f>(IF(B129&gt;1,(H129/(B129+2)+J133),0))</f>
        <v>0</v>
      </c>
    </row>
    <row r="135" spans="1:10" x14ac:dyDescent="0.3">
      <c r="A135" s="117" t="s">
        <v>176</v>
      </c>
      <c r="B135" s="118" t="s">
        <v>177</v>
      </c>
      <c r="C135" s="44">
        <f>C134-F129-D129</f>
        <v>7</v>
      </c>
      <c r="D135" s="42">
        <f ca="1">((100/H129)*C135)/100</f>
        <v>0.13207547169811321</v>
      </c>
      <c r="E135" s="120"/>
      <c r="F135" s="120"/>
      <c r="G135" s="120"/>
      <c r="H135" s="122"/>
      <c r="I135" s="24" t="s">
        <v>182</v>
      </c>
      <c r="J135" s="45">
        <f>(IF(B129&gt;2,(H129/(B129+2)+J134),0))</f>
        <v>0</v>
      </c>
    </row>
    <row r="136" spans="1:10" x14ac:dyDescent="0.3">
      <c r="A136" s="117" t="s">
        <v>178</v>
      </c>
      <c r="B136" s="118" t="s">
        <v>177</v>
      </c>
      <c r="C136" s="44">
        <f>C135*0.75</f>
        <v>5.25</v>
      </c>
      <c r="D136" s="42">
        <f ca="1">((100/H129)*C136)/100</f>
        <v>9.9056603773584898E-2</v>
      </c>
      <c r="E136" s="120"/>
      <c r="F136" s="120"/>
      <c r="G136" s="120"/>
      <c r="H136" s="122"/>
      <c r="I136" s="24" t="s">
        <v>184</v>
      </c>
      <c r="J136" s="46">
        <f>(IF(B129&gt;3,(H129/(B129+2)+J135),0))</f>
        <v>0</v>
      </c>
    </row>
    <row r="137" spans="1:10" x14ac:dyDescent="0.3">
      <c r="A137" s="117" t="s">
        <v>180</v>
      </c>
      <c r="B137" s="118" t="s">
        <v>181</v>
      </c>
      <c r="C137" s="44">
        <f>C135*0.65</f>
        <v>4.55</v>
      </c>
      <c r="D137" s="42">
        <f ca="1">((100/(H129))*C137)/100</f>
        <v>8.5849056603773594E-2</v>
      </c>
      <c r="E137" s="120"/>
      <c r="F137" s="120"/>
      <c r="G137" s="120"/>
      <c r="H137" s="122"/>
      <c r="I137" s="24" t="s">
        <v>186</v>
      </c>
      <c r="J137" s="45">
        <f>(IF(B129&gt;4,(H129/(B129+2)+J136),0))</f>
        <v>0</v>
      </c>
    </row>
    <row r="138" spans="1:10" x14ac:dyDescent="0.3">
      <c r="A138" s="117" t="s">
        <v>183</v>
      </c>
      <c r="B138" s="118" t="s">
        <v>183</v>
      </c>
      <c r="C138" s="41">
        <v>0</v>
      </c>
      <c r="D138" s="42">
        <f ca="1">((100/H129)*C138)/100</f>
        <v>0</v>
      </c>
      <c r="E138" s="120"/>
      <c r="F138" s="120"/>
      <c r="G138" s="120"/>
      <c r="H138" s="122"/>
      <c r="I138" s="24" t="s">
        <v>131</v>
      </c>
      <c r="J138" s="45">
        <f ca="1">(IF(B129=1,(H129/(B129+3)+J133),IF(B129=0,(H129/4+J133),IF(B129&gt;1,0))))</f>
        <v>39.75</v>
      </c>
    </row>
    <row r="139" spans="1:10" ht="16.2" thickBot="1" x14ac:dyDescent="0.35">
      <c r="A139" s="117" t="s">
        <v>185</v>
      </c>
      <c r="B139" s="118"/>
      <c r="C139" s="41">
        <v>0</v>
      </c>
      <c r="D139" s="42">
        <f ca="1">((100/H129)*C139)/100</f>
        <v>0</v>
      </c>
      <c r="E139" s="120"/>
      <c r="F139" s="120"/>
      <c r="G139" s="120"/>
      <c r="H139" s="122"/>
      <c r="I139" s="25" t="s">
        <v>132</v>
      </c>
      <c r="J139" s="49">
        <f ca="1">(IF(B129&gt;1.5,(H129/(B129+2)+J133+MAX(0,J134-J133)+MAX(0,J135-J134)+MAX(0,J136-J135)+MAX(0,J137-J136)+MAX(0,J138-J137)),IF(B129=1,(H129/(B129+3)+J138),IF(B129=0,H129/4+J138))))</f>
        <v>53</v>
      </c>
    </row>
    <row r="140" spans="1:10" x14ac:dyDescent="0.3">
      <c r="A140" s="117" t="s">
        <v>187</v>
      </c>
      <c r="B140" s="118" t="s">
        <v>187</v>
      </c>
      <c r="C140" s="41">
        <v>0</v>
      </c>
      <c r="D140" s="42">
        <f ca="1">((100/(H129))*C140)/100</f>
        <v>0</v>
      </c>
      <c r="E140" s="120"/>
      <c r="F140" s="120"/>
      <c r="G140" s="120"/>
      <c r="H140" s="122"/>
      <c r="I140" s="21" t="str">
        <f ca="1">(IF(E146&gt;99%,"All work completed. Please provide OC.",IF(E146&gt;89.8%,"Plinth, RCC, Brick, Plaster, Flooring, Painting work Completed. Finishing work is in process.",IF(E146&lt;94%,(IF(C146=0,"Work not yet Started.",IF(D146=25%,"Piling work in process",IF(D146=50%,"Excavation work in process",IF(D146=100%,"Excavation work Completed. ","0")))&amp;(IF(C147=0%,"",IF(C147=J146,"Footing work is process",IF(C147=J147,"Footing work Completed",IF(C147=J148,"1st Basement Completed",IF(C147=J149,"1st &amp; 2nd Basement Completed",IF(C147=J150,"1st to 3rd Basement Completed",IF(C147=J151,"1st to 4th Basement Completed",IF(C147=J152,"Plinth work is process",IF(C147=J153,"Plinth work completed","0")))))))))))&amp;(IF(C148=(D143+F143+H143),", RCC Slab",IF(C148&gt;0,", RCC upto "&amp;C148&amp;" Slab",""))&amp;(IF(C149=H143,", Brickwork",IF(C149&gt;0,", Brickwork upto "&amp;C149&amp;" Floor",""))&amp;(IF(C150=H143,", Internal Plaster",IF(C150&gt;0,", Internal Plaster upto "&amp;C150&amp;" Floor",""))&amp;(IF(C151=H143,", External Plaster",IF(C151&gt;0,", External Plaster upto "&amp;C151&amp;" Floor",""))&amp;(IF(C152=H143,", Flooring",IF(C152&gt;0,", Flooring upto "&amp;C152&amp;" Floor",""))&amp;(IF(C153=H143,", Painting",IF(C153&gt;0,", Painting upto "&amp;C153&amp;" Floor",""))&amp;(IF(C154&gt;0,", Finishing upto "&amp;C154&amp;" Floor","")&amp;(IF(C148&gt;0.5," Completed",""))))))))))))))</f>
        <v>Excavation work Completed. Plinth work completed, RCC upto 11 Slab, Brickwork upto 9 Floor, Internal Plaster upto 7.2 Floor, External Plaster upto 5.85 Floor Completed</v>
      </c>
      <c r="J140" s="38"/>
    </row>
    <row r="141" spans="1:10" ht="16.2" thickBot="1" x14ac:dyDescent="0.35">
      <c r="A141" s="124" t="s">
        <v>188</v>
      </c>
      <c r="B141" s="125"/>
      <c r="C141" s="47">
        <v>0</v>
      </c>
      <c r="D141" s="48">
        <f ca="1">((100/(H129))*C141)/100</f>
        <v>0</v>
      </c>
      <c r="E141" s="121"/>
      <c r="F141" s="121"/>
      <c r="G141" s="121"/>
      <c r="H141" s="123"/>
      <c r="I141" s="23"/>
      <c r="J141" s="39"/>
    </row>
    <row r="142" spans="1:10" x14ac:dyDescent="0.3">
      <c r="A142" s="108" t="s">
        <v>170</v>
      </c>
      <c r="B142" s="109"/>
      <c r="C142" s="110" t="str">
        <f>D67</f>
        <v>N Wing = Gr + Retail 1 + Service + 1st to 26th + Service + 27th to 53rd Floor</v>
      </c>
      <c r="D142" s="111"/>
      <c r="E142" s="111"/>
      <c r="F142" s="111"/>
      <c r="G142" s="111"/>
      <c r="H142" s="112"/>
      <c r="I142" s="23" t="s">
        <v>133</v>
      </c>
      <c r="J142" s="39"/>
    </row>
    <row r="143" spans="1:10" x14ac:dyDescent="0.3">
      <c r="A143" s="22" t="s">
        <v>171</v>
      </c>
      <c r="B143" s="28">
        <v>0</v>
      </c>
      <c r="C143" s="28" t="s">
        <v>97</v>
      </c>
      <c r="D143" s="28">
        <v>1</v>
      </c>
      <c r="E143" s="28" t="s">
        <v>96</v>
      </c>
      <c r="F143" s="28">
        <v>1</v>
      </c>
      <c r="G143" s="28" t="s">
        <v>106</v>
      </c>
      <c r="H143" s="17">
        <f ca="1">--TRIM(RIGHT(SUBSTITUTE(LEFT(C142,_xlfn.AGGREGATE(16,6,FIND({0,1,2,3,4,5,6,7,8,9},C142,ROW(INDIRECT("1:"&amp;LEN(C142)))),1))," ",REPT(" ",LEN(C142))),LEN(C142)))</f>
        <v>53</v>
      </c>
      <c r="I143" s="24" t="s">
        <v>173</v>
      </c>
      <c r="J143" s="40">
        <f ca="1">H143*25%</f>
        <v>13.25</v>
      </c>
    </row>
    <row r="144" spans="1:10" ht="34.799999999999997" customHeight="1" x14ac:dyDescent="0.3">
      <c r="A144" s="113" t="s">
        <v>118</v>
      </c>
      <c r="B144" s="114"/>
      <c r="C144" s="115" t="str">
        <f ca="1">I140</f>
        <v>Excavation work Completed. Plinth work completed, RCC upto 11 Slab, Brickwork upto 9 Floor, Internal Plaster upto 7.2 Floor, External Plaster upto 5.85 Floor Completed</v>
      </c>
      <c r="D144" s="115"/>
      <c r="E144" s="115"/>
      <c r="F144" s="115"/>
      <c r="G144" s="115"/>
      <c r="H144" s="116"/>
      <c r="I144" s="24" t="s">
        <v>127</v>
      </c>
      <c r="J144" s="43">
        <f ca="1">H143*50%</f>
        <v>26.5</v>
      </c>
    </row>
    <row r="145" spans="1:12" ht="15" customHeight="1" x14ac:dyDescent="0.3">
      <c r="A145" s="117" t="s">
        <v>49</v>
      </c>
      <c r="B145" s="118"/>
      <c r="C145" s="31" t="s">
        <v>172</v>
      </c>
      <c r="D145" s="65" t="s">
        <v>109</v>
      </c>
      <c r="E145" s="118" t="s">
        <v>111</v>
      </c>
      <c r="F145" s="118"/>
      <c r="G145" s="118" t="s">
        <v>110</v>
      </c>
      <c r="H145" s="119"/>
      <c r="I145" s="24" t="s">
        <v>128</v>
      </c>
      <c r="J145" s="43">
        <f ca="1">H143</f>
        <v>53</v>
      </c>
    </row>
    <row r="146" spans="1:12" x14ac:dyDescent="0.3">
      <c r="A146" s="117" t="s">
        <v>174</v>
      </c>
      <c r="B146" s="118"/>
      <c r="C146" s="41">
        <f ca="1">J145</f>
        <v>53</v>
      </c>
      <c r="D146" s="42">
        <f ca="1">((100/H143)*C146)/100</f>
        <v>1</v>
      </c>
      <c r="E146" s="120">
        <f ca="1">(((C147/H143*10)+(40/(D143+F143+H143)*C148)+(7.5/(H143)*C149)+(7.5/(H143)*C150)+(10/H143*C151)+(10/H143*C152)+(5/H143*C153)+(5/H143*C154)+(5/H143*C155))/100)</f>
        <v>0.21396226415094341</v>
      </c>
      <c r="F146" s="120"/>
      <c r="G146" s="120">
        <f ca="1">((((C146/H143)*20)+((C147/H143)*25)+(30/(H143+F143+D143)*C148)+(5/H143*C149)+(5/H143*C150)+(5/H143*C151)+(5/H143*C152)+(0/H143*C153)+(0/H143*C154)+(5/H143*C155))/100)</f>
        <v>0.53080188679245277</v>
      </c>
      <c r="H146" s="122"/>
      <c r="I146" s="24" t="s">
        <v>129</v>
      </c>
      <c r="J146" s="45">
        <f ca="1">(IF(B143&gt;1,(H143/(B143+2)),H143/4))</f>
        <v>13.25</v>
      </c>
    </row>
    <row r="147" spans="1:12" x14ac:dyDescent="0.3">
      <c r="A147" s="117" t="s">
        <v>50</v>
      </c>
      <c r="B147" s="118"/>
      <c r="C147" s="44">
        <f ca="1">J153</f>
        <v>53</v>
      </c>
      <c r="D147" s="42">
        <f ca="1">((100/H143)*C147)/100</f>
        <v>1</v>
      </c>
      <c r="E147" s="120"/>
      <c r="F147" s="120"/>
      <c r="G147" s="120"/>
      <c r="H147" s="122"/>
      <c r="I147" s="24" t="s">
        <v>130</v>
      </c>
      <c r="J147" s="45">
        <f ca="1">(IF(B143&gt;1,(H143/(B143+2)+J146),H143/4+J146))</f>
        <v>26.5</v>
      </c>
    </row>
    <row r="148" spans="1:12" x14ac:dyDescent="0.3">
      <c r="A148" s="117" t="s">
        <v>175</v>
      </c>
      <c r="B148" s="118"/>
      <c r="C148" s="44">
        <f>D143+F143+9</f>
        <v>11</v>
      </c>
      <c r="D148" s="42">
        <f ca="1">((100/(D143+F143+H143))*C148)/100</f>
        <v>0.2</v>
      </c>
      <c r="E148" s="120"/>
      <c r="F148" s="120"/>
      <c r="G148" s="120"/>
      <c r="H148" s="122"/>
      <c r="I148" s="24" t="s">
        <v>179</v>
      </c>
      <c r="J148" s="45">
        <f>(IF(B143&gt;1,(H143/(B143+2)+J147),0))</f>
        <v>0</v>
      </c>
    </row>
    <row r="149" spans="1:12" x14ac:dyDescent="0.3">
      <c r="A149" s="117" t="s">
        <v>176</v>
      </c>
      <c r="B149" s="118" t="s">
        <v>177</v>
      </c>
      <c r="C149" s="44">
        <f>C148-F143-D143</f>
        <v>9</v>
      </c>
      <c r="D149" s="42">
        <f ca="1">((100/H143)*C149)/100</f>
        <v>0.169811320754717</v>
      </c>
      <c r="E149" s="120"/>
      <c r="F149" s="120"/>
      <c r="G149" s="120"/>
      <c r="H149" s="122"/>
      <c r="I149" s="24" t="s">
        <v>182</v>
      </c>
      <c r="J149" s="45">
        <f>(IF(B143&gt;2,(H143/(B143+2)+J148),0))</f>
        <v>0</v>
      </c>
    </row>
    <row r="150" spans="1:12" x14ac:dyDescent="0.3">
      <c r="A150" s="117" t="s">
        <v>178</v>
      </c>
      <c r="B150" s="118" t="s">
        <v>177</v>
      </c>
      <c r="C150" s="44">
        <f>C149*0.8</f>
        <v>7.2</v>
      </c>
      <c r="D150" s="42">
        <f ca="1">((100/H143)*C150)/100</f>
        <v>0.13584905660377358</v>
      </c>
      <c r="E150" s="120"/>
      <c r="F150" s="120"/>
      <c r="G150" s="120"/>
      <c r="H150" s="122"/>
      <c r="I150" s="24" t="s">
        <v>184</v>
      </c>
      <c r="J150" s="46">
        <f>(IF(B143&gt;3,(H143/(B143+2)+J149),0))</f>
        <v>0</v>
      </c>
    </row>
    <row r="151" spans="1:12" x14ac:dyDescent="0.3">
      <c r="A151" s="117" t="s">
        <v>180</v>
      </c>
      <c r="B151" s="118" t="s">
        <v>181</v>
      </c>
      <c r="C151" s="44">
        <f>C149*0.65</f>
        <v>5.8500000000000005</v>
      </c>
      <c r="D151" s="42">
        <f ca="1">((100/(H143))*C151)/100</f>
        <v>0.11037735849056604</v>
      </c>
      <c r="E151" s="120"/>
      <c r="F151" s="120"/>
      <c r="G151" s="120"/>
      <c r="H151" s="122"/>
      <c r="I151" s="24" t="s">
        <v>186</v>
      </c>
      <c r="J151" s="45">
        <f>(IF(B143&gt;4,(H143/(B143+2)+J150),0))</f>
        <v>0</v>
      </c>
    </row>
    <row r="152" spans="1:12" ht="15" customHeight="1" x14ac:dyDescent="0.3">
      <c r="A152" s="117" t="s">
        <v>183</v>
      </c>
      <c r="B152" s="118" t="s">
        <v>183</v>
      </c>
      <c r="C152" s="41">
        <v>0</v>
      </c>
      <c r="D152" s="42">
        <f ca="1">((100/H143)*C152)/100</f>
        <v>0</v>
      </c>
      <c r="E152" s="120"/>
      <c r="F152" s="120"/>
      <c r="G152" s="120"/>
      <c r="H152" s="122"/>
      <c r="I152" s="24" t="s">
        <v>131</v>
      </c>
      <c r="J152" s="45">
        <f ca="1">(IF(B143=1,(H143/(B143+3)+J147),IF(B143=0,(H143/4+J147),IF(B143&gt;1,0))))</f>
        <v>39.75</v>
      </c>
    </row>
    <row r="153" spans="1:12" ht="16.2" thickBot="1" x14ac:dyDescent="0.35">
      <c r="A153" s="117" t="s">
        <v>185</v>
      </c>
      <c r="B153" s="118"/>
      <c r="C153" s="41">
        <v>0</v>
      </c>
      <c r="D153" s="42">
        <f ca="1">((100/H143)*C153)/100</f>
        <v>0</v>
      </c>
      <c r="E153" s="120"/>
      <c r="F153" s="120"/>
      <c r="G153" s="120"/>
      <c r="H153" s="122"/>
      <c r="I153" s="25" t="s">
        <v>132</v>
      </c>
      <c r="J153" s="49">
        <f ca="1">(IF(B143&gt;1.5,(H143/(B143+2)+J147+MAX(0,J148-J147)+MAX(0,J149-J148)+MAX(0,J150-J149)+MAX(0,J151-J150)+MAX(0,J152-J151)),IF(B143=1,(H143/(B143+3)+J152),IF(B143=0,H143/4+J152))))</f>
        <v>53</v>
      </c>
    </row>
    <row r="154" spans="1:12" x14ac:dyDescent="0.3">
      <c r="A154" s="117" t="s">
        <v>187</v>
      </c>
      <c r="B154" s="118" t="s">
        <v>187</v>
      </c>
      <c r="C154" s="41">
        <v>0</v>
      </c>
      <c r="D154" s="42">
        <f ca="1">((100/(H143))*C154)/100</f>
        <v>0</v>
      </c>
      <c r="E154" s="120"/>
      <c r="F154" s="120"/>
      <c r="G154" s="120"/>
      <c r="H154" s="122"/>
      <c r="K154" s="63"/>
      <c r="L154" s="64"/>
    </row>
    <row r="155" spans="1:12" ht="16.2" thickBot="1" x14ac:dyDescent="0.35">
      <c r="A155" s="124" t="s">
        <v>188</v>
      </c>
      <c r="B155" s="125"/>
      <c r="C155" s="47">
        <v>0</v>
      </c>
      <c r="D155" s="48">
        <f ca="1">((100/(H143))*C155)/100</f>
        <v>0</v>
      </c>
      <c r="E155" s="121"/>
      <c r="F155" s="121"/>
      <c r="G155" s="121"/>
      <c r="H155" s="123"/>
    </row>
    <row r="156" spans="1:12" x14ac:dyDescent="0.3">
      <c r="A156" s="150" t="s">
        <v>145</v>
      </c>
      <c r="B156" s="151"/>
      <c r="C156" s="151"/>
      <c r="D156" s="151"/>
      <c r="E156" s="152"/>
      <c r="F156" s="150" t="str">
        <f ca="1">(IF(G90="100%","Yes",IF(G90&gt;0%,"Under Construction",IF(G90=0%,"Work not yet Started"))))</f>
        <v>Under Construction</v>
      </c>
      <c r="G156" s="151"/>
      <c r="H156" s="152"/>
    </row>
    <row r="157" spans="1:12" x14ac:dyDescent="0.3">
      <c r="A157" s="147" t="s">
        <v>51</v>
      </c>
      <c r="B157" s="147"/>
      <c r="C157" s="147"/>
      <c r="D157" s="147"/>
      <c r="E157" s="147"/>
      <c r="F157" s="147"/>
      <c r="G157" s="147"/>
      <c r="H157" s="147"/>
    </row>
    <row r="158" spans="1:12" s="50" customFormat="1" ht="34.200000000000003" customHeight="1" x14ac:dyDescent="0.25">
      <c r="A158" s="114" t="s">
        <v>100</v>
      </c>
      <c r="B158" s="114"/>
      <c r="C158" s="104" t="s">
        <v>303</v>
      </c>
      <c r="D158" s="115"/>
      <c r="E158" s="115"/>
      <c r="F158" s="115"/>
      <c r="G158" s="115"/>
      <c r="H158" s="115"/>
      <c r="I158" s="67"/>
    </row>
    <row r="159" spans="1:12" s="50" customFormat="1" x14ac:dyDescent="0.25">
      <c r="A159" s="163" t="s">
        <v>52</v>
      </c>
      <c r="B159" s="163"/>
      <c r="C159" s="163"/>
      <c r="D159" s="163"/>
      <c r="E159" s="163"/>
      <c r="F159" s="163"/>
      <c r="G159" s="163"/>
      <c r="H159" s="163"/>
    </row>
    <row r="160" spans="1:12" s="50" customFormat="1" x14ac:dyDescent="0.25">
      <c r="A160" s="147" t="s">
        <v>331</v>
      </c>
      <c r="B160" s="147"/>
      <c r="C160" s="147"/>
      <c r="D160" s="147"/>
      <c r="E160" s="147"/>
      <c r="F160" s="114">
        <v>15700</v>
      </c>
      <c r="G160" s="114"/>
      <c r="H160" s="114"/>
    </row>
    <row r="161" spans="1:15" s="50" customFormat="1" ht="33.6" customHeight="1" x14ac:dyDescent="0.25">
      <c r="A161" s="213" t="s">
        <v>330</v>
      </c>
      <c r="B161" s="214"/>
      <c r="C161" s="214"/>
      <c r="D161" s="214"/>
      <c r="E161" s="215"/>
      <c r="F161" s="146">
        <v>31500</v>
      </c>
      <c r="G161" s="146"/>
      <c r="H161" s="146"/>
    </row>
    <row r="162" spans="1:15" s="50" customFormat="1" ht="31.8" customHeight="1" x14ac:dyDescent="0.3">
      <c r="A162" s="213" t="s">
        <v>332</v>
      </c>
      <c r="B162" s="214"/>
      <c r="C162" s="214"/>
      <c r="D162" s="214"/>
      <c r="E162" s="215"/>
      <c r="F162" s="146">
        <v>37500</v>
      </c>
      <c r="G162" s="146"/>
      <c r="H162" s="146"/>
      <c r="I162" s="33"/>
      <c r="J162" s="33"/>
      <c r="K162" s="33"/>
      <c r="L162" s="33"/>
      <c r="M162" s="33"/>
      <c r="N162" s="33"/>
      <c r="O162" s="33"/>
    </row>
    <row r="163" spans="1:15" s="50" customFormat="1" ht="30.6" customHeight="1" x14ac:dyDescent="0.3">
      <c r="A163" s="213" t="s">
        <v>333</v>
      </c>
      <c r="B163" s="214"/>
      <c r="C163" s="214"/>
      <c r="D163" s="214"/>
      <c r="E163" s="215"/>
      <c r="F163" s="146">
        <v>55000</v>
      </c>
      <c r="G163" s="146"/>
      <c r="H163" s="146"/>
      <c r="I163" s="63" t="s">
        <v>209</v>
      </c>
      <c r="J163" s="63" t="s">
        <v>210</v>
      </c>
      <c r="K163" s="63" t="s">
        <v>211</v>
      </c>
      <c r="L163" s="64">
        <v>45443</v>
      </c>
      <c r="M163" s="33"/>
      <c r="N163" s="33"/>
      <c r="O163" s="33"/>
    </row>
    <row r="164" spans="1:15" s="50" customFormat="1" x14ac:dyDescent="0.3">
      <c r="A164" s="147" t="s">
        <v>223</v>
      </c>
      <c r="B164" s="147"/>
      <c r="C164" s="147"/>
      <c r="D164" s="147"/>
      <c r="E164" s="147"/>
      <c r="F164" s="146">
        <v>50</v>
      </c>
      <c r="G164" s="146"/>
      <c r="H164" s="146"/>
      <c r="I164" s="33" t="s">
        <v>238</v>
      </c>
      <c r="J164" s="33"/>
      <c r="K164" s="33"/>
      <c r="L164" s="33"/>
      <c r="M164" s="33"/>
      <c r="N164" s="33"/>
      <c r="O164" s="33"/>
    </row>
    <row r="165" spans="1:15" s="50" customFormat="1" hidden="1" x14ac:dyDescent="0.3">
      <c r="A165" s="147" t="s">
        <v>122</v>
      </c>
      <c r="B165" s="147"/>
      <c r="C165" s="147"/>
      <c r="D165" s="147"/>
      <c r="E165" s="147"/>
      <c r="F165" s="146" t="s">
        <v>30</v>
      </c>
      <c r="G165" s="146"/>
      <c r="H165" s="146"/>
      <c r="I165" s="33" t="s">
        <v>238</v>
      </c>
      <c r="J165" s="33"/>
      <c r="K165" s="33"/>
      <c r="L165" s="33"/>
      <c r="M165" s="33"/>
      <c r="N165" s="33"/>
      <c r="O165" s="33"/>
    </row>
    <row r="166" spans="1:15" hidden="1" x14ac:dyDescent="0.3">
      <c r="A166" s="147" t="s">
        <v>123</v>
      </c>
      <c r="B166" s="147"/>
      <c r="C166" s="147"/>
      <c r="D166" s="147"/>
      <c r="E166" s="147"/>
      <c r="F166" s="146" t="s">
        <v>30</v>
      </c>
      <c r="G166" s="146"/>
      <c r="H166" s="146"/>
      <c r="I166" s="33" t="s">
        <v>239</v>
      </c>
    </row>
    <row r="167" spans="1:15" hidden="1" x14ac:dyDescent="0.3">
      <c r="A167" s="147" t="s">
        <v>124</v>
      </c>
      <c r="B167" s="147"/>
      <c r="C167" s="147"/>
      <c r="D167" s="147"/>
      <c r="E167" s="147"/>
      <c r="F167" s="146" t="s">
        <v>30</v>
      </c>
      <c r="G167" s="146"/>
      <c r="H167" s="146"/>
      <c r="I167" s="67" t="s">
        <v>236</v>
      </c>
      <c r="J167" s="50"/>
      <c r="K167" s="50"/>
      <c r="L167" s="50"/>
      <c r="M167" s="50"/>
      <c r="N167" s="50"/>
      <c r="O167" s="50"/>
    </row>
    <row r="168" spans="1:15" hidden="1" x14ac:dyDescent="0.3">
      <c r="A168" s="147" t="s">
        <v>125</v>
      </c>
      <c r="B168" s="147"/>
      <c r="C168" s="147"/>
      <c r="D168" s="147"/>
      <c r="E168" s="147"/>
      <c r="F168" s="146" t="s">
        <v>30</v>
      </c>
      <c r="G168" s="146"/>
      <c r="H168" s="146"/>
    </row>
    <row r="169" spans="1:15" s="51" customFormat="1" hidden="1" x14ac:dyDescent="0.3">
      <c r="A169" s="147" t="s">
        <v>126</v>
      </c>
      <c r="B169" s="147"/>
      <c r="C169" s="147"/>
      <c r="D169" s="147"/>
      <c r="E169" s="147"/>
      <c r="F169" s="146" t="s">
        <v>30</v>
      </c>
      <c r="G169" s="146"/>
      <c r="H169" s="146"/>
      <c r="I169" s="33"/>
      <c r="J169" s="33"/>
      <c r="K169" s="33"/>
      <c r="L169" s="33"/>
      <c r="M169" s="33"/>
      <c r="N169" s="33"/>
      <c r="O169" s="33"/>
    </row>
    <row r="170" spans="1:15" s="52" customFormat="1" x14ac:dyDescent="0.3">
      <c r="A170" s="147" t="s">
        <v>165</v>
      </c>
      <c r="B170" s="147"/>
      <c r="C170" s="147"/>
      <c r="D170" s="147"/>
      <c r="E170" s="147"/>
      <c r="F170" s="146">
        <v>100000</v>
      </c>
      <c r="G170" s="146"/>
      <c r="H170" s="146"/>
      <c r="I170" s="63" t="s">
        <v>209</v>
      </c>
      <c r="J170" s="63" t="s">
        <v>210</v>
      </c>
      <c r="K170" s="63" t="s">
        <v>211</v>
      </c>
      <c r="L170" s="64">
        <v>45443</v>
      </c>
      <c r="M170" s="33"/>
      <c r="N170" s="33"/>
      <c r="O170" s="33"/>
    </row>
    <row r="171" spans="1:15" s="52" customFormat="1" ht="15.75" customHeight="1" x14ac:dyDescent="0.3">
      <c r="A171" s="147" t="s">
        <v>189</v>
      </c>
      <c r="B171" s="147"/>
      <c r="C171" s="147"/>
      <c r="D171" s="147"/>
      <c r="E171" s="147"/>
      <c r="F171" s="146">
        <v>200000</v>
      </c>
      <c r="G171" s="146"/>
      <c r="H171" s="146"/>
      <c r="I171" s="33" t="s">
        <v>238</v>
      </c>
      <c r="J171" s="33"/>
      <c r="K171" s="33"/>
      <c r="L171" s="33"/>
      <c r="M171" s="33"/>
      <c r="N171" s="33"/>
      <c r="O171" s="33"/>
    </row>
    <row r="172" spans="1:15" s="52" customFormat="1" x14ac:dyDescent="0.3">
      <c r="A172" s="147" t="s">
        <v>190</v>
      </c>
      <c r="B172" s="147"/>
      <c r="C172" s="147"/>
      <c r="D172" s="147"/>
      <c r="E172" s="147"/>
      <c r="F172" s="104">
        <v>200000</v>
      </c>
      <c r="G172" s="104"/>
      <c r="H172" s="104"/>
      <c r="I172" s="33" t="s">
        <v>238</v>
      </c>
      <c r="J172" s="33"/>
      <c r="K172" s="33"/>
      <c r="L172" s="33"/>
      <c r="M172" s="33"/>
      <c r="N172" s="33"/>
      <c r="O172" s="33"/>
    </row>
    <row r="173" spans="1:15" s="52" customFormat="1" x14ac:dyDescent="0.3">
      <c r="A173" s="147" t="s">
        <v>53</v>
      </c>
      <c r="B173" s="147"/>
      <c r="C173" s="147"/>
      <c r="D173" s="147"/>
      <c r="E173" s="147"/>
      <c r="F173" s="240" t="s">
        <v>339</v>
      </c>
      <c r="G173" s="240"/>
      <c r="H173" s="240"/>
      <c r="I173" s="33" t="s">
        <v>239</v>
      </c>
      <c r="J173" s="33"/>
      <c r="K173" s="33"/>
      <c r="L173" s="33"/>
      <c r="M173" s="33"/>
      <c r="N173" s="33"/>
      <c r="O173" s="33"/>
    </row>
    <row r="174" spans="1:15" s="52" customFormat="1" x14ac:dyDescent="0.25">
      <c r="A174" s="147" t="s">
        <v>164</v>
      </c>
      <c r="B174" s="147"/>
      <c r="C174" s="147"/>
      <c r="D174" s="147"/>
      <c r="E174" s="147"/>
      <c r="F174" s="241" t="s">
        <v>338</v>
      </c>
      <c r="G174" s="241"/>
      <c r="H174" s="241"/>
      <c r="I174" s="67" t="s">
        <v>236</v>
      </c>
      <c r="J174" s="50"/>
      <c r="K174" s="50"/>
      <c r="L174" s="50"/>
      <c r="M174" s="50"/>
      <c r="N174" s="50"/>
      <c r="O174" s="50"/>
    </row>
    <row r="175" spans="1:15" s="52" customFormat="1" x14ac:dyDescent="0.3">
      <c r="A175" s="163" t="s">
        <v>54</v>
      </c>
      <c r="B175" s="163"/>
      <c r="C175" s="163"/>
      <c r="D175" s="163"/>
      <c r="E175" s="163"/>
      <c r="F175" s="146">
        <f>F160*0.8</f>
        <v>12560</v>
      </c>
      <c r="G175" s="146"/>
      <c r="H175" s="146"/>
    </row>
    <row r="176" spans="1:15" s="52" customFormat="1" ht="15.75" customHeight="1" x14ac:dyDescent="0.3">
      <c r="A176" s="145" t="s">
        <v>294</v>
      </c>
      <c r="B176" s="145"/>
      <c r="C176" s="145"/>
      <c r="D176" s="145"/>
      <c r="E176" s="145"/>
      <c r="F176" s="145"/>
      <c r="G176" s="145"/>
      <c r="H176" s="145"/>
      <c r="J176" s="52">
        <f>5+6+6</f>
        <v>17</v>
      </c>
    </row>
    <row r="177" spans="1:22" s="52" customFormat="1" x14ac:dyDescent="0.3">
      <c r="A177" s="170" t="s">
        <v>55</v>
      </c>
      <c r="B177" s="170"/>
      <c r="C177" s="202" t="s">
        <v>103</v>
      </c>
      <c r="D177" s="202"/>
      <c r="E177" s="148" t="s">
        <v>56</v>
      </c>
      <c r="F177" s="148"/>
      <c r="G177" s="170" t="s">
        <v>57</v>
      </c>
      <c r="H177" s="170"/>
      <c r="I177" s="52">
        <f>5+6+6</f>
        <v>17</v>
      </c>
      <c r="K177" s="52">
        <f>6+6+6+1</f>
        <v>19</v>
      </c>
    </row>
    <row r="178" spans="1:22" s="52" customFormat="1" x14ac:dyDescent="0.3">
      <c r="A178" s="224" t="s">
        <v>272</v>
      </c>
      <c r="B178" s="224"/>
      <c r="C178" s="222">
        <f>COUNT(D198:D248)+COUNT(D250:D293)</f>
        <v>95</v>
      </c>
      <c r="D178" s="223"/>
      <c r="E178" s="219">
        <f>SUM(D198:D248)+SUM(D250:D293)</f>
        <v>43150.235106420005</v>
      </c>
      <c r="F178" s="219"/>
      <c r="G178" s="219">
        <f>SUM(F198:F248)+SUM(F250:F293)</f>
        <v>69040.376170272008</v>
      </c>
      <c r="H178" s="219"/>
      <c r="I178" s="52">
        <f>5+6+6</f>
        <v>17</v>
      </c>
      <c r="J178" s="52">
        <f>5+6+5+6+6+1</f>
        <v>29</v>
      </c>
    </row>
    <row r="179" spans="1:22" s="52" customFormat="1" x14ac:dyDescent="0.3">
      <c r="A179" s="145" t="s">
        <v>59</v>
      </c>
      <c r="B179" s="145"/>
      <c r="C179" s="229">
        <f>SUM(C178:D178)</f>
        <v>95</v>
      </c>
      <c r="D179" s="202"/>
      <c r="E179" s="216">
        <f>SUM(E178:F178)</f>
        <v>43150.235106420005</v>
      </c>
      <c r="F179" s="216"/>
      <c r="G179" s="216">
        <f>SUM(G178:H178)</f>
        <v>69040.376170272008</v>
      </c>
      <c r="H179" s="216"/>
    </row>
    <row r="180" spans="1:22" s="52" customFormat="1" x14ac:dyDescent="0.3">
      <c r="A180" s="145" t="s">
        <v>295</v>
      </c>
      <c r="B180" s="145"/>
      <c r="C180" s="145"/>
      <c r="D180" s="145"/>
      <c r="E180" s="145"/>
      <c r="F180" s="145"/>
      <c r="G180" s="145"/>
      <c r="H180" s="145"/>
      <c r="I180" s="72">
        <f>42*7-(3+5*3+5+2*2+3*2)+5*5+4+5</f>
        <v>295</v>
      </c>
      <c r="J180" s="72">
        <f>4+5*4+2+17*7+2*5+3*5+13*7+5*5+4+5</f>
        <v>295</v>
      </c>
      <c r="K180" s="52">
        <f>5+4+5*5+13*7+3*5+2*5+16*7+2+5*4+4</f>
        <v>288</v>
      </c>
    </row>
    <row r="181" spans="1:22" s="52" customFormat="1" x14ac:dyDescent="0.3">
      <c r="A181" s="170" t="s">
        <v>55</v>
      </c>
      <c r="B181" s="170"/>
      <c r="C181" s="202" t="s">
        <v>103</v>
      </c>
      <c r="D181" s="202"/>
      <c r="E181" s="148" t="s">
        <v>56</v>
      </c>
      <c r="F181" s="148"/>
      <c r="G181" s="170" t="s">
        <v>57</v>
      </c>
      <c r="H181" s="170"/>
      <c r="I181" s="72">
        <f>49*8-(6*4+6+5*2+1)</f>
        <v>351</v>
      </c>
      <c r="J181" s="72">
        <f>4+4*5+2+36*8+5*6+7</f>
        <v>351</v>
      </c>
    </row>
    <row r="182" spans="1:22" s="52" customFormat="1" x14ac:dyDescent="0.3">
      <c r="A182" s="164" t="s">
        <v>296</v>
      </c>
      <c r="B182" s="164"/>
      <c r="C182" s="165">
        <f>COUNT(D305:D308)+COUNT(D313:D316)*5+COUNT(D323:D324)+COUNT(D326:D332)+COUNT(D334:D340)*16+COUNT(D342:D344,D347:D348)*2+COUNT(D351:D353,D356:D357)*3+COUNT(D359:D365)*13+COUNT(D367:D371)*5+COUNT(D373:D376)+COUNT(D378:D381,D383)</f>
        <v>295</v>
      </c>
      <c r="D182" s="165"/>
      <c r="E182" s="165">
        <f>SUM(D305:D308)+SUM(D313:D316)*5+SUM(D323:D324)+SUM(D326:D332)+SUM(D334:D340)*16+SUM(D342:D344,D347:D348)*2+SUM(D351:D353,D356:D357)*3+SUM(D359:D365)*13+SUM(D367:D371)*5+SUM(D373:D376)+SUM(D378:D381,D383)</f>
        <v>156088.66981500003</v>
      </c>
      <c r="F182" s="165"/>
      <c r="G182" s="165">
        <f>SUM(F305:F308)+SUM(F313:F316)*5+SUM(F323:F324)+SUM(F326:F332)+SUM(F334:F340)*16+SUM(F342:F344,F347:F348)*2+SUM(F351:F353,F356:F357)*3+SUM(F359:F365)*13+SUM(F367:F371)*5+SUM(F373:F376)+SUM(F378:F381,F383)</f>
        <v>249955.967664</v>
      </c>
      <c r="H182" s="165"/>
      <c r="I182" s="72">
        <f>49*7-(6*3+5+5*2+1)</f>
        <v>309</v>
      </c>
      <c r="J182" s="72">
        <f>4+5*4+2+36*7+5*5+6</f>
        <v>309</v>
      </c>
    </row>
    <row r="183" spans="1:22" s="52" customFormat="1" x14ac:dyDescent="0.3">
      <c r="A183" s="164" t="s">
        <v>297</v>
      </c>
      <c r="B183" s="164"/>
      <c r="C183" s="144">
        <f>COUNT(D391:D394)*6+COUNT(D402:D403)+COUNT(D405:D412)+COUNT(D414:D421)*35+COUNT(D424:D427,D430:D431)*5+COUNT(D433:D437,D439:D440)</f>
        <v>351</v>
      </c>
      <c r="D183" s="144"/>
      <c r="E183" s="165">
        <f>SUM(D391:D394)*6+SUM(D402:D403)+SUM(D405:D412)+SUM(D414:D421)*36+SUM(D424:D427,D430:D431)*5+SUM(D433:D437,D439:D440)</f>
        <v>151740.0339975</v>
      </c>
      <c r="F183" s="165"/>
      <c r="G183" s="165">
        <f>SUM(F391:F394)*6+SUM(F402:F403)+SUM(F405:F412)+SUM(F414:F421)*35+SUM(F424:F427,F430:F431)*5+SUM(F433:F437,F439:F440)</f>
        <v>238080.78917999999</v>
      </c>
      <c r="H183" s="165"/>
      <c r="I183" s="72">
        <f>42*7-(3+5*3+5+2*2+3*2)+5*5+4+5</f>
        <v>295</v>
      </c>
      <c r="J183" s="72">
        <f>4+5*4+2+29*7+5*5+6+5*6+5</f>
        <v>295</v>
      </c>
    </row>
    <row r="184" spans="1:22" s="51" customFormat="1" x14ac:dyDescent="0.3">
      <c r="A184" s="164" t="s">
        <v>298</v>
      </c>
      <c r="B184" s="164"/>
      <c r="C184" s="144">
        <f>COUNT(D447:D450)*6+COUNT(D457:D458)+COUNT(D460:D466)+COUNT(D468:D474)*35+COUNT(D477:D479,D482:D483)*5+COUNT(D485:D488,D490:D491)</f>
        <v>309</v>
      </c>
      <c r="D184" s="144"/>
      <c r="E184" s="165">
        <f>SUM(D447:D450)*6+SUM(D457:D458)+SUM(D460:D466)+SUM(D468:D474)*35+SUM(D477:D479,D482:D483)*5+SUM(D485:D488,D490:D491)</f>
        <v>169453.50920549998</v>
      </c>
      <c r="F184" s="165"/>
      <c r="G184" s="165">
        <f>SUM(F447:F450)*6+SUM(F457:F458)+SUM(F460:F466)+SUM(F468:F474)*35+SUM(F477:F479,F482:F483)*5+SUM(F485:F488,F490:F491)</f>
        <v>271147.81547879998</v>
      </c>
      <c r="H184" s="165"/>
      <c r="I184" s="73">
        <f>49*7-(6*3+5+2*2+3*2+1)</f>
        <v>309</v>
      </c>
      <c r="J184" s="77">
        <f>6*4+2+17*7+5*2+19*7+3*5+6</f>
        <v>309</v>
      </c>
    </row>
    <row r="185" spans="1:22" x14ac:dyDescent="0.3">
      <c r="A185" s="164" t="s">
        <v>299</v>
      </c>
      <c r="B185" s="164"/>
      <c r="C185" s="144">
        <f>COUNT(D498:D501)*6+COUNT(D506:D507)+COUNT(D511:D517)+COUNT(D519:D524)+COUNT(D526:D532)*28+COUNT(D535:D539)*5+COUNT(D543:D547)*6+COUNT(D549:D552,D554)</f>
        <v>295</v>
      </c>
      <c r="D185" s="144"/>
      <c r="E185" s="165">
        <f>SUM(D498:D501)*6+SUM(D506:D507)+SUM(D511:D517)+SUM(D519:D524)+SUM(D526:D532)*28+SUM(D535:D539)*5+SUM(D543:D547)*6+SUM(D549:D552,D554)</f>
        <v>174291.81418349998</v>
      </c>
      <c r="F185" s="165"/>
      <c r="G185" s="165">
        <f>SUM(F498:F501)*6+SUM(F506:F507)+SUM(F511:F517)+SUM(F519:F524)+SUM(F526:F532)*28+SUM(F535:F539)*5+SUM(F543:F547)*6+SUM(F549:F552,F554)</f>
        <v>279501.00993359997</v>
      </c>
      <c r="H185" s="165"/>
      <c r="I185" s="74">
        <f>25*6-(4*5+5+4+2)</f>
        <v>119</v>
      </c>
      <c r="J185" s="74">
        <f>6*2+1+16*6+2*5</f>
        <v>119</v>
      </c>
    </row>
    <row r="186" spans="1:22" x14ac:dyDescent="0.3">
      <c r="A186" s="164" t="s">
        <v>300</v>
      </c>
      <c r="B186" s="164"/>
      <c r="C186" s="144">
        <f>COUNT(D561:D564)*6+COUNT(D569:D570)+COUNT(D574:D580)+COUNT(D582:D588)*16+COUNT(D591:D595)*2+COUNT(D599:D605)*19+COUNT(D607:D611)*3+COUNT(D615:D619,D621)</f>
        <v>309</v>
      </c>
      <c r="D186" s="144"/>
      <c r="E186" s="165">
        <f>SUM(D561:D564)*6+SUM(D569:D570)+SUM(D574:D580)+SUM(D582:D588)*16+SUM(D591:D595)*2+SUM(D599:D605)*19+SUM(D607:D611)*3+SUM(D615:D619,D621)</f>
        <v>155494.26828000002</v>
      </c>
      <c r="F186" s="165"/>
      <c r="G186" s="165">
        <f>SUM(F561:F564)*6+SUM(F569:F570)+SUM(F574:F580)+SUM(F582:F588)*16+SUM(F591:F595)*2+SUM(F599:F605)*19+SUM(F607:F611)*3+SUM(F615:F619,F621)</f>
        <v>249643.71478799998</v>
      </c>
      <c r="H186" s="165"/>
      <c r="I186" s="70">
        <f>SUM(I180:I185)</f>
        <v>1678</v>
      </c>
      <c r="J186" s="78">
        <f>SUM(J180:J185)</f>
        <v>1678</v>
      </c>
    </row>
    <row r="187" spans="1:22" s="54" customFormat="1" x14ac:dyDescent="0.3">
      <c r="A187" s="164" t="s">
        <v>301</v>
      </c>
      <c r="B187" s="164"/>
      <c r="C187" s="144">
        <f>COUNT(D625:D626)*5+COUNT(D633)+COUNT(D639:D640)+COUNT(D646:D651)+COUNT(D653:D658)*15+COUNT(D661:D665)*2</f>
        <v>119</v>
      </c>
      <c r="D187" s="144"/>
      <c r="E187" s="144">
        <f>SUM(D625:D626)*5+SUM(D633)+SUM(D639:D640)+SUM(D646:D651)+SUM(D653:D658)*15+SUM(D661:D665)*2</f>
        <v>58221.928381499987</v>
      </c>
      <c r="F187" s="144"/>
      <c r="G187" s="144">
        <f>SUM(F625:F626)*5+SUM(F633)+SUM(F639:F640)+SUM(F646:F651)+SUM(F653:F658)*15+SUM(F661:F665)*2</f>
        <v>94256.780810399985</v>
      </c>
      <c r="H187" s="144"/>
      <c r="I187" s="53"/>
    </row>
    <row r="188" spans="1:22" s="54" customFormat="1" ht="16.2" thickBot="1" x14ac:dyDescent="0.35">
      <c r="A188" s="220" t="s">
        <v>59</v>
      </c>
      <c r="B188" s="220"/>
      <c r="C188" s="168">
        <f>SUM(C182:D187)</f>
        <v>1678</v>
      </c>
      <c r="D188" s="169"/>
      <c r="E188" s="160">
        <f>SUM(E182:F187)</f>
        <v>865290.22386299993</v>
      </c>
      <c r="F188" s="160"/>
      <c r="G188" s="160">
        <f>SUM(G182:H187)</f>
        <v>1382586.0778547998</v>
      </c>
      <c r="H188" s="160"/>
      <c r="I188" s="62">
        <v>10.763999999999999</v>
      </c>
      <c r="S188" s="126"/>
      <c r="T188" s="126"/>
      <c r="V188" s="54" t="str">
        <f>LEFT(A194,SUM(LEN(A194)-LEN(SUBSTITUTE(A194,{"0","1","2","3","4","5","6","7","8","9"},""))))</f>
        <v/>
      </c>
    </row>
    <row r="189" spans="1:22" s="54" customFormat="1" ht="16.2" thickBot="1" x14ac:dyDescent="0.35">
      <c r="A189" s="225" t="s">
        <v>220</v>
      </c>
      <c r="B189" s="226"/>
      <c r="C189" s="227">
        <f>C179+C188</f>
        <v>1773</v>
      </c>
      <c r="D189" s="228"/>
      <c r="E189" s="149">
        <f>E179+E188</f>
        <v>908440.45896941994</v>
      </c>
      <c r="F189" s="149"/>
      <c r="G189" s="149">
        <f>G179+G188</f>
        <v>1451626.4540250718</v>
      </c>
      <c r="H189" s="159"/>
      <c r="I189" s="53"/>
      <c r="S189" s="126"/>
      <c r="T189" s="126"/>
      <c r="V189" s="54" t="str">
        <f>LEFT(A195,SUM(LEN(A195)-LEN(SUBSTITUTE(A195,{"0","1","2","3","4","5","6","7","8","9"},""))))</f>
        <v>B</v>
      </c>
    </row>
    <row r="190" spans="1:22" s="54" customFormat="1" x14ac:dyDescent="0.3">
      <c r="A190" s="176" t="s">
        <v>255</v>
      </c>
      <c r="B190" s="176"/>
      <c r="C190" s="176"/>
      <c r="D190" s="176"/>
      <c r="E190" s="176"/>
      <c r="F190" s="176"/>
      <c r="G190" s="176"/>
      <c r="H190" s="176"/>
      <c r="I190" s="53">
        <f>2+6+6+6+6+6+1+1</f>
        <v>34</v>
      </c>
      <c r="S190" s="126"/>
      <c r="T190" s="126"/>
      <c r="V190" s="54" t="str">
        <f>LEFT(A196,SUM(LEN(A196)-LEN(SUBSTITUTE(A196,{"0","1","2","3","4","5","6","7","8","9"},""))))</f>
        <v/>
      </c>
    </row>
    <row r="191" spans="1:22" s="54" customFormat="1" x14ac:dyDescent="0.3">
      <c r="A191" s="175" t="s">
        <v>256</v>
      </c>
      <c r="B191" s="175"/>
      <c r="C191" s="175"/>
      <c r="D191" s="175"/>
      <c r="E191" s="175"/>
      <c r="F191" s="175"/>
      <c r="G191" s="175"/>
      <c r="H191" s="175"/>
      <c r="I191" s="53">
        <f>2+6+6+6+6+6+1+1</f>
        <v>34</v>
      </c>
      <c r="S191" s="126"/>
      <c r="T191" s="126"/>
      <c r="V191" s="54" t="str">
        <f>LEFT(A197,SUM(LEN(A197)-LEN(SUBSTITUTE(A197,{"0","1","2","3","4","5","6","7","8","9"},""))))</f>
        <v/>
      </c>
    </row>
    <row r="192" spans="1:22" s="54" customFormat="1" ht="52.2" customHeight="1" x14ac:dyDescent="0.3">
      <c r="A192" s="179" t="s">
        <v>304</v>
      </c>
      <c r="B192" s="180"/>
      <c r="C192" s="217" t="s">
        <v>60</v>
      </c>
      <c r="D192" s="217" t="s">
        <v>61</v>
      </c>
      <c r="E192" s="177" t="s">
        <v>62</v>
      </c>
      <c r="F192" s="29" t="s">
        <v>146</v>
      </c>
      <c r="G192" s="179" t="s">
        <v>63</v>
      </c>
      <c r="H192" s="180"/>
      <c r="I192" s="62">
        <f>(12.435*10.45+4.47*0.85+4.075+4.225)*10.764</f>
        <v>1528.9750709999996</v>
      </c>
      <c r="S192" s="126" t="e">
        <f t="shared" ref="S192:S199" ca="1" si="0">V192</f>
        <v>#REF!</v>
      </c>
      <c r="T192" s="126"/>
      <c r="U192" s="53">
        <v>1</v>
      </c>
      <c r="V192" s="54" t="e">
        <f ca="1">(SUMPRODUCT(MID(0&amp;#REF!, LARGE(INDEX(ISNUMBER(--MID(#REF!, ROW(INDIRECT("1:"&amp;LEN(#REF!))), 1)) * ROW(INDIRECT("1:"&amp;LEN(#REF!))), 0), ROW(INDIRECT("1:"&amp;LEN(#REF!))))+1, 1) * 10^ROW(INDIRECT("1:"&amp;LEN(#REF!)))/10))*U192*100+1</f>
        <v>#REF!</v>
      </c>
    </row>
    <row r="193" spans="1:22" s="54" customFormat="1" ht="15.75" customHeight="1" x14ac:dyDescent="0.3">
      <c r="A193" s="181"/>
      <c r="B193" s="182"/>
      <c r="C193" s="218"/>
      <c r="D193" s="218"/>
      <c r="E193" s="178"/>
      <c r="F193" s="16">
        <v>0.6</v>
      </c>
      <c r="G193" s="181"/>
      <c r="H193" s="182"/>
      <c r="I193" s="62">
        <f>(3.879*7.625+3.879*3.824+3.975*0.675)*10.764</f>
        <v>506.91762014399995</v>
      </c>
      <c r="S193" s="126" t="e">
        <f t="shared" ca="1" si="0"/>
        <v>#REF!</v>
      </c>
      <c r="T193" s="126"/>
      <c r="U193" s="53">
        <f>U192+1</f>
        <v>2</v>
      </c>
      <c r="V193" s="54" t="e">
        <f ca="1">V192+1</f>
        <v>#REF!</v>
      </c>
    </row>
    <row r="194" spans="1:22" s="54" customFormat="1" ht="15.75" customHeight="1" x14ac:dyDescent="0.3">
      <c r="A194" s="157" t="s">
        <v>201</v>
      </c>
      <c r="B194" s="157"/>
      <c r="C194" s="157"/>
      <c r="D194" s="157"/>
      <c r="E194" s="157"/>
      <c r="F194" s="157"/>
      <c r="G194" s="157"/>
      <c r="H194" s="157"/>
      <c r="I194" s="62">
        <f>(3.736*8.3+4.336*3.824)*10.764</f>
        <v>512.25514329600003</v>
      </c>
      <c r="S194" s="126" t="e">
        <f t="shared" ca="1" si="0"/>
        <v>#REF!</v>
      </c>
      <c r="T194" s="126"/>
      <c r="U194" s="53">
        <f>U193+1</f>
        <v>3</v>
      </c>
      <c r="V194" s="54" t="e">
        <f ca="1">V193+1</f>
        <v>#REF!</v>
      </c>
    </row>
    <row r="195" spans="1:22" s="54" customFormat="1" ht="15.75" customHeight="1" x14ac:dyDescent="0.3">
      <c r="A195" s="158" t="s">
        <v>328</v>
      </c>
      <c r="B195" s="158"/>
      <c r="C195" s="158"/>
      <c r="D195" s="158"/>
      <c r="E195" s="158"/>
      <c r="F195" s="158"/>
      <c r="G195" s="158"/>
      <c r="H195" s="158"/>
      <c r="I195" s="53"/>
      <c r="S195" s="126" t="e">
        <f t="shared" ca="1" si="0"/>
        <v>#REF!</v>
      </c>
      <c r="T195" s="126"/>
      <c r="U195" s="53">
        <f t="shared" ref="U195:V195" si="1">U194+1</f>
        <v>4</v>
      </c>
      <c r="V195" s="54" t="e">
        <f t="shared" ca="1" si="1"/>
        <v>#REF!</v>
      </c>
    </row>
    <row r="196" spans="1:22" s="54" customFormat="1" ht="15.75" customHeight="1" x14ac:dyDescent="0.3">
      <c r="A196" s="141" t="s">
        <v>272</v>
      </c>
      <c r="B196" s="141"/>
      <c r="C196" s="141"/>
      <c r="D196" s="141"/>
      <c r="E196" s="141"/>
      <c r="F196" s="141"/>
      <c r="G196" s="141"/>
      <c r="H196" s="141"/>
      <c r="I196" s="53"/>
      <c r="S196" s="126" t="e">
        <f t="shared" ca="1" si="0"/>
        <v>#REF!</v>
      </c>
      <c r="T196" s="126"/>
      <c r="U196" s="53">
        <v>1</v>
      </c>
      <c r="V196" s="54" t="e">
        <f ca="1">(SUMPRODUCT(MID(0&amp;V182, LARGE(INDEX(ISNUMBER(--MID(V182, ROW(INDIRECT("1:"&amp;LEN(V182))), 1)) * ROW(INDIRECT("1:"&amp;LEN(V182))), 0), ROW(INDIRECT("1:"&amp;LEN(V182))))+1, 1) * 10^ROW(INDIRECT("1:"&amp;LEN(V182)))/10))*U196*100+1</f>
        <v>#REF!</v>
      </c>
    </row>
    <row r="197" spans="1:22" s="54" customFormat="1" ht="15.75" customHeight="1" x14ac:dyDescent="0.3">
      <c r="A197" s="84" t="s">
        <v>271</v>
      </c>
      <c r="B197" s="84"/>
      <c r="C197" s="84"/>
      <c r="D197" s="84"/>
      <c r="E197" s="84"/>
      <c r="F197" s="84"/>
      <c r="G197" s="84"/>
      <c r="H197" s="84"/>
      <c r="I197" s="53"/>
      <c r="S197" s="126" t="e">
        <f t="shared" ca="1" si="0"/>
        <v>#REF!</v>
      </c>
      <c r="T197" s="126"/>
      <c r="U197" s="53">
        <f>U196+1</f>
        <v>2</v>
      </c>
      <c r="V197" s="54" t="e">
        <f ca="1">V196+1</f>
        <v>#REF!</v>
      </c>
    </row>
    <row r="198" spans="1:22" s="54" customFormat="1" ht="15.75" customHeight="1" x14ac:dyDescent="0.3">
      <c r="A198" s="82">
        <v>1</v>
      </c>
      <c r="B198" s="83"/>
      <c r="C198" s="32" t="s">
        <v>167</v>
      </c>
      <c r="D198" s="62">
        <f>(12.435*10.45+4.47*0.85+4.075+4.225)*10.764</f>
        <v>1528.9750709999996</v>
      </c>
      <c r="E198" s="32">
        <v>0</v>
      </c>
      <c r="F198" s="32">
        <f t="shared" ref="F198:F229" si="2">D198*(($F$193)+1)+E198</f>
        <v>2446.3601135999993</v>
      </c>
      <c r="G198" s="85" t="str">
        <f>A197</f>
        <v>Ground Floor For Commercial &amp; Parking</v>
      </c>
      <c r="H198" s="87"/>
      <c r="I198" s="53"/>
      <c r="S198" s="126" t="e">
        <f t="shared" ca="1" si="0"/>
        <v>#REF!</v>
      </c>
      <c r="T198" s="126"/>
      <c r="U198" s="53">
        <f>U197+1</f>
        <v>3</v>
      </c>
      <c r="V198" s="54" t="e">
        <f ca="1">V197+1</f>
        <v>#REF!</v>
      </c>
    </row>
    <row r="199" spans="1:22" s="54" customFormat="1" ht="15.75" customHeight="1" x14ac:dyDescent="0.3">
      <c r="A199" s="82">
        <v>2</v>
      </c>
      <c r="B199" s="83"/>
      <c r="C199" s="32" t="s">
        <v>167</v>
      </c>
      <c r="D199" s="32">
        <f>(3.879*3.824+3.879*7.625+3.975*0.675)*10.764</f>
        <v>506.91762014399995</v>
      </c>
      <c r="E199" s="32">
        <v>0</v>
      </c>
      <c r="F199" s="32">
        <f t="shared" si="2"/>
        <v>811.06819223039997</v>
      </c>
      <c r="G199" s="88"/>
      <c r="H199" s="90"/>
      <c r="I199" s="53"/>
      <c r="S199" s="126" t="e">
        <f t="shared" ca="1" si="0"/>
        <v>#REF!</v>
      </c>
      <c r="T199" s="126"/>
      <c r="U199" s="53">
        <f t="shared" ref="U199:V199" si="3">U198+1</f>
        <v>4</v>
      </c>
      <c r="V199" s="54" t="e">
        <f t="shared" ca="1" si="3"/>
        <v>#REF!</v>
      </c>
    </row>
    <row r="200" spans="1:22" s="54" customFormat="1" ht="15.75" customHeight="1" x14ac:dyDescent="0.3">
      <c r="A200" s="82">
        <v>3</v>
      </c>
      <c r="B200" s="83"/>
      <c r="C200" s="32" t="s">
        <v>167</v>
      </c>
      <c r="D200" s="32">
        <f>(4.336*3.824+3.736*8.3)*10.764</f>
        <v>512.25514329600003</v>
      </c>
      <c r="E200" s="32">
        <v>0</v>
      </c>
      <c r="F200" s="32">
        <f t="shared" si="2"/>
        <v>819.60822927360005</v>
      </c>
      <c r="G200" s="88"/>
      <c r="H200" s="90"/>
      <c r="I200" s="53"/>
      <c r="S200" s="126" t="e">
        <f t="shared" ref="S200:S207" ca="1" si="4">V200</f>
        <v>#REF!</v>
      </c>
      <c r="T200" s="126"/>
      <c r="U200" s="53">
        <v>1</v>
      </c>
      <c r="V200" s="54" t="e">
        <f ca="1">(SUMPRODUCT(MID(0&amp;#REF!, LARGE(INDEX(ISNUMBER(--MID(#REF!, ROW(INDIRECT("1:"&amp;LEN(#REF!))), 1)) * ROW(INDIRECT("1:"&amp;LEN(#REF!))), 0), ROW(INDIRECT("1:"&amp;LEN(#REF!))))+1, 1) * 10^ROW(INDIRECT("1:"&amp;LEN(#REF!)))/10))*U200*100+1</f>
        <v>#REF!</v>
      </c>
    </row>
    <row r="201" spans="1:22" s="54" customFormat="1" ht="15.75" customHeight="1" x14ac:dyDescent="0.3">
      <c r="A201" s="82">
        <v>4</v>
      </c>
      <c r="B201" s="83"/>
      <c r="C201" s="32" t="s">
        <v>167</v>
      </c>
      <c r="D201" s="32">
        <f>(3.95*7.542)*10.764</f>
        <v>320.66924760000001</v>
      </c>
      <c r="E201" s="32">
        <v>0</v>
      </c>
      <c r="F201" s="32">
        <f t="shared" si="2"/>
        <v>513.07079615999999</v>
      </c>
      <c r="G201" s="88"/>
      <c r="H201" s="90"/>
      <c r="I201" s="53"/>
      <c r="S201" s="126" t="e">
        <f t="shared" ca="1" si="4"/>
        <v>#REF!</v>
      </c>
      <c r="T201" s="126"/>
      <c r="U201" s="53">
        <f>U200+1</f>
        <v>2</v>
      </c>
      <c r="V201" s="54" t="e">
        <f ca="1">V200+1</f>
        <v>#REF!</v>
      </c>
    </row>
    <row r="202" spans="1:22" s="54" customFormat="1" ht="15.75" customHeight="1" x14ac:dyDescent="0.3">
      <c r="A202" s="82">
        <v>5</v>
      </c>
      <c r="B202" s="83"/>
      <c r="C202" s="32" t="s">
        <v>167</v>
      </c>
      <c r="D202" s="32">
        <f>(4.35*11.696)*10.764</f>
        <v>547.64648639999996</v>
      </c>
      <c r="E202" s="32">
        <v>0</v>
      </c>
      <c r="F202" s="32">
        <f t="shared" si="2"/>
        <v>876.23437823999996</v>
      </c>
      <c r="G202" s="88"/>
      <c r="H202" s="90"/>
      <c r="I202" s="53"/>
      <c r="S202" s="126" t="e">
        <f t="shared" ca="1" si="4"/>
        <v>#REF!</v>
      </c>
      <c r="T202" s="126"/>
      <c r="U202" s="53">
        <f>U201+1</f>
        <v>3</v>
      </c>
      <c r="V202" s="54" t="e">
        <f ca="1">V201+1</f>
        <v>#REF!</v>
      </c>
    </row>
    <row r="203" spans="1:22" s="54" customFormat="1" ht="15.75" customHeight="1" x14ac:dyDescent="0.3">
      <c r="A203" s="82">
        <v>6</v>
      </c>
      <c r="B203" s="83"/>
      <c r="C203" s="32" t="s">
        <v>167</v>
      </c>
      <c r="D203" s="32">
        <f>(3.91*11.69)*10.764</f>
        <v>491.99983559999998</v>
      </c>
      <c r="E203" s="32">
        <v>0</v>
      </c>
      <c r="F203" s="32">
        <f t="shared" si="2"/>
        <v>787.19973696</v>
      </c>
      <c r="G203" s="88"/>
      <c r="H203" s="90"/>
      <c r="I203" s="53">
        <f>10098500/F209</f>
        <v>13087.708554575287</v>
      </c>
      <c r="S203" s="126" t="e">
        <f t="shared" ca="1" si="4"/>
        <v>#REF!</v>
      </c>
      <c r="T203" s="126"/>
      <c r="U203" s="53">
        <f t="shared" ref="U203:V203" si="5">U202+1</f>
        <v>4</v>
      </c>
      <c r="V203" s="54" t="e">
        <f t="shared" ca="1" si="5"/>
        <v>#REF!</v>
      </c>
    </row>
    <row r="204" spans="1:22" s="54" customFormat="1" ht="15.75" customHeight="1" x14ac:dyDescent="0.3">
      <c r="A204" s="82">
        <v>7</v>
      </c>
      <c r="B204" s="83"/>
      <c r="C204" s="32" t="s">
        <v>167</v>
      </c>
      <c r="D204" s="32">
        <f>(3.915*11.036+2.855*0.8+4.625*5.7)*10.764</f>
        <v>773.41966416000002</v>
      </c>
      <c r="E204" s="32">
        <v>0</v>
      </c>
      <c r="F204" s="32">
        <f t="shared" si="2"/>
        <v>1237.4714626560001</v>
      </c>
      <c r="G204" s="88"/>
      <c r="H204" s="90"/>
      <c r="I204" s="53"/>
      <c r="S204" s="126" t="e">
        <f t="shared" ca="1" si="4"/>
        <v>#REF!</v>
      </c>
      <c r="T204" s="126"/>
      <c r="U204" s="53">
        <v>1</v>
      </c>
      <c r="V204" s="54" t="e">
        <f ca="1">(SUMPRODUCT(MID(0&amp;V191, LARGE(INDEX(ISNUMBER(--MID(V191, ROW(INDIRECT("1:"&amp;LEN(V191))), 1)) * ROW(INDIRECT("1:"&amp;LEN(V191))), 0), ROW(INDIRECT("1:"&amp;LEN(V191))))+1, 1) * 10^ROW(INDIRECT("1:"&amp;LEN(V191)))/10))*U204*100+1</f>
        <v>#REF!</v>
      </c>
    </row>
    <row r="205" spans="1:22" s="54" customFormat="1" ht="15.75" customHeight="1" x14ac:dyDescent="0.3">
      <c r="A205" s="82">
        <v>8</v>
      </c>
      <c r="B205" s="83"/>
      <c r="C205" s="32" t="s">
        <v>167</v>
      </c>
      <c r="D205" s="32">
        <f>(5.645*11.21+3.755*1.755+2.65*3.925+2.525*3.065)*10.764</f>
        <v>947.34878939999999</v>
      </c>
      <c r="E205" s="32">
        <v>0</v>
      </c>
      <c r="F205" s="32">
        <f t="shared" si="2"/>
        <v>1515.75806304</v>
      </c>
      <c r="G205" s="88"/>
      <c r="H205" s="90"/>
      <c r="I205" s="53"/>
      <c r="S205" s="126" t="e">
        <f t="shared" ca="1" si="4"/>
        <v>#REF!</v>
      </c>
      <c r="T205" s="126"/>
      <c r="U205" s="53">
        <f>U204+1</f>
        <v>2</v>
      </c>
      <c r="V205" s="54" t="e">
        <f ca="1">V204+1</f>
        <v>#REF!</v>
      </c>
    </row>
    <row r="206" spans="1:22" s="54" customFormat="1" ht="15.75" customHeight="1" x14ac:dyDescent="0.3">
      <c r="A206" s="82">
        <v>9</v>
      </c>
      <c r="B206" s="83"/>
      <c r="C206" s="32" t="s">
        <v>167</v>
      </c>
      <c r="D206" s="32">
        <f>(5.575*12.103+5.065*0.805+4.025*3.17+2.525*3.605)*10.764</f>
        <v>1005.5021067</v>
      </c>
      <c r="E206" s="32">
        <v>0</v>
      </c>
      <c r="F206" s="32">
        <f t="shared" si="2"/>
        <v>1608.8033707200002</v>
      </c>
      <c r="G206" s="88"/>
      <c r="H206" s="90"/>
      <c r="I206" s="53"/>
      <c r="S206" s="126" t="e">
        <f t="shared" ca="1" si="4"/>
        <v>#REF!</v>
      </c>
      <c r="T206" s="126"/>
      <c r="U206" s="53">
        <f>U205+1</f>
        <v>3</v>
      </c>
      <c r="V206" s="54" t="e">
        <f ca="1">V205+1</f>
        <v>#REF!</v>
      </c>
    </row>
    <row r="207" spans="1:22" s="54" customFormat="1" ht="15.75" customHeight="1" x14ac:dyDescent="0.3">
      <c r="A207" s="82">
        <v>10</v>
      </c>
      <c r="B207" s="83"/>
      <c r="C207" s="32" t="s">
        <v>167</v>
      </c>
      <c r="D207" s="32">
        <f>3.975*11.792*10.764</f>
        <v>504.54312479999993</v>
      </c>
      <c r="E207" s="32">
        <v>0</v>
      </c>
      <c r="F207" s="32">
        <f t="shared" si="2"/>
        <v>807.26899967999998</v>
      </c>
      <c r="G207" s="88"/>
      <c r="H207" s="90"/>
      <c r="I207" s="53"/>
      <c r="S207" s="126" t="e">
        <f t="shared" ca="1" si="4"/>
        <v>#REF!</v>
      </c>
      <c r="T207" s="126"/>
      <c r="U207" s="53">
        <f t="shared" ref="U207:V208" si="6">U206+1</f>
        <v>4</v>
      </c>
      <c r="V207" s="54" t="e">
        <f t="shared" ca="1" si="6"/>
        <v>#REF!</v>
      </c>
    </row>
    <row r="208" spans="1:22" s="54" customFormat="1" ht="15.75" customHeight="1" x14ac:dyDescent="0.3">
      <c r="A208" s="82">
        <v>11</v>
      </c>
      <c r="B208" s="83"/>
      <c r="C208" s="32" t="s">
        <v>167</v>
      </c>
      <c r="D208" s="32">
        <f>3.975*11.531*10.764</f>
        <v>493.37574390000003</v>
      </c>
      <c r="E208" s="32">
        <v>0</v>
      </c>
      <c r="F208" s="32">
        <f t="shared" si="2"/>
        <v>789.40119024000012</v>
      </c>
      <c r="G208" s="88"/>
      <c r="H208" s="90"/>
      <c r="I208" s="53"/>
      <c r="S208" s="126" t="e">
        <f t="shared" ref="S208" ca="1" si="7">V208</f>
        <v>#REF!</v>
      </c>
      <c r="T208" s="126"/>
      <c r="U208" s="53">
        <f t="shared" si="6"/>
        <v>5</v>
      </c>
      <c r="V208" s="54" t="e">
        <f t="shared" ca="1" si="6"/>
        <v>#REF!</v>
      </c>
    </row>
    <row r="209" spans="1:22" s="54" customFormat="1" ht="15.75" customHeight="1" x14ac:dyDescent="0.3">
      <c r="A209" s="82">
        <v>12</v>
      </c>
      <c r="B209" s="83"/>
      <c r="C209" s="32" t="s">
        <v>167</v>
      </c>
      <c r="D209" s="32">
        <f>3.975*11.271*10.764</f>
        <v>482.25114990000003</v>
      </c>
      <c r="E209" s="32">
        <v>0</v>
      </c>
      <c r="F209" s="32">
        <f t="shared" si="2"/>
        <v>771.60183984000014</v>
      </c>
      <c r="G209" s="88"/>
      <c r="H209" s="90"/>
      <c r="I209" s="53"/>
      <c r="S209" s="126" t="e">
        <f t="shared" ref="S209:S218" ca="1" si="8">V209</f>
        <v>#REF!</v>
      </c>
      <c r="T209" s="126"/>
      <c r="U209" s="53">
        <v>1</v>
      </c>
      <c r="V209" s="54" t="e">
        <f ca="1">(SUMPRODUCT(MID(0&amp;#REF!, LARGE(INDEX(ISNUMBER(--MID(#REF!, ROW(INDIRECT("1:"&amp;LEN(#REF!))), 1)) * ROW(INDIRECT("1:"&amp;LEN(#REF!))), 0), ROW(INDIRECT("1:"&amp;LEN(#REF!))))+1, 1) * 10^ROW(INDIRECT("1:"&amp;LEN(#REF!)))/10))*U209*100+1</f>
        <v>#REF!</v>
      </c>
    </row>
    <row r="210" spans="1:22" s="54" customFormat="1" ht="15.75" customHeight="1" x14ac:dyDescent="0.3">
      <c r="A210" s="82">
        <v>13</v>
      </c>
      <c r="B210" s="83"/>
      <c r="C210" s="32" t="s">
        <v>167</v>
      </c>
      <c r="D210" s="32">
        <f>3.975*11.01*10.764</f>
        <v>471.08376899999996</v>
      </c>
      <c r="E210" s="32">
        <v>0</v>
      </c>
      <c r="F210" s="32">
        <f t="shared" si="2"/>
        <v>753.73403039999994</v>
      </c>
      <c r="G210" s="88"/>
      <c r="H210" s="90"/>
      <c r="I210" s="53"/>
      <c r="S210" s="126" t="e">
        <f t="shared" ca="1" si="8"/>
        <v>#REF!</v>
      </c>
      <c r="T210" s="126"/>
      <c r="U210" s="53">
        <f>U209+1</f>
        <v>2</v>
      </c>
      <c r="V210" s="54" t="e">
        <f ca="1">V209+1</f>
        <v>#REF!</v>
      </c>
    </row>
    <row r="211" spans="1:22" s="54" customFormat="1" ht="15.75" customHeight="1" x14ac:dyDescent="0.3">
      <c r="A211" s="82">
        <v>14</v>
      </c>
      <c r="B211" s="83"/>
      <c r="C211" s="32" t="s">
        <v>167</v>
      </c>
      <c r="D211" s="32">
        <f>(8.4*5.259+3.055*5.05)*10.764</f>
        <v>641.5704594</v>
      </c>
      <c r="E211" s="32">
        <v>0</v>
      </c>
      <c r="F211" s="32">
        <f t="shared" si="2"/>
        <v>1026.5127350400001</v>
      </c>
      <c r="G211" s="88"/>
      <c r="H211" s="90"/>
      <c r="I211" s="53"/>
      <c r="S211" s="126" t="e">
        <f t="shared" ref="S211" ca="1" si="9">V211</f>
        <v>#REF!</v>
      </c>
      <c r="T211" s="126"/>
      <c r="U211" s="53">
        <f>U210+1</f>
        <v>3</v>
      </c>
      <c r="V211" s="54" t="e">
        <f ca="1">V210+1</f>
        <v>#REF!</v>
      </c>
    </row>
    <row r="212" spans="1:22" s="54" customFormat="1" ht="15.75" customHeight="1" x14ac:dyDescent="0.3">
      <c r="A212" s="82">
        <v>15</v>
      </c>
      <c r="B212" s="83"/>
      <c r="C212" s="32" t="s">
        <v>167</v>
      </c>
      <c r="D212" s="32">
        <f>5.875*10.012*10.764</f>
        <v>633.14386200000001</v>
      </c>
      <c r="E212" s="32">
        <v>0</v>
      </c>
      <c r="F212" s="32">
        <f t="shared" si="2"/>
        <v>1013.0301792</v>
      </c>
      <c r="G212" s="88"/>
      <c r="H212" s="90"/>
      <c r="I212" s="53"/>
      <c r="S212" s="126" t="e">
        <f t="shared" ca="1" si="8"/>
        <v>#REF!</v>
      </c>
      <c r="T212" s="126"/>
      <c r="U212" s="53">
        <f>U210+1</f>
        <v>3</v>
      </c>
      <c r="V212" s="54" t="e">
        <f ca="1">V210+1</f>
        <v>#REF!</v>
      </c>
    </row>
    <row r="213" spans="1:22" s="54" customFormat="1" ht="15.75" customHeight="1" x14ac:dyDescent="0.3">
      <c r="A213" s="82">
        <v>16</v>
      </c>
      <c r="B213" s="83"/>
      <c r="C213" s="32" t="s">
        <v>167</v>
      </c>
      <c r="D213" s="32">
        <f>(3.19*9.853+4.125*3.925)*10.764</f>
        <v>512.59992497999997</v>
      </c>
      <c r="E213" s="32">
        <v>0</v>
      </c>
      <c r="F213" s="32">
        <f t="shared" si="2"/>
        <v>820.15987996800004</v>
      </c>
      <c r="G213" s="88"/>
      <c r="H213" s="90"/>
      <c r="I213" s="53">
        <f>10098500/F219</f>
        <v>29745.43949902508</v>
      </c>
      <c r="S213" s="126" t="e">
        <f t="shared" ca="1" si="8"/>
        <v>#REF!</v>
      </c>
      <c r="T213" s="126"/>
      <c r="U213" s="53">
        <f t="shared" ref="U213:V213" si="10">U212+1</f>
        <v>4</v>
      </c>
      <c r="V213" s="54" t="e">
        <f t="shared" ca="1" si="10"/>
        <v>#REF!</v>
      </c>
    </row>
    <row r="214" spans="1:22" s="54" customFormat="1" ht="15.75" customHeight="1" x14ac:dyDescent="0.3">
      <c r="A214" s="82">
        <v>17</v>
      </c>
      <c r="B214" s="83"/>
      <c r="C214" s="32" t="s">
        <v>167</v>
      </c>
      <c r="D214" s="32">
        <f>(4.335*10.261)*10.764</f>
        <v>478.79816633999997</v>
      </c>
      <c r="E214" s="32">
        <v>0</v>
      </c>
      <c r="F214" s="32">
        <f t="shared" si="2"/>
        <v>766.07706614400001</v>
      </c>
      <c r="G214" s="88"/>
      <c r="H214" s="90"/>
      <c r="I214" s="53"/>
      <c r="S214" s="126" t="e">
        <f t="shared" ca="1" si="8"/>
        <v>#REF!</v>
      </c>
      <c r="T214" s="126"/>
      <c r="U214" s="53">
        <v>1</v>
      </c>
      <c r="V214" s="54" t="e">
        <f ca="1">(SUMPRODUCT(MID(0&amp;#REF!, LARGE(INDEX(ISNUMBER(--MID(#REF!, ROW(INDIRECT("1:"&amp;LEN(#REF!))), 1)) * ROW(INDIRECT("1:"&amp;LEN(#REF!))), 0), ROW(INDIRECT("1:"&amp;LEN(#REF!))))+1, 1) * 10^ROW(INDIRECT("1:"&amp;LEN(#REF!)))/10))*U214*100+1</f>
        <v>#REF!</v>
      </c>
    </row>
    <row r="215" spans="1:22" s="54" customFormat="1" ht="15.75" customHeight="1" x14ac:dyDescent="0.3">
      <c r="A215" s="82">
        <v>18</v>
      </c>
      <c r="B215" s="83"/>
      <c r="C215" s="32" t="s">
        <v>167</v>
      </c>
      <c r="D215" s="32">
        <f>4.465*9.973*10.764</f>
        <v>479.31494598</v>
      </c>
      <c r="E215" s="32">
        <v>0</v>
      </c>
      <c r="F215" s="32">
        <f t="shared" si="2"/>
        <v>766.90391356800001</v>
      </c>
      <c r="G215" s="88"/>
      <c r="H215" s="90"/>
      <c r="I215" s="53"/>
      <c r="S215" s="126" t="e">
        <f t="shared" ca="1" si="8"/>
        <v>#REF!</v>
      </c>
      <c r="T215" s="126"/>
      <c r="U215" s="53">
        <f>U214+1</f>
        <v>2</v>
      </c>
      <c r="V215" s="54" t="e">
        <f ca="1">V214+1</f>
        <v>#REF!</v>
      </c>
    </row>
    <row r="216" spans="1:22" s="54" customFormat="1" ht="15.75" customHeight="1" x14ac:dyDescent="0.3">
      <c r="A216" s="82">
        <v>19</v>
      </c>
      <c r="B216" s="83"/>
      <c r="C216" s="32" t="s">
        <v>167</v>
      </c>
      <c r="D216" s="32">
        <f>4.05*12.815*10.764</f>
        <v>558.65967299999988</v>
      </c>
      <c r="E216" s="32">
        <v>0</v>
      </c>
      <c r="F216" s="32">
        <f t="shared" si="2"/>
        <v>893.85547679999991</v>
      </c>
      <c r="G216" s="88"/>
      <c r="H216" s="90"/>
      <c r="I216" s="53"/>
      <c r="S216" s="126" t="e">
        <f t="shared" ca="1" si="8"/>
        <v>#REF!</v>
      </c>
      <c r="T216" s="126"/>
      <c r="U216" s="53">
        <f>U215+1</f>
        <v>3</v>
      </c>
      <c r="V216" s="54" t="e">
        <f ca="1">V215+1</f>
        <v>#REF!</v>
      </c>
    </row>
    <row r="217" spans="1:22" s="54" customFormat="1" ht="15.75" customHeight="1" x14ac:dyDescent="0.3">
      <c r="A217" s="82" t="s">
        <v>202</v>
      </c>
      <c r="B217" s="83"/>
      <c r="C217" s="32" t="s">
        <v>167</v>
      </c>
      <c r="D217" s="32">
        <f>(4.775*3.2)*10.764</f>
        <v>164.47391999999999</v>
      </c>
      <c r="E217" s="32">
        <v>0</v>
      </c>
      <c r="F217" s="32">
        <f t="shared" si="2"/>
        <v>263.15827200000001</v>
      </c>
      <c r="G217" s="88"/>
      <c r="H217" s="90"/>
      <c r="I217" s="53"/>
      <c r="S217" s="126" t="e">
        <f t="shared" ca="1" si="8"/>
        <v>#REF!</v>
      </c>
      <c r="T217" s="126"/>
      <c r="U217" s="53">
        <f t="shared" ref="U217:V217" si="11">U216+1</f>
        <v>4</v>
      </c>
      <c r="V217" s="54" t="e">
        <f t="shared" ca="1" si="11"/>
        <v>#REF!</v>
      </c>
    </row>
    <row r="218" spans="1:22" s="54" customFormat="1" ht="15.75" customHeight="1" x14ac:dyDescent="0.3">
      <c r="A218" s="82">
        <v>20</v>
      </c>
      <c r="B218" s="83"/>
      <c r="C218" s="32" t="s">
        <v>167</v>
      </c>
      <c r="D218" s="32">
        <f>(5*5.605+4*4.45+2.75*1.275)*10.764</f>
        <v>531.001575</v>
      </c>
      <c r="E218" s="32">
        <v>0</v>
      </c>
      <c r="F218" s="32">
        <f t="shared" si="2"/>
        <v>849.60252000000003</v>
      </c>
      <c r="G218" s="88"/>
      <c r="H218" s="90"/>
      <c r="I218" s="53"/>
      <c r="S218" s="126" t="e">
        <f t="shared" ca="1" si="8"/>
        <v>#REF!</v>
      </c>
      <c r="T218" s="126"/>
      <c r="U218" s="53">
        <f t="shared" ref="U218:V219" si="12">U217+1</f>
        <v>5</v>
      </c>
      <c r="V218" s="54" t="e">
        <f t="shared" ca="1" si="12"/>
        <v>#REF!</v>
      </c>
    </row>
    <row r="219" spans="1:22" s="54" customFormat="1" ht="15.75" customHeight="1" x14ac:dyDescent="0.3">
      <c r="A219" s="82">
        <v>21</v>
      </c>
      <c r="B219" s="83"/>
      <c r="C219" s="32" t="s">
        <v>167</v>
      </c>
      <c r="D219" s="32">
        <f>3.575*5.514*10.764</f>
        <v>212.18588819999999</v>
      </c>
      <c r="E219" s="32">
        <v>0</v>
      </c>
      <c r="F219" s="32">
        <f t="shared" si="2"/>
        <v>339.49742112000001</v>
      </c>
      <c r="G219" s="88"/>
      <c r="H219" s="90"/>
      <c r="I219" s="53"/>
      <c r="S219" s="126" t="e">
        <f t="shared" ref="S219" ca="1" si="13">V219</f>
        <v>#REF!</v>
      </c>
      <c r="T219" s="126"/>
      <c r="U219" s="53">
        <f t="shared" si="12"/>
        <v>6</v>
      </c>
      <c r="V219" s="54" t="e">
        <f t="shared" ca="1" si="12"/>
        <v>#REF!</v>
      </c>
    </row>
    <row r="220" spans="1:22" s="54" customFormat="1" ht="15.75" customHeight="1" x14ac:dyDescent="0.3">
      <c r="A220" s="82">
        <v>22</v>
      </c>
      <c r="B220" s="83"/>
      <c r="C220" s="32" t="s">
        <v>167</v>
      </c>
      <c r="D220" s="32">
        <f>4*5.388*10.764</f>
        <v>231.98572799999999</v>
      </c>
      <c r="E220" s="32">
        <v>0</v>
      </c>
      <c r="F220" s="32">
        <f t="shared" si="2"/>
        <v>371.17716480000001</v>
      </c>
      <c r="G220" s="88"/>
      <c r="H220" s="90"/>
      <c r="I220" s="53"/>
      <c r="S220" s="126" t="e">
        <f t="shared" ref="S220:S230" ca="1" si="14">V220</f>
        <v>#REF!</v>
      </c>
      <c r="T220" s="126"/>
      <c r="U220" s="53">
        <v>1</v>
      </c>
      <c r="V220" s="54" t="e">
        <f ca="1">(SUMPRODUCT(MID(0&amp;#REF!, LARGE(INDEX(ISNUMBER(--MID(#REF!, ROW(INDIRECT("1:"&amp;LEN(#REF!))), 1)) * ROW(INDIRECT("1:"&amp;LEN(#REF!))), 0), ROW(INDIRECT("1:"&amp;LEN(#REF!))))+1, 1) * 10^ROW(INDIRECT("1:"&amp;LEN(#REF!)))/10))*U220*100+1</f>
        <v>#REF!</v>
      </c>
    </row>
    <row r="221" spans="1:22" s="54" customFormat="1" ht="15.75" customHeight="1" x14ac:dyDescent="0.3">
      <c r="A221" s="82">
        <v>23</v>
      </c>
      <c r="B221" s="83"/>
      <c r="C221" s="32" t="s">
        <v>167</v>
      </c>
      <c r="D221" s="32">
        <f>6.625*8.126*10.764</f>
        <v>579.47724899999992</v>
      </c>
      <c r="E221" s="32">
        <v>0</v>
      </c>
      <c r="F221" s="32">
        <f t="shared" si="2"/>
        <v>927.16359839999996</v>
      </c>
      <c r="G221" s="88"/>
      <c r="H221" s="90"/>
      <c r="I221" s="53"/>
      <c r="S221" s="126" t="e">
        <f t="shared" ca="1" si="14"/>
        <v>#REF!</v>
      </c>
      <c r="T221" s="126"/>
      <c r="U221" s="53">
        <f>U220+1</f>
        <v>2</v>
      </c>
      <c r="V221" s="54" t="e">
        <f ca="1">V220+1</f>
        <v>#REF!</v>
      </c>
    </row>
    <row r="222" spans="1:22" s="54" customFormat="1" ht="15.75" customHeight="1" x14ac:dyDescent="0.3">
      <c r="A222" s="82">
        <v>24</v>
      </c>
      <c r="B222" s="83"/>
      <c r="C222" s="32" t="s">
        <v>167</v>
      </c>
      <c r="D222" s="32">
        <f>6.28*5.263*10.764</f>
        <v>355.76785295999997</v>
      </c>
      <c r="E222" s="32">
        <v>0</v>
      </c>
      <c r="F222" s="32">
        <f t="shared" si="2"/>
        <v>569.22856473599995</v>
      </c>
      <c r="G222" s="88"/>
      <c r="H222" s="90"/>
      <c r="I222" s="53"/>
      <c r="S222" s="126" t="e">
        <f t="shared" ca="1" si="14"/>
        <v>#REF!</v>
      </c>
      <c r="T222" s="126"/>
      <c r="U222" s="53">
        <f>U221+1</f>
        <v>3</v>
      </c>
      <c r="V222" s="54" t="e">
        <f ca="1">V221+1</f>
        <v>#REF!</v>
      </c>
    </row>
    <row r="223" spans="1:22" s="54" customFormat="1" ht="15.75" customHeight="1" x14ac:dyDescent="0.3">
      <c r="A223" s="82">
        <v>25</v>
      </c>
      <c r="B223" s="83"/>
      <c r="C223" s="32" t="s">
        <v>167</v>
      </c>
      <c r="D223" s="32">
        <f>4.025*3.145*10.764</f>
        <v>136.2574395</v>
      </c>
      <c r="E223" s="32">
        <v>0</v>
      </c>
      <c r="F223" s="32">
        <f t="shared" si="2"/>
        <v>218.01190320000001</v>
      </c>
      <c r="G223" s="88"/>
      <c r="H223" s="90"/>
      <c r="I223" s="53">
        <f>10098500/F229</f>
        <v>18013.669835457145</v>
      </c>
      <c r="S223" s="126" t="e">
        <f t="shared" ca="1" si="14"/>
        <v>#REF!</v>
      </c>
      <c r="T223" s="126"/>
      <c r="U223" s="53">
        <f t="shared" ref="U223:V223" si="15">U222+1</f>
        <v>4</v>
      </c>
      <c r="V223" s="54" t="e">
        <f t="shared" ca="1" si="15"/>
        <v>#REF!</v>
      </c>
    </row>
    <row r="224" spans="1:22" s="54" customFormat="1" ht="15.75" customHeight="1" x14ac:dyDescent="0.3">
      <c r="A224" s="82">
        <v>26</v>
      </c>
      <c r="B224" s="83"/>
      <c r="C224" s="32" t="s">
        <v>167</v>
      </c>
      <c r="D224" s="32">
        <f>4.05*3.962*10.764</f>
        <v>172.72022039999999</v>
      </c>
      <c r="E224" s="32">
        <v>0</v>
      </c>
      <c r="F224" s="32">
        <f t="shared" si="2"/>
        <v>276.35235263999999</v>
      </c>
      <c r="G224" s="88"/>
      <c r="H224" s="90"/>
      <c r="I224" s="53"/>
      <c r="S224" s="126" t="e">
        <f t="shared" ca="1" si="14"/>
        <v>#REF!</v>
      </c>
      <c r="T224" s="126"/>
      <c r="U224" s="53">
        <v>1</v>
      </c>
      <c r="V224" s="54" t="e">
        <f ca="1">(SUMPRODUCT(MID(0&amp;#REF!, LARGE(INDEX(ISNUMBER(--MID(#REF!, ROW(INDIRECT("1:"&amp;LEN(#REF!))), 1)) * ROW(INDIRECT("1:"&amp;LEN(#REF!))), 0), ROW(INDIRECT("1:"&amp;LEN(#REF!))))+1, 1) * 10^ROW(INDIRECT("1:"&amp;LEN(#REF!)))/10))*U224*100+1</f>
        <v>#REF!</v>
      </c>
    </row>
    <row r="225" spans="1:22" s="54" customFormat="1" ht="15.75" customHeight="1" x14ac:dyDescent="0.3">
      <c r="A225" s="82">
        <v>27</v>
      </c>
      <c r="B225" s="83"/>
      <c r="C225" s="32" t="s">
        <v>167</v>
      </c>
      <c r="D225" s="32">
        <f>(5.72*8.505+2.1*4.35)*10.764</f>
        <v>621.98267039999996</v>
      </c>
      <c r="E225" s="32">
        <v>0</v>
      </c>
      <c r="F225" s="32">
        <f t="shared" si="2"/>
        <v>995.17227263999996</v>
      </c>
      <c r="G225" s="88"/>
      <c r="H225" s="90"/>
      <c r="I225" s="53"/>
      <c r="S225" s="126" t="e">
        <f t="shared" ca="1" si="14"/>
        <v>#REF!</v>
      </c>
      <c r="T225" s="126"/>
      <c r="U225" s="53">
        <f>U224+1</f>
        <v>2</v>
      </c>
      <c r="V225" s="54" t="e">
        <f ca="1">V224+1</f>
        <v>#REF!</v>
      </c>
    </row>
    <row r="226" spans="1:22" s="54" customFormat="1" ht="15.75" customHeight="1" x14ac:dyDescent="0.3">
      <c r="A226" s="82">
        <v>28</v>
      </c>
      <c r="B226" s="83"/>
      <c r="C226" s="32" t="s">
        <v>167</v>
      </c>
      <c r="D226" s="32">
        <f>(6.08*8.53+6.45*3.13)*10.764</f>
        <v>775.55588759999989</v>
      </c>
      <c r="E226" s="32">
        <v>0</v>
      </c>
      <c r="F226" s="32">
        <f t="shared" si="2"/>
        <v>1240.8894201599999</v>
      </c>
      <c r="G226" s="88"/>
      <c r="H226" s="90"/>
      <c r="I226" s="53"/>
      <c r="S226" s="126" t="e">
        <f t="shared" ca="1" si="14"/>
        <v>#REF!</v>
      </c>
      <c r="T226" s="126"/>
      <c r="U226" s="53">
        <f>U225+1</f>
        <v>3</v>
      </c>
      <c r="V226" s="54" t="e">
        <f ca="1">V225+1</f>
        <v>#REF!</v>
      </c>
    </row>
    <row r="227" spans="1:22" s="54" customFormat="1" ht="15.75" customHeight="1" x14ac:dyDescent="0.3">
      <c r="A227" s="82">
        <v>29</v>
      </c>
      <c r="B227" s="83"/>
      <c r="C227" s="32" t="s">
        <v>167</v>
      </c>
      <c r="D227" s="32">
        <f>(4.175*11.05)*10.764</f>
        <v>496.58368499999995</v>
      </c>
      <c r="E227" s="32">
        <v>0</v>
      </c>
      <c r="F227" s="32">
        <f t="shared" si="2"/>
        <v>794.53389599999991</v>
      </c>
      <c r="G227" s="88"/>
      <c r="H227" s="90"/>
      <c r="I227" s="53"/>
      <c r="S227" s="126" t="e">
        <f t="shared" ca="1" si="14"/>
        <v>#REF!</v>
      </c>
      <c r="T227" s="126"/>
      <c r="U227" s="53">
        <f t="shared" ref="U227:V227" si="16">U226+1</f>
        <v>4</v>
      </c>
      <c r="V227" s="54" t="e">
        <f t="shared" ca="1" si="16"/>
        <v>#REF!</v>
      </c>
    </row>
    <row r="228" spans="1:22" s="54" customFormat="1" ht="15.75" customHeight="1" x14ac:dyDescent="0.3">
      <c r="A228" s="82">
        <v>30</v>
      </c>
      <c r="B228" s="83"/>
      <c r="C228" s="32" t="s">
        <v>167</v>
      </c>
      <c r="D228" s="32">
        <f>(6.825*3.908+5.775*0.75+4.05*3.65+2.75*3.8)*10.764</f>
        <v>605.32268939999994</v>
      </c>
      <c r="E228" s="32">
        <v>0</v>
      </c>
      <c r="F228" s="32">
        <f t="shared" si="2"/>
        <v>968.51630303999991</v>
      </c>
      <c r="G228" s="88"/>
      <c r="H228" s="90"/>
      <c r="I228" s="53"/>
      <c r="S228" s="126" t="e">
        <f t="shared" ca="1" si="14"/>
        <v>#REF!</v>
      </c>
      <c r="T228" s="126"/>
      <c r="U228" s="53">
        <f t="shared" ref="U228:V228" si="17">U227+1</f>
        <v>5</v>
      </c>
      <c r="V228" s="54" t="e">
        <f t="shared" ca="1" si="17"/>
        <v>#REF!</v>
      </c>
    </row>
    <row r="229" spans="1:22" s="54" customFormat="1" ht="15.75" customHeight="1" x14ac:dyDescent="0.3">
      <c r="A229" s="82">
        <v>31</v>
      </c>
      <c r="B229" s="83"/>
      <c r="C229" s="32" t="s">
        <v>167</v>
      </c>
      <c r="D229" s="32">
        <f>(4.105*5.15+2.8*4.075)*10.764</f>
        <v>350.37627300000008</v>
      </c>
      <c r="E229" s="32">
        <v>0</v>
      </c>
      <c r="F229" s="32">
        <f t="shared" si="2"/>
        <v>560.60203680000018</v>
      </c>
      <c r="G229" s="88"/>
      <c r="H229" s="90"/>
      <c r="I229" s="53"/>
      <c r="J229" s="62">
        <v>10.763999999999999</v>
      </c>
      <c r="S229" s="126" t="e">
        <f t="shared" ca="1" si="14"/>
        <v>#REF!</v>
      </c>
      <c r="T229" s="126"/>
      <c r="U229" s="53">
        <f t="shared" ref="U229:V229" si="18">U228+1</f>
        <v>6</v>
      </c>
      <c r="V229" s="54" t="e">
        <f t="shared" ca="1" si="18"/>
        <v>#REF!</v>
      </c>
    </row>
    <row r="230" spans="1:22" s="54" customFormat="1" ht="15.75" customHeight="1" x14ac:dyDescent="0.3">
      <c r="A230" s="82">
        <v>32</v>
      </c>
      <c r="B230" s="83"/>
      <c r="C230" s="32" t="s">
        <v>167</v>
      </c>
      <c r="D230" s="32">
        <f>(3.67*4.924+4.725*2.725)*10.764</f>
        <v>333.11033262000001</v>
      </c>
      <c r="E230" s="32">
        <v>0</v>
      </c>
      <c r="F230" s="32">
        <f t="shared" ref="F230:F248" si="19">D230*(($F$193)+1)+E230</f>
        <v>532.97653219200004</v>
      </c>
      <c r="G230" s="88"/>
      <c r="H230" s="90"/>
      <c r="I230" s="53"/>
      <c r="S230" s="126" t="e">
        <f t="shared" ca="1" si="14"/>
        <v>#REF!</v>
      </c>
      <c r="T230" s="126"/>
      <c r="U230" s="53">
        <f t="shared" ref="U230:V230" si="20">U229+1</f>
        <v>7</v>
      </c>
      <c r="V230" s="54" t="e">
        <f t="shared" ca="1" si="20"/>
        <v>#REF!</v>
      </c>
    </row>
    <row r="231" spans="1:22" s="54" customFormat="1" ht="15.75" customHeight="1" x14ac:dyDescent="0.3">
      <c r="A231" s="82">
        <v>33</v>
      </c>
      <c r="B231" s="83"/>
      <c r="C231" s="32" t="s">
        <v>167</v>
      </c>
      <c r="D231" s="32">
        <f>(5.7*7.503)*10.764</f>
        <v>460.34506439999996</v>
      </c>
      <c r="E231" s="32">
        <v>0</v>
      </c>
      <c r="F231" s="32">
        <f t="shared" si="19"/>
        <v>736.55210304000002</v>
      </c>
      <c r="G231" s="88"/>
      <c r="H231" s="90"/>
      <c r="I231" s="53"/>
      <c r="S231" s="126" t="e">
        <f t="shared" ref="S231:S239" ca="1" si="21">V231</f>
        <v>#REF!</v>
      </c>
      <c r="T231" s="126"/>
      <c r="U231" s="53">
        <v>1</v>
      </c>
      <c r="V231" s="54" t="e">
        <f ca="1">(SUMPRODUCT(MID(0&amp;#REF!, LARGE(INDEX(ISNUMBER(--MID(#REF!, ROW(INDIRECT("1:"&amp;LEN(#REF!))), 1)) * ROW(INDIRECT("1:"&amp;LEN(#REF!))), 0), ROW(INDIRECT("1:"&amp;LEN(#REF!))))+1, 1) * 10^ROW(INDIRECT("1:"&amp;LEN(#REF!)))/10))*U231*100+1</f>
        <v>#REF!</v>
      </c>
    </row>
    <row r="232" spans="1:22" s="54" customFormat="1" ht="15.75" customHeight="1" x14ac:dyDescent="0.3">
      <c r="A232" s="82">
        <v>34</v>
      </c>
      <c r="B232" s="83"/>
      <c r="C232" s="32" t="s">
        <v>167</v>
      </c>
      <c r="D232" s="32">
        <f>(3.925*7.503)*10.764</f>
        <v>316.99199609999999</v>
      </c>
      <c r="E232" s="32">
        <v>0</v>
      </c>
      <c r="F232" s="32">
        <f t="shared" si="19"/>
        <v>507.18719376000001</v>
      </c>
      <c r="G232" s="88"/>
      <c r="H232" s="90"/>
      <c r="I232" s="53"/>
      <c r="S232" s="126" t="e">
        <f t="shared" ca="1" si="21"/>
        <v>#REF!</v>
      </c>
      <c r="T232" s="126"/>
      <c r="U232" s="53">
        <f>U231+1</f>
        <v>2</v>
      </c>
      <c r="V232" s="54" t="e">
        <f ca="1">V231+1</f>
        <v>#REF!</v>
      </c>
    </row>
    <row r="233" spans="1:22" s="54" customFormat="1" ht="15.75" customHeight="1" x14ac:dyDescent="0.3">
      <c r="A233" s="82">
        <v>35</v>
      </c>
      <c r="B233" s="83"/>
      <c r="C233" s="32" t="s">
        <v>167</v>
      </c>
      <c r="D233" s="32">
        <f>(4.375*9.63)*10.764</f>
        <v>453.50077499999998</v>
      </c>
      <c r="E233" s="32">
        <v>0</v>
      </c>
      <c r="F233" s="32">
        <f t="shared" si="19"/>
        <v>725.60123999999996</v>
      </c>
      <c r="G233" s="88"/>
      <c r="H233" s="90"/>
      <c r="I233" s="53"/>
      <c r="S233" s="126" t="e">
        <f t="shared" ca="1" si="21"/>
        <v>#REF!</v>
      </c>
      <c r="T233" s="126"/>
      <c r="U233" s="53">
        <f>U232+1</f>
        <v>3</v>
      </c>
      <c r="V233" s="54" t="e">
        <f ca="1">V232+1</f>
        <v>#REF!</v>
      </c>
    </row>
    <row r="234" spans="1:22" s="54" customFormat="1" ht="15.75" customHeight="1" x14ac:dyDescent="0.3">
      <c r="A234" s="82">
        <v>36</v>
      </c>
      <c r="B234" s="83"/>
      <c r="C234" s="32" t="s">
        <v>167</v>
      </c>
      <c r="D234" s="32">
        <f>(5.435*6.351)*10.764</f>
        <v>371.54836133999999</v>
      </c>
      <c r="E234" s="32">
        <v>0</v>
      </c>
      <c r="F234" s="32">
        <f t="shared" si="19"/>
        <v>594.477378144</v>
      </c>
      <c r="G234" s="88"/>
      <c r="H234" s="90"/>
      <c r="I234" s="53"/>
      <c r="S234" s="126" t="e">
        <f t="shared" ca="1" si="21"/>
        <v>#REF!</v>
      </c>
      <c r="T234" s="126"/>
      <c r="U234" s="53">
        <f t="shared" ref="U234:V234" si="22">U233+1</f>
        <v>4</v>
      </c>
      <c r="V234" s="54" t="e">
        <f t="shared" ca="1" si="22"/>
        <v>#REF!</v>
      </c>
    </row>
    <row r="235" spans="1:22" s="54" customFormat="1" ht="15.75" customHeight="1" x14ac:dyDescent="0.3">
      <c r="A235" s="82">
        <v>37</v>
      </c>
      <c r="B235" s="83"/>
      <c r="C235" s="32" t="s">
        <v>167</v>
      </c>
      <c r="D235" s="62">
        <f>(4.365*6.352)*10.764</f>
        <v>298.44783072000001</v>
      </c>
      <c r="E235" s="32">
        <v>0</v>
      </c>
      <c r="F235" s="32">
        <f t="shared" si="19"/>
        <v>477.51652915200003</v>
      </c>
      <c r="G235" s="88"/>
      <c r="H235" s="90"/>
      <c r="I235" s="53"/>
      <c r="S235" s="126" t="e">
        <f t="shared" ca="1" si="21"/>
        <v>#REF!</v>
      </c>
      <c r="T235" s="126"/>
      <c r="U235" s="53">
        <v>1</v>
      </c>
      <c r="V235" s="54" t="e">
        <f ca="1">(SUMPRODUCT(MID(0&amp;#REF!, LARGE(INDEX(ISNUMBER(--MID(#REF!, ROW(INDIRECT("1:"&amp;LEN(#REF!))), 1)) * ROW(INDIRECT("1:"&amp;LEN(#REF!))), 0), ROW(INDIRECT("1:"&amp;LEN(#REF!))))+1, 1) * 10^ROW(INDIRECT("1:"&amp;LEN(#REF!)))/10))*U235*100+1</f>
        <v>#REF!</v>
      </c>
    </row>
    <row r="236" spans="1:22" s="54" customFormat="1" ht="15.75" customHeight="1" x14ac:dyDescent="0.3">
      <c r="A236" s="82">
        <v>38</v>
      </c>
      <c r="B236" s="83"/>
      <c r="C236" s="32" t="s">
        <v>167</v>
      </c>
      <c r="D236" s="62">
        <f>(2.75*8.733)*10.764</f>
        <v>258.50553300000001</v>
      </c>
      <c r="E236" s="32">
        <v>0</v>
      </c>
      <c r="F236" s="32">
        <f t="shared" si="19"/>
        <v>413.60885280000002</v>
      </c>
      <c r="G236" s="88"/>
      <c r="H236" s="90"/>
      <c r="I236" s="53"/>
      <c r="S236" s="126" t="e">
        <f t="shared" ca="1" si="21"/>
        <v>#REF!</v>
      </c>
      <c r="T236" s="126"/>
      <c r="U236" s="53">
        <f>U235+1</f>
        <v>2</v>
      </c>
      <c r="V236" s="54" t="e">
        <f ca="1">V235+1</f>
        <v>#REF!</v>
      </c>
    </row>
    <row r="237" spans="1:22" s="54" customFormat="1" ht="15.75" customHeight="1" x14ac:dyDescent="0.3">
      <c r="A237" s="82">
        <v>39</v>
      </c>
      <c r="B237" s="83"/>
      <c r="C237" s="32" t="s">
        <v>167</v>
      </c>
      <c r="D237" s="62">
        <f>(4.625*11.078)*10.764</f>
        <v>551.50161299999991</v>
      </c>
      <c r="E237" s="32">
        <v>0</v>
      </c>
      <c r="F237" s="32">
        <f t="shared" si="19"/>
        <v>882.4025807999999</v>
      </c>
      <c r="G237" s="88"/>
      <c r="H237" s="90"/>
      <c r="I237" s="53"/>
      <c r="S237" s="126" t="e">
        <f t="shared" ca="1" si="21"/>
        <v>#REF!</v>
      </c>
      <c r="T237" s="126"/>
      <c r="U237" s="53">
        <f>U236+1</f>
        <v>3</v>
      </c>
      <c r="V237" s="54" t="e">
        <f ca="1">V236+1</f>
        <v>#REF!</v>
      </c>
    </row>
    <row r="238" spans="1:22" s="54" customFormat="1" ht="15.75" customHeight="1" x14ac:dyDescent="0.3">
      <c r="A238" s="82">
        <v>40</v>
      </c>
      <c r="B238" s="83"/>
      <c r="C238" s="32" t="s">
        <v>167</v>
      </c>
      <c r="D238" s="62">
        <f>(3.2*5.483+2.9*5.4)*10.764</f>
        <v>357.42507840000002</v>
      </c>
      <c r="E238" s="32">
        <v>0</v>
      </c>
      <c r="F238" s="32">
        <f t="shared" si="19"/>
        <v>571.88012544000003</v>
      </c>
      <c r="G238" s="88"/>
      <c r="H238" s="90"/>
      <c r="I238" s="53"/>
      <c r="S238" s="126" t="e">
        <f t="shared" ca="1" si="21"/>
        <v>#REF!</v>
      </c>
      <c r="T238" s="126"/>
      <c r="U238" s="53">
        <f t="shared" ref="U238:V238" si="23">U237+1</f>
        <v>4</v>
      </c>
      <c r="V238" s="54" t="e">
        <f t="shared" ca="1" si="23"/>
        <v>#REF!</v>
      </c>
    </row>
    <row r="239" spans="1:22" s="54" customFormat="1" ht="15.75" customHeight="1" x14ac:dyDescent="0.3">
      <c r="A239" s="82">
        <v>41</v>
      </c>
      <c r="B239" s="83"/>
      <c r="C239" s="32" t="s">
        <v>167</v>
      </c>
      <c r="D239" s="62">
        <f>(4.175*7.417)*10.764</f>
        <v>333.31775489999995</v>
      </c>
      <c r="E239" s="32">
        <v>0</v>
      </c>
      <c r="F239" s="32">
        <f t="shared" si="19"/>
        <v>533.30840783999997</v>
      </c>
      <c r="G239" s="88"/>
      <c r="H239" s="90"/>
      <c r="I239" s="82">
        <v>49</v>
      </c>
      <c r="J239" s="83"/>
      <c r="K239" s="32" t="s">
        <v>167</v>
      </c>
      <c r="L239" s="62">
        <f>(10.175*5.725)*10.764</f>
        <v>627.02318249999996</v>
      </c>
      <c r="S239" s="126" t="e">
        <f t="shared" ca="1" si="21"/>
        <v>#REF!</v>
      </c>
      <c r="T239" s="126"/>
      <c r="U239" s="53">
        <f t="shared" ref="U239:V240" si="24">U238+1</f>
        <v>5</v>
      </c>
      <c r="V239" s="54" t="e">
        <f t="shared" ca="1" si="24"/>
        <v>#REF!</v>
      </c>
    </row>
    <row r="240" spans="1:22" s="54" customFormat="1" ht="15.75" customHeight="1" x14ac:dyDescent="0.3">
      <c r="A240" s="82">
        <v>42</v>
      </c>
      <c r="B240" s="83"/>
      <c r="C240" s="32" t="s">
        <v>167</v>
      </c>
      <c r="D240" s="62">
        <f>(4.175*7.37)*10.764</f>
        <v>331.20558899999997</v>
      </c>
      <c r="E240" s="32">
        <v>0</v>
      </c>
      <c r="F240" s="32">
        <f t="shared" si="19"/>
        <v>529.92894239999998</v>
      </c>
      <c r="G240" s="88"/>
      <c r="H240" s="90"/>
      <c r="I240" s="82">
        <f>I239+1</f>
        <v>50</v>
      </c>
      <c r="J240" s="83"/>
      <c r="K240" s="32" t="s">
        <v>167</v>
      </c>
      <c r="L240" s="62">
        <f>(3.825*5.725+4.025*3.575)*10.764</f>
        <v>390.59864999999996</v>
      </c>
      <c r="S240" s="126" t="e">
        <f t="shared" ref="S240" ca="1" si="25">V240</f>
        <v>#REF!</v>
      </c>
      <c r="T240" s="126"/>
      <c r="U240" s="53">
        <f t="shared" si="24"/>
        <v>6</v>
      </c>
      <c r="V240" s="54" t="e">
        <f t="shared" ca="1" si="24"/>
        <v>#REF!</v>
      </c>
    </row>
    <row r="241" spans="1:22" s="54" customFormat="1" x14ac:dyDescent="0.3">
      <c r="A241" s="82">
        <v>43</v>
      </c>
      <c r="B241" s="83"/>
      <c r="C241" s="32" t="s">
        <v>167</v>
      </c>
      <c r="D241" s="62">
        <f>(4.975*3.67)*10.764</f>
        <v>196.53180299999994</v>
      </c>
      <c r="E241" s="32">
        <v>0</v>
      </c>
      <c r="F241" s="32">
        <f t="shared" si="19"/>
        <v>314.45088479999993</v>
      </c>
      <c r="G241" s="88"/>
      <c r="H241" s="90"/>
      <c r="I241" s="53">
        <f>2+6+6+6+6+6+1+1</f>
        <v>34</v>
      </c>
      <c r="S241" s="126"/>
      <c r="T241" s="126"/>
      <c r="V241" s="54" t="str">
        <f>LEFT(A249,SUM(LEN(A249)-LEN(SUBSTITUTE(A249,{"0","1","2","3","4","5","6","7","8","9"},""))))</f>
        <v>R</v>
      </c>
    </row>
    <row r="242" spans="1:22" s="54" customFormat="1" ht="15.75" customHeight="1" x14ac:dyDescent="0.3">
      <c r="A242" s="82">
        <v>44</v>
      </c>
      <c r="B242" s="83"/>
      <c r="C242" s="32" t="s">
        <v>167</v>
      </c>
      <c r="D242" s="62">
        <f>(2.7*3.945)*10.764</f>
        <v>114.65274599999999</v>
      </c>
      <c r="E242" s="32">
        <v>0</v>
      </c>
      <c r="F242" s="32">
        <f t="shared" si="19"/>
        <v>183.44439360000001</v>
      </c>
      <c r="G242" s="88"/>
      <c r="H242" s="90"/>
      <c r="I242" s="53"/>
      <c r="S242" s="126" t="e">
        <f t="shared" ref="S242:S248" ca="1" si="26">V242</f>
        <v>#REF!</v>
      </c>
      <c r="T242" s="126"/>
      <c r="U242" s="53">
        <v>1</v>
      </c>
      <c r="V242" s="54" t="e">
        <f ca="1">(SUMPRODUCT(MID(0&amp;#REF!, LARGE(INDEX(ISNUMBER(--MID(#REF!, ROW(INDIRECT("1:"&amp;LEN(#REF!))), 1)) * ROW(INDIRECT("1:"&amp;LEN(#REF!))), 0), ROW(INDIRECT("1:"&amp;LEN(#REF!))))+1, 1) * 10^ROW(INDIRECT("1:"&amp;LEN(#REF!)))/10))*U242*100+1</f>
        <v>#REF!</v>
      </c>
    </row>
    <row r="243" spans="1:22" s="54" customFormat="1" ht="15.75" customHeight="1" x14ac:dyDescent="0.3">
      <c r="A243" s="82">
        <v>45</v>
      </c>
      <c r="B243" s="83"/>
      <c r="C243" s="32" t="s">
        <v>167</v>
      </c>
      <c r="D243" s="62">
        <f>(4.225*6.545)*10.764</f>
        <v>297.65285549999993</v>
      </c>
      <c r="E243" s="32">
        <v>0</v>
      </c>
      <c r="F243" s="32">
        <f t="shared" si="19"/>
        <v>476.24456879999991</v>
      </c>
      <c r="G243" s="88"/>
      <c r="H243" s="90"/>
      <c r="I243" s="53"/>
      <c r="S243" s="126" t="e">
        <f t="shared" ca="1" si="26"/>
        <v>#REF!</v>
      </c>
      <c r="T243" s="126"/>
      <c r="U243" s="53">
        <f>U242+1</f>
        <v>2</v>
      </c>
      <c r="V243" s="54" t="e">
        <f ca="1">V242+1</f>
        <v>#REF!</v>
      </c>
    </row>
    <row r="244" spans="1:22" s="54" customFormat="1" ht="15.75" customHeight="1" x14ac:dyDescent="0.3">
      <c r="A244" s="82">
        <v>46</v>
      </c>
      <c r="B244" s="83"/>
      <c r="C244" s="32" t="s">
        <v>167</v>
      </c>
      <c r="D244" s="62">
        <f>(3.925*9.72+1.875*1.25)*10.764</f>
        <v>435.88548900000001</v>
      </c>
      <c r="E244" s="32">
        <v>0</v>
      </c>
      <c r="F244" s="32">
        <f t="shared" si="19"/>
        <v>697.4167824000001</v>
      </c>
      <c r="G244" s="88"/>
      <c r="H244" s="90"/>
      <c r="I244" s="53"/>
      <c r="S244" s="126" t="e">
        <f t="shared" ca="1" si="26"/>
        <v>#REF!</v>
      </c>
      <c r="T244" s="126"/>
      <c r="U244" s="53">
        <f>U243+1</f>
        <v>3</v>
      </c>
      <c r="V244" s="54" t="e">
        <f ca="1">V243+1</f>
        <v>#REF!</v>
      </c>
    </row>
    <row r="245" spans="1:22" s="54" customFormat="1" ht="15.75" customHeight="1" x14ac:dyDescent="0.3">
      <c r="A245" s="82">
        <v>47</v>
      </c>
      <c r="B245" s="83"/>
      <c r="C245" s="32" t="s">
        <v>167</v>
      </c>
      <c r="D245" s="62">
        <f>(3.875*10.97)*10.764</f>
        <v>457.56418499999995</v>
      </c>
      <c r="E245" s="32">
        <v>0</v>
      </c>
      <c r="F245" s="32">
        <f t="shared" si="19"/>
        <v>732.10269599999992</v>
      </c>
      <c r="G245" s="88"/>
      <c r="H245" s="90"/>
      <c r="I245" s="53"/>
      <c r="S245" s="126" t="e">
        <f t="shared" ca="1" si="26"/>
        <v>#REF!</v>
      </c>
      <c r="T245" s="126"/>
      <c r="U245" s="53">
        <f t="shared" ref="U245:V245" si="27">U244+1</f>
        <v>4</v>
      </c>
      <c r="V245" s="54" t="e">
        <f t="shared" ca="1" si="27"/>
        <v>#REF!</v>
      </c>
    </row>
    <row r="246" spans="1:22" s="54" customFormat="1" ht="15.75" customHeight="1" x14ac:dyDescent="0.3">
      <c r="A246" s="82">
        <v>48</v>
      </c>
      <c r="B246" s="83"/>
      <c r="C246" s="20" t="s">
        <v>167</v>
      </c>
      <c r="D246" s="69">
        <f>(3.875*10.97)*10.764</f>
        <v>457.56418499999995</v>
      </c>
      <c r="E246" s="32">
        <v>0</v>
      </c>
      <c r="F246" s="32">
        <f t="shared" si="19"/>
        <v>732.10269599999992</v>
      </c>
      <c r="G246" s="88"/>
      <c r="H246" s="90"/>
      <c r="I246" s="53"/>
      <c r="S246" s="126" t="e">
        <f t="shared" ca="1" si="26"/>
        <v>#REF!</v>
      </c>
      <c r="T246" s="126"/>
      <c r="U246" s="53">
        <v>1</v>
      </c>
      <c r="V246" s="54" t="e">
        <f ca="1">(SUMPRODUCT(MID(0&amp;V234, LARGE(INDEX(ISNUMBER(--MID(V234, ROW(INDIRECT("1:"&amp;LEN(V234))), 1)) * ROW(INDIRECT("1:"&amp;LEN(V234))), 0), ROW(INDIRECT("1:"&amp;LEN(V234))))+1, 1) * 10^ROW(INDIRECT("1:"&amp;LEN(V234)))/10))*U246*100+1</f>
        <v>#REF!</v>
      </c>
    </row>
    <row r="247" spans="1:22" s="54" customFormat="1" ht="15.75" customHeight="1" x14ac:dyDescent="0.3">
      <c r="A247" s="82">
        <v>49</v>
      </c>
      <c r="B247" s="83"/>
      <c r="C247" s="20" t="s">
        <v>167</v>
      </c>
      <c r="D247" s="69">
        <f>(10.175+5.725+1.1*5.725)*10.764</f>
        <v>238.93388999999999</v>
      </c>
      <c r="E247" s="32">
        <v>0</v>
      </c>
      <c r="F247" s="32">
        <f t="shared" si="19"/>
        <v>382.29422399999999</v>
      </c>
      <c r="G247" s="88"/>
      <c r="H247" s="90"/>
      <c r="I247" s="53"/>
      <c r="S247" s="126" t="e">
        <f t="shared" ca="1" si="26"/>
        <v>#REF!</v>
      </c>
      <c r="T247" s="126"/>
      <c r="U247" s="53">
        <f>U246+1</f>
        <v>2</v>
      </c>
      <c r="V247" s="54" t="e">
        <f ca="1">V246+1</f>
        <v>#REF!</v>
      </c>
    </row>
    <row r="248" spans="1:22" s="54" customFormat="1" ht="15.75" customHeight="1" x14ac:dyDescent="0.3">
      <c r="A248" s="82">
        <v>50</v>
      </c>
      <c r="B248" s="83"/>
      <c r="C248" s="20" t="s">
        <v>167</v>
      </c>
      <c r="D248" s="69">
        <f>(3.825*5.725+4.025*3.575)*10.764</f>
        <v>390.59864999999996</v>
      </c>
      <c r="E248" s="32">
        <v>0</v>
      </c>
      <c r="F248" s="32">
        <f t="shared" si="19"/>
        <v>624.95784000000003</v>
      </c>
      <c r="G248" s="91"/>
      <c r="H248" s="93"/>
      <c r="I248" s="53"/>
      <c r="S248" s="126" t="e">
        <f t="shared" ca="1" si="26"/>
        <v>#REF!</v>
      </c>
      <c r="T248" s="126"/>
      <c r="U248" s="53">
        <f>U247+1</f>
        <v>3</v>
      </c>
      <c r="V248" s="54" t="e">
        <f ca="1">V247+1</f>
        <v>#REF!</v>
      </c>
    </row>
    <row r="249" spans="1:22" s="54" customFormat="1" ht="15.75" customHeight="1" x14ac:dyDescent="0.3">
      <c r="A249" s="84" t="s">
        <v>273</v>
      </c>
      <c r="B249" s="84"/>
      <c r="C249" s="84"/>
      <c r="D249" s="84"/>
      <c r="E249" s="84"/>
      <c r="F249" s="84"/>
      <c r="G249" s="84"/>
      <c r="H249" s="84"/>
      <c r="I249" s="53"/>
      <c r="S249" s="126" t="e">
        <f t="shared" ref="S249:S257" ca="1" si="28">V249</f>
        <v>#REF!</v>
      </c>
      <c r="T249" s="126"/>
      <c r="U249" s="53">
        <v>1</v>
      </c>
      <c r="V249" s="54" t="e">
        <f ca="1">(SUMPRODUCT(MID(0&amp;#REF!, LARGE(INDEX(ISNUMBER(--MID(#REF!, ROW(INDIRECT("1:"&amp;LEN(#REF!))), 1)) * ROW(INDIRECT("1:"&amp;LEN(#REF!))), 0), ROW(INDIRECT("1:"&amp;LEN(#REF!))))+1, 1) * 10^ROW(INDIRECT("1:"&amp;LEN(#REF!)))/10))*U249*100+1</f>
        <v>#REF!</v>
      </c>
    </row>
    <row r="250" spans="1:22" s="54" customFormat="1" ht="15.75" customHeight="1" x14ac:dyDescent="0.3">
      <c r="A250" s="82">
        <v>1</v>
      </c>
      <c r="B250" s="83"/>
      <c r="C250" s="32" t="s">
        <v>167</v>
      </c>
      <c r="D250" s="32">
        <f>(3.879*9.099+4.125*6.075)*10.764</f>
        <v>649.65471854399993</v>
      </c>
      <c r="E250" s="32">
        <v>0</v>
      </c>
      <c r="F250" s="32">
        <f t="shared" ref="F250:F293" si="29">D250*(($F$193)+1)+E250</f>
        <v>1039.4475496703999</v>
      </c>
      <c r="G250" s="85" t="str">
        <f>A249</f>
        <v>Retail - 1 Floor For Commercial</v>
      </c>
      <c r="H250" s="87"/>
      <c r="I250" s="53"/>
      <c r="S250" s="126" t="e">
        <f t="shared" ca="1" si="28"/>
        <v>#REF!</v>
      </c>
      <c r="T250" s="126"/>
      <c r="U250" s="53">
        <f>U249+1</f>
        <v>2</v>
      </c>
      <c r="V250" s="54" t="e">
        <f ca="1">V249+1</f>
        <v>#REF!</v>
      </c>
    </row>
    <row r="251" spans="1:22" s="54" customFormat="1" ht="15.75" customHeight="1" x14ac:dyDescent="0.3">
      <c r="A251" s="82">
        <v>2</v>
      </c>
      <c r="B251" s="83"/>
      <c r="C251" s="32" t="s">
        <v>167</v>
      </c>
      <c r="D251" s="32">
        <f>(4.336*1.474+3.736*8.45+5.751*5.25)*10.764</f>
        <v>733.60119549600006</v>
      </c>
      <c r="E251" s="32">
        <v>0</v>
      </c>
      <c r="F251" s="32">
        <f t="shared" si="29"/>
        <v>1173.7619127936002</v>
      </c>
      <c r="G251" s="88"/>
      <c r="H251" s="90"/>
      <c r="I251" s="53"/>
      <c r="S251" s="126" t="e">
        <f t="shared" ca="1" si="28"/>
        <v>#REF!</v>
      </c>
      <c r="T251" s="126"/>
      <c r="U251" s="53">
        <f>U250+1</f>
        <v>3</v>
      </c>
      <c r="V251" s="54" t="e">
        <f ca="1">V250+1</f>
        <v>#REF!</v>
      </c>
    </row>
    <row r="252" spans="1:22" s="54" customFormat="1" ht="15.75" customHeight="1" x14ac:dyDescent="0.3">
      <c r="A252" s="82">
        <v>3</v>
      </c>
      <c r="B252" s="83"/>
      <c r="C252" s="32" t="s">
        <v>167</v>
      </c>
      <c r="D252" s="32">
        <f>(3.95*5.189)*10.764</f>
        <v>220.62486420000002</v>
      </c>
      <c r="E252" s="32">
        <v>0</v>
      </c>
      <c r="F252" s="32">
        <f t="shared" si="29"/>
        <v>352.99978272000004</v>
      </c>
      <c r="G252" s="88"/>
      <c r="H252" s="90"/>
      <c r="I252" s="53">
        <f>10098500/F260</f>
        <v>10303.965012476814</v>
      </c>
      <c r="S252" s="126" t="e">
        <f t="shared" ca="1" si="28"/>
        <v>#REF!</v>
      </c>
      <c r="T252" s="126"/>
      <c r="U252" s="53">
        <f t="shared" ref="U252:V252" si="30">U251+1</f>
        <v>4</v>
      </c>
      <c r="V252" s="54" t="e">
        <f t="shared" ca="1" si="30"/>
        <v>#REF!</v>
      </c>
    </row>
    <row r="253" spans="1:22" s="54" customFormat="1" ht="15.75" customHeight="1" x14ac:dyDescent="0.3">
      <c r="A253" s="82">
        <v>4</v>
      </c>
      <c r="B253" s="83"/>
      <c r="C253" s="32" t="s">
        <v>167</v>
      </c>
      <c r="D253" s="32">
        <f>(4.35*9.344+2.8*5.85)*10.764</f>
        <v>613.83216959999993</v>
      </c>
      <c r="E253" s="32">
        <v>0</v>
      </c>
      <c r="F253" s="32">
        <f t="shared" si="29"/>
        <v>982.13147135999998</v>
      </c>
      <c r="G253" s="88"/>
      <c r="H253" s="90"/>
      <c r="I253" s="53"/>
      <c r="S253" s="126">
        <f t="shared" ca="1" si="28"/>
        <v>1</v>
      </c>
      <c r="T253" s="126"/>
      <c r="U253" s="53">
        <v>1</v>
      </c>
      <c r="V253" s="54">
        <f ca="1">(SUMPRODUCT(MID(0&amp;V241, LARGE(INDEX(ISNUMBER(--MID(V241, ROW(INDIRECT("1:"&amp;LEN(V241))), 1)) * ROW(INDIRECT("1:"&amp;LEN(V241))), 0), ROW(INDIRECT("1:"&amp;LEN(V241))))+1, 1) * 10^ROW(INDIRECT("1:"&amp;LEN(V241)))/10))*U253*100+1</f>
        <v>1</v>
      </c>
    </row>
    <row r="254" spans="1:22" s="54" customFormat="1" ht="15.75" customHeight="1" x14ac:dyDescent="0.3">
      <c r="A254" s="82">
        <v>5</v>
      </c>
      <c r="B254" s="83"/>
      <c r="C254" s="32" t="s">
        <v>167</v>
      </c>
      <c r="D254" s="32">
        <f>(3.91*9.49+4.82*5.7)*10.764</f>
        <v>695.13804360000006</v>
      </c>
      <c r="E254" s="32">
        <v>0</v>
      </c>
      <c r="F254" s="32">
        <f t="shared" si="29"/>
        <v>1112.2208697600001</v>
      </c>
      <c r="G254" s="88"/>
      <c r="H254" s="90"/>
      <c r="I254" s="53"/>
      <c r="S254" s="126">
        <f t="shared" ca="1" si="28"/>
        <v>2</v>
      </c>
      <c r="T254" s="126"/>
      <c r="U254" s="53">
        <f>U253+1</f>
        <v>2</v>
      </c>
      <c r="V254" s="54">
        <f ca="1">V253+1</f>
        <v>2</v>
      </c>
    </row>
    <row r="255" spans="1:22" s="54" customFormat="1" ht="15.75" customHeight="1" x14ac:dyDescent="0.3">
      <c r="A255" s="82">
        <v>6</v>
      </c>
      <c r="B255" s="83"/>
      <c r="C255" s="32" t="s">
        <v>167</v>
      </c>
      <c r="D255" s="32">
        <f>(3.915*8.685+2.705*6.5)*10.764</f>
        <v>555.25313610000001</v>
      </c>
      <c r="E255" s="32">
        <v>0</v>
      </c>
      <c r="F255" s="32">
        <f t="shared" si="29"/>
        <v>888.40501776000008</v>
      </c>
      <c r="G255" s="88"/>
      <c r="H255" s="90"/>
      <c r="I255" s="53"/>
      <c r="S255" s="126">
        <f t="shared" ca="1" si="28"/>
        <v>3</v>
      </c>
      <c r="T255" s="126"/>
      <c r="U255" s="53">
        <f>U254+1</f>
        <v>3</v>
      </c>
      <c r="V255" s="54">
        <f ca="1">V254+1</f>
        <v>3</v>
      </c>
    </row>
    <row r="256" spans="1:22" s="54" customFormat="1" ht="15.75" customHeight="1" x14ac:dyDescent="0.3">
      <c r="A256" s="82">
        <v>7</v>
      </c>
      <c r="B256" s="83"/>
      <c r="C256" s="32" t="s">
        <v>167</v>
      </c>
      <c r="D256" s="20">
        <f>(5.4*8.83+3.16*2.11+2.575*3.065+2.65*3.975)*10.764</f>
        <v>783.3579039</v>
      </c>
      <c r="E256" s="32">
        <v>0</v>
      </c>
      <c r="F256" s="32">
        <f t="shared" si="29"/>
        <v>1253.37264624</v>
      </c>
      <c r="G256" s="88"/>
      <c r="H256" s="90"/>
      <c r="I256" s="53"/>
      <c r="S256" s="126">
        <f t="shared" ca="1" si="28"/>
        <v>4</v>
      </c>
      <c r="T256" s="126"/>
      <c r="U256" s="53">
        <f t="shared" ref="U256:V256" si="31">U255+1</f>
        <v>4</v>
      </c>
      <c r="V256" s="54">
        <f t="shared" ca="1" si="31"/>
        <v>4</v>
      </c>
    </row>
    <row r="257" spans="1:22" s="54" customFormat="1" ht="15.75" customHeight="1" x14ac:dyDescent="0.3">
      <c r="A257" s="82">
        <v>8</v>
      </c>
      <c r="B257" s="83"/>
      <c r="C257" s="32" t="s">
        <v>167</v>
      </c>
      <c r="D257" s="32">
        <f>(5.525*9.69+4.815*0.805+4.025*3.17+2.575*3.605)*10.764</f>
        <v>855.25846379999996</v>
      </c>
      <c r="E257" s="32">
        <v>0</v>
      </c>
      <c r="F257" s="32">
        <f t="shared" si="29"/>
        <v>1368.4135420800001</v>
      </c>
      <c r="G257" s="88"/>
      <c r="H257" s="90"/>
      <c r="I257" s="53"/>
      <c r="S257" s="126">
        <f t="shared" ca="1" si="28"/>
        <v>5</v>
      </c>
      <c r="T257" s="126"/>
      <c r="U257" s="53">
        <f t="shared" ref="U257:V257" si="32">U256+1</f>
        <v>5</v>
      </c>
      <c r="V257" s="54">
        <f t="shared" ca="1" si="32"/>
        <v>5</v>
      </c>
    </row>
    <row r="258" spans="1:22" s="54" customFormat="1" ht="15.75" customHeight="1" x14ac:dyDescent="0.3">
      <c r="A258" s="82">
        <v>9</v>
      </c>
      <c r="B258" s="83"/>
      <c r="C258" s="32" t="s">
        <v>167</v>
      </c>
      <c r="D258" s="32">
        <f>(3.975*9.587+4.335*3.925+3.71*1.325)*10.764</f>
        <v>646.2592578</v>
      </c>
      <c r="E258" s="32">
        <v>0</v>
      </c>
      <c r="F258" s="32">
        <f t="shared" si="29"/>
        <v>1034.01481248</v>
      </c>
      <c r="G258" s="88"/>
      <c r="H258" s="90"/>
      <c r="I258" s="53"/>
      <c r="S258" s="126" t="e">
        <f t="shared" ref="S258:S266" ca="1" si="33">V258</f>
        <v>#REF!</v>
      </c>
      <c r="T258" s="126"/>
      <c r="U258" s="53">
        <v>1</v>
      </c>
      <c r="V258" s="54" t="e">
        <f ca="1">(SUMPRODUCT(MID(0&amp;#REF!, LARGE(INDEX(ISNUMBER(--MID(#REF!, ROW(INDIRECT("1:"&amp;LEN(#REF!))), 1)) * ROW(INDIRECT("1:"&amp;LEN(#REF!))), 0), ROW(INDIRECT("1:"&amp;LEN(#REF!))))+1, 1) * 10^ROW(INDIRECT("1:"&amp;LEN(#REF!)))/10))*U258*100+1</f>
        <v>#REF!</v>
      </c>
    </row>
    <row r="259" spans="1:22" s="54" customFormat="1" ht="15.75" customHeight="1" x14ac:dyDescent="0.3">
      <c r="A259" s="82">
        <v>10</v>
      </c>
      <c r="B259" s="83"/>
      <c r="C259" s="32" t="s">
        <v>167</v>
      </c>
      <c r="D259" s="32">
        <f>3.975*14.576*10.764</f>
        <v>623.66185440000004</v>
      </c>
      <c r="E259" s="32">
        <v>0</v>
      </c>
      <c r="F259" s="32">
        <f t="shared" si="29"/>
        <v>997.85896704000015</v>
      </c>
      <c r="G259" s="88"/>
      <c r="H259" s="90"/>
      <c r="I259" s="53"/>
      <c r="S259" s="126" t="e">
        <f t="shared" ca="1" si="33"/>
        <v>#REF!</v>
      </c>
      <c r="T259" s="126"/>
      <c r="U259" s="53">
        <f>U258+1</f>
        <v>2</v>
      </c>
      <c r="V259" s="54" t="e">
        <f ca="1">V258+1</f>
        <v>#REF!</v>
      </c>
    </row>
    <row r="260" spans="1:22" s="54" customFormat="1" ht="15.75" customHeight="1" x14ac:dyDescent="0.3">
      <c r="A260" s="82">
        <v>11</v>
      </c>
      <c r="B260" s="83"/>
      <c r="C260" s="32" t="s">
        <v>167</v>
      </c>
      <c r="D260" s="32">
        <f>3.975*14.316*10.764</f>
        <v>612.53726040000004</v>
      </c>
      <c r="E260" s="32">
        <v>0</v>
      </c>
      <c r="F260" s="32">
        <f t="shared" si="29"/>
        <v>980.05961664000006</v>
      </c>
      <c r="G260" s="88"/>
      <c r="H260" s="90"/>
      <c r="I260" s="53"/>
      <c r="S260" s="126" t="e">
        <f t="shared" ca="1" si="33"/>
        <v>#REF!</v>
      </c>
      <c r="T260" s="126"/>
      <c r="U260" s="53">
        <f>U259+1</f>
        <v>3</v>
      </c>
      <c r="V260" s="54" t="e">
        <f ca="1">V259+1</f>
        <v>#REF!</v>
      </c>
    </row>
    <row r="261" spans="1:22" s="54" customFormat="1" ht="15.75" customHeight="1" x14ac:dyDescent="0.3">
      <c r="A261" s="82">
        <v>12</v>
      </c>
      <c r="B261" s="83"/>
      <c r="C261" s="32" t="s">
        <v>167</v>
      </c>
      <c r="D261" s="32">
        <f>(3.975*8.205+2.265*5.85)*10.764</f>
        <v>493.69220549999994</v>
      </c>
      <c r="E261" s="32">
        <v>0</v>
      </c>
      <c r="F261" s="32">
        <f t="shared" si="29"/>
        <v>789.90752879999991</v>
      </c>
      <c r="G261" s="88"/>
      <c r="H261" s="90"/>
      <c r="I261" s="53">
        <f>10098500/F269</f>
        <v>51854.680176296017</v>
      </c>
      <c r="S261" s="126" t="e">
        <f t="shared" ca="1" si="33"/>
        <v>#REF!</v>
      </c>
      <c r="T261" s="126"/>
      <c r="U261" s="53">
        <f t="shared" ref="U261:V261" si="34">U260+1</f>
        <v>4</v>
      </c>
      <c r="V261" s="54" t="e">
        <f t="shared" ca="1" si="34"/>
        <v>#REF!</v>
      </c>
    </row>
    <row r="262" spans="1:22" s="54" customFormat="1" ht="15.75" customHeight="1" x14ac:dyDescent="0.3">
      <c r="A262" s="82">
        <v>13</v>
      </c>
      <c r="B262" s="83"/>
      <c r="C262" s="32" t="s">
        <v>167</v>
      </c>
      <c r="D262" s="32">
        <f>(7.5*2.515+3.055*5.05)*10.764</f>
        <v>369.10025099999996</v>
      </c>
      <c r="E262" s="32">
        <v>0</v>
      </c>
      <c r="F262" s="32">
        <f t="shared" si="29"/>
        <v>590.56040159999998</v>
      </c>
      <c r="G262" s="88"/>
      <c r="H262" s="90"/>
      <c r="I262" s="53"/>
      <c r="S262" s="126" t="e">
        <f t="shared" ca="1" si="33"/>
        <v>#REF!</v>
      </c>
      <c r="T262" s="126"/>
      <c r="U262" s="53">
        <v>1</v>
      </c>
      <c r="V262" s="54" t="e">
        <f ca="1">(SUMPRODUCT(MID(0&amp;#REF!, LARGE(INDEX(ISNUMBER(--MID(#REF!, ROW(INDIRECT("1:"&amp;LEN(#REF!))), 1)) * ROW(INDIRECT("1:"&amp;LEN(#REF!))), 0), ROW(INDIRECT("1:"&amp;LEN(#REF!))))+1, 1) * 10^ROW(INDIRECT("1:"&amp;LEN(#REF!)))/10))*U262*100+1</f>
        <v>#REF!</v>
      </c>
    </row>
    <row r="263" spans="1:22" s="54" customFormat="1" ht="15.75" customHeight="1" x14ac:dyDescent="0.3">
      <c r="A263" s="82">
        <v>14</v>
      </c>
      <c r="B263" s="83"/>
      <c r="C263" s="32" t="s">
        <v>167</v>
      </c>
      <c r="D263" s="32">
        <f>5.875*7.657*10.764</f>
        <v>484.21719450000001</v>
      </c>
      <c r="E263" s="32">
        <v>0</v>
      </c>
      <c r="F263" s="32">
        <f t="shared" si="29"/>
        <v>774.74751120000008</v>
      </c>
      <c r="G263" s="88"/>
      <c r="H263" s="90"/>
      <c r="I263" s="53"/>
      <c r="S263" s="126" t="e">
        <f t="shared" ca="1" si="33"/>
        <v>#REF!</v>
      </c>
      <c r="T263" s="126"/>
      <c r="U263" s="53">
        <f>U262+1</f>
        <v>2</v>
      </c>
      <c r="V263" s="54" t="e">
        <f ca="1">V262+1</f>
        <v>#REF!</v>
      </c>
    </row>
    <row r="264" spans="1:22" s="54" customFormat="1" ht="15.75" customHeight="1" x14ac:dyDescent="0.3">
      <c r="A264" s="82">
        <v>15</v>
      </c>
      <c r="B264" s="83"/>
      <c r="C264" s="32" t="s">
        <v>167</v>
      </c>
      <c r="D264" s="32">
        <f>(3.19*7.498+4.025*3.925)*10.764</f>
        <v>427.51104318</v>
      </c>
      <c r="E264" s="32">
        <v>0</v>
      </c>
      <c r="F264" s="32">
        <f t="shared" si="29"/>
        <v>684.01766908800005</v>
      </c>
      <c r="G264" s="88"/>
      <c r="H264" s="90"/>
      <c r="I264" s="53"/>
      <c r="S264" s="126" t="e">
        <f t="shared" ca="1" si="33"/>
        <v>#REF!</v>
      </c>
      <c r="T264" s="126"/>
      <c r="U264" s="53">
        <f>U263+1</f>
        <v>3</v>
      </c>
      <c r="V264" s="54" t="e">
        <f ca="1">V263+1</f>
        <v>#REF!</v>
      </c>
    </row>
    <row r="265" spans="1:22" s="54" customFormat="1" ht="15.75" customHeight="1" x14ac:dyDescent="0.3">
      <c r="A265" s="82">
        <v>16</v>
      </c>
      <c r="B265" s="83"/>
      <c r="C265" s="32" t="s">
        <v>167</v>
      </c>
      <c r="D265" s="32">
        <f>4.335*7.906*10.764</f>
        <v>368.90929763999992</v>
      </c>
      <c r="E265" s="32">
        <v>0</v>
      </c>
      <c r="F265" s="32">
        <f t="shared" si="29"/>
        <v>590.25487622399987</v>
      </c>
      <c r="G265" s="88"/>
      <c r="H265" s="90"/>
      <c r="I265" s="53"/>
      <c r="S265" s="126" t="e">
        <f t="shared" ca="1" si="33"/>
        <v>#REF!</v>
      </c>
      <c r="T265" s="126"/>
      <c r="U265" s="53">
        <f t="shared" ref="U265:V265" si="35">U264+1</f>
        <v>4</v>
      </c>
      <c r="V265" s="54" t="e">
        <f t="shared" ca="1" si="35"/>
        <v>#REF!</v>
      </c>
    </row>
    <row r="266" spans="1:22" s="54" customFormat="1" ht="15.75" customHeight="1" x14ac:dyDescent="0.3">
      <c r="A266" s="82">
        <v>17</v>
      </c>
      <c r="B266" s="83"/>
      <c r="C266" s="32" t="s">
        <v>167</v>
      </c>
      <c r="D266" s="32">
        <f>4.465*7.618*10.764</f>
        <v>366.13067867999996</v>
      </c>
      <c r="E266" s="32">
        <v>0</v>
      </c>
      <c r="F266" s="32">
        <f t="shared" si="29"/>
        <v>585.80908588799991</v>
      </c>
      <c r="G266" s="88"/>
      <c r="H266" s="90"/>
      <c r="I266" s="53"/>
      <c r="S266" s="126" t="e">
        <f t="shared" ca="1" si="33"/>
        <v>#REF!</v>
      </c>
      <c r="T266" s="126"/>
      <c r="U266" s="53">
        <f t="shared" ref="U266:V266" si="36">U265+1</f>
        <v>5</v>
      </c>
      <c r="V266" s="54" t="e">
        <f t="shared" ca="1" si="36"/>
        <v>#REF!</v>
      </c>
    </row>
    <row r="267" spans="1:22" s="54" customFormat="1" ht="15.75" customHeight="1" x14ac:dyDescent="0.3">
      <c r="A267" s="82">
        <v>18</v>
      </c>
      <c r="B267" s="83"/>
      <c r="C267" s="32" t="s">
        <v>167</v>
      </c>
      <c r="D267" s="32">
        <f>(4*7.47+4.025*2.995)*10.764</f>
        <v>451.38699449999996</v>
      </c>
      <c r="E267" s="32">
        <v>0</v>
      </c>
      <c r="F267" s="32">
        <f t="shared" si="29"/>
        <v>722.21919119999995</v>
      </c>
      <c r="G267" s="88"/>
      <c r="H267" s="90"/>
      <c r="I267" s="53"/>
      <c r="S267" s="126" t="e">
        <f t="shared" ref="S267:S275" ca="1" si="37">V267</f>
        <v>#REF!</v>
      </c>
      <c r="T267" s="126"/>
      <c r="U267" s="53">
        <v>1</v>
      </c>
      <c r="V267" s="54" t="e">
        <f ca="1">(SUMPRODUCT(MID(0&amp;#REF!, LARGE(INDEX(ISNUMBER(--MID(#REF!, ROW(INDIRECT("1:"&amp;LEN(#REF!))), 1)) * ROW(INDIRECT("1:"&amp;LEN(#REF!))), 0), ROW(INDIRECT("1:"&amp;LEN(#REF!))))+1, 1) * 10^ROW(INDIRECT("1:"&amp;LEN(#REF!)))/10))*U267*100+1</f>
        <v>#REF!</v>
      </c>
    </row>
    <row r="268" spans="1:22" s="54" customFormat="1" ht="15.75" customHeight="1" x14ac:dyDescent="0.3">
      <c r="A268" s="82">
        <v>19</v>
      </c>
      <c r="B268" s="83"/>
      <c r="C268" s="32" t="s">
        <v>167</v>
      </c>
      <c r="D268" s="32">
        <f>(5*3.255+3.875*4.45+3.05*3.8+4.775*5.725)*10.764</f>
        <v>779.80470749999984</v>
      </c>
      <c r="E268" s="32">
        <v>0</v>
      </c>
      <c r="F268" s="32">
        <f t="shared" si="29"/>
        <v>1247.6875319999999</v>
      </c>
      <c r="G268" s="88"/>
      <c r="H268" s="90"/>
      <c r="I268" s="53"/>
      <c r="S268" s="126" t="e">
        <f t="shared" ca="1" si="37"/>
        <v>#REF!</v>
      </c>
      <c r="T268" s="126"/>
      <c r="U268" s="53">
        <f>U267+1</f>
        <v>2</v>
      </c>
      <c r="V268" s="54" t="e">
        <f ca="1">V267+1</f>
        <v>#REF!</v>
      </c>
    </row>
    <row r="269" spans="1:22" s="54" customFormat="1" ht="15.75" customHeight="1" x14ac:dyDescent="0.3">
      <c r="A269" s="82">
        <v>20</v>
      </c>
      <c r="B269" s="83"/>
      <c r="C269" s="32" t="s">
        <v>167</v>
      </c>
      <c r="D269" s="32">
        <f>3.575*3.163*10.764</f>
        <v>121.71635189999999</v>
      </c>
      <c r="E269" s="32">
        <v>0</v>
      </c>
      <c r="F269" s="32">
        <f t="shared" si="29"/>
        <v>194.74616304</v>
      </c>
      <c r="G269" s="88"/>
      <c r="H269" s="90"/>
      <c r="I269" s="53"/>
      <c r="S269" s="126" t="e">
        <f t="shared" ca="1" si="37"/>
        <v>#REF!</v>
      </c>
      <c r="T269" s="126"/>
      <c r="U269" s="53">
        <f>U268+1</f>
        <v>3</v>
      </c>
      <c r="V269" s="54" t="e">
        <f ca="1">V268+1</f>
        <v>#REF!</v>
      </c>
    </row>
    <row r="270" spans="1:22" s="54" customFormat="1" ht="15.75" customHeight="1" x14ac:dyDescent="0.3">
      <c r="A270" s="82">
        <v>21</v>
      </c>
      <c r="B270" s="83"/>
      <c r="C270" s="32" t="s">
        <v>167</v>
      </c>
      <c r="D270" s="32">
        <f>4*3.038*10.764</f>
        <v>130.80412799999999</v>
      </c>
      <c r="E270" s="32">
        <v>0</v>
      </c>
      <c r="F270" s="32">
        <f t="shared" si="29"/>
        <v>209.28660479999999</v>
      </c>
      <c r="G270" s="88"/>
      <c r="H270" s="90"/>
      <c r="I270" s="53">
        <f>10098500/F278</f>
        <v>20432.609025361256</v>
      </c>
      <c r="S270" s="126" t="e">
        <f t="shared" ca="1" si="37"/>
        <v>#REF!</v>
      </c>
      <c r="T270" s="126"/>
      <c r="U270" s="53">
        <f t="shared" ref="U270:V270" si="38">U269+1</f>
        <v>4</v>
      </c>
      <c r="V270" s="54" t="e">
        <f t="shared" ca="1" si="38"/>
        <v>#REF!</v>
      </c>
    </row>
    <row r="271" spans="1:22" s="54" customFormat="1" ht="15.75" customHeight="1" x14ac:dyDescent="0.3">
      <c r="A271" s="82">
        <v>22</v>
      </c>
      <c r="B271" s="83"/>
      <c r="C271" s="32" t="s">
        <v>167</v>
      </c>
      <c r="D271" s="32">
        <f>(6.725*6.649+2.65*4.525+2.65*4.525+1.325*1.175)*10.764</f>
        <v>756.21297959999993</v>
      </c>
      <c r="E271" s="32">
        <v>0</v>
      </c>
      <c r="F271" s="32">
        <f t="shared" si="29"/>
        <v>1209.9407673599999</v>
      </c>
      <c r="G271" s="88"/>
      <c r="H271" s="90"/>
      <c r="I271" s="53"/>
      <c r="S271" s="126" t="e">
        <f t="shared" ca="1" si="37"/>
        <v>#REF!</v>
      </c>
      <c r="T271" s="126"/>
      <c r="U271" s="53">
        <v>1</v>
      </c>
      <c r="V271" s="54" t="e">
        <f ca="1">(SUMPRODUCT(MID(0&amp;V266, LARGE(INDEX(ISNUMBER(--MID(V266, ROW(INDIRECT("1:"&amp;LEN(V266))), 1)) * ROW(INDIRECT("1:"&amp;LEN(V266))), 0), ROW(INDIRECT("1:"&amp;LEN(V266))))+1, 1) * 10^ROW(INDIRECT("1:"&amp;LEN(V266)))/10))*U271*100+1</f>
        <v>#REF!</v>
      </c>
    </row>
    <row r="272" spans="1:22" s="54" customFormat="1" ht="15.75" customHeight="1" x14ac:dyDescent="0.3">
      <c r="A272" s="82">
        <v>23</v>
      </c>
      <c r="B272" s="83"/>
      <c r="C272" s="32" t="s">
        <v>167</v>
      </c>
      <c r="D272" s="32">
        <f>6.28*2.863*10.764</f>
        <v>193.53284495999998</v>
      </c>
      <c r="E272" s="32">
        <v>0</v>
      </c>
      <c r="F272" s="32">
        <f t="shared" si="29"/>
        <v>309.65255193600001</v>
      </c>
      <c r="G272" s="88"/>
      <c r="H272" s="90"/>
      <c r="I272" s="53"/>
      <c r="S272" s="126" t="e">
        <f t="shared" ca="1" si="37"/>
        <v>#REF!</v>
      </c>
      <c r="T272" s="126"/>
      <c r="U272" s="53">
        <f>U271+1</f>
        <v>2</v>
      </c>
      <c r="V272" s="54" t="e">
        <f ca="1">V271+1</f>
        <v>#REF!</v>
      </c>
    </row>
    <row r="273" spans="1:22" s="54" customFormat="1" ht="15.75" customHeight="1" x14ac:dyDescent="0.3">
      <c r="A273" s="82">
        <v>24</v>
      </c>
      <c r="B273" s="83"/>
      <c r="C273" s="32" t="s">
        <v>167</v>
      </c>
      <c r="D273" s="32">
        <f>4.05*1.575*10.764</f>
        <v>68.660864999999987</v>
      </c>
      <c r="E273" s="32">
        <v>0</v>
      </c>
      <c r="F273" s="32">
        <f t="shared" si="29"/>
        <v>109.85738399999998</v>
      </c>
      <c r="G273" s="88"/>
      <c r="H273" s="90"/>
      <c r="I273" s="53"/>
      <c r="S273" s="126" t="e">
        <f t="shared" ca="1" si="37"/>
        <v>#REF!</v>
      </c>
      <c r="T273" s="126"/>
      <c r="U273" s="53">
        <f>U272+1</f>
        <v>3</v>
      </c>
      <c r="V273" s="54" t="e">
        <f ca="1">V272+1</f>
        <v>#REF!</v>
      </c>
    </row>
    <row r="274" spans="1:22" s="54" customFormat="1" ht="15.75" customHeight="1" x14ac:dyDescent="0.3">
      <c r="A274" s="82">
        <v>25</v>
      </c>
      <c r="B274" s="83"/>
      <c r="C274" s="32" t="s">
        <v>167</v>
      </c>
      <c r="D274" s="32">
        <f>(5.125*6.122+1.886*4.5)*10.764</f>
        <v>429.07725900000003</v>
      </c>
      <c r="E274" s="32">
        <v>0</v>
      </c>
      <c r="F274" s="32">
        <f t="shared" si="29"/>
        <v>686.52361440000004</v>
      </c>
      <c r="G274" s="88"/>
      <c r="H274" s="90"/>
      <c r="I274" s="53"/>
      <c r="S274" s="126" t="e">
        <f t="shared" ca="1" si="37"/>
        <v>#REF!</v>
      </c>
      <c r="T274" s="126"/>
      <c r="U274" s="53">
        <f t="shared" ref="U274:V274" si="39">U273+1</f>
        <v>4</v>
      </c>
      <c r="V274" s="54" t="e">
        <f t="shared" ca="1" si="39"/>
        <v>#REF!</v>
      </c>
    </row>
    <row r="275" spans="1:22" s="54" customFormat="1" ht="15.75" customHeight="1" x14ac:dyDescent="0.3">
      <c r="A275" s="82">
        <v>26</v>
      </c>
      <c r="B275" s="83"/>
      <c r="C275" s="32" t="s">
        <v>167</v>
      </c>
      <c r="D275" s="32">
        <f>(6.689*6.165+6.45*3.13)*10.764</f>
        <v>661.19145533999995</v>
      </c>
      <c r="E275" s="32">
        <v>0</v>
      </c>
      <c r="F275" s="32">
        <f t="shared" si="29"/>
        <v>1057.906328544</v>
      </c>
      <c r="G275" s="88"/>
      <c r="H275" s="90"/>
      <c r="I275" s="53"/>
      <c r="S275" s="126" t="e">
        <f t="shared" ca="1" si="37"/>
        <v>#REF!</v>
      </c>
      <c r="T275" s="126"/>
      <c r="U275" s="53">
        <f t="shared" ref="U275:V275" si="40">U274+1</f>
        <v>5</v>
      </c>
      <c r="V275" s="54" t="e">
        <f t="shared" ca="1" si="40"/>
        <v>#REF!</v>
      </c>
    </row>
    <row r="276" spans="1:22" s="54" customFormat="1" ht="15.75" customHeight="1" x14ac:dyDescent="0.3">
      <c r="A276" s="82">
        <v>27</v>
      </c>
      <c r="B276" s="83"/>
      <c r="C276" s="32" t="s">
        <v>167</v>
      </c>
      <c r="D276" s="32">
        <f>(4.175*8.832)*10.764</f>
        <v>396.90743040000001</v>
      </c>
      <c r="E276" s="32">
        <v>0</v>
      </c>
      <c r="F276" s="32">
        <f t="shared" si="29"/>
        <v>635.05188864000002</v>
      </c>
      <c r="G276" s="88"/>
      <c r="H276" s="90"/>
      <c r="I276" s="53"/>
      <c r="S276" s="126" t="e">
        <f t="shared" ref="S276:S285" ca="1" si="41">V276</f>
        <v>#REF!</v>
      </c>
      <c r="T276" s="126"/>
      <c r="U276" s="53">
        <v>1</v>
      </c>
      <c r="V276" s="54" t="e">
        <f ca="1">(SUMPRODUCT(MID(0&amp;#REF!, LARGE(INDEX(ISNUMBER(--MID(#REF!, ROW(INDIRECT("1:"&amp;LEN(#REF!))), 1)) * ROW(INDIRECT("1:"&amp;LEN(#REF!))), 0), ROW(INDIRECT("1:"&amp;LEN(#REF!))))+1, 1) * 10^ROW(INDIRECT("1:"&amp;LEN(#REF!)))/10))*U276*100+1</f>
        <v>#REF!</v>
      </c>
    </row>
    <row r="277" spans="1:22" s="54" customFormat="1" ht="15.75" customHeight="1" x14ac:dyDescent="0.3">
      <c r="A277" s="82">
        <v>28</v>
      </c>
      <c r="B277" s="83"/>
      <c r="C277" s="32" t="s">
        <v>167</v>
      </c>
      <c r="D277" s="32">
        <f>(4.005*4.975+2.8*3.8+6.825*0.825)*10.764</f>
        <v>389.60836199999994</v>
      </c>
      <c r="E277" s="32">
        <v>0</v>
      </c>
      <c r="F277" s="32">
        <f t="shared" si="29"/>
        <v>623.37337919999993</v>
      </c>
      <c r="G277" s="88"/>
      <c r="H277" s="90"/>
      <c r="I277" s="53"/>
      <c r="S277" s="126" t="e">
        <f t="shared" ca="1" si="41"/>
        <v>#REF!</v>
      </c>
      <c r="T277" s="126"/>
      <c r="U277" s="53">
        <f>U276+1</f>
        <v>2</v>
      </c>
      <c r="V277" s="54" t="e">
        <f ca="1">V276+1</f>
        <v>#REF!</v>
      </c>
    </row>
    <row r="278" spans="1:22" s="54" customFormat="1" ht="15.75" customHeight="1" x14ac:dyDescent="0.3">
      <c r="A278" s="82">
        <v>29</v>
      </c>
      <c r="B278" s="83"/>
      <c r="C278" s="32" t="s">
        <v>167</v>
      </c>
      <c r="D278" s="32">
        <f>(4.005*2.788+2.8*4.075+2.95*2.075)*10.764</f>
        <v>308.89655316</v>
      </c>
      <c r="E278" s="32">
        <v>0</v>
      </c>
      <c r="F278" s="32">
        <f t="shared" si="29"/>
        <v>494.23448505600004</v>
      </c>
      <c r="G278" s="88"/>
      <c r="H278" s="90"/>
      <c r="I278" s="53"/>
      <c r="S278" s="126" t="e">
        <f t="shared" ca="1" si="41"/>
        <v>#REF!</v>
      </c>
      <c r="T278" s="126"/>
      <c r="U278" s="53">
        <f>U277+1</f>
        <v>3</v>
      </c>
      <c r="V278" s="54" t="e">
        <f ca="1">V277+1</f>
        <v>#REF!</v>
      </c>
    </row>
    <row r="279" spans="1:22" s="54" customFormat="1" ht="15.75" customHeight="1" x14ac:dyDescent="0.3">
      <c r="A279" s="82">
        <v>30</v>
      </c>
      <c r="B279" s="83"/>
      <c r="C279" s="32" t="s">
        <v>167</v>
      </c>
      <c r="D279" s="32">
        <f>(3.67*2.569+4.875*6.15)*10.764</f>
        <v>424.20364272</v>
      </c>
      <c r="E279" s="32">
        <v>0</v>
      </c>
      <c r="F279" s="32">
        <f t="shared" si="29"/>
        <v>678.72582835200001</v>
      </c>
      <c r="G279" s="88"/>
      <c r="H279" s="90"/>
      <c r="I279" s="53"/>
      <c r="S279" s="126" t="e">
        <f t="shared" ca="1" si="41"/>
        <v>#REF!</v>
      </c>
      <c r="T279" s="126"/>
      <c r="U279" s="53">
        <f t="shared" ref="U279:V279" si="42">U278+1</f>
        <v>4</v>
      </c>
      <c r="V279" s="54" t="e">
        <f t="shared" ca="1" si="42"/>
        <v>#REF!</v>
      </c>
    </row>
    <row r="280" spans="1:22" s="54" customFormat="1" ht="15.75" customHeight="1" x14ac:dyDescent="0.3">
      <c r="A280" s="82">
        <v>31</v>
      </c>
      <c r="B280" s="83"/>
      <c r="C280" s="32" t="s">
        <v>167</v>
      </c>
      <c r="D280" s="32">
        <f>(5.7*8.605)*10.764</f>
        <v>527.95805400000006</v>
      </c>
      <c r="E280" s="32">
        <v>0</v>
      </c>
      <c r="F280" s="32">
        <f t="shared" si="29"/>
        <v>844.7328864000001</v>
      </c>
      <c r="G280" s="88"/>
      <c r="H280" s="90"/>
      <c r="I280" s="53"/>
      <c r="S280" s="126" t="e">
        <f t="shared" ca="1" si="41"/>
        <v>#REF!</v>
      </c>
      <c r="T280" s="126"/>
      <c r="U280" s="53">
        <v>1</v>
      </c>
      <c r="V280" s="54" t="e">
        <f ca="1">(SUMPRODUCT(MID(0&amp;V275, LARGE(INDEX(ISNUMBER(--MID(V275, ROW(INDIRECT("1:"&amp;LEN(V275))), 1)) * ROW(INDIRECT("1:"&amp;LEN(V275))), 0), ROW(INDIRECT("1:"&amp;LEN(V275))))+1, 1) * 10^ROW(INDIRECT("1:"&amp;LEN(V275)))/10))*U280*100+1</f>
        <v>#REF!</v>
      </c>
    </row>
    <row r="281" spans="1:22" s="54" customFormat="1" ht="15.75" customHeight="1" x14ac:dyDescent="0.3">
      <c r="A281" s="82">
        <v>32</v>
      </c>
      <c r="B281" s="83"/>
      <c r="C281" s="32" t="s">
        <v>167</v>
      </c>
      <c r="D281" s="32">
        <f>(3.925*8.605)*10.764</f>
        <v>363.55006349999996</v>
      </c>
      <c r="E281" s="32">
        <v>0</v>
      </c>
      <c r="F281" s="32">
        <f t="shared" si="29"/>
        <v>581.68010159999994</v>
      </c>
      <c r="G281" s="88"/>
      <c r="H281" s="90"/>
      <c r="I281" s="53"/>
      <c r="S281" s="126" t="e">
        <f t="shared" ref="S281" ca="1" si="43">V281</f>
        <v>#REF!</v>
      </c>
      <c r="T281" s="126"/>
      <c r="U281" s="53">
        <v>1</v>
      </c>
      <c r="V281" s="54" t="e">
        <f ca="1">(SUMPRODUCT(MID(0&amp;V276, LARGE(INDEX(ISNUMBER(--MID(V276, ROW(INDIRECT("1:"&amp;LEN(V276))), 1)) * ROW(INDIRECT("1:"&amp;LEN(V276))), 0), ROW(INDIRECT("1:"&amp;LEN(V276))))+1, 1) * 10^ROW(INDIRECT("1:"&amp;LEN(V276)))/10))*U281*100+1</f>
        <v>#REF!</v>
      </c>
    </row>
    <row r="282" spans="1:22" s="54" customFormat="1" ht="15.75" customHeight="1" x14ac:dyDescent="0.3">
      <c r="A282" s="82">
        <v>33</v>
      </c>
      <c r="B282" s="83"/>
      <c r="C282" s="32" t="s">
        <v>167</v>
      </c>
      <c r="D282" s="32">
        <f>(4.375*7.28)*10.764</f>
        <v>342.83339999999998</v>
      </c>
      <c r="E282" s="32">
        <v>0</v>
      </c>
      <c r="F282" s="32">
        <f t="shared" si="29"/>
        <v>548.53344000000004</v>
      </c>
      <c r="G282" s="88"/>
      <c r="H282" s="90"/>
      <c r="I282" s="53"/>
      <c r="S282" s="126" t="e">
        <f t="shared" ca="1" si="41"/>
        <v>#REF!</v>
      </c>
      <c r="T282" s="126"/>
      <c r="U282" s="53">
        <f>U280+1</f>
        <v>2</v>
      </c>
      <c r="V282" s="54" t="e">
        <f ca="1">V280+1</f>
        <v>#REF!</v>
      </c>
    </row>
    <row r="283" spans="1:22" s="54" customFormat="1" ht="15.75" customHeight="1" x14ac:dyDescent="0.3">
      <c r="A283" s="82">
        <v>34</v>
      </c>
      <c r="B283" s="83"/>
      <c r="C283" s="32" t="s">
        <v>167</v>
      </c>
      <c r="D283" s="32">
        <f>(5.435*4.001)*10.764</f>
        <v>234.06786234</v>
      </c>
      <c r="E283" s="32">
        <v>0</v>
      </c>
      <c r="F283" s="32">
        <f t="shared" si="29"/>
        <v>374.50857974400003</v>
      </c>
      <c r="G283" s="88"/>
      <c r="H283" s="90"/>
      <c r="I283" s="53"/>
      <c r="S283" s="126" t="e">
        <f t="shared" ca="1" si="41"/>
        <v>#REF!</v>
      </c>
      <c r="T283" s="126"/>
      <c r="U283" s="53">
        <f>U282+1</f>
        <v>3</v>
      </c>
      <c r="V283" s="54" t="e">
        <f ca="1">V282+1</f>
        <v>#REF!</v>
      </c>
    </row>
    <row r="284" spans="1:22" s="54" customFormat="1" ht="15.75" customHeight="1" x14ac:dyDescent="0.3">
      <c r="A284" s="82">
        <v>35</v>
      </c>
      <c r="B284" s="83"/>
      <c r="C284" s="32" t="s">
        <v>167</v>
      </c>
      <c r="D284" s="62">
        <f>(4.365*4.002)*10.764</f>
        <v>188.03340972000001</v>
      </c>
      <c r="E284" s="32">
        <v>0</v>
      </c>
      <c r="F284" s="32">
        <f t="shared" si="29"/>
        <v>300.85345555200001</v>
      </c>
      <c r="G284" s="88"/>
      <c r="H284" s="90"/>
      <c r="I284" s="53"/>
      <c r="S284" s="126" t="e">
        <f t="shared" ca="1" si="41"/>
        <v>#REF!</v>
      </c>
      <c r="T284" s="126"/>
      <c r="U284" s="53">
        <f t="shared" ref="U284:V284" si="44">U283+1</f>
        <v>4</v>
      </c>
      <c r="V284" s="54" t="e">
        <f t="shared" ca="1" si="44"/>
        <v>#REF!</v>
      </c>
    </row>
    <row r="285" spans="1:22" s="54" customFormat="1" ht="15.75" customHeight="1" x14ac:dyDescent="0.3">
      <c r="A285" s="82">
        <v>36</v>
      </c>
      <c r="B285" s="83"/>
      <c r="C285" s="32" t="s">
        <v>167</v>
      </c>
      <c r="D285" s="62">
        <f>(2.8*6.234)*10.764</f>
        <v>187.88777279999996</v>
      </c>
      <c r="E285" s="32">
        <v>0</v>
      </c>
      <c r="F285" s="32">
        <f t="shared" si="29"/>
        <v>300.62043647999997</v>
      </c>
      <c r="G285" s="88"/>
      <c r="H285" s="90"/>
      <c r="I285" s="53"/>
      <c r="S285" s="126" t="e">
        <f t="shared" ca="1" si="41"/>
        <v>#REF!</v>
      </c>
      <c r="T285" s="126"/>
      <c r="U285" s="53">
        <f t="shared" ref="U285:V285" si="45">U284+1</f>
        <v>5</v>
      </c>
      <c r="V285" s="54" t="e">
        <f t="shared" ca="1" si="45"/>
        <v>#REF!</v>
      </c>
    </row>
    <row r="286" spans="1:22" s="54" customFormat="1" ht="15.75" customHeight="1" x14ac:dyDescent="0.3">
      <c r="A286" s="82">
        <v>37</v>
      </c>
      <c r="B286" s="83"/>
      <c r="C286" s="32" t="s">
        <v>167</v>
      </c>
      <c r="D286" s="62">
        <f>(4.625*8.58+6*4.375)*10.764</f>
        <v>709.69743000000005</v>
      </c>
      <c r="E286" s="32">
        <v>0</v>
      </c>
      <c r="F286" s="32">
        <f t="shared" si="29"/>
        <v>1135.5158880000001</v>
      </c>
      <c r="G286" s="88"/>
      <c r="H286" s="90"/>
      <c r="I286" s="53"/>
      <c r="U286" s="53"/>
    </row>
    <row r="287" spans="1:22" x14ac:dyDescent="0.3">
      <c r="A287" s="82">
        <v>38</v>
      </c>
      <c r="B287" s="83"/>
      <c r="C287" s="32" t="s">
        <v>167</v>
      </c>
      <c r="D287" s="62">
        <f>(7.525*4.021)*10.764</f>
        <v>325.69738109999997</v>
      </c>
      <c r="E287" s="32">
        <v>0</v>
      </c>
      <c r="F287" s="32">
        <f t="shared" si="29"/>
        <v>521.11580975999993</v>
      </c>
      <c r="G287" s="88"/>
      <c r="H287" s="90"/>
      <c r="I287" s="53"/>
    </row>
    <row r="288" spans="1:22" s="54" customFormat="1" x14ac:dyDescent="0.3">
      <c r="A288" s="82">
        <v>39</v>
      </c>
      <c r="B288" s="83"/>
      <c r="C288" s="32" t="s">
        <v>167</v>
      </c>
      <c r="D288" s="62">
        <f>(4.175*8.622+1.525*4.525)*10.764</f>
        <v>461.74842089999987</v>
      </c>
      <c r="E288" s="32">
        <v>0</v>
      </c>
      <c r="F288" s="32">
        <f t="shared" si="29"/>
        <v>738.79747343999986</v>
      </c>
      <c r="G288" s="88"/>
      <c r="H288" s="90"/>
      <c r="I288" s="53"/>
    </row>
    <row r="289" spans="1:22" s="54" customFormat="1" x14ac:dyDescent="0.3">
      <c r="A289" s="82" t="s">
        <v>203</v>
      </c>
      <c r="B289" s="83"/>
      <c r="C289" s="32" t="s">
        <v>167</v>
      </c>
      <c r="D289" s="62">
        <f>(4.975*1.322)*10.764</f>
        <v>70.794289800000001</v>
      </c>
      <c r="E289" s="32">
        <v>0</v>
      </c>
      <c r="F289" s="32">
        <f t="shared" si="29"/>
        <v>113.27086368000001</v>
      </c>
      <c r="G289" s="88"/>
      <c r="H289" s="90"/>
      <c r="I289" s="53"/>
      <c r="S289" s="126"/>
      <c r="T289" s="126"/>
      <c r="V289" s="54" t="str">
        <f>LEFT(A297,SUM(LEN(A297)-LEN(SUBSTITUTE(A297,{"0","1","2","3","4","5","6","7","8","9"},""))))</f>
        <v/>
      </c>
    </row>
    <row r="290" spans="1:22" s="54" customFormat="1" x14ac:dyDescent="0.3">
      <c r="A290" s="82">
        <v>40</v>
      </c>
      <c r="B290" s="83"/>
      <c r="C290" s="32" t="s">
        <v>167</v>
      </c>
      <c r="D290" s="62">
        <f>(4.225*5.422+2.85*1.595)*10.764</f>
        <v>295.51162679999993</v>
      </c>
      <c r="E290" s="32">
        <v>0</v>
      </c>
      <c r="F290" s="32">
        <f t="shared" si="29"/>
        <v>472.8186028799999</v>
      </c>
      <c r="G290" s="88"/>
      <c r="H290" s="90"/>
      <c r="I290" s="53"/>
      <c r="J290" s="62">
        <v>10.763999999999999</v>
      </c>
      <c r="S290" s="126"/>
      <c r="T290" s="126"/>
      <c r="V290" s="54" t="str">
        <f>LEFT(A298,SUM(LEN(A298)-LEN(SUBSTITUTE(A298,{"0","1","2","3","4","5","6","7","8","9"},""))))</f>
        <v>B</v>
      </c>
    </row>
    <row r="291" spans="1:22" s="54" customFormat="1" x14ac:dyDescent="0.3">
      <c r="A291" s="82">
        <v>41</v>
      </c>
      <c r="B291" s="83"/>
      <c r="C291" s="32" t="s">
        <v>167</v>
      </c>
      <c r="D291" s="62">
        <f>(3.925*7.37+1.875*1.1)*10.764</f>
        <v>333.573669</v>
      </c>
      <c r="E291" s="32">
        <v>0</v>
      </c>
      <c r="F291" s="32">
        <f t="shared" si="29"/>
        <v>533.71787040000004</v>
      </c>
      <c r="G291" s="88"/>
      <c r="H291" s="90"/>
      <c r="I291" s="53"/>
      <c r="S291" s="126"/>
      <c r="T291" s="126"/>
      <c r="V291" s="54" t="str">
        <f>LEFT(A299,SUM(LEN(A299)-LEN(SUBSTITUTE(A299,{"0","1","2","3","4","5","6","7","8","9"},""))))</f>
        <v/>
      </c>
    </row>
    <row r="292" spans="1:22" s="54" customFormat="1" x14ac:dyDescent="0.3">
      <c r="A292" s="82">
        <v>42</v>
      </c>
      <c r="B292" s="83"/>
      <c r="C292" s="32" t="s">
        <v>167</v>
      </c>
      <c r="D292" s="62">
        <f>(3.875*8.62)*10.764</f>
        <v>359.54450999999995</v>
      </c>
      <c r="E292" s="32">
        <v>0</v>
      </c>
      <c r="F292" s="32">
        <f t="shared" si="29"/>
        <v>575.27121599999998</v>
      </c>
      <c r="G292" s="88"/>
      <c r="H292" s="90"/>
      <c r="I292" s="53"/>
      <c r="S292" s="126"/>
      <c r="T292" s="126"/>
      <c r="V292" s="54" t="str">
        <f>LEFT(A300,SUM(LEN(A300)-LEN(SUBSTITUTE(A300,{"0","1","2","3","4","5","6","7","8","9"},""))))</f>
        <v>S</v>
      </c>
    </row>
    <row r="293" spans="1:22" s="54" customFormat="1" x14ac:dyDescent="0.3">
      <c r="A293" s="82">
        <v>43</v>
      </c>
      <c r="B293" s="83"/>
      <c r="C293" s="32" t="s">
        <v>167</v>
      </c>
      <c r="D293" s="62">
        <f>(3.875*8.62)*10.764</f>
        <v>359.54450999999995</v>
      </c>
      <c r="E293" s="32">
        <v>0</v>
      </c>
      <c r="F293" s="32">
        <f t="shared" si="29"/>
        <v>575.27121599999998</v>
      </c>
      <c r="G293" s="91"/>
      <c r="H293" s="93"/>
      <c r="I293" s="53"/>
      <c r="S293" s="126"/>
      <c r="T293" s="126"/>
      <c r="V293" s="54" t="str">
        <f>LEFT(A301,SUM(LEN(A301)-LEN(SUBSTITUTE(A301,{"0","1","2","3","4","5","6","7","8","9"},""))))</f>
        <v>1</v>
      </c>
    </row>
    <row r="294" spans="1:22" s="54" customFormat="1" x14ac:dyDescent="0.3">
      <c r="A294" s="82"/>
      <c r="B294" s="94"/>
      <c r="C294" s="94"/>
      <c r="D294" s="94"/>
      <c r="E294" s="94"/>
      <c r="F294" s="94"/>
      <c r="G294" s="94"/>
      <c r="H294" s="83"/>
      <c r="I294" s="53"/>
      <c r="S294" s="126" t="e">
        <f t="shared" ref="S294:S300" ca="1" si="46">V294</f>
        <v>#REF!</v>
      </c>
      <c r="T294" s="126"/>
      <c r="U294" s="53">
        <v>1</v>
      </c>
      <c r="V294" s="54" t="e">
        <f ca="1">(SUMPRODUCT(MID(0&amp;#REF!, LARGE(INDEX(ISNUMBER(--MID(#REF!, ROW(INDIRECT("1:"&amp;LEN(#REF!))), 1)) * ROW(INDIRECT("1:"&amp;LEN(#REF!))), 0), ROW(INDIRECT("1:"&amp;LEN(#REF!))))+1, 1) * 10^ROW(INDIRECT("1:"&amp;LEN(#REF!)))/10))*U294*100+1</f>
        <v>#REF!</v>
      </c>
    </row>
    <row r="295" spans="1:22" s="54" customFormat="1" ht="52.8" customHeight="1" x14ac:dyDescent="0.3">
      <c r="A295" s="143" t="s">
        <v>147</v>
      </c>
      <c r="B295" s="143"/>
      <c r="C295" s="143" t="s">
        <v>60</v>
      </c>
      <c r="D295" s="143" t="s">
        <v>61</v>
      </c>
      <c r="E295" s="143" t="s">
        <v>62</v>
      </c>
      <c r="F295" s="60" t="s">
        <v>146</v>
      </c>
      <c r="G295" s="143" t="s">
        <v>63</v>
      </c>
      <c r="H295" s="143"/>
      <c r="I295" s="53"/>
      <c r="K295" s="54">
        <f>6*4+2+17*7+2*5+7*7+2*5</f>
        <v>214</v>
      </c>
      <c r="S295" s="126" t="e">
        <f t="shared" ca="1" si="46"/>
        <v>#REF!</v>
      </c>
      <c r="T295" s="126"/>
      <c r="U295" s="53">
        <f>U294+1</f>
        <v>2</v>
      </c>
      <c r="V295" s="54" t="e">
        <f ca="1">V294+1</f>
        <v>#REF!</v>
      </c>
    </row>
    <row r="296" spans="1:22" s="54" customFormat="1" ht="15.75" customHeight="1" x14ac:dyDescent="0.3">
      <c r="A296" s="143"/>
      <c r="B296" s="143"/>
      <c r="C296" s="143"/>
      <c r="D296" s="143"/>
      <c r="E296" s="143"/>
      <c r="F296" s="61">
        <v>0.6</v>
      </c>
      <c r="G296" s="143"/>
      <c r="H296" s="143"/>
      <c r="I296" s="53"/>
      <c r="S296" s="126" t="e">
        <f t="shared" ca="1" si="46"/>
        <v>#REF!</v>
      </c>
      <c r="T296" s="126"/>
      <c r="U296" s="53">
        <f>U295+1</f>
        <v>3</v>
      </c>
      <c r="V296" s="54" t="e">
        <f ca="1">V295+1</f>
        <v>#REF!</v>
      </c>
    </row>
    <row r="297" spans="1:22" s="54" customFormat="1" ht="15.75" customHeight="1" x14ac:dyDescent="0.3">
      <c r="A297" s="157" t="s">
        <v>201</v>
      </c>
      <c r="B297" s="157"/>
      <c r="C297" s="157"/>
      <c r="D297" s="157"/>
      <c r="E297" s="157"/>
      <c r="F297" s="157"/>
      <c r="G297" s="157"/>
      <c r="H297" s="157"/>
      <c r="I297" s="53">
        <f>1.225*1.125+4.425*2.85+2.4*0.05+1.825*2.2+2.35*2.725+2.75*3+2.4*0.05+2.2*1.225+1.275*2.2+2*1.05+0.55*1.05</f>
        <v>41.075625000000002</v>
      </c>
      <c r="J297" s="53">
        <f>1.225*1.125+3.75*2.85+2.4*0.05+1.15*0.05+2.525*1.9+2.4*2.725+2.75*3.2+0.325*0.9+1.225*2.2*2+2.625*0.9</f>
        <v>40.425624999999989</v>
      </c>
      <c r="S297" s="126" t="e">
        <f t="shared" ca="1" si="46"/>
        <v>#REF!</v>
      </c>
      <c r="T297" s="126"/>
      <c r="U297" s="53">
        <f t="shared" ref="U297:V297" si="47">U296+1</f>
        <v>4</v>
      </c>
      <c r="V297" s="54" t="e">
        <f t="shared" ca="1" si="47"/>
        <v>#REF!</v>
      </c>
    </row>
    <row r="298" spans="1:22" s="54" customFormat="1" ht="15.75" customHeight="1" x14ac:dyDescent="0.3">
      <c r="A298" s="158" t="s">
        <v>328</v>
      </c>
      <c r="B298" s="158"/>
      <c r="C298" s="158"/>
      <c r="D298" s="158"/>
      <c r="E298" s="158"/>
      <c r="F298" s="158"/>
      <c r="G298" s="158"/>
      <c r="H298" s="158"/>
      <c r="I298" s="53"/>
      <c r="J298" s="54">
        <f>4.525*2.85+1.25*1.125+2.4*0.05+1.925*2.7+2.85*2.75+1.225*1.5+1.35*1.2+1.5*1.2</f>
        <v>32.715000000000003</v>
      </c>
      <c r="S298" s="126">
        <f t="shared" ca="1" si="46"/>
        <v>101</v>
      </c>
      <c r="T298" s="126"/>
      <c r="U298" s="53">
        <v>1</v>
      </c>
      <c r="V298" s="54">
        <f ca="1">(SUMPRODUCT(MID(0&amp;V293, LARGE(INDEX(ISNUMBER(--MID(V293, ROW(INDIRECT("1:"&amp;LEN(V293))), 1)) * ROW(INDIRECT("1:"&amp;LEN(V293))), 0), ROW(INDIRECT("1:"&amp;LEN(V293))))+1, 1) * 10^ROW(INDIRECT("1:"&amp;LEN(V293)))/10))*U298*100+1</f>
        <v>101</v>
      </c>
    </row>
    <row r="299" spans="1:22" s="54" customFormat="1" ht="15.75" customHeight="1" x14ac:dyDescent="0.3">
      <c r="A299" s="141" t="s">
        <v>204</v>
      </c>
      <c r="B299" s="141"/>
      <c r="C299" s="141"/>
      <c r="D299" s="141"/>
      <c r="E299" s="141"/>
      <c r="F299" s="141"/>
      <c r="G299" s="141"/>
      <c r="H299" s="141"/>
      <c r="I299" s="70">
        <f>1</f>
        <v>1</v>
      </c>
      <c r="L299" s="70">
        <f>I299+I307+I315+I323+I331+I339+I348+I356+I364+I370+I375</f>
        <v>49</v>
      </c>
      <c r="S299" s="126">
        <f t="shared" ca="1" si="46"/>
        <v>102</v>
      </c>
      <c r="T299" s="126"/>
      <c r="U299" s="53">
        <f>U298+1</f>
        <v>2</v>
      </c>
      <c r="V299" s="54">
        <f ca="1">V298+1</f>
        <v>102</v>
      </c>
    </row>
    <row r="300" spans="1:22" s="54" customFormat="1" ht="15.75" customHeight="1" x14ac:dyDescent="0.3">
      <c r="A300" s="84" t="s">
        <v>315</v>
      </c>
      <c r="B300" s="84"/>
      <c r="C300" s="84"/>
      <c r="D300" s="84"/>
      <c r="E300" s="84"/>
      <c r="F300" s="84"/>
      <c r="G300" s="84"/>
      <c r="H300" s="84"/>
      <c r="I300" s="53"/>
      <c r="S300" s="126">
        <f t="shared" ca="1" si="46"/>
        <v>103</v>
      </c>
      <c r="T300" s="126"/>
      <c r="U300" s="53">
        <f>U299+1</f>
        <v>3</v>
      </c>
      <c r="V300" s="54">
        <f ca="1">V299+1</f>
        <v>103</v>
      </c>
    </row>
    <row r="301" spans="1:22" s="54" customFormat="1" ht="15.75" customHeight="1" x14ac:dyDescent="0.3">
      <c r="A301" s="84" t="s">
        <v>243</v>
      </c>
      <c r="B301" s="84"/>
      <c r="C301" s="84"/>
      <c r="D301" s="84"/>
      <c r="E301" s="84"/>
      <c r="F301" s="84"/>
      <c r="G301" s="84"/>
      <c r="H301" s="84"/>
      <c r="I301" s="53"/>
      <c r="S301" s="126" t="e">
        <f t="shared" ref="S301" si="48">V301</f>
        <v>#REF!</v>
      </c>
      <c r="T301" s="126"/>
      <c r="U301" s="53" t="e">
        <f>#REF!+1</f>
        <v>#REF!</v>
      </c>
      <c r="V301" s="54" t="e">
        <f>#REF!+1</f>
        <v>#REF!</v>
      </c>
    </row>
    <row r="302" spans="1:22" s="54" customFormat="1" x14ac:dyDescent="0.3">
      <c r="A302" s="82">
        <v>1</v>
      </c>
      <c r="B302" s="83"/>
      <c r="C302" s="85" t="s">
        <v>195</v>
      </c>
      <c r="D302" s="86"/>
      <c r="E302" s="86"/>
      <c r="F302" s="87"/>
      <c r="G302" s="85" t="str">
        <f>A301</f>
        <v>1st Floor For Residential &amp; Part Parking Area</v>
      </c>
      <c r="H302" s="87"/>
      <c r="I302" s="53"/>
      <c r="S302" s="126"/>
      <c r="T302" s="126"/>
      <c r="V302" s="54" t="str">
        <f>LEFT(A366,SUM(LEN(A366)-LEN(SUBSTITUTE(A366,{"0","1","2","3","4","5","6","7","8","9"},""))))</f>
        <v xml:space="preserve">43rd to </v>
      </c>
    </row>
    <row r="303" spans="1:22" s="54" customFormat="1" x14ac:dyDescent="0.3">
      <c r="A303" s="82">
        <v>2</v>
      </c>
      <c r="B303" s="83"/>
      <c r="C303" s="88"/>
      <c r="D303" s="89"/>
      <c r="E303" s="89"/>
      <c r="F303" s="90"/>
      <c r="G303" s="88"/>
      <c r="H303" s="90"/>
      <c r="I303" s="53"/>
      <c r="S303" s="126" t="e">
        <f t="shared" ref="S303:S309" ca="1" si="49">V303</f>
        <v>#REF!</v>
      </c>
      <c r="T303" s="126"/>
      <c r="U303" s="53">
        <v>1</v>
      </c>
      <c r="V303" s="54" t="e">
        <f ca="1">(SUMPRODUCT(MID(0&amp;#REF!, LARGE(INDEX(ISNUMBER(--MID(#REF!, ROW(INDIRECT("1:"&amp;LEN(#REF!))), 1)) * ROW(INDIRECT("1:"&amp;LEN(#REF!))), 0), ROW(INDIRECT("1:"&amp;LEN(#REF!))))+1, 1) * 10^ROW(INDIRECT("1:"&amp;LEN(#REF!)))/10))*U303*100+1</f>
        <v>#REF!</v>
      </c>
    </row>
    <row r="304" spans="1:22" s="54" customFormat="1" ht="15.75" customHeight="1" x14ac:dyDescent="0.3">
      <c r="A304" s="82">
        <v>3</v>
      </c>
      <c r="B304" s="83"/>
      <c r="C304" s="91"/>
      <c r="D304" s="92"/>
      <c r="E304" s="92"/>
      <c r="F304" s="93"/>
      <c r="G304" s="88"/>
      <c r="H304" s="90"/>
      <c r="I304" s="53"/>
      <c r="S304" s="126" t="e">
        <f t="shared" ca="1" si="49"/>
        <v>#REF!</v>
      </c>
      <c r="T304" s="126"/>
      <c r="U304" s="53">
        <f>U303+1</f>
        <v>2</v>
      </c>
      <c r="V304" s="54" t="e">
        <f ca="1">V303+1</f>
        <v>#REF!</v>
      </c>
    </row>
    <row r="305" spans="1:22" s="54" customFormat="1" ht="15.75" customHeight="1" x14ac:dyDescent="0.3">
      <c r="A305" s="82">
        <v>4</v>
      </c>
      <c r="B305" s="83"/>
      <c r="C305" s="32" t="s">
        <v>199</v>
      </c>
      <c r="D305" s="62">
        <f>(43.16)*10.764</f>
        <v>464.57423999999992</v>
      </c>
      <c r="E305" s="32">
        <v>0</v>
      </c>
      <c r="F305" s="32">
        <f>D305*(($F$296)+1)+E305</f>
        <v>743.31878399999994</v>
      </c>
      <c r="G305" s="88"/>
      <c r="H305" s="90"/>
      <c r="I305" s="53"/>
      <c r="S305" s="126" t="e">
        <f t="shared" ca="1" si="49"/>
        <v>#REF!</v>
      </c>
      <c r="T305" s="126"/>
      <c r="U305" s="53">
        <f>U304+1</f>
        <v>3</v>
      </c>
      <c r="V305" s="54" t="e">
        <f ca="1">V304+1</f>
        <v>#REF!</v>
      </c>
    </row>
    <row r="306" spans="1:22" s="54" customFormat="1" ht="15.75" customHeight="1" x14ac:dyDescent="0.3">
      <c r="A306" s="82">
        <v>5</v>
      </c>
      <c r="B306" s="83"/>
      <c r="C306" s="32" t="s">
        <v>151</v>
      </c>
      <c r="D306" s="62">
        <f>(34.22)*10.764</f>
        <v>368.34407999999996</v>
      </c>
      <c r="E306" s="32">
        <v>0</v>
      </c>
      <c r="F306" s="32">
        <f>D306*(($F$296)+1)+E306</f>
        <v>589.35052799999994</v>
      </c>
      <c r="G306" s="88"/>
      <c r="H306" s="90"/>
      <c r="I306" s="53"/>
      <c r="S306" s="126" t="e">
        <f t="shared" ca="1" si="49"/>
        <v>#REF!</v>
      </c>
      <c r="T306" s="126"/>
      <c r="U306" s="53">
        <f t="shared" ref="U306:V306" si="50">U305+1</f>
        <v>4</v>
      </c>
      <c r="V306" s="54" t="e">
        <f t="shared" ca="1" si="50"/>
        <v>#REF!</v>
      </c>
    </row>
    <row r="307" spans="1:22" s="54" customFormat="1" ht="15.75" customHeight="1" x14ac:dyDescent="0.3">
      <c r="A307" s="82">
        <v>6</v>
      </c>
      <c r="B307" s="83"/>
      <c r="C307" s="32" t="s">
        <v>151</v>
      </c>
      <c r="D307" s="62">
        <f>(34.22)*10.764</f>
        <v>368.34407999999996</v>
      </c>
      <c r="E307" s="32">
        <v>0</v>
      </c>
      <c r="F307" s="32">
        <f>D307*(($F$296)+1)+E307</f>
        <v>589.35052799999994</v>
      </c>
      <c r="G307" s="88"/>
      <c r="H307" s="90"/>
      <c r="I307" s="70">
        <v>5</v>
      </c>
      <c r="S307" s="126">
        <f t="shared" ca="1" si="49"/>
        <v>4301</v>
      </c>
      <c r="T307" s="126"/>
      <c r="U307" s="53">
        <v>1</v>
      </c>
      <c r="V307" s="54">
        <f ca="1">(SUMPRODUCT(MID(0&amp;V302, LARGE(INDEX(ISNUMBER(--MID(V302, ROW(INDIRECT("1:"&amp;LEN(V302))), 1)) * ROW(INDIRECT("1:"&amp;LEN(V302))), 0), ROW(INDIRECT("1:"&amp;LEN(V302))))+1, 1) * 10^ROW(INDIRECT("1:"&amp;LEN(V302)))/10))*U307*100+1</f>
        <v>4301</v>
      </c>
    </row>
    <row r="308" spans="1:22" s="54" customFormat="1" ht="15.75" customHeight="1" x14ac:dyDescent="0.3">
      <c r="A308" s="82">
        <v>7</v>
      </c>
      <c r="B308" s="83"/>
      <c r="C308" s="32" t="s">
        <v>199</v>
      </c>
      <c r="D308" s="62">
        <f>(42.18)*10.764</f>
        <v>454.02551999999997</v>
      </c>
      <c r="E308" s="32">
        <v>0</v>
      </c>
      <c r="F308" s="32">
        <f>D308*(($F$296)+1)+E308</f>
        <v>726.440832</v>
      </c>
      <c r="G308" s="91"/>
      <c r="H308" s="93"/>
      <c r="I308" s="53"/>
      <c r="S308" s="126">
        <f t="shared" ca="1" si="49"/>
        <v>4302</v>
      </c>
      <c r="T308" s="126"/>
      <c r="U308" s="53">
        <f>U307+1</f>
        <v>2</v>
      </c>
      <c r="V308" s="54">
        <f ca="1">V307+1</f>
        <v>4302</v>
      </c>
    </row>
    <row r="309" spans="1:22" s="54" customFormat="1" ht="15.75" customHeight="1" x14ac:dyDescent="0.3">
      <c r="A309" s="84" t="s">
        <v>244</v>
      </c>
      <c r="B309" s="84"/>
      <c r="C309" s="84"/>
      <c r="D309" s="84"/>
      <c r="E309" s="84"/>
      <c r="F309" s="84"/>
      <c r="G309" s="84"/>
      <c r="H309" s="84"/>
      <c r="I309" s="53"/>
      <c r="S309" s="126">
        <f t="shared" ca="1" si="49"/>
        <v>4303</v>
      </c>
      <c r="T309" s="126"/>
      <c r="U309" s="53">
        <f>U308+1</f>
        <v>3</v>
      </c>
      <c r="V309" s="54">
        <f ca="1">V308+1</f>
        <v>4303</v>
      </c>
    </row>
    <row r="310" spans="1:22" s="54" customFormat="1" x14ac:dyDescent="0.3">
      <c r="A310" s="82">
        <v>1</v>
      </c>
      <c r="B310" s="83"/>
      <c r="C310" s="85" t="s">
        <v>195</v>
      </c>
      <c r="D310" s="86"/>
      <c r="E310" s="86"/>
      <c r="F310" s="87"/>
      <c r="G310" s="85" t="str">
        <f>A309</f>
        <v>2nd to 5th &amp; 7th  Floor For Residential &amp; Part Parking Area</v>
      </c>
      <c r="H310" s="87"/>
      <c r="I310" s="53"/>
      <c r="S310" s="126"/>
      <c r="T310" s="126"/>
      <c r="V310" s="54" t="str">
        <f>LEFT(A384,SUM(LEN(A384)-LEN(SUBSTITUTE(A384,{"0","1","2","3","4","5","6","7","8","9"},""))))</f>
        <v/>
      </c>
    </row>
    <row r="311" spans="1:22" s="54" customFormat="1" x14ac:dyDescent="0.3">
      <c r="A311" s="82">
        <v>2</v>
      </c>
      <c r="B311" s="83"/>
      <c r="C311" s="88"/>
      <c r="D311" s="89"/>
      <c r="E311" s="89"/>
      <c r="F311" s="90"/>
      <c r="G311" s="88"/>
      <c r="H311" s="90"/>
      <c r="I311" s="53"/>
      <c r="S311" s="126"/>
      <c r="T311" s="126"/>
      <c r="V311" s="54" t="str">
        <f>LEFT(A385,SUM(LEN(A385)-LEN(SUBSTITUTE(A385,{"0","1","2","3","4","5","6","7","8","9"},""))))</f>
        <v>S</v>
      </c>
    </row>
    <row r="312" spans="1:22" s="54" customFormat="1" x14ac:dyDescent="0.3">
      <c r="A312" s="82">
        <v>3</v>
      </c>
      <c r="B312" s="83"/>
      <c r="C312" s="91"/>
      <c r="D312" s="92"/>
      <c r="E312" s="92"/>
      <c r="F312" s="93"/>
      <c r="G312" s="88"/>
      <c r="H312" s="90"/>
      <c r="I312" s="53">
        <f>2+6+6+6+6+6+1+1</f>
        <v>34</v>
      </c>
      <c r="S312" s="126"/>
      <c r="T312" s="126"/>
      <c r="V312" s="54" t="str">
        <f>LEFT(A386,SUM(LEN(A386)-LEN(SUBSTITUTE(A386,{"0","1","2","3","4","5","6","7","8","9"},""))))</f>
        <v>1st</v>
      </c>
    </row>
    <row r="313" spans="1:22" s="54" customFormat="1" ht="15.75" customHeight="1" x14ac:dyDescent="0.3">
      <c r="A313" s="82">
        <v>4</v>
      </c>
      <c r="B313" s="83"/>
      <c r="C313" s="32" t="s">
        <v>199</v>
      </c>
      <c r="D313" s="62">
        <f>(43.16)*10.764</f>
        <v>464.57423999999992</v>
      </c>
      <c r="E313" s="32">
        <v>0</v>
      </c>
      <c r="F313" s="32">
        <f>D313*(($F$296)+1)+E313</f>
        <v>743.31878399999994</v>
      </c>
      <c r="G313" s="88"/>
      <c r="H313" s="90"/>
      <c r="I313" s="53"/>
      <c r="S313" s="126">
        <f t="shared" ref="S313:S316" ca="1" si="51">V313</f>
        <v>101</v>
      </c>
      <c r="T313" s="126"/>
      <c r="U313" s="53">
        <v>1</v>
      </c>
      <c r="V313" s="54">
        <f ca="1">(SUMPRODUCT(MID(0&amp;V312, LARGE(INDEX(ISNUMBER(--MID(V312, ROW(INDIRECT("1:"&amp;LEN(V312))), 1)) * ROW(INDIRECT("1:"&amp;LEN(V312))), 0), ROW(INDIRECT("1:"&amp;LEN(V312))))+1, 1) * 10^ROW(INDIRECT("1:"&amp;LEN(V312)))/10))*U313*100+1</f>
        <v>101</v>
      </c>
    </row>
    <row r="314" spans="1:22" s="54" customFormat="1" ht="15.75" customHeight="1" x14ac:dyDescent="0.3">
      <c r="A314" s="82">
        <v>5</v>
      </c>
      <c r="B314" s="83"/>
      <c r="C314" s="32" t="s">
        <v>151</v>
      </c>
      <c r="D314" s="62">
        <f>(34.22)*10.764</f>
        <v>368.34407999999996</v>
      </c>
      <c r="E314" s="32">
        <v>0</v>
      </c>
      <c r="F314" s="32">
        <f>D314*(($F$296)+1)+E314</f>
        <v>589.35052799999994</v>
      </c>
      <c r="G314" s="88"/>
      <c r="H314" s="90"/>
      <c r="I314" s="53"/>
      <c r="S314" s="126">
        <f t="shared" ca="1" si="51"/>
        <v>102</v>
      </c>
      <c r="T314" s="126"/>
      <c r="U314" s="53">
        <f>U313+1</f>
        <v>2</v>
      </c>
      <c r="V314" s="54">
        <f ca="1">V313+1</f>
        <v>102</v>
      </c>
    </row>
    <row r="315" spans="1:22" s="54" customFormat="1" ht="15.75" customHeight="1" x14ac:dyDescent="0.3">
      <c r="A315" s="82">
        <v>6</v>
      </c>
      <c r="B315" s="83"/>
      <c r="C315" s="32" t="s">
        <v>151</v>
      </c>
      <c r="D315" s="62">
        <f>(34.22)*10.764</f>
        <v>368.34407999999996</v>
      </c>
      <c r="E315" s="32">
        <v>0</v>
      </c>
      <c r="F315" s="32">
        <f>D315*(($F$296)+1)+E315</f>
        <v>589.35052799999994</v>
      </c>
      <c r="G315" s="88"/>
      <c r="H315" s="90"/>
      <c r="I315" s="70">
        <v>1</v>
      </c>
      <c r="S315" s="126">
        <f t="shared" ca="1" si="51"/>
        <v>103</v>
      </c>
      <c r="T315" s="126"/>
      <c r="U315" s="53">
        <f>U314+1</f>
        <v>3</v>
      </c>
      <c r="V315" s="54">
        <f ca="1">V314+1</f>
        <v>103</v>
      </c>
    </row>
    <row r="316" spans="1:22" s="54" customFormat="1" ht="15.75" customHeight="1" x14ac:dyDescent="0.3">
      <c r="A316" s="82">
        <v>7</v>
      </c>
      <c r="B316" s="83"/>
      <c r="C316" s="32" t="s">
        <v>199</v>
      </c>
      <c r="D316" s="62">
        <f>(42.18)*10.764</f>
        <v>454.02551999999997</v>
      </c>
      <c r="E316" s="32">
        <v>0</v>
      </c>
      <c r="F316" s="32">
        <f>D316*(($F$296)+1)+E316</f>
        <v>726.440832</v>
      </c>
      <c r="G316" s="91"/>
      <c r="H316" s="93"/>
      <c r="I316" s="53"/>
      <c r="S316" s="126">
        <f t="shared" ca="1" si="51"/>
        <v>104</v>
      </c>
      <c r="T316" s="126"/>
      <c r="U316" s="53">
        <f t="shared" ref="U316:V316" si="52">U315+1</f>
        <v>4</v>
      </c>
      <c r="V316" s="54">
        <f t="shared" ca="1" si="52"/>
        <v>104</v>
      </c>
    </row>
    <row r="317" spans="1:22" s="54" customFormat="1" ht="15.75" customHeight="1" x14ac:dyDescent="0.3">
      <c r="A317" s="84" t="s">
        <v>245</v>
      </c>
      <c r="B317" s="84"/>
      <c r="C317" s="84"/>
      <c r="D317" s="84"/>
      <c r="E317" s="84"/>
      <c r="F317" s="84"/>
      <c r="G317" s="84"/>
      <c r="H317" s="84"/>
      <c r="I317" s="53"/>
      <c r="S317" s="126">
        <f t="shared" ref="S317:S320" ca="1" si="53">V317</f>
        <v>10401</v>
      </c>
      <c r="T317" s="126"/>
      <c r="U317" s="53">
        <v>1</v>
      </c>
      <c r="V317" s="54">
        <f ca="1">(SUMPRODUCT(MID(0&amp;V316, LARGE(INDEX(ISNUMBER(--MID(V316, ROW(INDIRECT("1:"&amp;LEN(V316))), 1)) * ROW(INDIRECT("1:"&amp;LEN(V316))), 0), ROW(INDIRECT("1:"&amp;LEN(V316))))+1, 1) * 10^ROW(INDIRECT("1:"&amp;LEN(V316)))/10))*U317*100+1</f>
        <v>10401</v>
      </c>
    </row>
    <row r="318" spans="1:22" s="54" customFormat="1" ht="15.75" customHeight="1" x14ac:dyDescent="0.3">
      <c r="A318" s="82">
        <v>1</v>
      </c>
      <c r="B318" s="83"/>
      <c r="C318" s="85" t="s">
        <v>195</v>
      </c>
      <c r="D318" s="86"/>
      <c r="E318" s="86"/>
      <c r="F318" s="87"/>
      <c r="G318" s="85" t="str">
        <f>A317</f>
        <v>6th Floor For Residential (Part Parking &amp; Refuge Area)</v>
      </c>
      <c r="H318" s="87"/>
      <c r="I318" s="53"/>
      <c r="S318" s="126">
        <f t="shared" ca="1" si="53"/>
        <v>10402</v>
      </c>
      <c r="T318" s="126"/>
      <c r="U318" s="53">
        <f>U317+1</f>
        <v>2</v>
      </c>
      <c r="V318" s="54">
        <f ca="1">V317+1</f>
        <v>10402</v>
      </c>
    </row>
    <row r="319" spans="1:22" s="54" customFormat="1" ht="15.75" customHeight="1" x14ac:dyDescent="0.3">
      <c r="A319" s="82">
        <v>2</v>
      </c>
      <c r="B319" s="83"/>
      <c r="C319" s="88"/>
      <c r="D319" s="89"/>
      <c r="E319" s="89"/>
      <c r="F319" s="90"/>
      <c r="G319" s="88"/>
      <c r="H319" s="90"/>
      <c r="I319" s="53"/>
      <c r="S319" s="126">
        <f t="shared" ca="1" si="53"/>
        <v>10403</v>
      </c>
      <c r="T319" s="126"/>
      <c r="U319" s="53">
        <f>U318+1</f>
        <v>3</v>
      </c>
      <c r="V319" s="54">
        <f ca="1">V318+1</f>
        <v>10403</v>
      </c>
    </row>
    <row r="320" spans="1:22" s="54" customFormat="1" ht="15.75" customHeight="1" x14ac:dyDescent="0.3">
      <c r="A320" s="82">
        <v>3</v>
      </c>
      <c r="B320" s="83"/>
      <c r="C320" s="91"/>
      <c r="D320" s="92"/>
      <c r="E320" s="92"/>
      <c r="F320" s="93"/>
      <c r="G320" s="88"/>
      <c r="H320" s="90"/>
      <c r="I320" s="53"/>
      <c r="S320" s="126">
        <f t="shared" ca="1" si="53"/>
        <v>10404</v>
      </c>
      <c r="T320" s="126"/>
      <c r="U320" s="53">
        <f t="shared" ref="U320:V320" si="54">U319+1</f>
        <v>4</v>
      </c>
      <c r="V320" s="54">
        <f t="shared" ca="1" si="54"/>
        <v>10404</v>
      </c>
    </row>
    <row r="321" spans="1:22" s="54" customFormat="1" x14ac:dyDescent="0.3">
      <c r="A321" s="82">
        <v>4</v>
      </c>
      <c r="B321" s="83"/>
      <c r="C321" s="85" t="s">
        <v>152</v>
      </c>
      <c r="D321" s="86"/>
      <c r="E321" s="86"/>
      <c r="F321" s="87"/>
      <c r="G321" s="88"/>
      <c r="H321" s="90"/>
      <c r="I321" s="53">
        <f>2+6+6+6+6+6+1+1</f>
        <v>34</v>
      </c>
      <c r="S321" s="126"/>
      <c r="T321" s="126"/>
      <c r="V321" s="54" t="str">
        <f>LEFT(A395,SUM(LEN(A395)-LEN(SUBSTITUTE(A395,{"0","1","2","3","4","5","6","7","8","9"},""))))</f>
        <v>6</v>
      </c>
    </row>
    <row r="322" spans="1:22" s="54" customFormat="1" ht="15.75" customHeight="1" x14ac:dyDescent="0.3">
      <c r="A322" s="82">
        <v>5</v>
      </c>
      <c r="B322" s="83"/>
      <c r="C322" s="91"/>
      <c r="D322" s="92"/>
      <c r="E322" s="92"/>
      <c r="F322" s="93"/>
      <c r="G322" s="88"/>
      <c r="H322" s="90"/>
      <c r="I322" s="53"/>
      <c r="S322" s="126">
        <f t="shared" ref="S322:S325" ca="1" si="55">V322</f>
        <v>601</v>
      </c>
      <c r="T322" s="126"/>
      <c r="U322" s="53">
        <v>1</v>
      </c>
      <c r="V322" s="54">
        <f ca="1">(SUMPRODUCT(MID(0&amp;V321, LARGE(INDEX(ISNUMBER(--MID(V321, ROW(INDIRECT("1:"&amp;LEN(V321))), 1)) * ROW(INDIRECT("1:"&amp;LEN(V321))), 0), ROW(INDIRECT("1:"&amp;LEN(V321))))+1, 1) * 10^ROW(INDIRECT("1:"&amp;LEN(V321)))/10))*U322*100+1</f>
        <v>601</v>
      </c>
    </row>
    <row r="323" spans="1:22" s="54" customFormat="1" ht="15.75" customHeight="1" x14ac:dyDescent="0.3">
      <c r="A323" s="82">
        <v>6</v>
      </c>
      <c r="B323" s="83"/>
      <c r="C323" s="32" t="s">
        <v>151</v>
      </c>
      <c r="D323" s="62">
        <f>(34.22)*10.764</f>
        <v>368.34407999999996</v>
      </c>
      <c r="E323" s="32">
        <v>0</v>
      </c>
      <c r="F323" s="32">
        <f>D323*(($F$296)+1)+E323</f>
        <v>589.35052799999994</v>
      </c>
      <c r="G323" s="88"/>
      <c r="H323" s="90"/>
      <c r="I323" s="70">
        <v>1</v>
      </c>
      <c r="S323" s="126">
        <f t="shared" ca="1" si="55"/>
        <v>602</v>
      </c>
      <c r="T323" s="126"/>
      <c r="U323" s="53">
        <f>U322+1</f>
        <v>2</v>
      </c>
      <c r="V323" s="54">
        <f ca="1">V322+1</f>
        <v>602</v>
      </c>
    </row>
    <row r="324" spans="1:22" s="54" customFormat="1" ht="15.75" customHeight="1" x14ac:dyDescent="0.3">
      <c r="A324" s="82">
        <v>7</v>
      </c>
      <c r="B324" s="83"/>
      <c r="C324" s="32" t="s">
        <v>199</v>
      </c>
      <c r="D324" s="62">
        <f>(42.18)*10.764</f>
        <v>454.02551999999997</v>
      </c>
      <c r="E324" s="32">
        <v>0</v>
      </c>
      <c r="F324" s="32">
        <f>D324*(($F$296)+1)+E324</f>
        <v>726.440832</v>
      </c>
      <c r="G324" s="91"/>
      <c r="H324" s="93"/>
      <c r="I324" s="53"/>
      <c r="S324" s="126">
        <f t="shared" ca="1" si="55"/>
        <v>603</v>
      </c>
      <c r="T324" s="126"/>
      <c r="U324" s="53">
        <f>U323+1</f>
        <v>3</v>
      </c>
      <c r="V324" s="54">
        <f ca="1">V323+1</f>
        <v>603</v>
      </c>
    </row>
    <row r="325" spans="1:22" s="54" customFormat="1" ht="15.75" customHeight="1" x14ac:dyDescent="0.3">
      <c r="A325" s="142" t="s">
        <v>284</v>
      </c>
      <c r="B325" s="142"/>
      <c r="C325" s="142"/>
      <c r="D325" s="142"/>
      <c r="E325" s="142"/>
      <c r="F325" s="142"/>
      <c r="G325" s="142"/>
      <c r="H325" s="142"/>
      <c r="I325" s="53">
        <f>2.75*2.775*10.764</f>
        <v>82.142774999999986</v>
      </c>
      <c r="S325" s="126">
        <f t="shared" ca="1" si="55"/>
        <v>604</v>
      </c>
      <c r="T325" s="126"/>
      <c r="U325" s="53">
        <f t="shared" ref="U325:V325" si="56">U324+1</f>
        <v>4</v>
      </c>
      <c r="V325" s="54">
        <f t="shared" ca="1" si="56"/>
        <v>604</v>
      </c>
    </row>
    <row r="326" spans="1:22" s="54" customFormat="1" ht="15.75" customHeight="1" x14ac:dyDescent="0.3">
      <c r="A326" s="82">
        <v>1</v>
      </c>
      <c r="B326" s="83"/>
      <c r="C326" s="32" t="s">
        <v>215</v>
      </c>
      <c r="D326" s="62">
        <f>(2.75*5.25+2.175*3.275+1.975*2.775+2.75*3.05+2.75*2.775+2.75*3.875+0.575*0.05+2.2*1.225+1.225*2.125+2.2*1.225+1.05*1.05+1.9*1.05+1.975*1+2.8*1.05)*10.764</f>
        <v>750.79572749999977</v>
      </c>
      <c r="E326" s="32">
        <v>0</v>
      </c>
      <c r="F326" s="32">
        <f t="shared" ref="F326:F332" si="57">D326*(($F$296)+1)+E326</f>
        <v>1201.2731639999997</v>
      </c>
      <c r="G326" s="85" t="str">
        <f>A325</f>
        <v>8th Floor For Residential</v>
      </c>
      <c r="H326" s="87"/>
      <c r="I326" s="53"/>
      <c r="S326" s="126">
        <f t="shared" ref="S326:S329" ca="1" si="58">V326</f>
        <v>601</v>
      </c>
      <c r="T326" s="126"/>
      <c r="U326" s="53">
        <v>1</v>
      </c>
      <c r="V326" s="54">
        <f ca="1">(SUMPRODUCT(MID(0&amp;V321, LARGE(INDEX(ISNUMBER(--MID(V321, ROW(INDIRECT("1:"&amp;LEN(V321))), 1)) * ROW(INDIRECT("1:"&amp;LEN(V321))), 0), ROW(INDIRECT("1:"&amp;LEN(V321))))+1, 1) * 10^ROW(INDIRECT("1:"&amp;LEN(V321)))/10))*U326*100+1</f>
        <v>601</v>
      </c>
    </row>
    <row r="327" spans="1:22" s="54" customFormat="1" ht="15.75" customHeight="1" x14ac:dyDescent="0.3">
      <c r="A327" s="82">
        <v>2</v>
      </c>
      <c r="B327" s="83"/>
      <c r="C327" s="32" t="s">
        <v>199</v>
      </c>
      <c r="D327" s="62">
        <f>(2.775*4.125+2.175*2.375+1.975*2.775+2.75*2.775+2.75*3.925+2.2*1.225+1.275*2.2+2*1.05+0.95*1.05+2.775*1.05)*10.764</f>
        <v>560.04419250000001</v>
      </c>
      <c r="E327" s="62">
        <f>(2.7*1.2+8.4*1.2)*10.764</f>
        <v>143.37647999999999</v>
      </c>
      <c r="F327" s="32">
        <f t="shared" si="57"/>
        <v>1039.4471880000001</v>
      </c>
      <c r="G327" s="88"/>
      <c r="H327" s="90"/>
      <c r="I327" s="53"/>
      <c r="S327" s="126">
        <f t="shared" ca="1" si="58"/>
        <v>602</v>
      </c>
      <c r="T327" s="126"/>
      <c r="U327" s="53">
        <f>U326+1</f>
        <v>2</v>
      </c>
      <c r="V327" s="54">
        <f ca="1">V326+1</f>
        <v>602</v>
      </c>
    </row>
    <row r="328" spans="1:22" s="54" customFormat="1" ht="15.75" customHeight="1" x14ac:dyDescent="0.3">
      <c r="A328" s="82">
        <v>3</v>
      </c>
      <c r="B328" s="83"/>
      <c r="C328" s="32" t="s">
        <v>199</v>
      </c>
      <c r="D328" s="62">
        <f>(2.775*4.125+1.475*2.9+2.75*1.9+2.75*3.075+2.75*4.075+0.05*0.9+1.225*2.2+1.275*2.2+2.8*0.9+2.775*1.05)*10.764</f>
        <v>555.32148749999999</v>
      </c>
      <c r="E328" s="62">
        <f>(2.7*1.2+0.45*3+4.4*0.45)*10.764</f>
        <v>70.719480000000004</v>
      </c>
      <c r="F328" s="32">
        <f t="shared" si="57"/>
        <v>959.23386000000005</v>
      </c>
      <c r="G328" s="88"/>
      <c r="H328" s="90"/>
      <c r="I328" s="53"/>
      <c r="S328" s="126">
        <f t="shared" ca="1" si="58"/>
        <v>603</v>
      </c>
      <c r="T328" s="126"/>
      <c r="U328" s="53">
        <f>U327+1</f>
        <v>3</v>
      </c>
      <c r="V328" s="54">
        <f ca="1">V327+1</f>
        <v>603</v>
      </c>
    </row>
    <row r="329" spans="1:22" s="54" customFormat="1" ht="15.75" customHeight="1" x14ac:dyDescent="0.3">
      <c r="A329" s="82">
        <v>4</v>
      </c>
      <c r="B329" s="83"/>
      <c r="C329" s="32" t="s">
        <v>199</v>
      </c>
      <c r="D329" s="62">
        <f>(43.16)*10.764</f>
        <v>464.57423999999992</v>
      </c>
      <c r="E329" s="62">
        <f>(0)*10.764</f>
        <v>0</v>
      </c>
      <c r="F329" s="32">
        <f t="shared" si="57"/>
        <v>743.31878399999994</v>
      </c>
      <c r="G329" s="88"/>
      <c r="H329" s="90"/>
      <c r="I329" s="53"/>
      <c r="S329" s="126">
        <f t="shared" ca="1" si="58"/>
        <v>604</v>
      </c>
      <c r="T329" s="126"/>
      <c r="U329" s="53">
        <f t="shared" ref="U329:V329" si="59">U328+1</f>
        <v>4</v>
      </c>
      <c r="V329" s="54">
        <f t="shared" ca="1" si="59"/>
        <v>604</v>
      </c>
    </row>
    <row r="330" spans="1:22" s="54" customFormat="1" x14ac:dyDescent="0.3">
      <c r="A330" s="82">
        <v>5</v>
      </c>
      <c r="B330" s="83"/>
      <c r="C330" s="32" t="s">
        <v>151</v>
      </c>
      <c r="D330" s="62">
        <f>(34.22)*10.764</f>
        <v>368.34407999999996</v>
      </c>
      <c r="E330" s="32">
        <v>0</v>
      </c>
      <c r="F330" s="32">
        <f t="shared" si="57"/>
        <v>589.35052799999994</v>
      </c>
      <c r="G330" s="88"/>
      <c r="H330" s="90"/>
      <c r="I330" s="53">
        <f>2+6+6+6+6+6+1+1</f>
        <v>34</v>
      </c>
      <c r="S330" s="126"/>
      <c r="T330" s="126"/>
      <c r="V330" s="54" t="str">
        <f>LEFT(A404,SUM(LEN(A404)-LEN(SUBSTITUTE(A404,{"0","1","2","3","4","5","6","7","8","9"},""))))</f>
        <v>8</v>
      </c>
    </row>
    <row r="331" spans="1:22" s="54" customFormat="1" x14ac:dyDescent="0.3">
      <c r="A331" s="82">
        <v>6</v>
      </c>
      <c r="B331" s="83"/>
      <c r="C331" s="32" t="s">
        <v>151</v>
      </c>
      <c r="D331" s="62">
        <f>(34.22)*10.764</f>
        <v>368.34407999999996</v>
      </c>
      <c r="E331" s="32">
        <v>0</v>
      </c>
      <c r="F331" s="32">
        <f t="shared" si="57"/>
        <v>589.35052799999994</v>
      </c>
      <c r="G331" s="88"/>
      <c r="H331" s="90"/>
      <c r="I331" s="70">
        <f>4+6+6</f>
        <v>16</v>
      </c>
      <c r="J331" s="54">
        <f>10098500/F405</f>
        <v>11096.867210380524</v>
      </c>
      <c r="S331" s="126" t="e">
        <f t="shared" ref="S331:S334" ca="1" si="60">V331</f>
        <v>#REF!</v>
      </c>
      <c r="T331" s="126"/>
      <c r="U331" s="53">
        <v>1</v>
      </c>
      <c r="V331" s="54" t="e">
        <f ca="1">(SUMPRODUCT(MID(0&amp;#REF!, LARGE(INDEX(ISNUMBER(--MID(#REF!, ROW(INDIRECT("1:"&amp;LEN(#REF!))), 1)) * ROW(INDIRECT("1:"&amp;LEN(#REF!))), 0), ROW(INDIRECT("1:"&amp;LEN(#REF!))))+1, 1) * 10^ROW(INDIRECT("1:"&amp;LEN(#REF!)))/10))*U331*100+1</f>
        <v>#REF!</v>
      </c>
    </row>
    <row r="332" spans="1:22" s="54" customFormat="1" ht="15.75" customHeight="1" x14ac:dyDescent="0.3">
      <c r="A332" s="82">
        <v>7</v>
      </c>
      <c r="B332" s="83"/>
      <c r="C332" s="32" t="s">
        <v>199</v>
      </c>
      <c r="D332" s="62">
        <f>(42.18)*10.764</f>
        <v>454.02551999999997</v>
      </c>
      <c r="E332" s="32">
        <v>0</v>
      </c>
      <c r="F332" s="32">
        <f t="shared" si="57"/>
        <v>726.440832</v>
      </c>
      <c r="G332" s="91"/>
      <c r="H332" s="93"/>
      <c r="I332" s="53"/>
      <c r="S332" s="126" t="e">
        <f t="shared" ca="1" si="60"/>
        <v>#REF!</v>
      </c>
      <c r="T332" s="126"/>
      <c r="U332" s="53">
        <f>U331+1</f>
        <v>2</v>
      </c>
      <c r="V332" s="54" t="e">
        <f ca="1">V331+1</f>
        <v>#REF!</v>
      </c>
    </row>
    <row r="333" spans="1:22" s="54" customFormat="1" ht="15.75" customHeight="1" x14ac:dyDescent="0.3">
      <c r="A333" s="142" t="s">
        <v>283</v>
      </c>
      <c r="B333" s="142"/>
      <c r="C333" s="142"/>
      <c r="D333" s="142"/>
      <c r="E333" s="142"/>
      <c r="F333" s="142"/>
      <c r="G333" s="142"/>
      <c r="H333" s="142"/>
      <c r="I333" s="53"/>
      <c r="S333" s="126" t="e">
        <f t="shared" ca="1" si="60"/>
        <v>#REF!</v>
      </c>
      <c r="T333" s="126"/>
      <c r="U333" s="53">
        <f>U332+1</f>
        <v>3</v>
      </c>
      <c r="V333" s="54" t="e">
        <f ca="1">V332+1</f>
        <v>#REF!</v>
      </c>
    </row>
    <row r="334" spans="1:22" s="54" customFormat="1" ht="15.75" customHeight="1" x14ac:dyDescent="0.3">
      <c r="A334" s="82">
        <v>1</v>
      </c>
      <c r="B334" s="83"/>
      <c r="C334" s="32" t="s">
        <v>215</v>
      </c>
      <c r="D334" s="62">
        <f>(2.75*5.25+2.175*3.275+1.975*2.775+2.75*3.05+2.75*2.775+2.75*3.875+0.575*0.05+2.2*1.225+1.225*2.125+2.2*1.225+1.05*1.05+1.9*1.05+1.975*1+2.8*1.05)*10.764</f>
        <v>750.79572749999977</v>
      </c>
      <c r="E334" s="32">
        <v>0</v>
      </c>
      <c r="F334" s="32">
        <f t="shared" ref="F334:F340" si="61">D334*(($F$296)+1)+E334</f>
        <v>1201.2731639999997</v>
      </c>
      <c r="G334" s="85" t="str">
        <f>A333</f>
        <v>9th to 12th, 14th to 19th &amp; 21st to 26th Floor</v>
      </c>
      <c r="H334" s="87"/>
      <c r="I334" s="53">
        <f>10098500/F408</f>
        <v>13284.061245956205</v>
      </c>
      <c r="S334" s="126" t="e">
        <f t="shared" ca="1" si="60"/>
        <v>#REF!</v>
      </c>
      <c r="T334" s="126"/>
      <c r="U334" s="53">
        <f t="shared" ref="U334:V334" si="62">U333+1</f>
        <v>4</v>
      </c>
      <c r="V334" s="54" t="e">
        <f t="shared" ca="1" si="62"/>
        <v>#REF!</v>
      </c>
    </row>
    <row r="335" spans="1:22" s="54" customFormat="1" ht="15.75" customHeight="1" x14ac:dyDescent="0.3">
      <c r="A335" s="82">
        <v>2</v>
      </c>
      <c r="B335" s="83"/>
      <c r="C335" s="32" t="s">
        <v>199</v>
      </c>
      <c r="D335" s="62">
        <f>(2.775*4.125+2.175*2.375+1.975*2.775+2.75*2.775+2.75*3.925+2.2*1.225+1.275*2.2+2*1.05+0.95*1.05+2.775*1.05)*10.764</f>
        <v>560.04419250000001</v>
      </c>
      <c r="E335" s="32">
        <v>0</v>
      </c>
      <c r="F335" s="32">
        <f t="shared" si="61"/>
        <v>896.07070800000008</v>
      </c>
      <c r="G335" s="88"/>
      <c r="H335" s="90"/>
      <c r="I335" s="53"/>
      <c r="S335" s="126">
        <f t="shared" ref="S335:S338" ca="1" si="63">V335</f>
        <v>801</v>
      </c>
      <c r="T335" s="126"/>
      <c r="U335" s="53">
        <v>1</v>
      </c>
      <c r="V335" s="54">
        <f ca="1">(SUMPRODUCT(MID(0&amp;V330, LARGE(INDEX(ISNUMBER(--MID(V330, ROW(INDIRECT("1:"&amp;LEN(V330))), 1)) * ROW(INDIRECT("1:"&amp;LEN(V330))), 0), ROW(INDIRECT("1:"&amp;LEN(V330))))+1, 1) * 10^ROW(INDIRECT("1:"&amp;LEN(V330)))/10))*U335*100+1</f>
        <v>801</v>
      </c>
    </row>
    <row r="336" spans="1:22" s="54" customFormat="1" ht="15.75" customHeight="1" x14ac:dyDescent="0.3">
      <c r="A336" s="82">
        <v>3</v>
      </c>
      <c r="B336" s="83"/>
      <c r="C336" s="32" t="s">
        <v>199</v>
      </c>
      <c r="D336" s="62">
        <f>(2.775*4.125+1.475*2.9+2.75*1.9+2.75*3.075+2.75*4.075+0.05*0.9+1.225*2.2+1.275*2.2+2.8*0.9+2.775*1.05)*10.764</f>
        <v>555.32148749999999</v>
      </c>
      <c r="E336" s="32">
        <v>0</v>
      </c>
      <c r="F336" s="32">
        <f t="shared" si="61"/>
        <v>888.51438000000007</v>
      </c>
      <c r="G336" s="88"/>
      <c r="H336" s="90"/>
      <c r="I336" s="53"/>
      <c r="S336" s="126">
        <f t="shared" ca="1" si="63"/>
        <v>802</v>
      </c>
      <c r="T336" s="126"/>
      <c r="U336" s="53">
        <f>U335+1</f>
        <v>2</v>
      </c>
      <c r="V336" s="54">
        <f ca="1">V335+1</f>
        <v>802</v>
      </c>
    </row>
    <row r="337" spans="1:22" s="54" customFormat="1" ht="15.75" customHeight="1" x14ac:dyDescent="0.3">
      <c r="A337" s="82">
        <v>4</v>
      </c>
      <c r="B337" s="83"/>
      <c r="C337" s="32" t="s">
        <v>199</v>
      </c>
      <c r="D337" s="62">
        <f>(43.16)*10.764</f>
        <v>464.57423999999992</v>
      </c>
      <c r="E337" s="32">
        <v>0</v>
      </c>
      <c r="F337" s="32">
        <f t="shared" si="61"/>
        <v>743.31878399999994</v>
      </c>
      <c r="G337" s="88"/>
      <c r="H337" s="90"/>
      <c r="I337" s="53"/>
      <c r="S337" s="126">
        <f t="shared" ca="1" si="63"/>
        <v>803</v>
      </c>
      <c r="T337" s="126"/>
      <c r="U337" s="53">
        <f>U336+1</f>
        <v>3</v>
      </c>
      <c r="V337" s="54">
        <f ca="1">V336+1</f>
        <v>803</v>
      </c>
    </row>
    <row r="338" spans="1:22" s="54" customFormat="1" ht="15.75" customHeight="1" x14ac:dyDescent="0.3">
      <c r="A338" s="82">
        <v>5</v>
      </c>
      <c r="B338" s="83"/>
      <c r="C338" s="32" t="s">
        <v>151</v>
      </c>
      <c r="D338" s="62">
        <f>(34.22)*10.764</f>
        <v>368.34407999999996</v>
      </c>
      <c r="E338" s="32">
        <v>0</v>
      </c>
      <c r="F338" s="32">
        <f t="shared" si="61"/>
        <v>589.35052799999994</v>
      </c>
      <c r="G338" s="88"/>
      <c r="H338" s="90"/>
      <c r="I338" s="53"/>
      <c r="S338" s="126">
        <f t="shared" ca="1" si="63"/>
        <v>804</v>
      </c>
      <c r="T338" s="126"/>
      <c r="U338" s="53">
        <f t="shared" ref="U338:V338" si="64">U337+1</f>
        <v>4</v>
      </c>
      <c r="V338" s="54">
        <f t="shared" ca="1" si="64"/>
        <v>804</v>
      </c>
    </row>
    <row r="339" spans="1:22" s="54" customFormat="1" x14ac:dyDescent="0.3">
      <c r="A339" s="82">
        <v>6</v>
      </c>
      <c r="B339" s="83"/>
      <c r="C339" s="32" t="s">
        <v>151</v>
      </c>
      <c r="D339" s="62">
        <f>(34.22)*10.764</f>
        <v>368.34407999999996</v>
      </c>
      <c r="E339" s="32">
        <v>0</v>
      </c>
      <c r="F339" s="32">
        <f t="shared" si="61"/>
        <v>589.35052799999994</v>
      </c>
      <c r="G339" s="88"/>
      <c r="H339" s="90"/>
      <c r="I339" s="70">
        <v>2</v>
      </c>
      <c r="S339" s="126"/>
      <c r="T339" s="126"/>
      <c r="V339" s="54" t="str">
        <f>LEFT(A422,SUM(LEN(A422)-LEN(SUBSTITUTE(A422,{"0","1","2","3","4","5","6","7","8","9"},""))))</f>
        <v>Serv</v>
      </c>
    </row>
    <row r="340" spans="1:22" s="54" customFormat="1" x14ac:dyDescent="0.3">
      <c r="A340" s="82">
        <v>7</v>
      </c>
      <c r="B340" s="83"/>
      <c r="C340" s="32" t="s">
        <v>199</v>
      </c>
      <c r="D340" s="62">
        <f>(42.18)*10.764</f>
        <v>454.02551999999997</v>
      </c>
      <c r="E340" s="32">
        <v>0</v>
      </c>
      <c r="F340" s="32">
        <f t="shared" si="61"/>
        <v>726.440832</v>
      </c>
      <c r="G340" s="91"/>
      <c r="H340" s="93"/>
      <c r="I340" s="53">
        <f>4.525*2.85+1.25*1.125+2.4*0.05+1.925*2.7+2.85*2.75+1.225*1.5+1.35*1.2+1.5*1.2</f>
        <v>32.715000000000003</v>
      </c>
      <c r="S340" s="126"/>
      <c r="T340" s="126"/>
      <c r="V340" s="54" t="str">
        <f>LEFT(A423,SUM(LEN(A423)-LEN(SUBSTITUTE(A423,{"0","1","2","3","4","5","6","7","8","9"},""))))</f>
        <v>13th, 20th</v>
      </c>
    </row>
    <row r="341" spans="1:22" s="54" customFormat="1" ht="15.75" customHeight="1" x14ac:dyDescent="0.3">
      <c r="A341" s="84" t="s">
        <v>197</v>
      </c>
      <c r="B341" s="84"/>
      <c r="C341" s="84"/>
      <c r="D341" s="84"/>
      <c r="E341" s="84"/>
      <c r="F341" s="84"/>
      <c r="G341" s="84"/>
      <c r="H341" s="84"/>
      <c r="I341" s="53">
        <f>11700000/F424</f>
        <v>15390.752743247769</v>
      </c>
      <c r="S341" s="126">
        <f t="shared" ref="S341:S348" ca="1" si="65">V341</f>
        <v>80101</v>
      </c>
      <c r="T341" s="126"/>
      <c r="U341" s="53">
        <v>1</v>
      </c>
      <c r="V341" s="54">
        <f ca="1">(SUMPRODUCT(MID(0&amp;V335, LARGE(INDEX(ISNUMBER(--MID(V335, ROW(INDIRECT("1:"&amp;LEN(V335))), 1)) * ROW(INDIRECT("1:"&amp;LEN(V335))), 0), ROW(INDIRECT("1:"&amp;LEN(V335))))+1, 1) * 10^ROW(INDIRECT("1:"&amp;LEN(V335)))/10))*U341*100+1</f>
        <v>80101</v>
      </c>
    </row>
    <row r="342" spans="1:22" s="54" customFormat="1" ht="15.75" customHeight="1" x14ac:dyDescent="0.3">
      <c r="A342" s="82">
        <v>1</v>
      </c>
      <c r="B342" s="83"/>
      <c r="C342" s="32" t="s">
        <v>215</v>
      </c>
      <c r="D342" s="62">
        <f>(2.75*5.25+2.175*3.275+1.975*2.775+2.75*3.05+2.75*2.775+2.75*3.875+0.575*0.05+2.2*1.225+1.225*2.125+2.2*1.225+1.05*1.05+1.9*1.05+1.975*1+2.8*1.05)*10.764</f>
        <v>750.79572749999977</v>
      </c>
      <c r="E342" s="32">
        <v>0</v>
      </c>
      <c r="F342" s="32">
        <f>D342*(($F$296)+1)+E342</f>
        <v>1201.2731639999997</v>
      </c>
      <c r="G342" s="85" t="str">
        <f>A341</f>
        <v>13th &amp; 20th Floor (Part Refuge Area)</v>
      </c>
      <c r="H342" s="87"/>
      <c r="I342" s="53"/>
      <c r="S342" s="126">
        <f t="shared" ca="1" si="65"/>
        <v>80102</v>
      </c>
      <c r="T342" s="126"/>
      <c r="U342" s="53">
        <f>U341+1</f>
        <v>2</v>
      </c>
      <c r="V342" s="54">
        <f ca="1">V341+1</f>
        <v>80102</v>
      </c>
    </row>
    <row r="343" spans="1:22" s="54" customFormat="1" ht="15.75" customHeight="1" x14ac:dyDescent="0.3">
      <c r="A343" s="82">
        <v>2</v>
      </c>
      <c r="B343" s="83"/>
      <c r="C343" s="32" t="s">
        <v>199</v>
      </c>
      <c r="D343" s="62">
        <f>(2.775*4.125+2.175*2.375+1.975*2.775+2.75*2.775+2.75*3.925+2.2*1.225+1.275*2.2+2*1.05+0.95*1.05+2.775*1.05)*10.764</f>
        <v>560.04419250000001</v>
      </c>
      <c r="E343" s="32">
        <v>0</v>
      </c>
      <c r="F343" s="32">
        <f>D343*(($F$296)+1)+E343</f>
        <v>896.07070800000008</v>
      </c>
      <c r="G343" s="88"/>
      <c r="H343" s="90"/>
      <c r="I343" s="53"/>
      <c r="S343" s="126">
        <f t="shared" ca="1" si="65"/>
        <v>80103</v>
      </c>
      <c r="T343" s="126"/>
      <c r="U343" s="53">
        <f>U342+1</f>
        <v>3</v>
      </c>
      <c r="V343" s="54">
        <f ca="1">V342+1</f>
        <v>80103</v>
      </c>
    </row>
    <row r="344" spans="1:22" s="54" customFormat="1" ht="15.75" customHeight="1" x14ac:dyDescent="0.3">
      <c r="A344" s="82">
        <v>3</v>
      </c>
      <c r="B344" s="83"/>
      <c r="C344" s="32" t="s">
        <v>199</v>
      </c>
      <c r="D344" s="62">
        <f>(2.775*4.125+1.475*2.9+2.75*1.9+2.75*3.075+2.75*4.075+0.05*0.9+1.225*2.2+1.275*2.2+2.8*0.9+2.775*1.05)*10.764</f>
        <v>555.32148749999999</v>
      </c>
      <c r="E344" s="32">
        <v>0</v>
      </c>
      <c r="F344" s="32">
        <f>D344*(($F$296)+1)+E344</f>
        <v>888.51438000000007</v>
      </c>
      <c r="G344" s="88"/>
      <c r="H344" s="90"/>
      <c r="I344" s="53"/>
      <c r="S344" s="126">
        <f t="shared" ca="1" si="65"/>
        <v>80104</v>
      </c>
      <c r="T344" s="126"/>
      <c r="U344" s="53">
        <f t="shared" ref="U344:V344" si="66">U343+1</f>
        <v>4</v>
      </c>
      <c r="V344" s="54">
        <f t="shared" ca="1" si="66"/>
        <v>80104</v>
      </c>
    </row>
    <row r="345" spans="1:22" s="54" customFormat="1" ht="15.75" customHeight="1" x14ac:dyDescent="0.3">
      <c r="A345" s="82">
        <v>4</v>
      </c>
      <c r="B345" s="83"/>
      <c r="C345" s="85" t="s">
        <v>152</v>
      </c>
      <c r="D345" s="86"/>
      <c r="E345" s="86"/>
      <c r="F345" s="87"/>
      <c r="G345" s="88"/>
      <c r="H345" s="90"/>
      <c r="I345" s="53"/>
      <c r="S345" s="126">
        <f t="shared" ca="1" si="65"/>
        <v>132001</v>
      </c>
      <c r="T345" s="126"/>
      <c r="U345" s="53">
        <v>1</v>
      </c>
      <c r="V345" s="54">
        <f ca="1">(SUMPRODUCT(MID(0&amp;V340, LARGE(INDEX(ISNUMBER(--MID(V340, ROW(INDIRECT("1:"&amp;LEN(V340))), 1)) * ROW(INDIRECT("1:"&amp;LEN(V340))), 0), ROW(INDIRECT("1:"&amp;LEN(V340))))+1, 1) * 10^ROW(INDIRECT("1:"&amp;LEN(V340)))/10))*U345*100+1</f>
        <v>132001</v>
      </c>
    </row>
    <row r="346" spans="1:22" s="54" customFormat="1" ht="15.75" customHeight="1" x14ac:dyDescent="0.3">
      <c r="A346" s="82">
        <v>5</v>
      </c>
      <c r="B346" s="83"/>
      <c r="C346" s="91"/>
      <c r="D346" s="92"/>
      <c r="E346" s="92"/>
      <c r="F346" s="93"/>
      <c r="G346" s="88"/>
      <c r="H346" s="90"/>
      <c r="I346" s="53">
        <f>1.225*1.125+3.75*2.85+2.4*0.05+1.15*0.05+2.525*1.9+2.4*2.725+2.75*3.2+0.325*0.9+1.225*2.2+1.225*2.2+2.4*1.075</f>
        <v>40.643124999999991</v>
      </c>
      <c r="S346" s="126">
        <f t="shared" ca="1" si="65"/>
        <v>132002</v>
      </c>
      <c r="T346" s="126"/>
      <c r="U346" s="53">
        <f>U345+1</f>
        <v>2</v>
      </c>
      <c r="V346" s="54">
        <f ca="1">V345+1</f>
        <v>132002</v>
      </c>
    </row>
    <row r="347" spans="1:22" s="54" customFormat="1" ht="15.75" customHeight="1" x14ac:dyDescent="0.3">
      <c r="A347" s="82">
        <v>6</v>
      </c>
      <c r="B347" s="83"/>
      <c r="C347" s="32" t="s">
        <v>151</v>
      </c>
      <c r="D347" s="62">
        <f>(34.22)*10.764</f>
        <v>368.34407999999996</v>
      </c>
      <c r="E347" s="32">
        <v>0</v>
      </c>
      <c r="F347" s="32">
        <f>D347*(($F$296)+1)+E347</f>
        <v>589.35052799999994</v>
      </c>
      <c r="G347" s="88"/>
      <c r="H347" s="90"/>
      <c r="I347" s="53"/>
      <c r="S347" s="126">
        <f t="shared" ca="1" si="65"/>
        <v>132003</v>
      </c>
      <c r="T347" s="126"/>
      <c r="U347" s="53">
        <f>U346+1</f>
        <v>3</v>
      </c>
      <c r="V347" s="54">
        <f ca="1">V346+1</f>
        <v>132003</v>
      </c>
    </row>
    <row r="348" spans="1:22" s="54" customFormat="1" ht="15.75" customHeight="1" x14ac:dyDescent="0.3">
      <c r="A348" s="82">
        <v>7</v>
      </c>
      <c r="B348" s="83"/>
      <c r="C348" s="32" t="s">
        <v>199</v>
      </c>
      <c r="D348" s="62">
        <f>(42.18)*10.764</f>
        <v>454.02551999999997</v>
      </c>
      <c r="E348" s="32">
        <v>0</v>
      </c>
      <c r="F348" s="32">
        <f>D348*(($F$296)+1)+E348</f>
        <v>726.440832</v>
      </c>
      <c r="G348" s="91"/>
      <c r="H348" s="93"/>
      <c r="I348" s="70">
        <v>3</v>
      </c>
      <c r="S348" s="126">
        <f t="shared" ca="1" si="65"/>
        <v>132004</v>
      </c>
      <c r="T348" s="126"/>
      <c r="U348" s="53">
        <f t="shared" ref="U348:V348" si="67">U347+1</f>
        <v>4</v>
      </c>
      <c r="V348" s="54">
        <f t="shared" ca="1" si="67"/>
        <v>132004</v>
      </c>
    </row>
    <row r="349" spans="1:22" s="54" customFormat="1" x14ac:dyDescent="0.3">
      <c r="A349" s="84" t="s">
        <v>316</v>
      </c>
      <c r="B349" s="84"/>
      <c r="C349" s="84"/>
      <c r="D349" s="84"/>
      <c r="E349" s="84"/>
      <c r="F349" s="84"/>
      <c r="G349" s="84"/>
      <c r="H349" s="84"/>
      <c r="I349" s="53">
        <f>2+6+6+6+6+6+1+1</f>
        <v>34</v>
      </c>
      <c r="S349" s="126"/>
      <c r="T349" s="126"/>
      <c r="V349" s="54" t="str">
        <f>LEFT(A441,SUM(LEN(A441)-LEN(SUBSTITUTE(A441,{"0","1","2","3","4","5","6","7","8","9"},""))))</f>
        <v/>
      </c>
    </row>
    <row r="350" spans="1:22" s="54" customFormat="1" ht="15.75" customHeight="1" x14ac:dyDescent="0.3">
      <c r="A350" s="84" t="s">
        <v>198</v>
      </c>
      <c r="B350" s="84"/>
      <c r="C350" s="84"/>
      <c r="D350" s="84"/>
      <c r="E350" s="84"/>
      <c r="F350" s="84"/>
      <c r="G350" s="84"/>
      <c r="H350" s="84"/>
      <c r="I350" s="53">
        <f>2+6+6+6+6+6+1+1</f>
        <v>34</v>
      </c>
      <c r="S350" s="126"/>
      <c r="T350" s="126"/>
      <c r="V350" s="54" t="str">
        <f>LEFT(A443,SUM(LEN(A443)-LEN(SUBSTITUTE(A443,{"0","1","2","3","4","5","6","7","8","9"},""))))</f>
        <v>1st</v>
      </c>
    </row>
    <row r="351" spans="1:22" s="54" customFormat="1" ht="15.75" customHeight="1" x14ac:dyDescent="0.3">
      <c r="A351" s="82">
        <v>1</v>
      </c>
      <c r="B351" s="83"/>
      <c r="C351" s="32" t="s">
        <v>215</v>
      </c>
      <c r="D351" s="62">
        <f>(2.75*5.25+2.175*3.275+1.975*2.775+2.75*3.05+2.75*2.775+2.75*3.875+0.575*0.05+2.2*1.225+1.225*2.125+2.2*1.225+1.05*1.05+1.9*1.05+1.975*1+2.8*1.05)*10.764</f>
        <v>750.79572749999977</v>
      </c>
      <c r="E351" s="32">
        <v>0</v>
      </c>
      <c r="F351" s="32">
        <f>D351*(($F$296)+1)+E351</f>
        <v>1201.2731639999997</v>
      </c>
      <c r="G351" s="85" t="str">
        <f>A350</f>
        <v>27th, 34th &amp; 41st Floor (Part Refuge Area)</v>
      </c>
      <c r="H351" s="87"/>
      <c r="I351" s="53"/>
      <c r="S351" s="126">
        <f t="shared" ref="S351:S353" ca="1" si="68">V351</f>
        <v>101</v>
      </c>
      <c r="T351" s="126"/>
      <c r="U351" s="53">
        <v>1</v>
      </c>
      <c r="V351" s="54">
        <f ca="1">(SUMPRODUCT(MID(0&amp;V350, LARGE(INDEX(ISNUMBER(--MID(V350, ROW(INDIRECT("1:"&amp;LEN(V350))), 1)) * ROW(INDIRECT("1:"&amp;LEN(V350))), 0), ROW(INDIRECT("1:"&amp;LEN(V350))))+1, 1) * 10^ROW(INDIRECT("1:"&amp;LEN(V350)))/10))*U351*100+1</f>
        <v>101</v>
      </c>
    </row>
    <row r="352" spans="1:22" s="54" customFormat="1" ht="15.75" customHeight="1" x14ac:dyDescent="0.3">
      <c r="A352" s="82">
        <v>2</v>
      </c>
      <c r="B352" s="83"/>
      <c r="C352" s="32" t="s">
        <v>199</v>
      </c>
      <c r="D352" s="62">
        <f>(2.775*4.125+2.175*2.375+1.975*2.775+2.75*2.775+2.75*3.925+2.2*1.225+1.275*2.2+2*1.05+0.95*1.05+2.775*1.05)*10.764</f>
        <v>560.04419250000001</v>
      </c>
      <c r="E352" s="32">
        <v>0</v>
      </c>
      <c r="F352" s="32">
        <f>D352*(($F$296)+1)+E352</f>
        <v>896.07070800000008</v>
      </c>
      <c r="G352" s="88"/>
      <c r="H352" s="90"/>
      <c r="I352" s="53"/>
      <c r="S352" s="126">
        <f t="shared" ca="1" si="68"/>
        <v>102</v>
      </c>
      <c r="T352" s="126"/>
      <c r="U352" s="53">
        <f>U351+1</f>
        <v>2</v>
      </c>
      <c r="V352" s="54">
        <f ca="1">V351+1</f>
        <v>102</v>
      </c>
    </row>
    <row r="353" spans="1:22" s="54" customFormat="1" ht="15.75" customHeight="1" x14ac:dyDescent="0.3">
      <c r="A353" s="82">
        <v>3</v>
      </c>
      <c r="B353" s="83"/>
      <c r="C353" s="32" t="s">
        <v>199</v>
      </c>
      <c r="D353" s="62">
        <f>(2.775*4.125+1.475*2.9+2.75*1.9+2.75*3.075+2.75*4.075+0.05*0.9+1.225*2.2+1.275*2.2+2.8*0.9+2.775*1.05)*10.764</f>
        <v>555.32148749999999</v>
      </c>
      <c r="E353" s="32">
        <v>0</v>
      </c>
      <c r="F353" s="32">
        <f>D353*(($F$296)+1)+E353</f>
        <v>888.51438000000007</v>
      </c>
      <c r="G353" s="88"/>
      <c r="H353" s="90"/>
      <c r="I353" s="53"/>
      <c r="S353" s="126">
        <f t="shared" ca="1" si="68"/>
        <v>103</v>
      </c>
      <c r="T353" s="126"/>
      <c r="U353" s="53">
        <f>U352+1</f>
        <v>3</v>
      </c>
      <c r="V353" s="54">
        <f ca="1">V352+1</f>
        <v>103</v>
      </c>
    </row>
    <row r="354" spans="1:22" s="54" customFormat="1" ht="15.75" customHeight="1" x14ac:dyDescent="0.3">
      <c r="A354" s="82">
        <v>4</v>
      </c>
      <c r="B354" s="83"/>
      <c r="C354" s="85" t="s">
        <v>152</v>
      </c>
      <c r="D354" s="86"/>
      <c r="E354" s="86"/>
      <c r="F354" s="87"/>
      <c r="G354" s="88"/>
      <c r="H354" s="90"/>
      <c r="I354" s="53">
        <f>2.4*2.725*10.764</f>
        <v>70.396559999999994</v>
      </c>
      <c r="S354" s="126" t="e">
        <f t="shared" ref="S354:S355" ca="1" si="69">V354</f>
        <v>#REF!</v>
      </c>
      <c r="T354" s="126"/>
      <c r="U354" s="53">
        <v>1</v>
      </c>
      <c r="V354" s="54" t="e">
        <f ca="1">(SUMPRODUCT(MID(0&amp;#REF!, LARGE(INDEX(ISNUMBER(--MID(#REF!, ROW(INDIRECT("1:"&amp;LEN(#REF!))), 1)) * ROW(INDIRECT("1:"&amp;LEN(#REF!))), 0), ROW(INDIRECT("1:"&amp;LEN(#REF!))))+1, 1) * 10^ROW(INDIRECT("1:"&amp;LEN(#REF!)))/10))*U354*100+1</f>
        <v>#REF!</v>
      </c>
    </row>
    <row r="355" spans="1:22" s="54" customFormat="1" ht="15.75" customHeight="1" x14ac:dyDescent="0.3">
      <c r="A355" s="82">
        <v>5</v>
      </c>
      <c r="B355" s="83"/>
      <c r="C355" s="91"/>
      <c r="D355" s="92"/>
      <c r="E355" s="92"/>
      <c r="F355" s="93"/>
      <c r="G355" s="88"/>
      <c r="H355" s="90"/>
      <c r="I355" s="53"/>
      <c r="S355" s="126" t="e">
        <f t="shared" ca="1" si="69"/>
        <v>#REF!</v>
      </c>
      <c r="T355" s="126"/>
      <c r="U355" s="53">
        <f>U354+1</f>
        <v>2</v>
      </c>
      <c r="V355" s="54" t="e">
        <f ca="1">V354+1</f>
        <v>#REF!</v>
      </c>
    </row>
    <row r="356" spans="1:22" s="54" customFormat="1" x14ac:dyDescent="0.3">
      <c r="A356" s="82">
        <v>6</v>
      </c>
      <c r="B356" s="83"/>
      <c r="C356" s="32" t="s">
        <v>151</v>
      </c>
      <c r="D356" s="62">
        <f>(34.22+2.4*1.075)*10.764</f>
        <v>396.11519999999996</v>
      </c>
      <c r="E356" s="32">
        <v>0</v>
      </c>
      <c r="F356" s="32">
        <f>D356*(($F$296)+1)+E356</f>
        <v>633.78431999999998</v>
      </c>
      <c r="G356" s="88"/>
      <c r="H356" s="90"/>
      <c r="I356" s="70">
        <f>6+6+1</f>
        <v>13</v>
      </c>
      <c r="J356" s="54">
        <f>29+6+6+1</f>
        <v>42</v>
      </c>
      <c r="S356" s="126"/>
      <c r="T356" s="126"/>
      <c r="V356" s="54" t="str">
        <f>LEFT(A451,SUM(LEN(A451)-LEN(SUBSTITUTE(A451,{"0","1","2","3","4","5","6","7","8","9"},""))))</f>
        <v>6</v>
      </c>
    </row>
    <row r="357" spans="1:22" s="54" customFormat="1" ht="15.75" customHeight="1" x14ac:dyDescent="0.3">
      <c r="A357" s="82">
        <v>7</v>
      </c>
      <c r="B357" s="83"/>
      <c r="C357" s="32" t="s">
        <v>199</v>
      </c>
      <c r="D357" s="62">
        <f>(42.18+2.4*1.075)*10.764</f>
        <v>481.79663999999997</v>
      </c>
      <c r="E357" s="32">
        <v>0</v>
      </c>
      <c r="F357" s="32">
        <f>D357*(($F$296)+1)+E357</f>
        <v>770.87462400000004</v>
      </c>
      <c r="G357" s="91"/>
      <c r="H357" s="93"/>
      <c r="I357" s="53"/>
      <c r="S357" s="126">
        <f t="shared" ref="S357:S358" ca="1" si="70">V357</f>
        <v>601</v>
      </c>
      <c r="T357" s="126"/>
      <c r="U357" s="53">
        <v>1</v>
      </c>
      <c r="V357" s="54">
        <f ca="1">(SUMPRODUCT(MID(0&amp;V356, LARGE(INDEX(ISNUMBER(--MID(V356, ROW(INDIRECT("1:"&amp;LEN(V356))), 1)) * ROW(INDIRECT("1:"&amp;LEN(V356))), 0), ROW(INDIRECT("1:"&amp;LEN(V356))))+1, 1) * 10^ROW(INDIRECT("1:"&amp;LEN(V356)))/10))*U357*100+1</f>
        <v>601</v>
      </c>
    </row>
    <row r="358" spans="1:22" s="54" customFormat="1" ht="17.25" customHeight="1" x14ac:dyDescent="0.3">
      <c r="A358" s="84" t="s">
        <v>246</v>
      </c>
      <c r="B358" s="84"/>
      <c r="C358" s="84"/>
      <c r="D358" s="84"/>
      <c r="E358" s="84"/>
      <c r="F358" s="84"/>
      <c r="G358" s="84"/>
      <c r="H358" s="84"/>
      <c r="I358" s="53"/>
      <c r="S358" s="126">
        <f t="shared" ca="1" si="70"/>
        <v>602</v>
      </c>
      <c r="T358" s="126"/>
      <c r="U358" s="53">
        <f>U357+1</f>
        <v>2</v>
      </c>
      <c r="V358" s="54">
        <f ca="1">V357+1</f>
        <v>602</v>
      </c>
    </row>
    <row r="359" spans="1:22" s="54" customFormat="1" ht="15.75" customHeight="1" x14ac:dyDescent="0.3">
      <c r="A359" s="82">
        <v>1</v>
      </c>
      <c r="B359" s="83"/>
      <c r="C359" s="32" t="s">
        <v>215</v>
      </c>
      <c r="D359" s="62">
        <f>(2.75*5.25+2.175*3.275+1.975*2.775+2.75*3.05+2.75*2.775+2.75*3.875+0.575*0.05+2.2*1.225+1.225*2.125+2.2*1.225+1.05*1.05+1.9*1.05+1.975*1+2.8*1.05)*10.764</f>
        <v>750.79572749999977</v>
      </c>
      <c r="E359" s="32">
        <v>0</v>
      </c>
      <c r="F359" s="32">
        <f t="shared" ref="F359:F365" si="71">D359*(($F$296)+1)+E359</f>
        <v>1201.2731639999997</v>
      </c>
      <c r="G359" s="85" t="str">
        <f>A358</f>
        <v>28th to 33rd &amp; 35th to 40th &amp; 42nd Floor</v>
      </c>
      <c r="H359" s="87"/>
      <c r="I359" s="53"/>
      <c r="S359" s="126">
        <f t="shared" ref="S359:S361" ca="1" si="72">V359</f>
        <v>601</v>
      </c>
      <c r="T359" s="126"/>
      <c r="U359" s="53">
        <v>1</v>
      </c>
      <c r="V359" s="54">
        <f ca="1">(SUMPRODUCT(MID(0&amp;V356, LARGE(INDEX(ISNUMBER(--MID(V356, ROW(INDIRECT("1:"&amp;LEN(V356))), 1)) * ROW(INDIRECT("1:"&amp;LEN(V356))), 0), ROW(INDIRECT("1:"&amp;LEN(V356))))+1, 1) * 10^ROW(INDIRECT("1:"&amp;LEN(V356)))/10))*U359*100+1</f>
        <v>601</v>
      </c>
    </row>
    <row r="360" spans="1:22" s="54" customFormat="1" ht="15.75" customHeight="1" x14ac:dyDescent="0.3">
      <c r="A360" s="82">
        <v>2</v>
      </c>
      <c r="B360" s="83"/>
      <c r="C360" s="32" t="s">
        <v>199</v>
      </c>
      <c r="D360" s="62">
        <f>(2.775*4.125+2.175*2.375+1.975*2.775+2.75*2.775+2.75*3.925+2.2*1.225+1.275*2.2+2*1.05+0.95*1.05+2.775*1.05)*10.764</f>
        <v>560.04419250000001</v>
      </c>
      <c r="E360" s="32">
        <v>0</v>
      </c>
      <c r="F360" s="32">
        <f t="shared" si="71"/>
        <v>896.07070800000008</v>
      </c>
      <c r="G360" s="88"/>
      <c r="H360" s="90"/>
      <c r="I360" s="53"/>
      <c r="S360" s="126">
        <f t="shared" ca="1" si="72"/>
        <v>602</v>
      </c>
      <c r="T360" s="126"/>
      <c r="U360" s="53">
        <f>U359+1</f>
        <v>2</v>
      </c>
      <c r="V360" s="54">
        <f ca="1">V359+1</f>
        <v>602</v>
      </c>
    </row>
    <row r="361" spans="1:22" s="54" customFormat="1" ht="15.75" customHeight="1" x14ac:dyDescent="0.3">
      <c r="A361" s="82">
        <v>3</v>
      </c>
      <c r="B361" s="83"/>
      <c r="C361" s="32" t="s">
        <v>199</v>
      </c>
      <c r="D361" s="62">
        <f>(2.775*4.125+1.475*2.9+2.75*1.9+2.75*3.075+2.75*4.075+0.05*0.9+1.225*2.2+1.275*2.2+2.8*0.9+2.775*1.05)*10.764</f>
        <v>555.32148749999999</v>
      </c>
      <c r="E361" s="32">
        <v>0</v>
      </c>
      <c r="F361" s="32">
        <f t="shared" si="71"/>
        <v>888.51438000000007</v>
      </c>
      <c r="G361" s="88"/>
      <c r="H361" s="90"/>
      <c r="I361" s="53"/>
      <c r="S361" s="126">
        <f t="shared" ca="1" si="72"/>
        <v>603</v>
      </c>
      <c r="T361" s="126"/>
      <c r="U361" s="53">
        <f>U360+1</f>
        <v>3</v>
      </c>
      <c r="V361" s="54">
        <f ca="1">V360+1</f>
        <v>603</v>
      </c>
    </row>
    <row r="362" spans="1:22" s="54" customFormat="1" x14ac:dyDescent="0.3">
      <c r="A362" s="82">
        <v>4</v>
      </c>
      <c r="B362" s="83"/>
      <c r="C362" s="32" t="s">
        <v>199</v>
      </c>
      <c r="D362" s="62">
        <f>(43.16+2.4*1.075)*10.764</f>
        <v>492.34535999999991</v>
      </c>
      <c r="E362" s="32">
        <v>0</v>
      </c>
      <c r="F362" s="32">
        <f t="shared" si="71"/>
        <v>787.75257599999986</v>
      </c>
      <c r="G362" s="88"/>
      <c r="H362" s="90"/>
      <c r="I362" s="53">
        <f>2+6+6+6+6+6+1+1</f>
        <v>34</v>
      </c>
      <c r="J362" s="54">
        <f>2.75*2.775*10.764</f>
        <v>82.142774999999986</v>
      </c>
      <c r="S362" s="126"/>
      <c r="T362" s="126"/>
      <c r="V362" s="54" t="str">
        <f>LEFT(A459,SUM(LEN(A459)-LEN(SUBSTITUTE(A459,{"0","1","2","3","4","5","6","7","8","9"},""))))</f>
        <v>8</v>
      </c>
    </row>
    <row r="363" spans="1:22" s="54" customFormat="1" x14ac:dyDescent="0.3">
      <c r="A363" s="82">
        <v>5</v>
      </c>
      <c r="B363" s="83"/>
      <c r="C363" s="32" t="s">
        <v>151</v>
      </c>
      <c r="D363" s="62">
        <f>(34.22+2.4*1.075)*10.764</f>
        <v>396.11519999999996</v>
      </c>
      <c r="E363" s="32">
        <v>0</v>
      </c>
      <c r="F363" s="32">
        <f t="shared" si="71"/>
        <v>633.78431999999998</v>
      </c>
      <c r="G363" s="88"/>
      <c r="H363" s="90"/>
      <c r="I363" s="53"/>
      <c r="S363" s="126" t="e">
        <f t="shared" ref="S363:S367" ca="1" si="73">V363</f>
        <v>#REF!</v>
      </c>
      <c r="T363" s="126"/>
      <c r="U363" s="53">
        <v>1</v>
      </c>
      <c r="V363" s="54" t="e">
        <f ca="1">(SUMPRODUCT(MID(0&amp;#REF!, LARGE(INDEX(ISNUMBER(--MID(#REF!, ROW(INDIRECT("1:"&amp;LEN(#REF!))), 1)) * ROW(INDIRECT("1:"&amp;LEN(#REF!))), 0), ROW(INDIRECT("1:"&amp;LEN(#REF!))))+1, 1) * 10^ROW(INDIRECT("1:"&amp;LEN(#REF!)))/10))*U363*100+1</f>
        <v>#REF!</v>
      </c>
    </row>
    <row r="364" spans="1:22" s="54" customFormat="1" ht="15.75" customHeight="1" x14ac:dyDescent="0.3">
      <c r="A364" s="82">
        <v>6</v>
      </c>
      <c r="B364" s="83"/>
      <c r="C364" s="32" t="s">
        <v>151</v>
      </c>
      <c r="D364" s="62">
        <f>(34.22+2.4*1.075)*10.764</f>
        <v>396.11519999999996</v>
      </c>
      <c r="E364" s="32">
        <v>0</v>
      </c>
      <c r="F364" s="32">
        <f t="shared" si="71"/>
        <v>633.78431999999998</v>
      </c>
      <c r="G364" s="88"/>
      <c r="H364" s="90"/>
      <c r="I364" s="70">
        <f>3+2</f>
        <v>5</v>
      </c>
      <c r="S364" s="126" t="e">
        <f t="shared" ca="1" si="73"/>
        <v>#REF!</v>
      </c>
      <c r="T364" s="126"/>
      <c r="U364" s="53">
        <f>U363+1</f>
        <v>2</v>
      </c>
      <c r="V364" s="54" t="e">
        <f ca="1">V363+1</f>
        <v>#REF!</v>
      </c>
    </row>
    <row r="365" spans="1:22" s="54" customFormat="1" ht="15.75" customHeight="1" x14ac:dyDescent="0.3">
      <c r="A365" s="82">
        <v>7</v>
      </c>
      <c r="B365" s="83"/>
      <c r="C365" s="32" t="s">
        <v>199</v>
      </c>
      <c r="D365" s="62">
        <f>(42.18+2.4*1.075)*10.764</f>
        <v>481.79663999999997</v>
      </c>
      <c r="E365" s="32">
        <v>0</v>
      </c>
      <c r="F365" s="32">
        <f t="shared" si="71"/>
        <v>770.87462400000004</v>
      </c>
      <c r="G365" s="91"/>
      <c r="H365" s="93"/>
      <c r="I365" s="53"/>
      <c r="J365" s="54">
        <f>5+2</f>
        <v>7</v>
      </c>
      <c r="S365" s="126" t="e">
        <f t="shared" ca="1" si="73"/>
        <v>#REF!</v>
      </c>
      <c r="T365" s="126"/>
      <c r="U365" s="53">
        <f>U364+1</f>
        <v>3</v>
      </c>
      <c r="V365" s="54" t="e">
        <f ca="1">V364+1</f>
        <v>#REF!</v>
      </c>
    </row>
    <row r="366" spans="1:22" s="54" customFormat="1" ht="15.75" customHeight="1" x14ac:dyDescent="0.3">
      <c r="A366" s="84" t="s">
        <v>247</v>
      </c>
      <c r="B366" s="84"/>
      <c r="C366" s="84"/>
      <c r="D366" s="84"/>
      <c r="E366" s="84"/>
      <c r="F366" s="84"/>
      <c r="G366" s="84"/>
      <c r="H366" s="84"/>
      <c r="I366" s="53"/>
      <c r="U366" s="53"/>
    </row>
    <row r="367" spans="1:22" s="54" customFormat="1" ht="15.75" customHeight="1" x14ac:dyDescent="0.3">
      <c r="A367" s="82">
        <v>1</v>
      </c>
      <c r="B367" s="83"/>
      <c r="C367" s="32" t="s">
        <v>215</v>
      </c>
      <c r="D367" s="62">
        <f>(2.75*5.25+2.175*3.275+1.975*2.775+2.75*3.05+2.75*2.775+2.75*3.875+0.575*0.05+2.2*1.225+1.225*2.125+2.2*1.225+1.05*1.05+1.9*1.05+1.975*1+2.8*1.05)*10.764</f>
        <v>750.79572749999977</v>
      </c>
      <c r="E367" s="32">
        <v>0</v>
      </c>
      <c r="F367" s="32">
        <f>D367*(($F$296)+1)+E367</f>
        <v>1201.2731639999997</v>
      </c>
      <c r="G367" s="85" t="str">
        <f>A366</f>
        <v>43rd to 45th, 47th &amp; 49th Floor</v>
      </c>
      <c r="H367" s="87"/>
      <c r="I367" s="53">
        <f>10098500/F463</f>
        <v>10973.303329213193</v>
      </c>
      <c r="S367" s="126" t="e">
        <f t="shared" ca="1" si="73"/>
        <v>#REF!</v>
      </c>
      <c r="T367" s="126"/>
      <c r="U367" s="53">
        <f t="shared" ref="U367:V367" si="74">U365+1</f>
        <v>4</v>
      </c>
      <c r="V367" s="54" t="e">
        <f t="shared" ca="1" si="74"/>
        <v>#REF!</v>
      </c>
    </row>
    <row r="368" spans="1:22" s="54" customFormat="1" x14ac:dyDescent="0.3">
      <c r="A368" s="82">
        <v>2</v>
      </c>
      <c r="B368" s="83"/>
      <c r="C368" s="32" t="s">
        <v>199</v>
      </c>
      <c r="D368" s="62">
        <f>(2.775*4.125+2.175*2.375+1.975*2.775+2.75*2.775+2.75*3.925+2.2*1.225+1.275*2.2+2*1.05+0.95*1.05+2.775*1.05)*10.764</f>
        <v>560.04419250000001</v>
      </c>
      <c r="E368" s="32">
        <v>0</v>
      </c>
      <c r="F368" s="32">
        <f>D368*(($F$296)+1)+E368</f>
        <v>896.07070800000008</v>
      </c>
      <c r="G368" s="88"/>
      <c r="H368" s="90"/>
      <c r="I368" s="53">
        <v>5</v>
      </c>
      <c r="S368" s="126"/>
      <c r="T368" s="126"/>
      <c r="V368" s="54" t="str">
        <f>LEFT(A476,SUM(LEN(A476)-LEN(SUBSTITUTE(A476,{"0","1","2","3","4","5","6","7","8","9"},""))))</f>
        <v>13th, 20th</v>
      </c>
    </row>
    <row r="369" spans="1:22" s="54" customFormat="1" ht="15.75" customHeight="1" x14ac:dyDescent="0.3">
      <c r="A369" s="82">
        <v>3</v>
      </c>
      <c r="B369" s="83"/>
      <c r="C369" s="32" t="s">
        <v>199</v>
      </c>
      <c r="D369" s="62">
        <f>(2.775*4.125+1.475*2.9+2.75*1.9+2.75*3.075+2.75*4.075+0.05*0.9+1.225*2.2+1.275*2.2+2.8*0.9+2.775*1.05)*10.764</f>
        <v>555.32148749999999</v>
      </c>
      <c r="E369" s="32">
        <v>0</v>
      </c>
      <c r="F369" s="32">
        <f>D369*(($F$296)+1)+E369</f>
        <v>888.51438000000007</v>
      </c>
      <c r="G369" s="88"/>
      <c r="H369" s="90"/>
      <c r="I369" s="53">
        <f>11700000/F477</f>
        <v>12797.359444041755</v>
      </c>
      <c r="S369" s="126" t="e">
        <f t="shared" ref="S369:S375" ca="1" si="75">V369</f>
        <v>#REF!</v>
      </c>
      <c r="T369" s="126"/>
      <c r="U369" s="53">
        <v>1</v>
      </c>
      <c r="V369" s="54" t="e">
        <f ca="1">(SUMPRODUCT(MID(0&amp;#REF!, LARGE(INDEX(ISNUMBER(--MID(#REF!, ROW(INDIRECT("1:"&amp;LEN(#REF!))), 1)) * ROW(INDIRECT("1:"&amp;LEN(#REF!))), 0), ROW(INDIRECT("1:"&amp;LEN(#REF!))))+1, 1) * 10^ROW(INDIRECT("1:"&amp;LEN(#REF!)))/10))*U369*100+1</f>
        <v>#REF!</v>
      </c>
    </row>
    <row r="370" spans="1:22" s="54" customFormat="1" ht="15.75" customHeight="1" x14ac:dyDescent="0.3">
      <c r="A370" s="82">
        <v>4</v>
      </c>
      <c r="B370" s="83"/>
      <c r="C370" s="32" t="s">
        <v>215</v>
      </c>
      <c r="D370" s="62">
        <f>(2.625*1.025+6.425*2.85+4.95*0.05+0.75*0.05+2.925*1.9+3.025*0.9+2.4*2.725+1.225*2.2+2.75*3.2+0.325*0.9+1.225*2.2+4.875*2.75+1.525*1.2+1.225*2.85+1.5*2.85+(4.95*1.075))*10.764</f>
        <v>849.42087750000007</v>
      </c>
      <c r="E370" s="32">
        <v>0</v>
      </c>
      <c r="F370" s="32">
        <f>D370*(($F$296)+1)+E370</f>
        <v>1359.0734040000002</v>
      </c>
      <c r="G370" s="88"/>
      <c r="H370" s="90"/>
      <c r="I370" s="70">
        <v>1</v>
      </c>
      <c r="S370" s="126" t="e">
        <f t="shared" ca="1" si="75"/>
        <v>#REF!</v>
      </c>
      <c r="T370" s="126"/>
      <c r="U370" s="53">
        <f>U369+1</f>
        <v>2</v>
      </c>
      <c r="V370" s="54" t="e">
        <f ca="1">V369+1</f>
        <v>#REF!</v>
      </c>
    </row>
    <row r="371" spans="1:22" s="54" customFormat="1" ht="15.75" customHeight="1" x14ac:dyDescent="0.3">
      <c r="A371" s="82">
        <v>7</v>
      </c>
      <c r="B371" s="83"/>
      <c r="C371" s="32" t="s">
        <v>215</v>
      </c>
      <c r="D371" s="62">
        <f>(2.625*1.025+5.05*2.8+4.95*0.05+2.025*2.85+1.225*2.85+1.525*1.2+4.875*2.75+1.825*2.725+2.35*2.725+2.75*3.05+1.275*2.2+0.55*1.05+2*1.05+2.2*1.225+1.9*2.375+(4.95*1.075))*10.764</f>
        <v>854.15031000000022</v>
      </c>
      <c r="E371" s="32">
        <v>0</v>
      </c>
      <c r="F371" s="32">
        <f>D371*(($F$296)+1)+E371</f>
        <v>1366.6404960000004</v>
      </c>
      <c r="G371" s="88"/>
      <c r="H371" s="90"/>
      <c r="I371" s="53"/>
      <c r="S371" s="126" t="e">
        <f t="shared" ca="1" si="75"/>
        <v>#REF!</v>
      </c>
      <c r="T371" s="126"/>
      <c r="U371" s="53">
        <f>U370+1</f>
        <v>3</v>
      </c>
      <c r="V371" s="54" t="e">
        <f ca="1">V370+1</f>
        <v>#REF!</v>
      </c>
    </row>
    <row r="372" spans="1:22" s="54" customFormat="1" ht="15.75" customHeight="1" x14ac:dyDescent="0.3">
      <c r="A372" s="84" t="s">
        <v>248</v>
      </c>
      <c r="B372" s="84"/>
      <c r="C372" s="84"/>
      <c r="D372" s="84"/>
      <c r="E372" s="84"/>
      <c r="F372" s="84"/>
      <c r="G372" s="84"/>
      <c r="H372" s="84"/>
      <c r="I372" s="53"/>
      <c r="S372" s="126" t="e">
        <f t="shared" ca="1" si="75"/>
        <v>#REF!</v>
      </c>
      <c r="T372" s="126"/>
      <c r="U372" s="53">
        <f t="shared" ref="U372:V372" si="76">U371+1</f>
        <v>4</v>
      </c>
      <c r="V372" s="54" t="e">
        <f t="shared" ca="1" si="76"/>
        <v>#REF!</v>
      </c>
    </row>
    <row r="373" spans="1:22" s="54" customFormat="1" ht="15.75" customHeight="1" x14ac:dyDescent="0.3">
      <c r="A373" s="82">
        <v>1</v>
      </c>
      <c r="B373" s="83"/>
      <c r="C373" s="32" t="s">
        <v>215</v>
      </c>
      <c r="D373" s="62">
        <f>(2.75*5.25+2.175*3.275+1.975*2.775+2.75*3.05+2.75*2.775+2.75*3.875+0.575*0.05+2.2*1.225+1.225*2.125+2.2*1.225+1.05*1.05+1.9*1.05+1.975*1+2.8*1.05)*10.764</f>
        <v>750.79572749999977</v>
      </c>
      <c r="E373" s="32">
        <v>0</v>
      </c>
      <c r="F373" s="32">
        <f>D373*(($F$296)+1)+E373</f>
        <v>1201.2731639999997</v>
      </c>
      <c r="G373" s="85" t="str">
        <f>A372</f>
        <v>46th Floor</v>
      </c>
      <c r="H373" s="87"/>
      <c r="I373" s="53"/>
      <c r="S373" s="126">
        <f t="shared" ca="1" si="75"/>
        <v>132001</v>
      </c>
      <c r="T373" s="126"/>
      <c r="U373" s="53">
        <v>1</v>
      </c>
      <c r="V373" s="54">
        <f ca="1">(SUMPRODUCT(MID(0&amp;V368, LARGE(INDEX(ISNUMBER(--MID(V368, ROW(INDIRECT("1:"&amp;LEN(V368))), 1)) * ROW(INDIRECT("1:"&amp;LEN(V368))), 0), ROW(INDIRECT("1:"&amp;LEN(V368))))+1, 1) * 10^ROW(INDIRECT("1:"&amp;LEN(V368)))/10))*U373*100+1</f>
        <v>132001</v>
      </c>
    </row>
    <row r="374" spans="1:22" s="54" customFormat="1" ht="15.75" customHeight="1" x14ac:dyDescent="0.3">
      <c r="A374" s="82">
        <v>2</v>
      </c>
      <c r="B374" s="83"/>
      <c r="C374" s="32" t="s">
        <v>266</v>
      </c>
      <c r="D374" s="62">
        <f>(5.7*4.125+1.475*2.9+2.75*1.9+2.8*0.9+0.05*0.9+2.75*4.075+1.275*2.2+1.225*2.2+2.75*3.075+2.175*2.375+2.2*1.225+2*1.05+1.975*2.775+2.75*2.775+0.95*1.05+2.75*3.925+1.275*2.2+(2.775*1.05*2))*10.764</f>
        <v>1122.025905</v>
      </c>
      <c r="E374" s="32">
        <v>0</v>
      </c>
      <c r="F374" s="32">
        <f>D374*(($F$296)+1)+E374</f>
        <v>1795.241448</v>
      </c>
      <c r="G374" s="88"/>
      <c r="H374" s="90"/>
      <c r="I374" s="53"/>
      <c r="S374" s="126">
        <f t="shared" ca="1" si="75"/>
        <v>132002</v>
      </c>
      <c r="T374" s="126"/>
      <c r="U374" s="53">
        <f>U373+1</f>
        <v>2</v>
      </c>
      <c r="V374" s="54">
        <f ca="1">V373+1</f>
        <v>132002</v>
      </c>
    </row>
    <row r="375" spans="1:22" s="54" customFormat="1" ht="15.75" customHeight="1" x14ac:dyDescent="0.3">
      <c r="A375" s="82">
        <v>4</v>
      </c>
      <c r="B375" s="83"/>
      <c r="C375" s="32" t="s">
        <v>215</v>
      </c>
      <c r="D375" s="62">
        <f>(2.625*1.025+6.425*2.85+4.95*0.05+0.75*0.05+2.925*1.9+3.025*0.9+2.4*2.725+1.225*2.2+2.75*3.2+0.325*0.9+1.225*2.2+4.875*2.75+1.525*1.2+1.225*2.85+1.5*2.85+(4.95*1.075))*10.764</f>
        <v>849.42087750000007</v>
      </c>
      <c r="E375" s="32">
        <v>0</v>
      </c>
      <c r="F375" s="32">
        <f>D375*(($F$296)+1)+E375</f>
        <v>1359.0734040000002</v>
      </c>
      <c r="G375" s="88"/>
      <c r="H375" s="90"/>
      <c r="I375" s="70">
        <v>1</v>
      </c>
      <c r="S375" s="126">
        <f t="shared" ca="1" si="75"/>
        <v>132003</v>
      </c>
      <c r="T375" s="126"/>
      <c r="U375" s="53">
        <f>U374+1</f>
        <v>3</v>
      </c>
      <c r="V375" s="54">
        <f ca="1">V374+1</f>
        <v>132003</v>
      </c>
    </row>
    <row r="376" spans="1:22" s="54" customFormat="1" ht="15.75" customHeight="1" x14ac:dyDescent="0.3">
      <c r="A376" s="82">
        <v>7</v>
      </c>
      <c r="B376" s="83"/>
      <c r="C376" s="32" t="s">
        <v>215</v>
      </c>
      <c r="D376" s="62">
        <f>(2.625*1.025+5.05*2.8+4.95*0.05+2.025*2.85+1.225*2.85+1.525*1.2+4.875*2.75+1.825*2.725+2.35*2.725+2.75*3.05+1.275*2.2+0.55*1.05+2*1.05+2.2*1.225+1.9*2.375+(4.95*1.075))*10.764</f>
        <v>854.15031000000022</v>
      </c>
      <c r="E376" s="32">
        <v>0</v>
      </c>
      <c r="F376" s="32">
        <f>D376*(($F$296)+1)+E376</f>
        <v>1366.6404960000004</v>
      </c>
      <c r="G376" s="88"/>
      <c r="H376" s="90"/>
      <c r="I376" s="53"/>
      <c r="S376" s="126"/>
      <c r="T376" s="126"/>
      <c r="V376" s="54" t="str">
        <f>LEFT(A492,SUM(LEN(A492)-LEN(SUBSTITUTE(A492,{"0","1","2","3","4","5","6","7","8","9"},""))))</f>
        <v/>
      </c>
    </row>
    <row r="377" spans="1:22" s="54" customFormat="1" ht="15.75" customHeight="1" x14ac:dyDescent="0.3">
      <c r="A377" s="84" t="s">
        <v>250</v>
      </c>
      <c r="B377" s="84"/>
      <c r="C377" s="84"/>
      <c r="D377" s="84"/>
      <c r="E377" s="84"/>
      <c r="F377" s="84"/>
      <c r="G377" s="84"/>
      <c r="H377" s="84"/>
      <c r="I377" s="53"/>
      <c r="S377" s="126"/>
      <c r="T377" s="126"/>
      <c r="V377" s="54" t="str">
        <f>LEFT(A494,SUM(LEN(A494)-LEN(SUBSTITUTE(A494,{"0","1","2","3","4","5","6","7","8","9"},""))))</f>
        <v>1st</v>
      </c>
    </row>
    <row r="378" spans="1:22" s="54" customFormat="1" ht="15.75" customHeight="1" x14ac:dyDescent="0.3">
      <c r="A378" s="82">
        <v>1</v>
      </c>
      <c r="B378" s="83"/>
      <c r="C378" s="32" t="s">
        <v>215</v>
      </c>
      <c r="D378" s="62">
        <f>(2.75*5.25+2.175*3.275+1.975*2.775+2.75*3.05+2.75*2.775+2.75*3.875+0.575*0.05+2.2*1.225+1.225*2.125+2.2*1.225+1.05*1.05+1.9*1.05+1.975*1+2.8*1.05)*10.764</f>
        <v>750.79572749999977</v>
      </c>
      <c r="E378" s="32">
        <v>0</v>
      </c>
      <c r="F378" s="32">
        <f>D378*(($F$296)+1)+E378</f>
        <v>1201.2731639999997</v>
      </c>
      <c r="G378" s="85" t="str">
        <f>A377</f>
        <v>48th Floor For Part Refuge Area</v>
      </c>
      <c r="H378" s="87"/>
      <c r="I378" s="53"/>
      <c r="S378" s="126">
        <f t="shared" ref="S378:S380" ca="1" si="77">V378</f>
        <v>101</v>
      </c>
      <c r="T378" s="126"/>
      <c r="U378" s="53">
        <v>1</v>
      </c>
      <c r="V378" s="54">
        <f ca="1">(SUMPRODUCT(MID(0&amp;V377, LARGE(INDEX(ISNUMBER(--MID(V377, ROW(INDIRECT("1:"&amp;LEN(V377))), 1)) * ROW(INDIRECT("1:"&amp;LEN(V377))), 0), ROW(INDIRECT("1:"&amp;LEN(V377))))+1, 1) * 10^ROW(INDIRECT("1:"&amp;LEN(V377)))/10))*U378*100+1</f>
        <v>101</v>
      </c>
    </row>
    <row r="379" spans="1:22" s="54" customFormat="1" ht="15.75" customHeight="1" x14ac:dyDescent="0.3">
      <c r="A379" s="82">
        <v>2</v>
      </c>
      <c r="B379" s="83"/>
      <c r="C379" s="32" t="s">
        <v>199</v>
      </c>
      <c r="D379" s="62">
        <f>(2.775*4.125+2.175*2.375+1.975*2.775+2.75*2.775+2.75*3.925+2.2*1.225+1.275*2.2+2*1.05+0.95*1.05+2.775*1.05)*10.764</f>
        <v>560.04419250000001</v>
      </c>
      <c r="E379" s="32">
        <v>0</v>
      </c>
      <c r="F379" s="32">
        <f>D379*(($F$296)+1)+E379</f>
        <v>896.07070800000008</v>
      </c>
      <c r="G379" s="88"/>
      <c r="H379" s="90"/>
      <c r="I379" s="53"/>
      <c r="S379" s="126">
        <f t="shared" ca="1" si="77"/>
        <v>102</v>
      </c>
      <c r="T379" s="126"/>
      <c r="U379" s="53">
        <f>U378+1</f>
        <v>2</v>
      </c>
      <c r="V379" s="54">
        <f ca="1">V378+1</f>
        <v>102</v>
      </c>
    </row>
    <row r="380" spans="1:22" s="54" customFormat="1" ht="15.75" customHeight="1" x14ac:dyDescent="0.3">
      <c r="A380" s="82">
        <v>3</v>
      </c>
      <c r="B380" s="83"/>
      <c r="C380" s="32" t="s">
        <v>199</v>
      </c>
      <c r="D380" s="62">
        <f>(2.775*4.125+1.475*2.9+2.75*1.9+2.75*3.075+2.75*4.075+0.05*0.9+1.225*2.2+1.275*2.2+2.8*0.9+2.775*1.05)*10.764</f>
        <v>555.32148749999999</v>
      </c>
      <c r="E380" s="32">
        <v>0</v>
      </c>
      <c r="F380" s="32">
        <f>D380*(($F$296)+1)+E380</f>
        <v>888.51438000000007</v>
      </c>
      <c r="G380" s="88"/>
      <c r="H380" s="90"/>
      <c r="I380" s="53"/>
      <c r="S380" s="126">
        <f t="shared" ca="1" si="77"/>
        <v>103</v>
      </c>
      <c r="T380" s="126"/>
      <c r="U380" s="53">
        <f>U379+1</f>
        <v>3</v>
      </c>
      <c r="V380" s="54">
        <f ca="1">V379+1</f>
        <v>103</v>
      </c>
    </row>
    <row r="381" spans="1:22" s="54" customFormat="1" ht="15.75" customHeight="1" x14ac:dyDescent="0.3">
      <c r="A381" s="82">
        <v>4</v>
      </c>
      <c r="B381" s="83"/>
      <c r="C381" s="32" t="s">
        <v>199</v>
      </c>
      <c r="D381" s="62">
        <f>(43.16+2.4*1.075)*10.764</f>
        <v>492.34535999999991</v>
      </c>
      <c r="E381" s="32">
        <v>0</v>
      </c>
      <c r="F381" s="32">
        <f>D381*(($F$296)+1)+E381</f>
        <v>787.75257599999986</v>
      </c>
      <c r="G381" s="88"/>
      <c r="H381" s="90"/>
      <c r="I381" s="53">
        <f>1.225*1.125+4.975*2.425+2.75*0.94+2.025*3.2+2.75*3.2+2.75*3.145+0.7*0.05+2.2*1.225+1.1*1.1+0.9*1.05+0.95*1.15+1.275*2.2</f>
        <v>48.738749999999996</v>
      </c>
      <c r="S381" s="126" t="e">
        <f t="shared" ref="S381:S384" ca="1" si="78">V381</f>
        <v>#REF!</v>
      </c>
      <c r="T381" s="126"/>
      <c r="U381" s="53">
        <v>1</v>
      </c>
      <c r="V381" s="54" t="e">
        <f ca="1">(SUMPRODUCT(MID(0&amp;#REF!, LARGE(INDEX(ISNUMBER(--MID(#REF!, ROW(INDIRECT("1:"&amp;LEN(#REF!))), 1)) * ROW(INDIRECT("1:"&amp;LEN(#REF!))), 0), ROW(INDIRECT("1:"&amp;LEN(#REF!))))+1, 1) * 10^ROW(INDIRECT("1:"&amp;LEN(#REF!)))/10))*U381*100+1</f>
        <v>#REF!</v>
      </c>
    </row>
    <row r="382" spans="1:22" s="54" customFormat="1" ht="15.75" customHeight="1" x14ac:dyDescent="0.3">
      <c r="A382" s="82" t="s">
        <v>249</v>
      </c>
      <c r="B382" s="83"/>
      <c r="C382" s="82" t="s">
        <v>251</v>
      </c>
      <c r="D382" s="94"/>
      <c r="E382" s="94"/>
      <c r="F382" s="83"/>
      <c r="G382" s="88"/>
      <c r="H382" s="90"/>
      <c r="I382" s="53"/>
      <c r="S382" s="126" t="e">
        <f t="shared" ca="1" si="78"/>
        <v>#REF!</v>
      </c>
      <c r="T382" s="126"/>
      <c r="U382" s="53">
        <f>U381+1</f>
        <v>2</v>
      </c>
      <c r="V382" s="54" t="e">
        <f ca="1">V381+1</f>
        <v>#REF!</v>
      </c>
    </row>
    <row r="383" spans="1:22" s="54" customFormat="1" ht="15.75" customHeight="1" x14ac:dyDescent="0.3">
      <c r="A383" s="82">
        <v>7</v>
      </c>
      <c r="B383" s="83"/>
      <c r="C383" s="32" t="s">
        <v>215</v>
      </c>
      <c r="D383" s="62">
        <f>(2.625*1.025+5.05*2.8+4.95*0.05+2.025*2.85+1.225*2.85+1.525*1.2+4.875*2.75+1.825*2.725+2.35*2.725+2.75*3.05+1.275*2.2+0.55*1.05+2*1.05+2.2*1.225+1.9*2.375+(4.95*1.075))*10.764</f>
        <v>854.15031000000022</v>
      </c>
      <c r="E383" s="32">
        <v>0</v>
      </c>
      <c r="F383" s="32">
        <f>D383*(($F$296)+1)+E383</f>
        <v>1366.6404960000004</v>
      </c>
      <c r="G383" s="88"/>
      <c r="H383" s="90"/>
      <c r="I383" s="53"/>
      <c r="S383" s="126" t="e">
        <f t="shared" ca="1" si="78"/>
        <v>#REF!</v>
      </c>
      <c r="T383" s="126"/>
      <c r="U383" s="53">
        <f>U382+1</f>
        <v>3</v>
      </c>
      <c r="V383" s="54" t="e">
        <f ca="1">V382+1</f>
        <v>#REF!</v>
      </c>
    </row>
    <row r="384" spans="1:22" s="54" customFormat="1" ht="15.75" customHeight="1" x14ac:dyDescent="0.3">
      <c r="A384" s="141" t="s">
        <v>166</v>
      </c>
      <c r="B384" s="141"/>
      <c r="C384" s="141"/>
      <c r="D384" s="141"/>
      <c r="E384" s="141"/>
      <c r="F384" s="141"/>
      <c r="G384" s="141"/>
      <c r="H384" s="141"/>
      <c r="I384" s="53"/>
      <c r="S384" s="126" t="e">
        <f t="shared" ca="1" si="78"/>
        <v>#REF!</v>
      </c>
      <c r="T384" s="126"/>
      <c r="U384" s="53">
        <f t="shared" ref="U384:V384" si="79">U383+1</f>
        <v>4</v>
      </c>
      <c r="V384" s="54" t="e">
        <f t="shared" ca="1" si="79"/>
        <v>#REF!</v>
      </c>
    </row>
    <row r="385" spans="1:22" s="54" customFormat="1" x14ac:dyDescent="0.3">
      <c r="A385" s="84" t="s">
        <v>315</v>
      </c>
      <c r="B385" s="84"/>
      <c r="C385" s="84"/>
      <c r="D385" s="84"/>
      <c r="E385" s="84"/>
      <c r="F385" s="84"/>
      <c r="G385" s="84"/>
      <c r="H385" s="84"/>
      <c r="I385" s="53"/>
      <c r="S385" s="126"/>
      <c r="T385" s="126"/>
      <c r="V385" s="54" t="str">
        <f>LEFT(A502,SUM(LEN(A502)-LEN(SUBSTITUTE(A502,{"0","1","2","3","4","5","6","7","8","9"},""))))</f>
        <v>6</v>
      </c>
    </row>
    <row r="386" spans="1:22" s="54" customFormat="1" ht="15.75" customHeight="1" x14ac:dyDescent="0.3">
      <c r="A386" s="84" t="s">
        <v>275</v>
      </c>
      <c r="B386" s="84"/>
      <c r="C386" s="84"/>
      <c r="D386" s="84"/>
      <c r="E386" s="84"/>
      <c r="F386" s="84"/>
      <c r="G386" s="84"/>
      <c r="H386" s="84"/>
      <c r="I386" s="53"/>
      <c r="S386" s="126">
        <f t="shared" ref="S386:S388" ca="1" si="80">V386</f>
        <v>601</v>
      </c>
      <c r="T386" s="126"/>
      <c r="U386" s="53">
        <v>1</v>
      </c>
      <c r="V386" s="54">
        <f ca="1">(SUMPRODUCT(MID(0&amp;V385, LARGE(INDEX(ISNUMBER(--MID(V385, ROW(INDIRECT("1:"&amp;LEN(V385))), 1)) * ROW(INDIRECT("1:"&amp;LEN(V385))), 0), ROW(INDIRECT("1:"&amp;LEN(V385))))+1, 1) * 10^ROW(INDIRECT("1:"&amp;LEN(V385)))/10))*U386*100+1</f>
        <v>601</v>
      </c>
    </row>
    <row r="387" spans="1:22" s="54" customFormat="1" ht="15.75" customHeight="1" x14ac:dyDescent="0.3">
      <c r="A387" s="82">
        <v>1</v>
      </c>
      <c r="B387" s="83"/>
      <c r="C387" s="85" t="s">
        <v>195</v>
      </c>
      <c r="D387" s="86"/>
      <c r="E387" s="86"/>
      <c r="F387" s="87"/>
      <c r="G387" s="85" t="str">
        <f>A386</f>
        <v>1st to 5th &amp; 7th Floor for Residential</v>
      </c>
      <c r="H387" s="87"/>
      <c r="I387" s="53"/>
      <c r="S387" s="126">
        <f t="shared" ca="1" si="80"/>
        <v>602</v>
      </c>
      <c r="T387" s="126"/>
      <c r="U387" s="53">
        <f>U386+1</f>
        <v>2</v>
      </c>
      <c r="V387" s="54">
        <f ca="1">V386+1</f>
        <v>602</v>
      </c>
    </row>
    <row r="388" spans="1:22" s="54" customFormat="1" ht="15.75" customHeight="1" x14ac:dyDescent="0.3">
      <c r="A388" s="82">
        <v>2</v>
      </c>
      <c r="B388" s="83"/>
      <c r="C388" s="88"/>
      <c r="D388" s="89"/>
      <c r="E388" s="89"/>
      <c r="F388" s="90"/>
      <c r="G388" s="88"/>
      <c r="H388" s="90"/>
      <c r="I388" s="53"/>
      <c r="S388" s="126">
        <f t="shared" ca="1" si="80"/>
        <v>603</v>
      </c>
      <c r="T388" s="126"/>
      <c r="U388" s="53">
        <f>U387+1</f>
        <v>3</v>
      </c>
      <c r="V388" s="54">
        <f ca="1">V387+1</f>
        <v>603</v>
      </c>
    </row>
    <row r="389" spans="1:22" s="54" customFormat="1" ht="15.75" customHeight="1" x14ac:dyDescent="0.3">
      <c r="A389" s="82">
        <v>3</v>
      </c>
      <c r="B389" s="83"/>
      <c r="C389" s="88"/>
      <c r="D389" s="89"/>
      <c r="E389" s="89"/>
      <c r="F389" s="90"/>
      <c r="G389" s="88"/>
      <c r="H389" s="90"/>
      <c r="I389" s="53"/>
      <c r="S389" s="126">
        <f t="shared" ref="S389:S392" ca="1" si="81">V389</f>
        <v>601</v>
      </c>
      <c r="T389" s="126"/>
      <c r="U389" s="53">
        <v>1</v>
      </c>
      <c r="V389" s="54">
        <f ca="1">(SUMPRODUCT(MID(0&amp;V385, LARGE(INDEX(ISNUMBER(--MID(V385, ROW(INDIRECT("1:"&amp;LEN(V385))), 1)) * ROW(INDIRECT("1:"&amp;LEN(V385))), 0), ROW(INDIRECT("1:"&amp;LEN(V385))))+1, 1) * 10^ROW(INDIRECT("1:"&amp;LEN(V385)))/10))*U389*100+1</f>
        <v>601</v>
      </c>
    </row>
    <row r="390" spans="1:22" s="54" customFormat="1" ht="15.75" customHeight="1" x14ac:dyDescent="0.3">
      <c r="A390" s="82">
        <v>4</v>
      </c>
      <c r="B390" s="83"/>
      <c r="C390" s="91"/>
      <c r="D390" s="92"/>
      <c r="E390" s="92"/>
      <c r="F390" s="93"/>
      <c r="G390" s="88"/>
      <c r="H390" s="90"/>
      <c r="I390" s="53"/>
      <c r="S390" s="126">
        <f t="shared" ca="1" si="81"/>
        <v>602</v>
      </c>
      <c r="T390" s="126"/>
      <c r="U390" s="53">
        <f>U389+1</f>
        <v>2</v>
      </c>
      <c r="V390" s="54">
        <f ca="1">V389+1</f>
        <v>602</v>
      </c>
    </row>
    <row r="391" spans="1:22" s="54" customFormat="1" ht="15.75" customHeight="1" x14ac:dyDescent="0.3">
      <c r="A391" s="82">
        <v>5</v>
      </c>
      <c r="B391" s="83"/>
      <c r="C391" s="32" t="s">
        <v>150</v>
      </c>
      <c r="D391" s="32">
        <f>(45.52)*10.764</f>
        <v>489.97728000000001</v>
      </c>
      <c r="E391" s="32">
        <v>0</v>
      </c>
      <c r="F391" s="32">
        <f>D391*(($F$296)+1)+E391</f>
        <v>783.96364800000003</v>
      </c>
      <c r="G391" s="88"/>
      <c r="H391" s="90"/>
      <c r="I391" s="53"/>
      <c r="S391" s="126">
        <f t="shared" ca="1" si="81"/>
        <v>603</v>
      </c>
      <c r="T391" s="126"/>
      <c r="U391" s="53">
        <f>U390+1</f>
        <v>3</v>
      </c>
      <c r="V391" s="54">
        <f ca="1">V390+1</f>
        <v>603</v>
      </c>
    </row>
    <row r="392" spans="1:22" s="54" customFormat="1" ht="15.75" customHeight="1" x14ac:dyDescent="0.3">
      <c r="A392" s="82">
        <v>6</v>
      </c>
      <c r="B392" s="83"/>
      <c r="C392" s="32" t="s">
        <v>151</v>
      </c>
      <c r="D392" s="32">
        <f>(34.31)*10.764</f>
        <v>369.31283999999999</v>
      </c>
      <c r="E392" s="32">
        <v>0</v>
      </c>
      <c r="F392" s="32">
        <f>D392*(($F$296)+1)+E392</f>
        <v>590.90054399999997</v>
      </c>
      <c r="G392" s="88"/>
      <c r="H392" s="90"/>
      <c r="I392" s="53">
        <f>4.575*2.85*2.4*0.05+1.975*2.3+2.7*2.775+2.75*3.12*1.275*2.125+2.125*1.225+2*1.05+0.9*1.05</f>
        <v>42.494212499999996</v>
      </c>
      <c r="S392" s="126">
        <f t="shared" ca="1" si="81"/>
        <v>604</v>
      </c>
      <c r="T392" s="126"/>
      <c r="U392" s="53">
        <f t="shared" ref="U392:V392" si="82">U391+1</f>
        <v>4</v>
      </c>
      <c r="V392" s="54">
        <f t="shared" ca="1" si="82"/>
        <v>604</v>
      </c>
    </row>
    <row r="393" spans="1:22" s="54" customFormat="1" x14ac:dyDescent="0.3">
      <c r="A393" s="82">
        <v>7</v>
      </c>
      <c r="B393" s="83"/>
      <c r="C393" s="32" t="s">
        <v>151</v>
      </c>
      <c r="D393" s="32">
        <f>(34.31)*10.764</f>
        <v>369.31283999999999</v>
      </c>
      <c r="E393" s="32">
        <v>0</v>
      </c>
      <c r="F393" s="32">
        <f>D393*(($F$296)+1)+E393</f>
        <v>590.90054399999997</v>
      </c>
      <c r="G393" s="88"/>
      <c r="H393" s="90"/>
      <c r="I393" s="53"/>
      <c r="S393" s="126"/>
      <c r="T393" s="126"/>
      <c r="V393" s="54" t="str">
        <f>LEFT(A510,SUM(LEN(A510)-LEN(SUBSTITUTE(A510,{"0","1","2","3","4","5","6","7","8","9"},""))))</f>
        <v>8</v>
      </c>
    </row>
    <row r="394" spans="1:22" s="54" customFormat="1" x14ac:dyDescent="0.3">
      <c r="A394" s="82">
        <v>8</v>
      </c>
      <c r="B394" s="83"/>
      <c r="C394" s="32" t="s">
        <v>150</v>
      </c>
      <c r="D394" s="32">
        <f>(45.52)*10.764</f>
        <v>489.97728000000001</v>
      </c>
      <c r="E394" s="32">
        <v>0</v>
      </c>
      <c r="F394" s="32">
        <f>D394*(($F$296)+1)+E394</f>
        <v>783.96364800000003</v>
      </c>
      <c r="G394" s="91"/>
      <c r="H394" s="93"/>
      <c r="I394" s="53">
        <f>4.575*2.85*2.4*0.05+1.975*2.3+2.7*2.775+2.75*3.12*1.275*2.125+2.125*1.225+2*1.05+0.9*1.05</f>
        <v>42.494212499999996</v>
      </c>
      <c r="S394" s="126" t="e">
        <f t="shared" ref="S394:S400" ca="1" si="83">V394</f>
        <v>#REF!</v>
      </c>
      <c r="T394" s="126"/>
      <c r="U394" s="53">
        <v>1</v>
      </c>
      <c r="V394" s="54" t="e">
        <f ca="1">(SUMPRODUCT(MID(0&amp;#REF!, LARGE(INDEX(ISNUMBER(--MID(#REF!, ROW(INDIRECT("1:"&amp;LEN(#REF!))), 1)) * ROW(INDIRECT("1:"&amp;LEN(#REF!))), 0), ROW(INDIRECT("1:"&amp;LEN(#REF!))))+1, 1) * 10^ROW(INDIRECT("1:"&amp;LEN(#REF!)))/10))*U394*100+1</f>
        <v>#REF!</v>
      </c>
    </row>
    <row r="395" spans="1:22" s="54" customFormat="1" ht="15.75" customHeight="1" x14ac:dyDescent="0.3">
      <c r="A395" s="84" t="s">
        <v>194</v>
      </c>
      <c r="B395" s="84"/>
      <c r="C395" s="84"/>
      <c r="D395" s="84"/>
      <c r="E395" s="84"/>
      <c r="F395" s="84"/>
      <c r="G395" s="84"/>
      <c r="H395" s="84"/>
      <c r="I395" s="53">
        <f>2.75*5.25+2.175*3.275+1.975*2.775+2.75*2.775+0.952*0.05+2.75*3.875+0.625*0.05+2.75*3.05+2.2*1.225+1.225*2.125+2.2*1.225+1.9*1.05+1.05*1.05+1.975*1</f>
        <v>66.860725000000002</v>
      </c>
      <c r="S395" s="126" t="e">
        <f t="shared" ca="1" si="83"/>
        <v>#REF!</v>
      </c>
      <c r="T395" s="126"/>
      <c r="U395" s="53">
        <f>U394+1</f>
        <v>2</v>
      </c>
      <c r="V395" s="54" t="e">
        <f ca="1">V394+1</f>
        <v>#REF!</v>
      </c>
    </row>
    <row r="396" spans="1:22" s="54" customFormat="1" ht="15.75" customHeight="1" x14ac:dyDescent="0.3">
      <c r="A396" s="82">
        <v>1</v>
      </c>
      <c r="B396" s="83"/>
      <c r="C396" s="85" t="s">
        <v>195</v>
      </c>
      <c r="D396" s="86"/>
      <c r="E396" s="86"/>
      <c r="F396" s="87"/>
      <c r="G396" s="85" t="str">
        <f>A395</f>
        <v>6th Floor (Part Refuge Area)</v>
      </c>
      <c r="H396" s="87"/>
      <c r="I396" s="53"/>
      <c r="S396" s="126" t="e">
        <f t="shared" ca="1" si="83"/>
        <v>#REF!</v>
      </c>
      <c r="T396" s="126"/>
      <c r="U396" s="53">
        <f>U395+1</f>
        <v>3</v>
      </c>
      <c r="V396" s="54" t="e">
        <f ca="1">V395+1</f>
        <v>#REF!</v>
      </c>
    </row>
    <row r="397" spans="1:22" s="54" customFormat="1" ht="15.75" customHeight="1" x14ac:dyDescent="0.3">
      <c r="A397" s="82">
        <v>2</v>
      </c>
      <c r="B397" s="83"/>
      <c r="C397" s="88"/>
      <c r="D397" s="89"/>
      <c r="E397" s="89"/>
      <c r="F397" s="90"/>
      <c r="G397" s="88"/>
      <c r="H397" s="90"/>
      <c r="I397" s="53">
        <f>10098500/F514</f>
        <v>10594.964837936184</v>
      </c>
      <c r="S397" s="126" t="e">
        <f t="shared" ca="1" si="83"/>
        <v>#REF!</v>
      </c>
      <c r="T397" s="126"/>
      <c r="U397" s="53">
        <f t="shared" ref="U397:V397" si="84">U396+1</f>
        <v>4</v>
      </c>
      <c r="V397" s="54" t="e">
        <f t="shared" ca="1" si="84"/>
        <v>#REF!</v>
      </c>
    </row>
    <row r="398" spans="1:22" s="54" customFormat="1" ht="15.75" customHeight="1" x14ac:dyDescent="0.3">
      <c r="A398" s="82">
        <v>3</v>
      </c>
      <c r="B398" s="83"/>
      <c r="C398" s="88"/>
      <c r="D398" s="89"/>
      <c r="E398" s="89"/>
      <c r="F398" s="90"/>
      <c r="G398" s="88"/>
      <c r="H398" s="90"/>
      <c r="I398" s="53"/>
      <c r="S398" s="126">
        <f t="shared" ca="1" si="83"/>
        <v>801</v>
      </c>
      <c r="T398" s="126"/>
      <c r="U398" s="53">
        <v>1</v>
      </c>
      <c r="V398" s="54">
        <f ca="1">(SUMPRODUCT(MID(0&amp;V393, LARGE(INDEX(ISNUMBER(--MID(V393, ROW(INDIRECT("1:"&amp;LEN(V393))), 1)) * ROW(INDIRECT("1:"&amp;LEN(V393))), 0), ROW(INDIRECT("1:"&amp;LEN(V393))))+1, 1) * 10^ROW(INDIRECT("1:"&amp;LEN(V393)))/10))*U398*100+1</f>
        <v>801</v>
      </c>
    </row>
    <row r="399" spans="1:22" s="54" customFormat="1" ht="15.75" customHeight="1" x14ac:dyDescent="0.3">
      <c r="A399" s="82">
        <v>4</v>
      </c>
      <c r="B399" s="83"/>
      <c r="C399" s="91"/>
      <c r="D399" s="92"/>
      <c r="E399" s="92"/>
      <c r="F399" s="93"/>
      <c r="G399" s="88"/>
      <c r="H399" s="90"/>
      <c r="I399" s="53"/>
      <c r="S399" s="126">
        <f t="shared" ca="1" si="83"/>
        <v>802</v>
      </c>
      <c r="T399" s="126"/>
      <c r="U399" s="53">
        <f>U398+1</f>
        <v>2</v>
      </c>
      <c r="V399" s="54">
        <f ca="1">V398+1</f>
        <v>802</v>
      </c>
    </row>
    <row r="400" spans="1:22" s="54" customFormat="1" ht="15.75" customHeight="1" x14ac:dyDescent="0.3">
      <c r="A400" s="82">
        <v>5</v>
      </c>
      <c r="B400" s="83"/>
      <c r="C400" s="85" t="s">
        <v>152</v>
      </c>
      <c r="D400" s="86"/>
      <c r="E400" s="86"/>
      <c r="F400" s="87"/>
      <c r="G400" s="88"/>
      <c r="H400" s="90"/>
      <c r="I400" s="53"/>
      <c r="S400" s="126">
        <f t="shared" ca="1" si="83"/>
        <v>803</v>
      </c>
      <c r="T400" s="126"/>
      <c r="U400" s="53">
        <f>U399+1</f>
        <v>3</v>
      </c>
      <c r="V400" s="54">
        <f ca="1">V399+1</f>
        <v>803</v>
      </c>
    </row>
    <row r="401" spans="1:22" s="54" customFormat="1" x14ac:dyDescent="0.3">
      <c r="A401" s="82">
        <v>6</v>
      </c>
      <c r="B401" s="83"/>
      <c r="C401" s="91"/>
      <c r="D401" s="92"/>
      <c r="E401" s="92"/>
      <c r="F401" s="93"/>
      <c r="G401" s="88"/>
      <c r="H401" s="90"/>
      <c r="I401" s="53">
        <v>5</v>
      </c>
      <c r="S401" s="126"/>
      <c r="T401" s="126"/>
      <c r="V401" s="54" t="str">
        <f>LEFT(A533,SUM(LEN(A533)-LEN(SUBSTITUTE(A533,{"0","1","2","3","4","5","6","7","8","9"},""))))</f>
        <v>Serv</v>
      </c>
    </row>
    <row r="402" spans="1:22" s="54" customFormat="1" x14ac:dyDescent="0.3">
      <c r="A402" s="82">
        <v>7</v>
      </c>
      <c r="B402" s="83"/>
      <c r="C402" s="32" t="s">
        <v>151</v>
      </c>
      <c r="D402" s="32">
        <f>(34.31)*10.764</f>
        <v>369.31283999999999</v>
      </c>
      <c r="E402" s="32">
        <v>0</v>
      </c>
      <c r="F402" s="32">
        <f>D402*(($F$296)+1)+E402</f>
        <v>590.90054399999997</v>
      </c>
      <c r="G402" s="88"/>
      <c r="H402" s="90"/>
      <c r="I402" s="53">
        <v>5</v>
      </c>
      <c r="S402" s="126"/>
      <c r="T402" s="126"/>
      <c r="V402" s="54" t="str">
        <f>LEFT(A534,SUM(LEN(A534)-LEN(SUBSTITUTE(A534,{"0","1","2","3","4","5","6","7","8","9"},""))))</f>
        <v>13th, 20th</v>
      </c>
    </row>
    <row r="403" spans="1:22" s="54" customFormat="1" ht="15.75" customHeight="1" x14ac:dyDescent="0.3">
      <c r="A403" s="82">
        <v>8</v>
      </c>
      <c r="B403" s="83"/>
      <c r="C403" s="32" t="s">
        <v>150</v>
      </c>
      <c r="D403" s="32">
        <f>(45.52)*10.764</f>
        <v>489.97728000000001</v>
      </c>
      <c r="E403" s="32">
        <v>0</v>
      </c>
      <c r="F403" s="32">
        <f>D403*(($F$296)+1)+E403</f>
        <v>783.96364800000003</v>
      </c>
      <c r="G403" s="91"/>
      <c r="H403" s="93"/>
      <c r="I403" s="53">
        <f>11700000/F535</f>
        <v>12353.322821479167</v>
      </c>
      <c r="S403" s="126">
        <f t="shared" ref="S403:S409" ca="1" si="85">V403</f>
        <v>80101</v>
      </c>
      <c r="T403" s="126"/>
      <c r="U403" s="53">
        <v>1</v>
      </c>
      <c r="V403" s="54">
        <f ca="1">(SUMPRODUCT(MID(0&amp;V398, LARGE(INDEX(ISNUMBER(--MID(V398, ROW(INDIRECT("1:"&amp;LEN(V398))), 1)) * ROW(INDIRECT("1:"&amp;LEN(V398))), 0), ROW(INDIRECT("1:"&amp;LEN(V398))))+1, 1) * 10^ROW(INDIRECT("1:"&amp;LEN(V398)))/10))*U403*100+1</f>
        <v>80101</v>
      </c>
    </row>
    <row r="404" spans="1:22" s="54" customFormat="1" ht="15.75" customHeight="1" x14ac:dyDescent="0.3">
      <c r="A404" s="84" t="s">
        <v>284</v>
      </c>
      <c r="B404" s="84"/>
      <c r="C404" s="84"/>
      <c r="D404" s="84"/>
      <c r="E404" s="84"/>
      <c r="F404" s="84"/>
      <c r="G404" s="84"/>
      <c r="H404" s="84"/>
      <c r="I404" s="53"/>
      <c r="S404" s="126">
        <f t="shared" ca="1" si="85"/>
        <v>80102</v>
      </c>
      <c r="T404" s="126"/>
      <c r="U404" s="53">
        <f>U403+1</f>
        <v>2</v>
      </c>
      <c r="V404" s="54">
        <f ca="1">V403+1</f>
        <v>80102</v>
      </c>
    </row>
    <row r="405" spans="1:22" s="54" customFormat="1" ht="15.75" customHeight="1" x14ac:dyDescent="0.3">
      <c r="A405" s="82">
        <v>1</v>
      </c>
      <c r="B405" s="83"/>
      <c r="C405" s="32" t="s">
        <v>150</v>
      </c>
      <c r="D405" s="32">
        <f>44.14*10.764</f>
        <v>475.12295999999998</v>
      </c>
      <c r="E405" s="32">
        <f>(2.4*5.8)*10.764</f>
        <v>149.83488</v>
      </c>
      <c r="F405" s="32">
        <f t="shared" ref="F405:F412" si="86">D405*(($F$296)+1)+E405</f>
        <v>910.03161599999999</v>
      </c>
      <c r="G405" s="85" t="str">
        <f>A404</f>
        <v>8th Floor For Residential</v>
      </c>
      <c r="H405" s="87"/>
      <c r="I405" s="53"/>
      <c r="S405" s="126">
        <f t="shared" ca="1" si="85"/>
        <v>80103</v>
      </c>
      <c r="T405" s="126"/>
      <c r="U405" s="53">
        <f>U404+1</f>
        <v>3</v>
      </c>
      <c r="V405" s="54">
        <f ca="1">V404+1</f>
        <v>80103</v>
      </c>
    </row>
    <row r="406" spans="1:22" s="54" customFormat="1" ht="15.75" customHeight="1" x14ac:dyDescent="0.3">
      <c r="A406" s="82">
        <v>2</v>
      </c>
      <c r="B406" s="83"/>
      <c r="C406" s="32" t="s">
        <v>151</v>
      </c>
      <c r="D406" s="32">
        <f>(32.9)*10.764</f>
        <v>354.13559999999995</v>
      </c>
      <c r="E406" s="32">
        <f>(2.4*5.8+6.2*3)*10.764</f>
        <v>350.04527999999999</v>
      </c>
      <c r="F406" s="32">
        <f t="shared" si="86"/>
        <v>916.66223999999988</v>
      </c>
      <c r="G406" s="88"/>
      <c r="H406" s="90"/>
      <c r="I406" s="53"/>
      <c r="S406" s="126">
        <f t="shared" ca="1" si="85"/>
        <v>80104</v>
      </c>
      <c r="T406" s="126"/>
      <c r="U406" s="53">
        <f t="shared" ref="U406:V406" si="87">U405+1</f>
        <v>4</v>
      </c>
      <c r="V406" s="54">
        <f t="shared" ca="1" si="87"/>
        <v>80104</v>
      </c>
    </row>
    <row r="407" spans="1:22" s="54" customFormat="1" ht="15.75" customHeight="1" x14ac:dyDescent="0.3">
      <c r="A407" s="82">
        <v>3</v>
      </c>
      <c r="B407" s="83"/>
      <c r="C407" s="32" t="s">
        <v>151</v>
      </c>
      <c r="D407" s="32">
        <f>(32.9)*10.764</f>
        <v>354.13559999999995</v>
      </c>
      <c r="E407" s="32">
        <f>(6.2*3)*10.764</f>
        <v>200.21039999999999</v>
      </c>
      <c r="F407" s="32">
        <f t="shared" si="86"/>
        <v>766.82736</v>
      </c>
      <c r="G407" s="88"/>
      <c r="H407" s="90"/>
      <c r="I407" s="53"/>
      <c r="S407" s="126">
        <f t="shared" ca="1" si="85"/>
        <v>132001</v>
      </c>
      <c r="T407" s="126"/>
      <c r="U407" s="53">
        <v>1</v>
      </c>
      <c r="V407" s="54">
        <f ca="1">(SUMPRODUCT(MID(0&amp;V402, LARGE(INDEX(ISNUMBER(--MID(V402, ROW(INDIRECT("1:"&amp;LEN(V402))), 1)) * ROW(INDIRECT("1:"&amp;LEN(V402))), 0), ROW(INDIRECT("1:"&amp;LEN(V402))))+1, 1) * 10^ROW(INDIRECT("1:"&amp;LEN(V402)))/10))*U407*100+1</f>
        <v>132001</v>
      </c>
    </row>
    <row r="408" spans="1:22" s="54" customFormat="1" ht="15.75" customHeight="1" x14ac:dyDescent="0.3">
      <c r="A408" s="82">
        <v>4</v>
      </c>
      <c r="B408" s="83"/>
      <c r="C408" s="32" t="s">
        <v>150</v>
      </c>
      <c r="D408" s="32">
        <f>(44.14)*10.764</f>
        <v>475.12295999999998</v>
      </c>
      <c r="E408" s="32">
        <v>0</v>
      </c>
      <c r="F408" s="32">
        <f t="shared" si="86"/>
        <v>760.19673599999999</v>
      </c>
      <c r="G408" s="88"/>
      <c r="H408" s="90"/>
      <c r="I408" s="53"/>
      <c r="S408" s="126">
        <f t="shared" ca="1" si="85"/>
        <v>132002</v>
      </c>
      <c r="T408" s="126"/>
      <c r="U408" s="53">
        <f>U407+1</f>
        <v>2</v>
      </c>
      <c r="V408" s="54">
        <f ca="1">V407+1</f>
        <v>132002</v>
      </c>
    </row>
    <row r="409" spans="1:22" s="54" customFormat="1" ht="15.75" customHeight="1" x14ac:dyDescent="0.3">
      <c r="A409" s="82">
        <v>5</v>
      </c>
      <c r="B409" s="83"/>
      <c r="C409" s="32" t="s">
        <v>150</v>
      </c>
      <c r="D409" s="32">
        <f>(45.52)*10.764</f>
        <v>489.97728000000001</v>
      </c>
      <c r="E409" s="32">
        <v>0</v>
      </c>
      <c r="F409" s="32">
        <f t="shared" si="86"/>
        <v>783.96364800000003</v>
      </c>
      <c r="G409" s="88"/>
      <c r="H409" s="90"/>
      <c r="I409" s="53"/>
      <c r="S409" s="126">
        <f t="shared" ca="1" si="85"/>
        <v>132003</v>
      </c>
      <c r="T409" s="126"/>
      <c r="U409" s="53">
        <f>U408+1</f>
        <v>3</v>
      </c>
      <c r="V409" s="54">
        <f ca="1">V408+1</f>
        <v>132003</v>
      </c>
    </row>
    <row r="410" spans="1:22" s="54" customFormat="1" x14ac:dyDescent="0.3">
      <c r="A410" s="82">
        <v>6</v>
      </c>
      <c r="B410" s="83"/>
      <c r="C410" s="32" t="s">
        <v>151</v>
      </c>
      <c r="D410" s="32">
        <f>(34.31)*10.764</f>
        <v>369.31283999999999</v>
      </c>
      <c r="E410" s="32">
        <v>0</v>
      </c>
      <c r="F410" s="32">
        <f t="shared" si="86"/>
        <v>590.90054399999997</v>
      </c>
      <c r="G410" s="88"/>
      <c r="H410" s="90"/>
      <c r="I410" s="53"/>
      <c r="S410" s="126"/>
      <c r="T410" s="126"/>
      <c r="V410" s="54" t="str">
        <f>LEFT(A542,SUM(LEN(A542)-LEN(SUBSTITUTE(A542,{"0","1","2","3","4","5","6","7","8","9"},""))))</f>
        <v>43rd t</v>
      </c>
    </row>
    <row r="411" spans="1:22" s="54" customFormat="1" x14ac:dyDescent="0.3">
      <c r="A411" s="82">
        <v>7</v>
      </c>
      <c r="B411" s="83"/>
      <c r="C411" s="32" t="s">
        <v>151</v>
      </c>
      <c r="D411" s="32">
        <f>(34.31)*10.764</f>
        <v>369.31283999999999</v>
      </c>
      <c r="E411" s="32">
        <v>0</v>
      </c>
      <c r="F411" s="32">
        <f t="shared" si="86"/>
        <v>590.90054399999997</v>
      </c>
      <c r="G411" s="88"/>
      <c r="H411" s="90"/>
      <c r="I411" s="53"/>
      <c r="S411" s="126" t="e">
        <f t="shared" ref="S411:S415" ca="1" si="88">V411</f>
        <v>#REF!</v>
      </c>
      <c r="T411" s="126"/>
      <c r="U411" s="53">
        <v>1</v>
      </c>
      <c r="V411" s="54" t="e">
        <f ca="1">(SUMPRODUCT(MID(0&amp;#REF!, LARGE(INDEX(ISNUMBER(--MID(#REF!, ROW(INDIRECT("1:"&amp;LEN(#REF!))), 1)) * ROW(INDIRECT("1:"&amp;LEN(#REF!))), 0), ROW(INDIRECT("1:"&amp;LEN(#REF!))))+1, 1) * 10^ROW(INDIRECT("1:"&amp;LEN(#REF!)))/10))*U411*100+1</f>
        <v>#REF!</v>
      </c>
    </row>
    <row r="412" spans="1:22" s="54" customFormat="1" ht="15.75" customHeight="1" x14ac:dyDescent="0.3">
      <c r="A412" s="82">
        <v>8</v>
      </c>
      <c r="B412" s="83"/>
      <c r="C412" s="32" t="s">
        <v>150</v>
      </c>
      <c r="D412" s="32">
        <f>(45.52)*10.764</f>
        <v>489.97728000000001</v>
      </c>
      <c r="E412" s="32">
        <v>0</v>
      </c>
      <c r="F412" s="32">
        <f t="shared" si="86"/>
        <v>783.96364800000003</v>
      </c>
      <c r="G412" s="91"/>
      <c r="H412" s="93"/>
      <c r="I412" s="53"/>
      <c r="S412" s="126" t="e">
        <f t="shared" ca="1" si="88"/>
        <v>#REF!</v>
      </c>
      <c r="T412" s="126"/>
      <c r="U412" s="53">
        <f>U411+1</f>
        <v>2</v>
      </c>
      <c r="V412" s="54" t="e">
        <f ca="1">V411+1</f>
        <v>#REF!</v>
      </c>
    </row>
    <row r="413" spans="1:22" s="54" customFormat="1" ht="15.75" customHeight="1" x14ac:dyDescent="0.3">
      <c r="A413" s="84" t="s">
        <v>285</v>
      </c>
      <c r="B413" s="84"/>
      <c r="C413" s="84"/>
      <c r="D413" s="84"/>
      <c r="E413" s="84"/>
      <c r="F413" s="84"/>
      <c r="G413" s="84"/>
      <c r="H413" s="84"/>
      <c r="I413" s="53"/>
      <c r="S413" s="126" t="e">
        <f t="shared" ca="1" si="88"/>
        <v>#REF!</v>
      </c>
      <c r="T413" s="126"/>
      <c r="U413" s="53">
        <f>U412+1</f>
        <v>3</v>
      </c>
      <c r="V413" s="54" t="e">
        <f ca="1">V412+1</f>
        <v>#REF!</v>
      </c>
    </row>
    <row r="414" spans="1:22" s="54" customFormat="1" ht="15.75" customHeight="1" x14ac:dyDescent="0.3">
      <c r="A414" s="82">
        <v>1</v>
      </c>
      <c r="B414" s="83"/>
      <c r="C414" s="32" t="s">
        <v>150</v>
      </c>
      <c r="D414" s="32">
        <f>44.14*10.764</f>
        <v>475.12295999999998</v>
      </c>
      <c r="E414" s="32">
        <v>0</v>
      </c>
      <c r="F414" s="32">
        <f t="shared" ref="F414:F421" si="89">D414*(($F$296)+1)+E414</f>
        <v>760.19673599999999</v>
      </c>
      <c r="G414" s="85" t="str">
        <f>A413</f>
        <v>9th to 12th, 14th to 19th, 21st to 26th, 28th to 33rd, 35th to 40th, 42nd to 47th &amp; 49th Floor</v>
      </c>
      <c r="H414" s="87"/>
      <c r="I414" s="53"/>
      <c r="S414" s="126" t="e">
        <f t="shared" ca="1" si="88"/>
        <v>#REF!</v>
      </c>
      <c r="T414" s="126"/>
      <c r="U414" s="53">
        <f t="shared" ref="U414:V414" si="90">U413+1</f>
        <v>4</v>
      </c>
      <c r="V414" s="54" t="e">
        <f t="shared" ca="1" si="90"/>
        <v>#REF!</v>
      </c>
    </row>
    <row r="415" spans="1:22" s="54" customFormat="1" ht="15.75" customHeight="1" x14ac:dyDescent="0.3">
      <c r="A415" s="82">
        <v>2</v>
      </c>
      <c r="B415" s="83"/>
      <c r="C415" s="32" t="s">
        <v>151</v>
      </c>
      <c r="D415" s="32">
        <f>(32.9)*10.764</f>
        <v>354.13559999999995</v>
      </c>
      <c r="E415" s="32">
        <v>0</v>
      </c>
      <c r="F415" s="32">
        <f t="shared" si="89"/>
        <v>566.61695999999995</v>
      </c>
      <c r="G415" s="88"/>
      <c r="H415" s="90"/>
      <c r="I415" s="53"/>
      <c r="S415" s="126">
        <f t="shared" ca="1" si="88"/>
        <v>4301</v>
      </c>
      <c r="T415" s="126"/>
      <c r="U415" s="53">
        <v>1</v>
      </c>
      <c r="V415" s="54">
        <f ca="1">(SUMPRODUCT(MID(0&amp;V410, LARGE(INDEX(ISNUMBER(--MID(V410, ROW(INDIRECT("1:"&amp;LEN(V410))), 1)) * ROW(INDIRECT("1:"&amp;LEN(V410))), 0), ROW(INDIRECT("1:"&amp;LEN(V410))))+1, 1) * 10^ROW(INDIRECT("1:"&amp;LEN(V410)))/10))*U415*100+1</f>
        <v>4301</v>
      </c>
    </row>
    <row r="416" spans="1:22" s="54" customFormat="1" x14ac:dyDescent="0.3">
      <c r="A416" s="82">
        <v>3</v>
      </c>
      <c r="B416" s="83"/>
      <c r="C416" s="32" t="s">
        <v>151</v>
      </c>
      <c r="D416" s="32">
        <f>(32.9)*10.764</f>
        <v>354.13559999999995</v>
      </c>
      <c r="E416" s="32">
        <v>0</v>
      </c>
      <c r="F416" s="32">
        <f t="shared" si="89"/>
        <v>566.61695999999995</v>
      </c>
      <c r="G416" s="88"/>
      <c r="H416" s="90"/>
      <c r="I416" s="53"/>
      <c r="S416" s="126"/>
      <c r="T416" s="126"/>
      <c r="V416" s="54" t="str">
        <f>LEFT(A555,SUM(LEN(A555)-LEN(SUBSTITUTE(A555,{"0","1","2","3","4","5","6","7","8","9"},""))))</f>
        <v/>
      </c>
    </row>
    <row r="417" spans="1:22" s="54" customFormat="1" x14ac:dyDescent="0.3">
      <c r="A417" s="82">
        <v>4</v>
      </c>
      <c r="B417" s="83"/>
      <c r="C417" s="32" t="s">
        <v>150</v>
      </c>
      <c r="D417" s="32">
        <f>(44.14)*10.764</f>
        <v>475.12295999999998</v>
      </c>
      <c r="E417" s="32">
        <v>0</v>
      </c>
      <c r="F417" s="32">
        <f t="shared" si="89"/>
        <v>760.19673599999999</v>
      </c>
      <c r="G417" s="88"/>
      <c r="H417" s="90"/>
      <c r="I417" s="53"/>
      <c r="S417" s="126"/>
      <c r="T417" s="126"/>
      <c r="V417" s="54" t="str">
        <f>LEFT(A557,SUM(LEN(A557)-LEN(SUBSTITUTE(A557,{"0","1","2","3","4","5","6","7","8","9"},""))))</f>
        <v>1st</v>
      </c>
    </row>
    <row r="418" spans="1:22" s="54" customFormat="1" ht="15.75" customHeight="1" x14ac:dyDescent="0.3">
      <c r="A418" s="82">
        <v>5</v>
      </c>
      <c r="B418" s="83"/>
      <c r="C418" s="32" t="s">
        <v>150</v>
      </c>
      <c r="D418" s="32">
        <f>(45.52)*10.764</f>
        <v>489.97728000000001</v>
      </c>
      <c r="E418" s="32">
        <v>0</v>
      </c>
      <c r="F418" s="32">
        <f t="shared" si="89"/>
        <v>783.96364800000003</v>
      </c>
      <c r="G418" s="88"/>
      <c r="H418" s="90"/>
      <c r="I418" s="53"/>
      <c r="S418" s="126">
        <f t="shared" ref="S418:S424" ca="1" si="91">V418</f>
        <v>101</v>
      </c>
      <c r="T418" s="126"/>
      <c r="U418" s="53">
        <v>1</v>
      </c>
      <c r="V418" s="54">
        <f ca="1">(SUMPRODUCT(MID(0&amp;V417, LARGE(INDEX(ISNUMBER(--MID(V417, ROW(INDIRECT("1:"&amp;LEN(V417))), 1)) * ROW(INDIRECT("1:"&amp;LEN(V417))), 0), ROW(INDIRECT("1:"&amp;LEN(V417))))+1, 1) * 10^ROW(INDIRECT("1:"&amp;LEN(V417)))/10))*U418*100+1</f>
        <v>101</v>
      </c>
    </row>
    <row r="419" spans="1:22" s="54" customFormat="1" ht="15.75" customHeight="1" x14ac:dyDescent="0.3">
      <c r="A419" s="82">
        <v>6</v>
      </c>
      <c r="B419" s="83"/>
      <c r="C419" s="32" t="s">
        <v>151</v>
      </c>
      <c r="D419" s="32">
        <f>(34.31)*10.764</f>
        <v>369.31283999999999</v>
      </c>
      <c r="E419" s="32">
        <v>0</v>
      </c>
      <c r="F419" s="32">
        <f t="shared" si="89"/>
        <v>590.90054399999997</v>
      </c>
      <c r="G419" s="88"/>
      <c r="H419" s="90"/>
      <c r="I419" s="53"/>
      <c r="S419" s="126">
        <f t="shared" ca="1" si="91"/>
        <v>102</v>
      </c>
      <c r="T419" s="126"/>
      <c r="U419" s="53">
        <f>U418+1</f>
        <v>2</v>
      </c>
      <c r="V419" s="54">
        <f ca="1">V418+1</f>
        <v>102</v>
      </c>
    </row>
    <row r="420" spans="1:22" s="54" customFormat="1" ht="15.75" customHeight="1" x14ac:dyDescent="0.3">
      <c r="A420" s="82">
        <v>7</v>
      </c>
      <c r="B420" s="83"/>
      <c r="C420" s="32" t="s">
        <v>151</v>
      </c>
      <c r="D420" s="32">
        <f>(34.31)*10.764</f>
        <v>369.31283999999999</v>
      </c>
      <c r="E420" s="32">
        <v>0</v>
      </c>
      <c r="F420" s="32">
        <f t="shared" si="89"/>
        <v>590.90054399999997</v>
      </c>
      <c r="G420" s="88"/>
      <c r="H420" s="90"/>
      <c r="I420" s="53"/>
      <c r="S420" s="126">
        <f t="shared" ca="1" si="91"/>
        <v>103</v>
      </c>
      <c r="T420" s="126"/>
      <c r="U420" s="53">
        <f>U419+1</f>
        <v>3</v>
      </c>
      <c r="V420" s="54">
        <f ca="1">V419+1</f>
        <v>103</v>
      </c>
    </row>
    <row r="421" spans="1:22" s="54" customFormat="1" ht="15.75" customHeight="1" x14ac:dyDescent="0.3">
      <c r="A421" s="82">
        <v>8</v>
      </c>
      <c r="B421" s="83"/>
      <c r="C421" s="32" t="s">
        <v>150</v>
      </c>
      <c r="D421" s="32">
        <f>(45.52)*10.764</f>
        <v>489.97728000000001</v>
      </c>
      <c r="E421" s="32">
        <v>0</v>
      </c>
      <c r="F421" s="32">
        <f t="shared" si="89"/>
        <v>783.96364800000003</v>
      </c>
      <c r="G421" s="91"/>
      <c r="H421" s="93"/>
      <c r="I421" s="53">
        <f>3.75*2.85+1.225*1.125+2.4*0.05+1.15*0.05+2.525*1.9+2.75*3.2+2.4*2.675+1.225*2.2+1.225*2.2+2.625*0.9</f>
        <v>40.013124999999995</v>
      </c>
      <c r="S421" s="126">
        <f t="shared" ca="1" si="91"/>
        <v>104</v>
      </c>
      <c r="T421" s="126"/>
      <c r="U421" s="53">
        <f t="shared" ref="U421:V421" si="92">U420+1</f>
        <v>4</v>
      </c>
      <c r="V421" s="54">
        <f t="shared" ca="1" si="92"/>
        <v>104</v>
      </c>
    </row>
    <row r="422" spans="1:22" s="54" customFormat="1" ht="15.75" customHeight="1" x14ac:dyDescent="0.3">
      <c r="A422" s="84" t="s">
        <v>316</v>
      </c>
      <c r="B422" s="84"/>
      <c r="C422" s="84"/>
      <c r="D422" s="84"/>
      <c r="E422" s="84"/>
      <c r="F422" s="84"/>
      <c r="G422" s="84"/>
      <c r="H422" s="84"/>
      <c r="I422" s="53"/>
      <c r="S422" s="126">
        <f t="shared" ca="1" si="91"/>
        <v>10401</v>
      </c>
      <c r="T422" s="126"/>
      <c r="U422" s="53">
        <v>1</v>
      </c>
      <c r="V422" s="54">
        <f ca="1">(SUMPRODUCT(MID(0&amp;V421, LARGE(INDEX(ISNUMBER(--MID(V421, ROW(INDIRECT("1:"&amp;LEN(V421))), 1)) * ROW(INDIRECT("1:"&amp;LEN(V421))), 0), ROW(INDIRECT("1:"&amp;LEN(V421))))+1, 1) * 10^ROW(INDIRECT("1:"&amp;LEN(V421)))/10))*U422*100+1</f>
        <v>10401</v>
      </c>
    </row>
    <row r="423" spans="1:22" s="54" customFormat="1" ht="15.75" customHeight="1" x14ac:dyDescent="0.3">
      <c r="A423" s="84" t="s">
        <v>193</v>
      </c>
      <c r="B423" s="84"/>
      <c r="C423" s="84"/>
      <c r="D423" s="84"/>
      <c r="E423" s="84"/>
      <c r="F423" s="84"/>
      <c r="G423" s="84"/>
      <c r="H423" s="84"/>
      <c r="I423" s="53"/>
      <c r="S423" s="126">
        <f t="shared" ca="1" si="91"/>
        <v>10402</v>
      </c>
      <c r="T423" s="126"/>
      <c r="U423" s="53">
        <f>U422+1</f>
        <v>2</v>
      </c>
      <c r="V423" s="54">
        <f ca="1">V422+1</f>
        <v>10402</v>
      </c>
    </row>
    <row r="424" spans="1:22" s="54" customFormat="1" ht="15.75" customHeight="1" x14ac:dyDescent="0.3">
      <c r="A424" s="82">
        <v>1</v>
      </c>
      <c r="B424" s="83"/>
      <c r="C424" s="32" t="s">
        <v>150</v>
      </c>
      <c r="D424" s="32">
        <f>44.14*10.764</f>
        <v>475.12295999999998</v>
      </c>
      <c r="E424" s="32">
        <v>0</v>
      </c>
      <c r="F424" s="32">
        <f>D424*(($F$296)+1)+E424</f>
        <v>760.19673599999999</v>
      </c>
      <c r="G424" s="85" t="str">
        <f>A423</f>
        <v>13th, 20th, 27th, 34th &amp; 41st Floor (Part Refuge Area)</v>
      </c>
      <c r="H424" s="87"/>
      <c r="I424" s="53"/>
      <c r="S424" s="126">
        <f t="shared" ca="1" si="91"/>
        <v>10403</v>
      </c>
      <c r="T424" s="126"/>
      <c r="U424" s="53">
        <f>U423+1</f>
        <v>3</v>
      </c>
      <c r="V424" s="54">
        <f ca="1">V423+1</f>
        <v>10403</v>
      </c>
    </row>
    <row r="425" spans="1:22" s="54" customFormat="1" x14ac:dyDescent="0.3">
      <c r="A425" s="82">
        <v>2</v>
      </c>
      <c r="B425" s="83"/>
      <c r="C425" s="32" t="s">
        <v>151</v>
      </c>
      <c r="D425" s="32">
        <f>(32.9)*10.764</f>
        <v>354.13559999999995</v>
      </c>
      <c r="E425" s="32">
        <v>0</v>
      </c>
      <c r="F425" s="32">
        <f>D425*(($F$296)+1)+E425</f>
        <v>566.61695999999995</v>
      </c>
      <c r="G425" s="88"/>
      <c r="H425" s="90"/>
      <c r="I425" s="53"/>
      <c r="S425" s="126"/>
      <c r="T425" s="126"/>
      <c r="V425" s="54" t="str">
        <f>LEFT(A565,SUM(LEN(A565)-LEN(SUBSTITUTE(A565,{"0","1","2","3","4","5","6","7","8","9"},""))))</f>
        <v>6</v>
      </c>
    </row>
    <row r="426" spans="1:22" s="54" customFormat="1" ht="15.75" customHeight="1" x14ac:dyDescent="0.3">
      <c r="A426" s="82">
        <v>3</v>
      </c>
      <c r="B426" s="83"/>
      <c r="C426" s="32" t="s">
        <v>151</v>
      </c>
      <c r="D426" s="32">
        <f>(32.9)*10.764</f>
        <v>354.13559999999995</v>
      </c>
      <c r="E426" s="32">
        <v>0</v>
      </c>
      <c r="F426" s="32">
        <f>D426*(($F$296)+1)+E426</f>
        <v>566.61695999999995</v>
      </c>
      <c r="G426" s="88"/>
      <c r="H426" s="90"/>
      <c r="I426" s="53"/>
      <c r="S426" s="126">
        <f t="shared" ref="S426:S432" ca="1" si="93">V426</f>
        <v>601</v>
      </c>
      <c r="T426" s="126"/>
      <c r="U426" s="53">
        <v>1</v>
      </c>
      <c r="V426" s="54">
        <f ca="1">(SUMPRODUCT(MID(0&amp;V425, LARGE(INDEX(ISNUMBER(--MID(V425, ROW(INDIRECT("1:"&amp;LEN(V425))), 1)) * ROW(INDIRECT("1:"&amp;LEN(V425))), 0), ROW(INDIRECT("1:"&amp;LEN(V425))))+1, 1) * 10^ROW(INDIRECT("1:"&amp;LEN(V425)))/10))*U426*100+1</f>
        <v>601</v>
      </c>
    </row>
    <row r="427" spans="1:22" s="54" customFormat="1" ht="15.75" customHeight="1" x14ac:dyDescent="0.3">
      <c r="A427" s="82">
        <v>4</v>
      </c>
      <c r="B427" s="83"/>
      <c r="C427" s="32" t="s">
        <v>150</v>
      </c>
      <c r="D427" s="32">
        <f>(44.14)*10.764</f>
        <v>475.12295999999998</v>
      </c>
      <c r="E427" s="32">
        <v>0</v>
      </c>
      <c r="F427" s="32">
        <f>D427*(($F$296)+1)+E427</f>
        <v>760.19673599999999</v>
      </c>
      <c r="G427" s="88"/>
      <c r="H427" s="90"/>
      <c r="I427" s="53"/>
      <c r="S427" s="126">
        <f t="shared" ca="1" si="93"/>
        <v>602</v>
      </c>
      <c r="T427" s="126"/>
      <c r="U427" s="53">
        <f>U426+1</f>
        <v>2</v>
      </c>
      <c r="V427" s="54">
        <f ca="1">V426+1</f>
        <v>602</v>
      </c>
    </row>
    <row r="428" spans="1:22" s="54" customFormat="1" ht="15.75" customHeight="1" x14ac:dyDescent="0.3">
      <c r="A428" s="82">
        <v>5</v>
      </c>
      <c r="B428" s="83"/>
      <c r="C428" s="85" t="s">
        <v>152</v>
      </c>
      <c r="D428" s="86"/>
      <c r="E428" s="86"/>
      <c r="F428" s="87"/>
      <c r="G428" s="88"/>
      <c r="H428" s="90"/>
      <c r="I428" s="53"/>
      <c r="S428" s="126">
        <f t="shared" ca="1" si="93"/>
        <v>603</v>
      </c>
      <c r="T428" s="126"/>
      <c r="U428" s="53">
        <f>U427+1</f>
        <v>3</v>
      </c>
      <c r="V428" s="54">
        <f ca="1">V427+1</f>
        <v>603</v>
      </c>
    </row>
    <row r="429" spans="1:22" s="54" customFormat="1" ht="15.75" customHeight="1" x14ac:dyDescent="0.3">
      <c r="A429" s="82">
        <v>6</v>
      </c>
      <c r="B429" s="83"/>
      <c r="C429" s="91"/>
      <c r="D429" s="92"/>
      <c r="E429" s="92"/>
      <c r="F429" s="93"/>
      <c r="G429" s="88"/>
      <c r="H429" s="90"/>
      <c r="I429" s="53"/>
      <c r="S429" s="126">
        <f t="shared" ca="1" si="93"/>
        <v>604</v>
      </c>
      <c r="T429" s="126"/>
      <c r="U429" s="53">
        <f t="shared" ref="U429:V429" si="94">U428+1</f>
        <v>4</v>
      </c>
      <c r="V429" s="54">
        <f t="shared" ca="1" si="94"/>
        <v>604</v>
      </c>
    </row>
    <row r="430" spans="1:22" s="54" customFormat="1" ht="15.75" customHeight="1" x14ac:dyDescent="0.3">
      <c r="A430" s="82">
        <v>7</v>
      </c>
      <c r="B430" s="83"/>
      <c r="C430" s="32" t="s">
        <v>151</v>
      </c>
      <c r="D430" s="32">
        <f>(34.31)*10.764</f>
        <v>369.31283999999999</v>
      </c>
      <c r="E430" s="32">
        <v>0</v>
      </c>
      <c r="F430" s="32">
        <f>D430*(($F$296)+1)+E430</f>
        <v>590.90054399999997</v>
      </c>
      <c r="G430" s="88"/>
      <c r="H430" s="90"/>
      <c r="I430" s="53"/>
      <c r="S430" s="126">
        <f t="shared" ca="1" si="93"/>
        <v>60401</v>
      </c>
      <c r="T430" s="126"/>
      <c r="U430" s="53">
        <v>1</v>
      </c>
      <c r="V430" s="54">
        <f ca="1">(SUMPRODUCT(MID(0&amp;V429, LARGE(INDEX(ISNUMBER(--MID(V429, ROW(INDIRECT("1:"&amp;LEN(V429))), 1)) * ROW(INDIRECT("1:"&amp;LEN(V429))), 0), ROW(INDIRECT("1:"&amp;LEN(V429))))+1, 1) * 10^ROW(INDIRECT("1:"&amp;LEN(V429)))/10))*U430*100+1</f>
        <v>60401</v>
      </c>
    </row>
    <row r="431" spans="1:22" s="54" customFormat="1" ht="15.75" customHeight="1" x14ac:dyDescent="0.3">
      <c r="A431" s="82">
        <v>8</v>
      </c>
      <c r="B431" s="83"/>
      <c r="C431" s="32" t="s">
        <v>150</v>
      </c>
      <c r="D431" s="32">
        <f>(45.52)*10.764</f>
        <v>489.97728000000001</v>
      </c>
      <c r="E431" s="32">
        <v>0</v>
      </c>
      <c r="F431" s="32">
        <f>D431*(($F$296)+1)+E431</f>
        <v>783.96364800000003</v>
      </c>
      <c r="G431" s="91"/>
      <c r="H431" s="93"/>
      <c r="I431" s="53"/>
      <c r="S431" s="126">
        <f t="shared" ca="1" si="93"/>
        <v>60402</v>
      </c>
      <c r="T431" s="126"/>
      <c r="U431" s="53">
        <f>U430+1</f>
        <v>2</v>
      </c>
      <c r="V431" s="54">
        <f ca="1">V430+1</f>
        <v>60402</v>
      </c>
    </row>
    <row r="432" spans="1:22" s="54" customFormat="1" ht="15.75" customHeight="1" x14ac:dyDescent="0.3">
      <c r="A432" s="84" t="s">
        <v>286</v>
      </c>
      <c r="B432" s="84"/>
      <c r="C432" s="84"/>
      <c r="D432" s="84"/>
      <c r="E432" s="84"/>
      <c r="F432" s="84"/>
      <c r="G432" s="84"/>
      <c r="H432" s="84"/>
      <c r="I432" s="53"/>
      <c r="S432" s="126">
        <f t="shared" ca="1" si="93"/>
        <v>60403</v>
      </c>
      <c r="T432" s="126"/>
      <c r="U432" s="53">
        <f>U431+1</f>
        <v>3</v>
      </c>
      <c r="V432" s="54">
        <f ca="1">V431+1</f>
        <v>60403</v>
      </c>
    </row>
    <row r="433" spans="1:22" s="54" customFormat="1" x14ac:dyDescent="0.3">
      <c r="A433" s="82">
        <v>1</v>
      </c>
      <c r="B433" s="83"/>
      <c r="C433" s="32" t="s">
        <v>150</v>
      </c>
      <c r="D433" s="32">
        <f>44.14*10.764</f>
        <v>475.12295999999998</v>
      </c>
      <c r="E433" s="32">
        <v>0</v>
      </c>
      <c r="F433" s="32">
        <f>D433*(($F$296)+1)+E433</f>
        <v>760.19673599999999</v>
      </c>
      <c r="G433" s="85" t="str">
        <f>A432</f>
        <v>48th Floor (Part Refuge Area)</v>
      </c>
      <c r="H433" s="87"/>
      <c r="I433" s="53"/>
      <c r="S433" s="126"/>
      <c r="T433" s="126"/>
      <c r="V433" s="54" t="str">
        <f>LEFT(A573,SUM(LEN(A573)-LEN(SUBSTITUTE(A573,{"0","1","2","3","4","5","6","7","8","9"},""))))</f>
        <v>8</v>
      </c>
    </row>
    <row r="434" spans="1:22" s="54" customFormat="1" x14ac:dyDescent="0.3">
      <c r="A434" s="82">
        <v>2</v>
      </c>
      <c r="B434" s="83"/>
      <c r="C434" s="32" t="s">
        <v>151</v>
      </c>
      <c r="D434" s="32">
        <f>(32.9)*10.764</f>
        <v>354.13559999999995</v>
      </c>
      <c r="E434" s="32">
        <v>0</v>
      </c>
      <c r="F434" s="32">
        <f>D434*(($F$296)+1)+E434</f>
        <v>566.61695999999995</v>
      </c>
      <c r="G434" s="88"/>
      <c r="H434" s="90"/>
      <c r="I434" s="53"/>
      <c r="S434" s="126" t="e">
        <f t="shared" ref="S434:S440" ca="1" si="95">V434</f>
        <v>#REF!</v>
      </c>
      <c r="T434" s="126"/>
      <c r="U434" s="53">
        <v>1</v>
      </c>
      <c r="V434" s="54" t="e">
        <f ca="1">(SUMPRODUCT(MID(0&amp;#REF!, LARGE(INDEX(ISNUMBER(--MID(#REF!, ROW(INDIRECT("1:"&amp;LEN(#REF!))), 1)) * ROW(INDIRECT("1:"&amp;LEN(#REF!))), 0), ROW(INDIRECT("1:"&amp;LEN(#REF!))))+1, 1) * 10^ROW(INDIRECT("1:"&amp;LEN(#REF!)))/10))*U434*100+1</f>
        <v>#REF!</v>
      </c>
    </row>
    <row r="435" spans="1:22" s="54" customFormat="1" ht="15.75" customHeight="1" x14ac:dyDescent="0.3">
      <c r="A435" s="82">
        <v>3</v>
      </c>
      <c r="B435" s="83"/>
      <c r="C435" s="32" t="s">
        <v>151</v>
      </c>
      <c r="D435" s="32">
        <f>(32.9)*10.764</f>
        <v>354.13559999999995</v>
      </c>
      <c r="E435" s="32">
        <v>0</v>
      </c>
      <c r="F435" s="32">
        <f>D435*(($F$296)+1)+E435</f>
        <v>566.61695999999995</v>
      </c>
      <c r="G435" s="88"/>
      <c r="H435" s="90"/>
      <c r="I435" s="53"/>
      <c r="S435" s="126" t="e">
        <f t="shared" ca="1" si="95"/>
        <v>#REF!</v>
      </c>
      <c r="T435" s="126"/>
      <c r="U435" s="53">
        <f>U434+1</f>
        <v>2</v>
      </c>
      <c r="V435" s="54" t="e">
        <f ca="1">V434+1</f>
        <v>#REF!</v>
      </c>
    </row>
    <row r="436" spans="1:22" s="54" customFormat="1" ht="15.75" customHeight="1" x14ac:dyDescent="0.3">
      <c r="A436" s="82">
        <v>4</v>
      </c>
      <c r="B436" s="83"/>
      <c r="C436" s="32" t="s">
        <v>150</v>
      </c>
      <c r="D436" s="32">
        <f>(44.14)*10.764</f>
        <v>475.12295999999998</v>
      </c>
      <c r="E436" s="32">
        <v>0</v>
      </c>
      <c r="F436" s="32">
        <f>D436*(($F$296)+1)+E436</f>
        <v>760.19673599999999</v>
      </c>
      <c r="G436" s="88"/>
      <c r="H436" s="90"/>
      <c r="I436" s="53"/>
      <c r="S436" s="126" t="e">
        <f t="shared" ca="1" si="95"/>
        <v>#REF!</v>
      </c>
      <c r="T436" s="126"/>
      <c r="U436" s="53">
        <f>U435+1</f>
        <v>3</v>
      </c>
      <c r="V436" s="54" t="e">
        <f ca="1">V435+1</f>
        <v>#REF!</v>
      </c>
    </row>
    <row r="437" spans="1:22" s="54" customFormat="1" ht="15.75" customHeight="1" x14ac:dyDescent="0.3">
      <c r="A437" s="82">
        <v>5</v>
      </c>
      <c r="B437" s="83"/>
      <c r="C437" s="32" t="s">
        <v>150</v>
      </c>
      <c r="D437" s="32">
        <f>(4.575*2.85+2.4*0.05+2.55*1.55+1.225*1.125+1.975*2.25+2.7*2.775+2.75*3.12+2.125*1.225+1.275*2.125+2*1.05+0.9*1.05)*10.764</f>
        <v>509.81667750000003</v>
      </c>
      <c r="E437" s="32">
        <v>0</v>
      </c>
      <c r="F437" s="32">
        <f>D437*(($F$296)+1)+E437</f>
        <v>815.70668400000011</v>
      </c>
      <c r="G437" s="88"/>
      <c r="H437" s="90"/>
      <c r="I437" s="53"/>
      <c r="S437" s="126" t="e">
        <f t="shared" ca="1" si="95"/>
        <v>#REF!</v>
      </c>
      <c r="T437" s="126"/>
      <c r="U437" s="53">
        <f t="shared" ref="U437:V437" si="96">U436+1</f>
        <v>4</v>
      </c>
      <c r="V437" s="54" t="e">
        <f t="shared" ca="1" si="96"/>
        <v>#REF!</v>
      </c>
    </row>
    <row r="438" spans="1:22" s="54" customFormat="1" ht="15.75" customHeight="1" x14ac:dyDescent="0.3">
      <c r="A438" s="82">
        <v>6</v>
      </c>
      <c r="B438" s="83"/>
      <c r="C438" s="82" t="s">
        <v>152</v>
      </c>
      <c r="D438" s="94"/>
      <c r="E438" s="94"/>
      <c r="F438" s="83"/>
      <c r="G438" s="88"/>
      <c r="H438" s="90"/>
      <c r="I438" s="53"/>
      <c r="S438" s="126">
        <f t="shared" ca="1" si="95"/>
        <v>801</v>
      </c>
      <c r="T438" s="126"/>
      <c r="U438" s="53">
        <v>1</v>
      </c>
      <c r="V438" s="54">
        <f ca="1">(SUMPRODUCT(MID(0&amp;V433, LARGE(INDEX(ISNUMBER(--MID(V433, ROW(INDIRECT("1:"&amp;LEN(V433))), 1)) * ROW(INDIRECT("1:"&amp;LEN(V433))), 0), ROW(INDIRECT("1:"&amp;LEN(V433))))+1, 1) * 10^ROW(INDIRECT("1:"&amp;LEN(V433)))/10))*U438*100+1</f>
        <v>801</v>
      </c>
    </row>
    <row r="439" spans="1:22" s="54" customFormat="1" ht="15.75" customHeight="1" x14ac:dyDescent="0.3">
      <c r="A439" s="82">
        <v>7</v>
      </c>
      <c r="B439" s="83"/>
      <c r="C439" s="32" t="s">
        <v>151</v>
      </c>
      <c r="D439" s="32">
        <f>(34.31)*10.764</f>
        <v>369.31283999999999</v>
      </c>
      <c r="E439" s="32">
        <v>0</v>
      </c>
      <c r="F439" s="32">
        <f>D439*(($F$296)+1)+E439</f>
        <v>590.90054399999997</v>
      </c>
      <c r="G439" s="88"/>
      <c r="H439" s="90"/>
      <c r="I439" s="53"/>
      <c r="S439" s="126">
        <f t="shared" ca="1" si="95"/>
        <v>802</v>
      </c>
      <c r="T439" s="126"/>
      <c r="U439" s="53">
        <f>U438+1</f>
        <v>2</v>
      </c>
      <c r="V439" s="54">
        <f ca="1">V438+1</f>
        <v>802</v>
      </c>
    </row>
    <row r="440" spans="1:22" s="54" customFormat="1" ht="15.75" customHeight="1" x14ac:dyDescent="0.3">
      <c r="A440" s="82">
        <v>8</v>
      </c>
      <c r="B440" s="83"/>
      <c r="C440" s="32" t="s">
        <v>150</v>
      </c>
      <c r="D440" s="32">
        <f>(45.52)*10.764</f>
        <v>489.97728000000001</v>
      </c>
      <c r="E440" s="32">
        <v>0</v>
      </c>
      <c r="F440" s="32">
        <f>D440*(($F$296)+1)+E440</f>
        <v>783.96364800000003</v>
      </c>
      <c r="G440" s="91"/>
      <c r="H440" s="93"/>
      <c r="I440" s="53"/>
      <c r="S440" s="126">
        <f t="shared" ca="1" si="95"/>
        <v>803</v>
      </c>
      <c r="T440" s="126"/>
      <c r="U440" s="53">
        <f>U439+1</f>
        <v>3</v>
      </c>
      <c r="V440" s="54">
        <f ca="1">V439+1</f>
        <v>803</v>
      </c>
    </row>
    <row r="441" spans="1:22" s="54" customFormat="1" x14ac:dyDescent="0.3">
      <c r="A441" s="141" t="s">
        <v>168</v>
      </c>
      <c r="B441" s="141"/>
      <c r="C441" s="141"/>
      <c r="D441" s="141"/>
      <c r="E441" s="141"/>
      <c r="F441" s="141"/>
      <c r="G441" s="141"/>
      <c r="H441" s="141"/>
      <c r="I441" s="53"/>
      <c r="S441" s="126"/>
      <c r="T441" s="126"/>
      <c r="V441" s="54" t="str">
        <f>LEFT(A589,SUM(LEN(A589)-LEN(SUBSTITUTE(A589,{"0","1","2","3","4","5","6","7","8","9"},""))))</f>
        <v>Serv</v>
      </c>
    </row>
    <row r="442" spans="1:22" s="54" customFormat="1" x14ac:dyDescent="0.3">
      <c r="A442" s="84" t="s">
        <v>315</v>
      </c>
      <c r="B442" s="84"/>
      <c r="C442" s="84"/>
      <c r="D442" s="84"/>
      <c r="E442" s="84"/>
      <c r="F442" s="84"/>
      <c r="G442" s="84"/>
      <c r="H442" s="84"/>
      <c r="I442" s="53"/>
      <c r="S442" s="126"/>
      <c r="T442" s="126"/>
      <c r="V442" s="54" t="str">
        <f>LEFT(A590,SUM(LEN(A590)-LEN(SUBSTITUTE(A590,{"0","1","2","3","4","5","6","7","8","9"},""))))</f>
        <v>13th</v>
      </c>
    </row>
    <row r="443" spans="1:22" s="54" customFormat="1" x14ac:dyDescent="0.3">
      <c r="A443" s="84" t="s">
        <v>275</v>
      </c>
      <c r="B443" s="84"/>
      <c r="C443" s="84"/>
      <c r="D443" s="84"/>
      <c r="E443" s="84"/>
      <c r="F443" s="84"/>
      <c r="G443" s="84"/>
      <c r="H443" s="84"/>
      <c r="I443" s="53"/>
      <c r="S443" s="126" t="e">
        <f t="shared" ref="S443:S449" ca="1" si="97">V443</f>
        <v>#REF!</v>
      </c>
      <c r="T443" s="126"/>
      <c r="U443" s="53">
        <v>1</v>
      </c>
      <c r="V443" s="54" t="e">
        <f ca="1">(SUMPRODUCT(MID(0&amp;#REF!, LARGE(INDEX(ISNUMBER(--MID(#REF!, ROW(INDIRECT("1:"&amp;LEN(#REF!))), 1)) * ROW(INDIRECT("1:"&amp;LEN(#REF!))), 0), ROW(INDIRECT("1:"&amp;LEN(#REF!))))+1, 1) * 10^ROW(INDIRECT("1:"&amp;LEN(#REF!)))/10))*U443*100+1</f>
        <v>#REF!</v>
      </c>
    </row>
    <row r="444" spans="1:22" s="54" customFormat="1" ht="15.75" customHeight="1" x14ac:dyDescent="0.3">
      <c r="A444" s="82">
        <v>1</v>
      </c>
      <c r="B444" s="83"/>
      <c r="C444" s="85" t="s">
        <v>195</v>
      </c>
      <c r="D444" s="86"/>
      <c r="E444" s="86"/>
      <c r="F444" s="87"/>
      <c r="G444" s="85" t="str">
        <f>A443</f>
        <v>1st to 5th &amp; 7th Floor for Residential</v>
      </c>
      <c r="H444" s="87"/>
      <c r="I444" s="53"/>
      <c r="S444" s="126" t="e">
        <f t="shared" ca="1" si="97"/>
        <v>#REF!</v>
      </c>
      <c r="T444" s="126"/>
      <c r="U444" s="53">
        <f>U443+1</f>
        <v>2</v>
      </c>
      <c r="V444" s="54" t="e">
        <f ca="1">V443+1</f>
        <v>#REF!</v>
      </c>
    </row>
    <row r="445" spans="1:22" s="54" customFormat="1" ht="15.75" customHeight="1" x14ac:dyDescent="0.3">
      <c r="A445" s="82">
        <v>2</v>
      </c>
      <c r="B445" s="83"/>
      <c r="C445" s="88"/>
      <c r="D445" s="89"/>
      <c r="E445" s="89"/>
      <c r="F445" s="90"/>
      <c r="G445" s="88"/>
      <c r="H445" s="90"/>
      <c r="I445" s="53"/>
      <c r="S445" s="126" t="e">
        <f t="shared" ca="1" si="97"/>
        <v>#REF!</v>
      </c>
      <c r="T445" s="126"/>
      <c r="U445" s="53">
        <f>U444+1</f>
        <v>3</v>
      </c>
      <c r="V445" s="54" t="e">
        <f ca="1">V444+1</f>
        <v>#REF!</v>
      </c>
    </row>
    <row r="446" spans="1:22" s="54" customFormat="1" ht="15.75" customHeight="1" x14ac:dyDescent="0.3">
      <c r="A446" s="82">
        <v>3</v>
      </c>
      <c r="B446" s="83"/>
      <c r="C446" s="88"/>
      <c r="D446" s="89"/>
      <c r="E446" s="89"/>
      <c r="F446" s="90"/>
      <c r="G446" s="88"/>
      <c r="H446" s="90"/>
      <c r="I446" s="53"/>
      <c r="S446" s="126" t="e">
        <f t="shared" ca="1" si="97"/>
        <v>#REF!</v>
      </c>
      <c r="T446" s="126"/>
      <c r="U446" s="53">
        <f t="shared" ref="U446:V446" si="98">U445+1</f>
        <v>4</v>
      </c>
      <c r="V446" s="54" t="e">
        <f t="shared" ca="1" si="98"/>
        <v>#REF!</v>
      </c>
    </row>
    <row r="447" spans="1:22" s="54" customFormat="1" ht="15.75" customHeight="1" x14ac:dyDescent="0.3">
      <c r="A447" s="82">
        <v>4</v>
      </c>
      <c r="B447" s="83"/>
      <c r="C447" s="32" t="s">
        <v>150</v>
      </c>
      <c r="D447" s="32">
        <f>(51.41+2.025*1)*10.764</f>
        <v>575.17433999999992</v>
      </c>
      <c r="E447" s="32">
        <v>0</v>
      </c>
      <c r="F447" s="32">
        <f>D447*(($F$296)+1)+E447</f>
        <v>920.27894399999991</v>
      </c>
      <c r="G447" s="88"/>
      <c r="H447" s="90"/>
      <c r="I447" s="53"/>
      <c r="S447" s="126">
        <f t="shared" ca="1" si="97"/>
        <v>1301</v>
      </c>
      <c r="T447" s="126"/>
      <c r="U447" s="53">
        <v>1</v>
      </c>
      <c r="V447" s="54">
        <f ca="1">(SUMPRODUCT(MID(0&amp;V442, LARGE(INDEX(ISNUMBER(--MID(V442, ROW(INDIRECT("1:"&amp;LEN(V442))), 1)) * ROW(INDIRECT("1:"&amp;LEN(V442))), 0), ROW(INDIRECT("1:"&amp;LEN(V442))))+1, 1) * 10^ROW(INDIRECT("1:"&amp;LEN(V442)))/10))*U447*100+1</f>
        <v>1301</v>
      </c>
    </row>
    <row r="448" spans="1:22" s="54" customFormat="1" ht="15.75" customHeight="1" x14ac:dyDescent="0.3">
      <c r="A448" s="82">
        <v>5</v>
      </c>
      <c r="B448" s="83"/>
      <c r="C448" s="32" t="s">
        <v>151</v>
      </c>
      <c r="D448" s="32">
        <f>(37.27)*10.764</f>
        <v>401.17428000000001</v>
      </c>
      <c r="E448" s="32">
        <v>0</v>
      </c>
      <c r="F448" s="32">
        <f>D448*(($F$296)+1)+E448</f>
        <v>641.87884800000006</v>
      </c>
      <c r="G448" s="88"/>
      <c r="H448" s="90"/>
      <c r="I448" s="53"/>
      <c r="S448" s="126">
        <f t="shared" ca="1" si="97"/>
        <v>1302</v>
      </c>
      <c r="T448" s="126"/>
      <c r="U448" s="53">
        <f>U447+1</f>
        <v>2</v>
      </c>
      <c r="V448" s="54">
        <f ca="1">V447+1</f>
        <v>1302</v>
      </c>
    </row>
    <row r="449" spans="1:22" s="54" customFormat="1" ht="15.75" customHeight="1" x14ac:dyDescent="0.3">
      <c r="A449" s="82">
        <v>6</v>
      </c>
      <c r="B449" s="83"/>
      <c r="C449" s="32" t="s">
        <v>151</v>
      </c>
      <c r="D449" s="32">
        <f>(37.27)*10.764</f>
        <v>401.17428000000001</v>
      </c>
      <c r="E449" s="32">
        <v>0</v>
      </c>
      <c r="F449" s="32">
        <f>D449*(($F$296)+1)+E449</f>
        <v>641.87884800000006</v>
      </c>
      <c r="G449" s="88"/>
      <c r="H449" s="90"/>
      <c r="I449" s="53"/>
      <c r="S449" s="126">
        <f t="shared" ca="1" si="97"/>
        <v>1303</v>
      </c>
      <c r="T449" s="126"/>
      <c r="U449" s="53">
        <f>U448+1</f>
        <v>3</v>
      </c>
      <c r="V449" s="54">
        <f ca="1">V448+1</f>
        <v>1303</v>
      </c>
    </row>
    <row r="450" spans="1:22" s="54" customFormat="1" x14ac:dyDescent="0.3">
      <c r="A450" s="82">
        <v>7</v>
      </c>
      <c r="B450" s="83"/>
      <c r="C450" s="32" t="s">
        <v>150</v>
      </c>
      <c r="D450" s="32">
        <f>(51.41+2.025*1)*10.764</f>
        <v>575.17433999999992</v>
      </c>
      <c r="E450" s="32">
        <v>0</v>
      </c>
      <c r="F450" s="32">
        <f>D450*(($F$296)+1)+E450</f>
        <v>920.27894399999991</v>
      </c>
      <c r="G450" s="91"/>
      <c r="H450" s="93"/>
      <c r="I450" s="53"/>
      <c r="S450" s="126"/>
      <c r="T450" s="126"/>
      <c r="V450" s="54" t="str">
        <f>LEFT(A598,SUM(LEN(A598)-LEN(SUBSTITUTE(A598,{"0","1","2","3","4","5","6","7","8","9"},""))))</f>
        <v xml:space="preserve">28th to 33rd, </v>
      </c>
    </row>
    <row r="451" spans="1:22" s="54" customFormat="1" x14ac:dyDescent="0.3">
      <c r="A451" s="84" t="s">
        <v>194</v>
      </c>
      <c r="B451" s="84"/>
      <c r="C451" s="84"/>
      <c r="D451" s="84"/>
      <c r="E451" s="84"/>
      <c r="F451" s="84"/>
      <c r="G451" s="84"/>
      <c r="H451" s="84"/>
      <c r="I451" s="53"/>
      <c r="S451" s="126" t="e">
        <f t="shared" ref="S451:S457" ca="1" si="99">V451</f>
        <v>#REF!</v>
      </c>
      <c r="T451" s="126"/>
      <c r="U451" s="53">
        <v>1</v>
      </c>
      <c r="V451" s="54" t="e">
        <f ca="1">(SUMPRODUCT(MID(0&amp;#REF!, LARGE(INDEX(ISNUMBER(--MID(#REF!, ROW(INDIRECT("1:"&amp;LEN(#REF!))), 1)) * ROW(INDIRECT("1:"&amp;LEN(#REF!))), 0), ROW(INDIRECT("1:"&amp;LEN(#REF!))))+1, 1) * 10^ROW(INDIRECT("1:"&amp;LEN(#REF!)))/10))*U451*100+1</f>
        <v>#REF!</v>
      </c>
    </row>
    <row r="452" spans="1:22" s="54" customFormat="1" ht="15.75" customHeight="1" x14ac:dyDescent="0.3">
      <c r="A452" s="82">
        <v>1</v>
      </c>
      <c r="B452" s="83"/>
      <c r="C452" s="85" t="s">
        <v>195</v>
      </c>
      <c r="D452" s="86"/>
      <c r="E452" s="86"/>
      <c r="F452" s="87"/>
      <c r="G452" s="85" t="str">
        <f>A451</f>
        <v>6th Floor (Part Refuge Area)</v>
      </c>
      <c r="H452" s="87"/>
      <c r="I452" s="53"/>
      <c r="S452" s="126" t="e">
        <f t="shared" ca="1" si="99"/>
        <v>#REF!</v>
      </c>
      <c r="T452" s="126"/>
      <c r="U452" s="53">
        <f>U451+1</f>
        <v>2</v>
      </c>
      <c r="V452" s="54" t="e">
        <f ca="1">V451+1</f>
        <v>#REF!</v>
      </c>
    </row>
    <row r="453" spans="1:22" s="54" customFormat="1" ht="15.75" customHeight="1" x14ac:dyDescent="0.3">
      <c r="A453" s="82">
        <v>2</v>
      </c>
      <c r="B453" s="83"/>
      <c r="C453" s="88"/>
      <c r="D453" s="89"/>
      <c r="E453" s="89"/>
      <c r="F453" s="90"/>
      <c r="G453" s="88"/>
      <c r="H453" s="90"/>
      <c r="I453" s="53"/>
      <c r="S453" s="126" t="e">
        <f t="shared" ca="1" si="99"/>
        <v>#REF!</v>
      </c>
      <c r="T453" s="126"/>
      <c r="U453" s="53">
        <f>U452+1</f>
        <v>3</v>
      </c>
      <c r="V453" s="54" t="e">
        <f ca="1">V452+1</f>
        <v>#REF!</v>
      </c>
    </row>
    <row r="454" spans="1:22" s="54" customFormat="1" ht="15.75" customHeight="1" x14ac:dyDescent="0.3">
      <c r="A454" s="82">
        <v>3</v>
      </c>
      <c r="B454" s="83"/>
      <c r="C454" s="88"/>
      <c r="D454" s="89"/>
      <c r="E454" s="89"/>
      <c r="F454" s="90"/>
      <c r="G454" s="88"/>
      <c r="H454" s="90"/>
      <c r="I454" s="53"/>
      <c r="S454" s="126" t="e">
        <f t="shared" ca="1" si="99"/>
        <v>#REF!</v>
      </c>
      <c r="T454" s="126"/>
      <c r="U454" s="53">
        <f t="shared" ref="U454:V454" si="100">U453+1</f>
        <v>4</v>
      </c>
      <c r="V454" s="54" t="e">
        <f t="shared" ca="1" si="100"/>
        <v>#REF!</v>
      </c>
    </row>
    <row r="455" spans="1:22" s="54" customFormat="1" ht="15.75" customHeight="1" x14ac:dyDescent="0.3">
      <c r="A455" s="82">
        <v>4</v>
      </c>
      <c r="B455" s="83"/>
      <c r="C455" s="85" t="s">
        <v>152</v>
      </c>
      <c r="D455" s="86"/>
      <c r="E455" s="86"/>
      <c r="F455" s="87"/>
      <c r="G455" s="88"/>
      <c r="H455" s="90"/>
      <c r="I455" s="53"/>
      <c r="S455" s="126">
        <f t="shared" ca="1" si="99"/>
        <v>283301</v>
      </c>
      <c r="T455" s="126"/>
      <c r="U455" s="53">
        <v>1</v>
      </c>
      <c r="V455" s="54">
        <f ca="1">(SUMPRODUCT(MID(0&amp;V450, LARGE(INDEX(ISNUMBER(--MID(V450, ROW(INDIRECT("1:"&amp;LEN(V450))), 1)) * ROW(INDIRECT("1:"&amp;LEN(V450))), 0), ROW(INDIRECT("1:"&amp;LEN(V450))))+1, 1) * 10^ROW(INDIRECT("1:"&amp;LEN(V450)))/10))*U455*100+1</f>
        <v>283301</v>
      </c>
    </row>
    <row r="456" spans="1:22" s="54" customFormat="1" ht="15.75" customHeight="1" x14ac:dyDescent="0.3">
      <c r="A456" s="82">
        <v>5</v>
      </c>
      <c r="B456" s="83"/>
      <c r="C456" s="91"/>
      <c r="D456" s="92"/>
      <c r="E456" s="92"/>
      <c r="F456" s="93"/>
      <c r="G456" s="88"/>
      <c r="H456" s="90"/>
      <c r="I456" s="53"/>
      <c r="S456" s="126">
        <f t="shared" ca="1" si="99"/>
        <v>283302</v>
      </c>
      <c r="T456" s="126"/>
      <c r="U456" s="53">
        <f>U455+1</f>
        <v>2</v>
      </c>
      <c r="V456" s="54">
        <f ca="1">V455+1</f>
        <v>283302</v>
      </c>
    </row>
    <row r="457" spans="1:22" s="54" customFormat="1" ht="15.75" customHeight="1" x14ac:dyDescent="0.3">
      <c r="A457" s="82">
        <v>6</v>
      </c>
      <c r="B457" s="83"/>
      <c r="C457" s="32" t="s">
        <v>151</v>
      </c>
      <c r="D457" s="32">
        <f>(37.27)*10.764</f>
        <v>401.17428000000001</v>
      </c>
      <c r="E457" s="32">
        <v>0</v>
      </c>
      <c r="F457" s="32">
        <f>D457*(($F$296)+1)+E457</f>
        <v>641.87884800000006</v>
      </c>
      <c r="G457" s="88"/>
      <c r="H457" s="90"/>
      <c r="I457" s="53"/>
      <c r="S457" s="126">
        <f t="shared" ca="1" si="99"/>
        <v>283303</v>
      </c>
      <c r="T457" s="126"/>
      <c r="U457" s="53">
        <f>U456+1</f>
        <v>3</v>
      </c>
      <c r="V457" s="54">
        <f ca="1">V456+1</f>
        <v>283303</v>
      </c>
    </row>
    <row r="458" spans="1:22" s="54" customFormat="1" x14ac:dyDescent="0.3">
      <c r="A458" s="82">
        <v>7</v>
      </c>
      <c r="B458" s="83"/>
      <c r="C458" s="32" t="s">
        <v>150</v>
      </c>
      <c r="D458" s="32">
        <f>(51.41+2.025*1)*10.764</f>
        <v>575.17433999999992</v>
      </c>
      <c r="E458" s="32">
        <v>0</v>
      </c>
      <c r="F458" s="32">
        <f>D458*(($F$296)+1)+E458</f>
        <v>920.27894399999991</v>
      </c>
      <c r="G458" s="91"/>
      <c r="H458" s="93"/>
      <c r="I458" s="53"/>
      <c r="S458" s="126"/>
      <c r="T458" s="126"/>
      <c r="V458" s="54" t="str">
        <f>LEFT(A606,SUM(LEN(A606)-LEN(SUBSTITUTE(A606,{"0","1","2","3","4","5","6","7","8","9"},""))))</f>
        <v xml:space="preserve">27th, </v>
      </c>
    </row>
    <row r="459" spans="1:22" s="54" customFormat="1" x14ac:dyDescent="0.3">
      <c r="A459" s="84" t="s">
        <v>284</v>
      </c>
      <c r="B459" s="84"/>
      <c r="C459" s="84"/>
      <c r="D459" s="84"/>
      <c r="E459" s="84"/>
      <c r="F459" s="84"/>
      <c r="G459" s="84"/>
      <c r="H459" s="84"/>
      <c r="I459" s="53"/>
      <c r="S459" s="126" t="e">
        <f t="shared" ref="S459:S465" ca="1" si="101">V459</f>
        <v>#REF!</v>
      </c>
      <c r="T459" s="126"/>
      <c r="U459" s="53">
        <v>1</v>
      </c>
      <c r="V459" s="54" t="e">
        <f ca="1">(SUMPRODUCT(MID(0&amp;#REF!, LARGE(INDEX(ISNUMBER(--MID(#REF!, ROW(INDIRECT("1:"&amp;LEN(#REF!))), 1)) * ROW(INDIRECT("1:"&amp;LEN(#REF!))), 0), ROW(INDIRECT("1:"&amp;LEN(#REF!))))+1, 1) * 10^ROW(INDIRECT("1:"&amp;LEN(#REF!)))/10))*U459*100+1</f>
        <v>#REF!</v>
      </c>
    </row>
    <row r="460" spans="1:22" s="54" customFormat="1" ht="15.75" customHeight="1" x14ac:dyDescent="0.3">
      <c r="A460" s="82">
        <v>1</v>
      </c>
      <c r="B460" s="83"/>
      <c r="C460" s="32" t="s">
        <v>150</v>
      </c>
      <c r="D460" s="32">
        <f>(51.06+2.025*1)*10.764</f>
        <v>571.40693999999996</v>
      </c>
      <c r="E460" s="32">
        <v>0</v>
      </c>
      <c r="F460" s="32">
        <f t="shared" ref="F460:F466" si="102">D460*(($F$296)+1)+E460</f>
        <v>914.25110399999994</v>
      </c>
      <c r="G460" s="85" t="str">
        <f>A459</f>
        <v>8th Floor For Residential</v>
      </c>
      <c r="H460" s="87"/>
      <c r="I460" s="53"/>
      <c r="S460" s="126" t="e">
        <f t="shared" ca="1" si="101"/>
        <v>#REF!</v>
      </c>
      <c r="T460" s="126"/>
      <c r="U460" s="53">
        <f>U459+1</f>
        <v>2</v>
      </c>
      <c r="V460" s="54" t="e">
        <f ca="1">V459+1</f>
        <v>#REF!</v>
      </c>
    </row>
    <row r="461" spans="1:22" s="54" customFormat="1" ht="15.75" customHeight="1" x14ac:dyDescent="0.3">
      <c r="A461" s="82">
        <v>2</v>
      </c>
      <c r="B461" s="83"/>
      <c r="C461" s="32" t="s">
        <v>169</v>
      </c>
      <c r="D461" s="20">
        <f>(69+1.975*1)*10.764</f>
        <v>763.97489999999993</v>
      </c>
      <c r="E461" s="20">
        <f>(2.75*0.75)*10.764</f>
        <v>22.200749999999999</v>
      </c>
      <c r="F461" s="32">
        <f t="shared" si="102"/>
        <v>1244.5605899999998</v>
      </c>
      <c r="G461" s="88"/>
      <c r="H461" s="90"/>
      <c r="I461" s="53"/>
      <c r="S461" s="126" t="e">
        <f t="shared" ca="1" si="101"/>
        <v>#REF!</v>
      </c>
      <c r="T461" s="126"/>
      <c r="U461" s="53">
        <f>U460+1</f>
        <v>3</v>
      </c>
      <c r="V461" s="54" t="e">
        <f ca="1">V460+1</f>
        <v>#REF!</v>
      </c>
    </row>
    <row r="462" spans="1:22" s="54" customFormat="1" ht="15.75" customHeight="1" x14ac:dyDescent="0.3">
      <c r="A462" s="82">
        <v>3</v>
      </c>
      <c r="B462" s="83"/>
      <c r="C462" s="32" t="s">
        <v>150</v>
      </c>
      <c r="D462" s="32">
        <f>(50.87+2.025*1)*10.764</f>
        <v>569.36177999999995</v>
      </c>
      <c r="E462" s="32">
        <v>0</v>
      </c>
      <c r="F462" s="32">
        <f t="shared" si="102"/>
        <v>910.97884799999997</v>
      </c>
      <c r="G462" s="88"/>
      <c r="H462" s="90"/>
      <c r="I462" s="53"/>
      <c r="S462" s="126" t="e">
        <f t="shared" ca="1" si="101"/>
        <v>#REF!</v>
      </c>
      <c r="T462" s="126"/>
      <c r="U462" s="53">
        <f t="shared" ref="U462:V462" si="103">U461+1</f>
        <v>4</v>
      </c>
      <c r="V462" s="54" t="e">
        <f t="shared" ca="1" si="103"/>
        <v>#REF!</v>
      </c>
    </row>
    <row r="463" spans="1:22" s="54" customFormat="1" ht="15.75" customHeight="1" x14ac:dyDescent="0.3">
      <c r="A463" s="82">
        <v>4</v>
      </c>
      <c r="B463" s="83"/>
      <c r="C463" s="32" t="s">
        <v>150</v>
      </c>
      <c r="D463" s="32">
        <f>(51.41+2.025*1)*10.764</f>
        <v>575.17433999999992</v>
      </c>
      <c r="E463" s="32">
        <v>0</v>
      </c>
      <c r="F463" s="32">
        <f t="shared" si="102"/>
        <v>920.27894399999991</v>
      </c>
      <c r="G463" s="88"/>
      <c r="H463" s="90"/>
      <c r="I463" s="53"/>
      <c r="S463" s="126">
        <f t="shared" ca="1" si="101"/>
        <v>2701</v>
      </c>
      <c r="T463" s="126"/>
      <c r="U463" s="53">
        <v>1</v>
      </c>
      <c r="V463" s="54">
        <f ca="1">(SUMPRODUCT(MID(0&amp;V458, LARGE(INDEX(ISNUMBER(--MID(V458, ROW(INDIRECT("1:"&amp;LEN(V458))), 1)) * ROW(INDIRECT("1:"&amp;LEN(V458))), 0), ROW(INDIRECT("1:"&amp;LEN(V458))))+1, 1) * 10^ROW(INDIRECT("1:"&amp;LEN(V458)))/10))*U463*100+1</f>
        <v>2701</v>
      </c>
    </row>
    <row r="464" spans="1:22" s="54" customFormat="1" ht="15.75" customHeight="1" x14ac:dyDescent="0.3">
      <c r="A464" s="82">
        <v>5</v>
      </c>
      <c r="B464" s="83"/>
      <c r="C464" s="32" t="s">
        <v>151</v>
      </c>
      <c r="D464" s="32">
        <f>(37.27)*10.764</f>
        <v>401.17428000000001</v>
      </c>
      <c r="E464" s="32">
        <v>0</v>
      </c>
      <c r="F464" s="32">
        <f t="shared" si="102"/>
        <v>641.87884800000006</v>
      </c>
      <c r="G464" s="88"/>
      <c r="H464" s="90"/>
      <c r="I464" s="53"/>
      <c r="S464" s="126">
        <f t="shared" ca="1" si="101"/>
        <v>2702</v>
      </c>
      <c r="T464" s="126"/>
      <c r="U464" s="53">
        <f>U463+1</f>
        <v>2</v>
      </c>
      <c r="V464" s="54">
        <f ca="1">V463+1</f>
        <v>2702</v>
      </c>
    </row>
    <row r="465" spans="1:22" s="54" customFormat="1" ht="15.75" customHeight="1" x14ac:dyDescent="0.3">
      <c r="A465" s="82">
        <v>6</v>
      </c>
      <c r="B465" s="83"/>
      <c r="C465" s="32" t="s">
        <v>151</v>
      </c>
      <c r="D465" s="32">
        <f>(37.27)*10.764</f>
        <v>401.17428000000001</v>
      </c>
      <c r="E465" s="32">
        <v>0</v>
      </c>
      <c r="F465" s="32">
        <f t="shared" si="102"/>
        <v>641.87884800000006</v>
      </c>
      <c r="G465" s="88"/>
      <c r="H465" s="90"/>
      <c r="I465" s="53"/>
      <c r="S465" s="126">
        <f t="shared" ca="1" si="101"/>
        <v>2703</v>
      </c>
      <c r="T465" s="126"/>
      <c r="U465" s="53">
        <f>U464+1</f>
        <v>3</v>
      </c>
      <c r="V465" s="54">
        <f ca="1">V464+1</f>
        <v>2703</v>
      </c>
    </row>
    <row r="466" spans="1:22" s="54" customFormat="1" x14ac:dyDescent="0.3">
      <c r="A466" s="82">
        <v>7</v>
      </c>
      <c r="B466" s="83"/>
      <c r="C466" s="32" t="s">
        <v>150</v>
      </c>
      <c r="D466" s="32">
        <f>(51.41+2.025*1)*10.764</f>
        <v>575.17433999999992</v>
      </c>
      <c r="E466" s="32">
        <v>0</v>
      </c>
      <c r="F466" s="32">
        <f t="shared" si="102"/>
        <v>920.27894399999991</v>
      </c>
      <c r="G466" s="88"/>
      <c r="H466" s="90"/>
      <c r="I466" s="53"/>
      <c r="S466" s="126"/>
      <c r="T466" s="126"/>
      <c r="V466" s="54" t="str">
        <f>LEFT(A622,SUM(LEN(A622)-LEN(SUBSTITUTE(A622,{"0","1","2","3","4","5","6","7","8","9"},""))))</f>
        <v/>
      </c>
    </row>
    <row r="467" spans="1:22" s="54" customFormat="1" x14ac:dyDescent="0.3">
      <c r="A467" s="84" t="s">
        <v>285</v>
      </c>
      <c r="B467" s="84"/>
      <c r="C467" s="84"/>
      <c r="D467" s="84"/>
      <c r="E467" s="84"/>
      <c r="F467" s="84"/>
      <c r="G467" s="84"/>
      <c r="H467" s="84"/>
      <c r="I467" s="53"/>
      <c r="S467" s="126"/>
      <c r="T467" s="126"/>
      <c r="V467" s="54" t="str">
        <f>LEFT(A623,SUM(LEN(A623)-LEN(SUBSTITUTE(A623,{"0","1","2","3","4","5","6","7","8","9"},""))))</f>
        <v>S</v>
      </c>
    </row>
    <row r="468" spans="1:22" s="54" customFormat="1" ht="15.75" customHeight="1" x14ac:dyDescent="0.3">
      <c r="A468" s="82">
        <v>1</v>
      </c>
      <c r="B468" s="83"/>
      <c r="C468" s="32" t="s">
        <v>150</v>
      </c>
      <c r="D468" s="32">
        <f>(51.06+2.025*1)*10.764</f>
        <v>571.40693999999996</v>
      </c>
      <c r="E468" s="32">
        <v>0</v>
      </c>
      <c r="F468" s="32">
        <f t="shared" ref="F468:F474" si="104">D468*(($F$296)+1)+E468</f>
        <v>914.25110399999994</v>
      </c>
      <c r="G468" s="85" t="str">
        <f>A467</f>
        <v>9th to 12th, 14th to 19th, 21st to 26th, 28th to 33rd, 35th to 40th, 42nd to 47th &amp; 49th Floor</v>
      </c>
      <c r="H468" s="87"/>
      <c r="I468" s="53">
        <v>5</v>
      </c>
      <c r="S468" s="126"/>
      <c r="T468" s="126"/>
      <c r="V468" s="54" t="str">
        <f>LEFT(A624,SUM(LEN(A624)-LEN(SUBSTITUTE(A624,{"0","1","2","3","4","5","6","7","8","9"},""))))</f>
        <v>1s</v>
      </c>
    </row>
    <row r="469" spans="1:22" s="54" customFormat="1" ht="15.75" customHeight="1" x14ac:dyDescent="0.3">
      <c r="A469" s="82">
        <v>2</v>
      </c>
      <c r="B469" s="83"/>
      <c r="C469" s="32" t="s">
        <v>169</v>
      </c>
      <c r="D469" s="20">
        <f>(69+1.975*1)*10.764</f>
        <v>763.97489999999993</v>
      </c>
      <c r="E469" s="32">
        <v>0</v>
      </c>
      <c r="F469" s="32">
        <f t="shared" si="104"/>
        <v>1222.3598399999998</v>
      </c>
      <c r="G469" s="88"/>
      <c r="H469" s="90"/>
      <c r="J469" s="53">
        <f>(3*5.4+2.825*1.925+2.8*3.375+2.9*3+2.3*2.75+2.275*1.4+1.35*2.225+2.5*1.05+1.155*1.5)</f>
        <v>56.659374999999997</v>
      </c>
      <c r="S469" s="126" t="e">
        <f t="shared" ref="S469:S475" ca="1" si="105">V469</f>
        <v>#REF!</v>
      </c>
      <c r="T469" s="126"/>
      <c r="U469" s="53">
        <v>1</v>
      </c>
      <c r="V469" s="54" t="e">
        <f ca="1">(SUMPRODUCT(MID(0&amp;#REF!, LARGE(INDEX(ISNUMBER(--MID(#REF!, ROW(INDIRECT("1:"&amp;LEN(#REF!))), 1)) * ROW(INDIRECT("1:"&amp;LEN(#REF!))), 0), ROW(INDIRECT("1:"&amp;LEN(#REF!))))+1, 1) * 10^ROW(INDIRECT("1:"&amp;LEN(#REF!)))/10))*U469*100+1</f>
        <v>#REF!</v>
      </c>
    </row>
    <row r="470" spans="1:22" s="54" customFormat="1" ht="15.75" customHeight="1" x14ac:dyDescent="0.3">
      <c r="A470" s="82">
        <v>3</v>
      </c>
      <c r="B470" s="83"/>
      <c r="C470" s="32" t="s">
        <v>150</v>
      </c>
      <c r="D470" s="32">
        <f>(50.87+2.025*1)*10.764</f>
        <v>569.36177999999995</v>
      </c>
      <c r="E470" s="32">
        <v>0</v>
      </c>
      <c r="F470" s="32">
        <f t="shared" si="104"/>
        <v>910.97884799999997</v>
      </c>
      <c r="G470" s="88"/>
      <c r="H470" s="90"/>
      <c r="I470" s="53"/>
      <c r="S470" s="126" t="e">
        <f t="shared" ca="1" si="105"/>
        <v>#REF!</v>
      </c>
      <c r="T470" s="126"/>
      <c r="U470" s="53">
        <f>U469+1</f>
        <v>2</v>
      </c>
      <c r="V470" s="54" t="e">
        <f ca="1">V469+1</f>
        <v>#REF!</v>
      </c>
    </row>
    <row r="471" spans="1:22" s="54" customFormat="1" ht="15.75" customHeight="1" x14ac:dyDescent="0.3">
      <c r="A471" s="82">
        <v>4</v>
      </c>
      <c r="B471" s="83"/>
      <c r="C471" s="32" t="s">
        <v>150</v>
      </c>
      <c r="D471" s="32">
        <f>(51.41+2.025*1)*10.764</f>
        <v>575.17433999999992</v>
      </c>
      <c r="E471" s="32">
        <v>0</v>
      </c>
      <c r="F471" s="32">
        <f t="shared" si="104"/>
        <v>920.27894399999991</v>
      </c>
      <c r="G471" s="88"/>
      <c r="H471" s="90"/>
      <c r="I471" s="53"/>
      <c r="S471" s="126" t="e">
        <f t="shared" ca="1" si="105"/>
        <v>#REF!</v>
      </c>
      <c r="T471" s="126"/>
      <c r="U471" s="53">
        <f>U470+1</f>
        <v>3</v>
      </c>
      <c r="V471" s="54" t="e">
        <f ca="1">V470+1</f>
        <v>#REF!</v>
      </c>
    </row>
    <row r="472" spans="1:22" s="54" customFormat="1" ht="15.75" customHeight="1" x14ac:dyDescent="0.3">
      <c r="A472" s="82">
        <v>5</v>
      </c>
      <c r="B472" s="83"/>
      <c r="C472" s="32" t="s">
        <v>151</v>
      </c>
      <c r="D472" s="32">
        <f>(37.27)*10.764</f>
        <v>401.17428000000001</v>
      </c>
      <c r="E472" s="32">
        <v>0</v>
      </c>
      <c r="F472" s="32">
        <f t="shared" si="104"/>
        <v>641.87884800000006</v>
      </c>
      <c r="G472" s="88"/>
      <c r="H472" s="90"/>
      <c r="I472" s="53"/>
      <c r="S472" s="126" t="e">
        <f t="shared" ca="1" si="105"/>
        <v>#REF!</v>
      </c>
      <c r="T472" s="126"/>
      <c r="U472" s="53">
        <f t="shared" ref="U472:V472" si="106">U471+1</f>
        <v>4</v>
      </c>
      <c r="V472" s="54" t="e">
        <f t="shared" ca="1" si="106"/>
        <v>#REF!</v>
      </c>
    </row>
    <row r="473" spans="1:22" s="54" customFormat="1" ht="15.75" customHeight="1" x14ac:dyDescent="0.3">
      <c r="A473" s="82">
        <v>6</v>
      </c>
      <c r="B473" s="83"/>
      <c r="C473" s="32" t="s">
        <v>151</v>
      </c>
      <c r="D473" s="32">
        <f>(37.27)*10.764</f>
        <v>401.17428000000001</v>
      </c>
      <c r="E473" s="32">
        <v>0</v>
      </c>
      <c r="F473" s="32">
        <f t="shared" si="104"/>
        <v>641.87884800000006</v>
      </c>
      <c r="G473" s="88"/>
      <c r="H473" s="90"/>
      <c r="I473" s="53"/>
      <c r="S473" s="126">
        <f t="shared" ca="1" si="105"/>
        <v>101</v>
      </c>
      <c r="T473" s="126"/>
      <c r="U473" s="53">
        <v>1</v>
      </c>
      <c r="V473" s="54">
        <f ca="1">(SUMPRODUCT(MID(0&amp;V468, LARGE(INDEX(ISNUMBER(--MID(V468, ROW(INDIRECT("1:"&amp;LEN(V468))), 1)) * ROW(INDIRECT("1:"&amp;LEN(V468))), 0), ROW(INDIRECT("1:"&amp;LEN(V468))))+1, 1) * 10^ROW(INDIRECT("1:"&amp;LEN(V468)))/10))*U473*100+1</f>
        <v>101</v>
      </c>
    </row>
    <row r="474" spans="1:22" s="54" customFormat="1" ht="15.75" customHeight="1" x14ac:dyDescent="0.3">
      <c r="A474" s="82">
        <v>7</v>
      </c>
      <c r="B474" s="83"/>
      <c r="C474" s="32" t="s">
        <v>150</v>
      </c>
      <c r="D474" s="32">
        <f>(51.41+2.025*1)*10.764</f>
        <v>575.17433999999992</v>
      </c>
      <c r="E474" s="32">
        <v>0</v>
      </c>
      <c r="F474" s="32">
        <f t="shared" si="104"/>
        <v>920.27894399999991</v>
      </c>
      <c r="G474" s="88"/>
      <c r="H474" s="90"/>
      <c r="I474" s="53"/>
      <c r="S474" s="126">
        <f t="shared" ca="1" si="105"/>
        <v>102</v>
      </c>
      <c r="T474" s="126"/>
      <c r="U474" s="53">
        <f>U473+1</f>
        <v>2</v>
      </c>
      <c r="V474" s="54">
        <f ca="1">V473+1</f>
        <v>102</v>
      </c>
    </row>
    <row r="475" spans="1:22" s="54" customFormat="1" ht="15.75" customHeight="1" x14ac:dyDescent="0.3">
      <c r="A475" s="84" t="s">
        <v>316</v>
      </c>
      <c r="B475" s="84"/>
      <c r="C475" s="84"/>
      <c r="D475" s="84"/>
      <c r="E475" s="84"/>
      <c r="F475" s="84"/>
      <c r="G475" s="84"/>
      <c r="H475" s="84"/>
      <c r="I475" s="53"/>
      <c r="S475" s="126">
        <f t="shared" ca="1" si="105"/>
        <v>103</v>
      </c>
      <c r="T475" s="126"/>
      <c r="U475" s="53">
        <f>U474+1</f>
        <v>3</v>
      </c>
      <c r="V475" s="54">
        <f ca="1">V474+1</f>
        <v>103</v>
      </c>
    </row>
    <row r="476" spans="1:22" s="54" customFormat="1" x14ac:dyDescent="0.3">
      <c r="A476" s="84" t="s">
        <v>153</v>
      </c>
      <c r="B476" s="84"/>
      <c r="C476" s="84"/>
      <c r="D476" s="84"/>
      <c r="E476" s="84"/>
      <c r="F476" s="84"/>
      <c r="G476" s="84"/>
      <c r="H476" s="84"/>
      <c r="I476" s="53">
        <v>1</v>
      </c>
      <c r="S476" s="126"/>
      <c r="T476" s="126"/>
      <c r="V476" s="54" t="str">
        <f>LEFT(A631,SUM(LEN(A631)-LEN(SUBSTITUTE(A631,{"0","1","2","3","4","5","6","7","8","9"},""))))</f>
        <v>6</v>
      </c>
    </row>
    <row r="477" spans="1:22" s="54" customFormat="1" ht="15.75" customHeight="1" x14ac:dyDescent="0.3">
      <c r="A477" s="82">
        <v>1</v>
      </c>
      <c r="B477" s="83"/>
      <c r="C477" s="32" t="s">
        <v>150</v>
      </c>
      <c r="D477" s="32">
        <f>(51.06+2.025*1)*10.764</f>
        <v>571.40693999999996</v>
      </c>
      <c r="E477" s="32">
        <v>0</v>
      </c>
      <c r="F477" s="32">
        <f>D477*(($F$296)+1)+E477</f>
        <v>914.25110399999994</v>
      </c>
      <c r="G477" s="85" t="str">
        <f>A476</f>
        <v>13th, 20th, 27th, 34th &amp; 41st Floor</v>
      </c>
      <c r="H477" s="87"/>
      <c r="I477" s="53"/>
      <c r="S477" s="126" t="e">
        <f t="shared" ref="S477:S483" ca="1" si="107">V477</f>
        <v>#REF!</v>
      </c>
      <c r="T477" s="126"/>
      <c r="U477" s="53">
        <v>1</v>
      </c>
      <c r="V477" s="54" t="e">
        <f ca="1">(SUMPRODUCT(MID(0&amp;#REF!, LARGE(INDEX(ISNUMBER(--MID(#REF!, ROW(INDIRECT("1:"&amp;LEN(#REF!))), 1)) * ROW(INDIRECT("1:"&amp;LEN(#REF!))), 0), ROW(INDIRECT("1:"&amp;LEN(#REF!))))+1, 1) * 10^ROW(INDIRECT("1:"&amp;LEN(#REF!)))/10))*U477*100+1</f>
        <v>#REF!</v>
      </c>
    </row>
    <row r="478" spans="1:22" s="54" customFormat="1" ht="15.75" customHeight="1" x14ac:dyDescent="0.3">
      <c r="A478" s="82">
        <v>2</v>
      </c>
      <c r="B478" s="83"/>
      <c r="C478" s="32" t="s">
        <v>169</v>
      </c>
      <c r="D478" s="20">
        <f>(69+1.975*1)*10.764</f>
        <v>763.97489999999993</v>
      </c>
      <c r="E478" s="32">
        <v>0</v>
      </c>
      <c r="F478" s="32">
        <f>D478*(($F$296)+1)+E478</f>
        <v>1222.3598399999998</v>
      </c>
      <c r="G478" s="88"/>
      <c r="H478" s="90"/>
      <c r="I478" s="53"/>
      <c r="S478" s="126" t="e">
        <f t="shared" ca="1" si="107"/>
        <v>#REF!</v>
      </c>
      <c r="T478" s="126"/>
      <c r="U478" s="53">
        <f>U477+1</f>
        <v>2</v>
      </c>
      <c r="V478" s="54" t="e">
        <f ca="1">V477+1</f>
        <v>#REF!</v>
      </c>
    </row>
    <row r="479" spans="1:22" s="54" customFormat="1" ht="15.75" customHeight="1" x14ac:dyDescent="0.3">
      <c r="A479" s="82">
        <v>3</v>
      </c>
      <c r="B479" s="83"/>
      <c r="C479" s="32" t="s">
        <v>150</v>
      </c>
      <c r="D479" s="32">
        <f>(50.87+2.025*1)*10.764</f>
        <v>569.36177999999995</v>
      </c>
      <c r="E479" s="32">
        <v>0</v>
      </c>
      <c r="F479" s="32">
        <f>D479*(($F$296)+1)+E479</f>
        <v>910.97884799999997</v>
      </c>
      <c r="G479" s="88"/>
      <c r="H479" s="90"/>
      <c r="I479" s="53"/>
      <c r="S479" s="126" t="e">
        <f t="shared" ca="1" si="107"/>
        <v>#REF!</v>
      </c>
      <c r="T479" s="126"/>
      <c r="U479" s="53">
        <f>U478+1</f>
        <v>3</v>
      </c>
      <c r="V479" s="54" t="e">
        <f ca="1">V478+1</f>
        <v>#REF!</v>
      </c>
    </row>
    <row r="480" spans="1:22" s="54" customFormat="1" ht="15.75" customHeight="1" x14ac:dyDescent="0.3">
      <c r="A480" s="82">
        <v>4</v>
      </c>
      <c r="B480" s="83"/>
      <c r="C480" s="85" t="s">
        <v>152</v>
      </c>
      <c r="D480" s="86"/>
      <c r="E480" s="86"/>
      <c r="F480" s="87"/>
      <c r="G480" s="88"/>
      <c r="H480" s="90"/>
      <c r="I480" s="53"/>
      <c r="S480" s="126" t="e">
        <f t="shared" ca="1" si="107"/>
        <v>#REF!</v>
      </c>
      <c r="T480" s="126"/>
      <c r="U480" s="53">
        <f t="shared" ref="U480:V480" si="108">U479+1</f>
        <v>4</v>
      </c>
      <c r="V480" s="54" t="e">
        <f t="shared" ca="1" si="108"/>
        <v>#REF!</v>
      </c>
    </row>
    <row r="481" spans="1:22" s="54" customFormat="1" ht="15.75" customHeight="1" x14ac:dyDescent="0.3">
      <c r="A481" s="82">
        <v>5</v>
      </c>
      <c r="B481" s="83"/>
      <c r="C481" s="88"/>
      <c r="D481" s="89"/>
      <c r="E481" s="89"/>
      <c r="F481" s="90"/>
      <c r="G481" s="88"/>
      <c r="H481" s="90"/>
      <c r="I481" s="53"/>
      <c r="S481" s="126">
        <f t="shared" ca="1" si="107"/>
        <v>601</v>
      </c>
      <c r="T481" s="126"/>
      <c r="U481" s="53">
        <v>1</v>
      </c>
      <c r="V481" s="54">
        <f ca="1">(SUMPRODUCT(MID(0&amp;V476, LARGE(INDEX(ISNUMBER(--MID(V476, ROW(INDIRECT("1:"&amp;LEN(V476))), 1)) * ROW(INDIRECT("1:"&amp;LEN(V476))), 0), ROW(INDIRECT("1:"&amp;LEN(V476))))+1, 1) * 10^ROW(INDIRECT("1:"&amp;LEN(V476)))/10))*U481*100+1</f>
        <v>601</v>
      </c>
    </row>
    <row r="482" spans="1:22" s="54" customFormat="1" ht="15.75" customHeight="1" x14ac:dyDescent="0.3">
      <c r="A482" s="82">
        <v>6</v>
      </c>
      <c r="B482" s="83"/>
      <c r="C482" s="32" t="s">
        <v>151</v>
      </c>
      <c r="D482" s="32">
        <f>(37.27)*10.764</f>
        <v>401.17428000000001</v>
      </c>
      <c r="E482" s="32">
        <v>0</v>
      </c>
      <c r="F482" s="32">
        <f>D482*(($F$296)+1)+E482</f>
        <v>641.87884800000006</v>
      </c>
      <c r="G482" s="88"/>
      <c r="H482" s="90"/>
      <c r="I482" s="53"/>
      <c r="S482" s="126">
        <f t="shared" ca="1" si="107"/>
        <v>602</v>
      </c>
      <c r="T482" s="126"/>
      <c r="U482" s="53">
        <f>U481+1</f>
        <v>2</v>
      </c>
      <c r="V482" s="54">
        <f ca="1">V481+1</f>
        <v>602</v>
      </c>
    </row>
    <row r="483" spans="1:22" s="54" customFormat="1" ht="15.75" customHeight="1" x14ac:dyDescent="0.3">
      <c r="A483" s="82">
        <v>7</v>
      </c>
      <c r="B483" s="83"/>
      <c r="C483" s="32" t="s">
        <v>150</v>
      </c>
      <c r="D483" s="32">
        <f>(51.41+2.025*1)*10.764</f>
        <v>575.17433999999992</v>
      </c>
      <c r="E483" s="32">
        <v>0</v>
      </c>
      <c r="F483" s="32">
        <f>D483*(($F$296)+1)+E483</f>
        <v>920.27894399999991</v>
      </c>
      <c r="G483" s="88"/>
      <c r="H483" s="90"/>
      <c r="I483" s="53"/>
      <c r="S483" s="126">
        <f t="shared" ca="1" si="107"/>
        <v>603</v>
      </c>
      <c r="T483" s="126"/>
      <c r="U483" s="53">
        <f>U482+1</f>
        <v>3</v>
      </c>
      <c r="V483" s="54">
        <f ca="1">V482+1</f>
        <v>603</v>
      </c>
    </row>
    <row r="484" spans="1:22" s="54" customFormat="1" x14ac:dyDescent="0.3">
      <c r="A484" s="84" t="s">
        <v>286</v>
      </c>
      <c r="B484" s="84"/>
      <c r="C484" s="84"/>
      <c r="D484" s="84"/>
      <c r="E484" s="84"/>
      <c r="F484" s="84"/>
      <c r="G484" s="84"/>
      <c r="H484" s="84"/>
      <c r="I484" s="53">
        <v>1</v>
      </c>
      <c r="S484" s="126"/>
      <c r="T484" s="126"/>
      <c r="V484" s="54" t="str">
        <f>LEFT(A638,SUM(LEN(A638)-LEN(SUBSTITUTE(A638,{"0","1","2","3","4","5","6","7","8","9"},""))))</f>
        <v>7</v>
      </c>
    </row>
    <row r="485" spans="1:22" s="54" customFormat="1" ht="15.75" customHeight="1" x14ac:dyDescent="0.3">
      <c r="A485" s="82">
        <v>1</v>
      </c>
      <c r="B485" s="83"/>
      <c r="C485" s="32" t="s">
        <v>150</v>
      </c>
      <c r="D485" s="32">
        <f>(51.06+2.025*1)*10.764</f>
        <v>571.40693999999996</v>
      </c>
      <c r="E485" s="32">
        <v>0</v>
      </c>
      <c r="F485" s="32">
        <f>D485*(($F$296)+1)+E485</f>
        <v>914.25110399999994</v>
      </c>
      <c r="G485" s="85" t="str">
        <f>A484</f>
        <v>48th Floor (Part Refuge Area)</v>
      </c>
      <c r="H485" s="87"/>
      <c r="I485" s="53"/>
      <c r="S485" s="126" t="e">
        <f t="shared" ref="S485:S491" ca="1" si="109">V485</f>
        <v>#REF!</v>
      </c>
      <c r="T485" s="126"/>
      <c r="U485" s="53">
        <v>1</v>
      </c>
      <c r="V485" s="54" t="e">
        <f ca="1">(SUMPRODUCT(MID(0&amp;#REF!, LARGE(INDEX(ISNUMBER(--MID(#REF!, ROW(INDIRECT("1:"&amp;LEN(#REF!))), 1)) * ROW(INDIRECT("1:"&amp;LEN(#REF!))), 0), ROW(INDIRECT("1:"&amp;LEN(#REF!))))+1, 1) * 10^ROW(INDIRECT("1:"&amp;LEN(#REF!)))/10))*U485*100+1</f>
        <v>#REF!</v>
      </c>
    </row>
    <row r="486" spans="1:22" s="54" customFormat="1" ht="15.75" customHeight="1" x14ac:dyDescent="0.3">
      <c r="A486" s="82">
        <v>2</v>
      </c>
      <c r="B486" s="83"/>
      <c r="C486" s="32" t="s">
        <v>169</v>
      </c>
      <c r="D486" s="20">
        <f>(69+1.975*1)*10.764</f>
        <v>763.97489999999993</v>
      </c>
      <c r="E486" s="32">
        <v>0</v>
      </c>
      <c r="F486" s="32">
        <f>D486*(($F$296)+1)+E486</f>
        <v>1222.3598399999998</v>
      </c>
      <c r="G486" s="88"/>
      <c r="H486" s="90"/>
      <c r="I486" s="53"/>
      <c r="S486" s="126" t="e">
        <f t="shared" ca="1" si="109"/>
        <v>#REF!</v>
      </c>
      <c r="T486" s="126"/>
      <c r="U486" s="53">
        <f>U485+1</f>
        <v>2</v>
      </c>
      <c r="V486" s="54" t="e">
        <f ca="1">V485+1</f>
        <v>#REF!</v>
      </c>
    </row>
    <row r="487" spans="1:22" s="54" customFormat="1" ht="15.75" customHeight="1" x14ac:dyDescent="0.3">
      <c r="A487" s="82">
        <v>3</v>
      </c>
      <c r="B487" s="83"/>
      <c r="C487" s="32" t="s">
        <v>150</v>
      </c>
      <c r="D487" s="32">
        <f>(50.87+2.025*1)*10.764</f>
        <v>569.36177999999995</v>
      </c>
      <c r="E487" s="32">
        <v>0</v>
      </c>
      <c r="F487" s="32">
        <f>D487*(($F$296)+1)+E487</f>
        <v>910.97884799999997</v>
      </c>
      <c r="G487" s="88"/>
      <c r="H487" s="90"/>
      <c r="I487" s="53"/>
      <c r="S487" s="126" t="e">
        <f t="shared" ca="1" si="109"/>
        <v>#REF!</v>
      </c>
      <c r="T487" s="126"/>
      <c r="U487" s="53">
        <f>U486+1</f>
        <v>3</v>
      </c>
      <c r="V487" s="54" t="e">
        <f ca="1">V486+1</f>
        <v>#REF!</v>
      </c>
    </row>
    <row r="488" spans="1:22" s="54" customFormat="1" ht="15.75" customHeight="1" x14ac:dyDescent="0.3">
      <c r="A488" s="82">
        <v>4</v>
      </c>
      <c r="B488" s="83"/>
      <c r="C488" s="32" t="s">
        <v>150</v>
      </c>
      <c r="D488" s="32">
        <f>(1.225*1.25+2.6*1.55+2.55*0.465+2.75*0.94+4.975*2.425+2.025*3.2+2.75*3.2+2.75*3.145+1.275*2.2+0.7*0.05+0.95*1.1+2.2*1.1+2.2*1.225+(2.025*1))*10.764</f>
        <v>606.5527454999999</v>
      </c>
      <c r="E488" s="32">
        <v>0</v>
      </c>
      <c r="F488" s="32">
        <f>D488*(($F$296)+1)+E488</f>
        <v>970.48439279999991</v>
      </c>
      <c r="G488" s="88"/>
      <c r="H488" s="90"/>
      <c r="I488" s="53"/>
      <c r="S488" s="126" t="e">
        <f t="shared" ca="1" si="109"/>
        <v>#REF!</v>
      </c>
      <c r="T488" s="126"/>
      <c r="U488" s="53">
        <f t="shared" ref="U488:V488" si="110">U487+1</f>
        <v>4</v>
      </c>
      <c r="V488" s="54" t="e">
        <f t="shared" ca="1" si="110"/>
        <v>#REF!</v>
      </c>
    </row>
    <row r="489" spans="1:22" s="54" customFormat="1" ht="15.75" customHeight="1" x14ac:dyDescent="0.3">
      <c r="A489" s="82">
        <v>5</v>
      </c>
      <c r="B489" s="83"/>
      <c r="C489" s="82" t="s">
        <v>152</v>
      </c>
      <c r="D489" s="94"/>
      <c r="E489" s="94"/>
      <c r="F489" s="83"/>
      <c r="G489" s="88"/>
      <c r="H489" s="90"/>
      <c r="I489" s="53"/>
      <c r="S489" s="126">
        <f t="shared" ca="1" si="109"/>
        <v>701</v>
      </c>
      <c r="T489" s="126"/>
      <c r="U489" s="53">
        <v>1</v>
      </c>
      <c r="V489" s="54">
        <f ca="1">(SUMPRODUCT(MID(0&amp;V484, LARGE(INDEX(ISNUMBER(--MID(V484, ROW(INDIRECT("1:"&amp;LEN(V484))), 1)) * ROW(INDIRECT("1:"&amp;LEN(V484))), 0), ROW(INDIRECT("1:"&amp;LEN(V484))))+1, 1) * 10^ROW(INDIRECT("1:"&amp;LEN(V484)))/10))*U489*100+1</f>
        <v>701</v>
      </c>
    </row>
    <row r="490" spans="1:22" s="54" customFormat="1" ht="15.75" customHeight="1" x14ac:dyDescent="0.3">
      <c r="A490" s="82">
        <v>6</v>
      </c>
      <c r="B490" s="83"/>
      <c r="C490" s="32" t="s">
        <v>151</v>
      </c>
      <c r="D490" s="32">
        <f>(37.27)*10.764</f>
        <v>401.17428000000001</v>
      </c>
      <c r="E490" s="32">
        <v>0</v>
      </c>
      <c r="F490" s="32">
        <f>D490*(($F$296)+1)+E490</f>
        <v>641.87884800000006</v>
      </c>
      <c r="G490" s="88"/>
      <c r="H490" s="90"/>
      <c r="I490" s="70">
        <v>6</v>
      </c>
      <c r="S490" s="126">
        <f t="shared" ca="1" si="109"/>
        <v>702</v>
      </c>
      <c r="T490" s="126"/>
      <c r="U490" s="53">
        <f>U489+1</f>
        <v>2</v>
      </c>
      <c r="V490" s="54">
        <f ca="1">V489+1</f>
        <v>702</v>
      </c>
    </row>
    <row r="491" spans="1:22" s="54" customFormat="1" ht="15.75" customHeight="1" x14ac:dyDescent="0.3">
      <c r="A491" s="82">
        <v>7</v>
      </c>
      <c r="B491" s="83"/>
      <c r="C491" s="32" t="s">
        <v>150</v>
      </c>
      <c r="D491" s="32">
        <f>(51.41+2.025*1)*10.764</f>
        <v>575.17433999999992</v>
      </c>
      <c r="E491" s="32">
        <v>0</v>
      </c>
      <c r="F491" s="32">
        <f>D491*(($F$296)+1)+E491</f>
        <v>920.27894399999991</v>
      </c>
      <c r="G491" s="88"/>
      <c r="H491" s="90"/>
      <c r="I491" s="53"/>
      <c r="S491" s="126">
        <f t="shared" ca="1" si="109"/>
        <v>703</v>
      </c>
      <c r="T491" s="126"/>
      <c r="U491" s="53">
        <f>U490+1</f>
        <v>3</v>
      </c>
      <c r="V491" s="54">
        <f ca="1">V490+1</f>
        <v>703</v>
      </c>
    </row>
    <row r="492" spans="1:22" s="54" customFormat="1" x14ac:dyDescent="0.3">
      <c r="A492" s="141" t="s">
        <v>191</v>
      </c>
      <c r="B492" s="141"/>
      <c r="C492" s="141"/>
      <c r="D492" s="141"/>
      <c r="E492" s="141"/>
      <c r="F492" s="141"/>
      <c r="G492" s="141"/>
      <c r="H492" s="141"/>
      <c r="I492" s="53">
        <f>5+2</f>
        <v>7</v>
      </c>
      <c r="S492" s="126"/>
      <c r="T492" s="126"/>
      <c r="V492" s="54" t="str">
        <f>LEFT(A645,SUM(LEN(A645)-LEN(SUBSTITUTE(A645,{"0","1","2","3","4","5","6","7","8","9"},""))))</f>
        <v>8</v>
      </c>
    </row>
    <row r="493" spans="1:22" s="54" customFormat="1" ht="15.75" customHeight="1" x14ac:dyDescent="0.3">
      <c r="A493" s="84" t="s">
        <v>315</v>
      </c>
      <c r="B493" s="84"/>
      <c r="C493" s="84"/>
      <c r="D493" s="84"/>
      <c r="E493" s="84"/>
      <c r="F493" s="84"/>
      <c r="G493" s="84"/>
      <c r="H493" s="84"/>
      <c r="I493" s="53"/>
      <c r="S493" s="126" t="e">
        <f t="shared" ref="S493:S499" ca="1" si="111">V493</f>
        <v>#REF!</v>
      </c>
      <c r="T493" s="126"/>
      <c r="U493" s="53">
        <v>1</v>
      </c>
      <c r="V493" s="54" t="e">
        <f ca="1">(SUMPRODUCT(MID(0&amp;#REF!, LARGE(INDEX(ISNUMBER(--MID(#REF!, ROW(INDIRECT("1:"&amp;LEN(#REF!))), 1)) * ROW(INDIRECT("1:"&amp;LEN(#REF!))), 0), ROW(INDIRECT("1:"&amp;LEN(#REF!))))+1, 1) * 10^ROW(INDIRECT("1:"&amp;LEN(#REF!)))/10))*U493*100+1</f>
        <v>#REF!</v>
      </c>
    </row>
    <row r="494" spans="1:22" s="54" customFormat="1" ht="15.75" customHeight="1" x14ac:dyDescent="0.3">
      <c r="A494" s="84" t="s">
        <v>275</v>
      </c>
      <c r="B494" s="84"/>
      <c r="C494" s="84"/>
      <c r="D494" s="84"/>
      <c r="E494" s="84"/>
      <c r="F494" s="84"/>
      <c r="G494" s="84"/>
      <c r="H494" s="84"/>
      <c r="I494" s="53"/>
      <c r="S494" s="126" t="e">
        <f t="shared" ca="1" si="111"/>
        <v>#REF!</v>
      </c>
      <c r="T494" s="126"/>
      <c r="U494" s="53">
        <f>U493+1</f>
        <v>2</v>
      </c>
      <c r="V494" s="54" t="e">
        <f ca="1">V493+1</f>
        <v>#REF!</v>
      </c>
    </row>
    <row r="495" spans="1:22" s="54" customFormat="1" ht="15.75" customHeight="1" x14ac:dyDescent="0.3">
      <c r="A495" s="82">
        <v>1</v>
      </c>
      <c r="B495" s="83"/>
      <c r="C495" s="85" t="s">
        <v>195</v>
      </c>
      <c r="D495" s="86"/>
      <c r="E495" s="86"/>
      <c r="F495" s="87"/>
      <c r="G495" s="85" t="str">
        <f>A494</f>
        <v>1st to 5th &amp; 7th Floor for Residential</v>
      </c>
      <c r="H495" s="87"/>
      <c r="I495" s="53">
        <f>(3.75*2.9+2.525*1.85+2.75*3.15+2.4*2.725+2.2*(1.275+1.225)+2.3*0.9+2.4*0.46)</f>
        <v>39.422750000000001</v>
      </c>
      <c r="S495" s="126" t="e">
        <f t="shared" ca="1" si="111"/>
        <v>#REF!</v>
      </c>
      <c r="T495" s="126"/>
      <c r="U495" s="53">
        <f>U494+1</f>
        <v>3</v>
      </c>
      <c r="V495" s="54" t="e">
        <f ca="1">V494+1</f>
        <v>#REF!</v>
      </c>
    </row>
    <row r="496" spans="1:22" s="54" customFormat="1" ht="15.75" customHeight="1" x14ac:dyDescent="0.3">
      <c r="A496" s="82">
        <v>2</v>
      </c>
      <c r="B496" s="83"/>
      <c r="C496" s="88"/>
      <c r="D496" s="89"/>
      <c r="E496" s="89"/>
      <c r="F496" s="90"/>
      <c r="G496" s="88"/>
      <c r="H496" s="90"/>
      <c r="I496" s="53"/>
      <c r="S496" s="126" t="e">
        <f t="shared" ca="1" si="111"/>
        <v>#REF!</v>
      </c>
      <c r="T496" s="126"/>
      <c r="U496" s="53">
        <f t="shared" ref="U496:V496" si="112">U495+1</f>
        <v>4</v>
      </c>
      <c r="V496" s="54" t="e">
        <f t="shared" ca="1" si="112"/>
        <v>#REF!</v>
      </c>
    </row>
    <row r="497" spans="1:22" s="54" customFormat="1" ht="15.75" customHeight="1" x14ac:dyDescent="0.3">
      <c r="A497" s="82">
        <v>3</v>
      </c>
      <c r="B497" s="83"/>
      <c r="C497" s="88"/>
      <c r="D497" s="89"/>
      <c r="E497" s="89"/>
      <c r="F497" s="90"/>
      <c r="G497" s="88"/>
      <c r="H497" s="90"/>
      <c r="I497" s="53"/>
      <c r="S497" s="126">
        <f t="shared" ca="1" si="111"/>
        <v>801</v>
      </c>
      <c r="T497" s="126"/>
      <c r="U497" s="53">
        <v>1</v>
      </c>
      <c r="V497" s="54">
        <f ca="1">(SUMPRODUCT(MID(0&amp;V492, LARGE(INDEX(ISNUMBER(--MID(V492, ROW(INDIRECT("1:"&amp;LEN(V492))), 1)) * ROW(INDIRECT("1:"&amp;LEN(V492))), 0), ROW(INDIRECT("1:"&amp;LEN(V492))))+1, 1) * 10^ROW(INDIRECT("1:"&amp;LEN(V492)))/10))*U497*100+1</f>
        <v>801</v>
      </c>
    </row>
    <row r="498" spans="1:22" s="54" customFormat="1" ht="15.75" customHeight="1" x14ac:dyDescent="0.3">
      <c r="A498" s="82">
        <v>4</v>
      </c>
      <c r="B498" s="83"/>
      <c r="C498" s="32" t="s">
        <v>150</v>
      </c>
      <c r="D498" s="32">
        <f>(51.41+2.025*1+1.775*1.075)*10.764</f>
        <v>595.71339749999993</v>
      </c>
      <c r="E498" s="32">
        <v>0</v>
      </c>
      <c r="F498" s="32">
        <f>D498*(($F$296)+1)+E498</f>
        <v>953.14143599999989</v>
      </c>
      <c r="G498" s="88"/>
      <c r="H498" s="90"/>
      <c r="I498" s="70">
        <v>1</v>
      </c>
      <c r="S498" s="126">
        <f t="shared" ca="1" si="111"/>
        <v>802</v>
      </c>
      <c r="T498" s="126"/>
      <c r="U498" s="53">
        <f>U497+1</f>
        <v>2</v>
      </c>
      <c r="V498" s="54">
        <f ca="1">V497+1</f>
        <v>802</v>
      </c>
    </row>
    <row r="499" spans="1:22" s="54" customFormat="1" ht="15.75" customHeight="1" x14ac:dyDescent="0.3">
      <c r="A499" s="82">
        <v>5</v>
      </c>
      <c r="B499" s="83"/>
      <c r="C499" s="32" t="s">
        <v>151</v>
      </c>
      <c r="D499" s="32">
        <f>(37.27+1.6*1.075)*10.764</f>
        <v>419.68835999999999</v>
      </c>
      <c r="E499" s="32">
        <v>0</v>
      </c>
      <c r="F499" s="32">
        <f>D499*(($F$296)+1)+E499</f>
        <v>671.50137600000005</v>
      </c>
      <c r="G499" s="88"/>
      <c r="H499" s="90"/>
      <c r="I499" s="53"/>
      <c r="S499" s="126">
        <f t="shared" ca="1" si="111"/>
        <v>803</v>
      </c>
      <c r="T499" s="126"/>
      <c r="U499" s="53">
        <f>U498+1</f>
        <v>3</v>
      </c>
      <c r="V499" s="54">
        <f ca="1">V498+1</f>
        <v>803</v>
      </c>
    </row>
    <row r="500" spans="1:22" s="54" customFormat="1" x14ac:dyDescent="0.3">
      <c r="A500" s="82">
        <v>6</v>
      </c>
      <c r="B500" s="83"/>
      <c r="C500" s="32" t="s">
        <v>151</v>
      </c>
      <c r="D500" s="32">
        <f>(37.27)*10.764</f>
        <v>401.17428000000001</v>
      </c>
      <c r="E500" s="32">
        <v>0</v>
      </c>
      <c r="F500" s="32">
        <f>D500*(($F$296)+1)+E500</f>
        <v>641.87884800000006</v>
      </c>
      <c r="G500" s="88"/>
      <c r="H500" s="90"/>
      <c r="I500" s="53">
        <v>1</v>
      </c>
      <c r="S500" s="126"/>
      <c r="T500" s="126"/>
      <c r="V500" s="54" t="str">
        <f>LEFT(A659,SUM(LEN(A659)-LEN(SUBSTITUTE(A659,{"0","1","2","3","4","5","6","7","8","9"},""))))</f>
        <v>13th</v>
      </c>
    </row>
    <row r="501" spans="1:22" s="54" customFormat="1" ht="15.75" customHeight="1" x14ac:dyDescent="0.3">
      <c r="A501" s="82">
        <v>7</v>
      </c>
      <c r="B501" s="83"/>
      <c r="C501" s="32" t="s">
        <v>150</v>
      </c>
      <c r="D501" s="32">
        <f>(51.41+2.025*1)*10.764</f>
        <v>575.17433999999992</v>
      </c>
      <c r="E501" s="32">
        <v>0</v>
      </c>
      <c r="F501" s="32">
        <f>D501*(($F$296)+1)+E501</f>
        <v>920.27894399999991</v>
      </c>
      <c r="G501" s="91"/>
      <c r="H501" s="93"/>
      <c r="I501" s="53"/>
      <c r="S501" s="126" t="e">
        <f t="shared" ref="S501:S506" ca="1" si="113">V501</f>
        <v>#REF!</v>
      </c>
      <c r="T501" s="126"/>
      <c r="U501" s="53">
        <v>1</v>
      </c>
      <c r="V501" s="54" t="e">
        <f ca="1">(SUMPRODUCT(MID(0&amp;#REF!, LARGE(INDEX(ISNUMBER(--MID(#REF!, ROW(INDIRECT("1:"&amp;LEN(#REF!))), 1)) * ROW(INDIRECT("1:"&amp;LEN(#REF!))), 0), ROW(INDIRECT("1:"&amp;LEN(#REF!))))+1, 1) * 10^ROW(INDIRECT("1:"&amp;LEN(#REF!)))/10))*U501*100+1</f>
        <v>#REF!</v>
      </c>
    </row>
    <row r="502" spans="1:22" s="54" customFormat="1" ht="15.75" customHeight="1" x14ac:dyDescent="0.3">
      <c r="A502" s="84" t="s">
        <v>194</v>
      </c>
      <c r="B502" s="84"/>
      <c r="C502" s="84"/>
      <c r="D502" s="84"/>
      <c r="E502" s="84"/>
      <c r="F502" s="84"/>
      <c r="G502" s="84"/>
      <c r="H502" s="84"/>
      <c r="I502" s="53"/>
      <c r="S502" s="126" t="e">
        <f t="shared" ca="1" si="113"/>
        <v>#REF!</v>
      </c>
      <c r="T502" s="126"/>
      <c r="U502" s="53">
        <f>U501+1</f>
        <v>2</v>
      </c>
      <c r="V502" s="54" t="e">
        <f ca="1">V501+1</f>
        <v>#REF!</v>
      </c>
    </row>
    <row r="503" spans="1:22" s="54" customFormat="1" ht="15.75" customHeight="1" x14ac:dyDescent="0.3">
      <c r="A503" s="82">
        <v>1</v>
      </c>
      <c r="B503" s="83"/>
      <c r="C503" s="85" t="s">
        <v>195</v>
      </c>
      <c r="D503" s="86"/>
      <c r="E503" s="86"/>
      <c r="F503" s="87"/>
      <c r="G503" s="85" t="str">
        <f>A502</f>
        <v>6th Floor (Part Refuge Area)</v>
      </c>
      <c r="H503" s="87"/>
      <c r="I503" s="53">
        <f>(3.75*2.9+2.525*1.85+2.75*3.15+2.4*2.725+2.2*(1.275+1.225)+2.3*0.9+2.4*0.46)</f>
        <v>39.422750000000001</v>
      </c>
      <c r="S503" s="126" t="e">
        <f t="shared" ca="1" si="113"/>
        <v>#REF!</v>
      </c>
      <c r="T503" s="126"/>
      <c r="U503" s="53">
        <f>U502+1</f>
        <v>3</v>
      </c>
      <c r="V503" s="54" t="e">
        <f ca="1">V502+1</f>
        <v>#REF!</v>
      </c>
    </row>
    <row r="504" spans="1:22" s="54" customFormat="1" ht="15.75" customHeight="1" x14ac:dyDescent="0.3">
      <c r="A504" s="82">
        <v>2</v>
      </c>
      <c r="B504" s="83"/>
      <c r="C504" s="88"/>
      <c r="D504" s="89"/>
      <c r="E504" s="89"/>
      <c r="F504" s="90"/>
      <c r="G504" s="88"/>
      <c r="H504" s="90"/>
      <c r="I504" s="53"/>
      <c r="S504" s="126" t="e">
        <f t="shared" ca="1" si="113"/>
        <v>#REF!</v>
      </c>
      <c r="T504" s="126"/>
      <c r="U504" s="53">
        <f t="shared" ref="U504:V504" si="114">U503+1</f>
        <v>4</v>
      </c>
      <c r="V504" s="54" t="e">
        <f t="shared" ca="1" si="114"/>
        <v>#REF!</v>
      </c>
    </row>
    <row r="505" spans="1:22" s="54" customFormat="1" ht="15.75" customHeight="1" x14ac:dyDescent="0.3">
      <c r="A505" s="82">
        <v>3</v>
      </c>
      <c r="B505" s="83"/>
      <c r="C505" s="88"/>
      <c r="D505" s="89"/>
      <c r="E505" s="89"/>
      <c r="F505" s="90"/>
      <c r="G505" s="88"/>
      <c r="H505" s="90"/>
      <c r="I505" s="53"/>
      <c r="S505" s="126">
        <f t="shared" ca="1" si="113"/>
        <v>1301</v>
      </c>
      <c r="T505" s="126"/>
      <c r="U505" s="53">
        <v>1</v>
      </c>
      <c r="V505" s="54">
        <f ca="1">(SUMPRODUCT(MID(0&amp;V500, LARGE(INDEX(ISNUMBER(--MID(V500, ROW(INDIRECT("1:"&amp;LEN(V500))), 1)) * ROW(INDIRECT("1:"&amp;LEN(V500))), 0), ROW(INDIRECT("1:"&amp;LEN(V500))))+1, 1) * 10^ROW(INDIRECT("1:"&amp;LEN(V500)))/10))*U505*100+1</f>
        <v>1301</v>
      </c>
    </row>
    <row r="506" spans="1:22" s="54" customFormat="1" ht="15.75" customHeight="1" x14ac:dyDescent="0.3">
      <c r="A506" s="82">
        <v>4</v>
      </c>
      <c r="B506" s="83"/>
      <c r="C506" s="32" t="s">
        <v>150</v>
      </c>
      <c r="D506" s="32">
        <f>(51.41+2.025*1+1.775*1.075)*10.764</f>
        <v>595.71339749999993</v>
      </c>
      <c r="E506" s="32">
        <v>0</v>
      </c>
      <c r="F506" s="32">
        <f>D506*(($F$296)+1)+E506</f>
        <v>953.14143599999989</v>
      </c>
      <c r="G506" s="88"/>
      <c r="H506" s="90"/>
      <c r="I506" s="70">
        <v>1</v>
      </c>
      <c r="S506" s="126">
        <f t="shared" ca="1" si="113"/>
        <v>1302</v>
      </c>
      <c r="T506" s="126"/>
      <c r="U506" s="53">
        <f>U505+1</f>
        <v>2</v>
      </c>
      <c r="V506" s="54">
        <f ca="1">V505+1</f>
        <v>1302</v>
      </c>
    </row>
    <row r="507" spans="1:22" s="52" customFormat="1" x14ac:dyDescent="0.3">
      <c r="A507" s="82">
        <v>5</v>
      </c>
      <c r="B507" s="83"/>
      <c r="C507" s="32" t="s">
        <v>151</v>
      </c>
      <c r="D507" s="32">
        <f>(37.27+1.6*1.075)*10.764</f>
        <v>419.68835999999999</v>
      </c>
      <c r="E507" s="32">
        <v>0</v>
      </c>
      <c r="F507" s="32">
        <f>D507*(($F$296)+1)+E507</f>
        <v>671.50137600000005</v>
      </c>
      <c r="G507" s="88"/>
      <c r="H507" s="90"/>
    </row>
    <row r="508" spans="1:22" s="55" customFormat="1" x14ac:dyDescent="0.3">
      <c r="A508" s="82">
        <v>6</v>
      </c>
      <c r="B508" s="83"/>
      <c r="C508" s="85" t="s">
        <v>152</v>
      </c>
      <c r="D508" s="86"/>
      <c r="E508" s="86"/>
      <c r="F508" s="87"/>
      <c r="G508" s="88"/>
      <c r="H508" s="90"/>
      <c r="I508" s="26"/>
    </row>
    <row r="509" spans="1:22" s="55" customFormat="1" x14ac:dyDescent="0.3">
      <c r="A509" s="82">
        <v>7</v>
      </c>
      <c r="B509" s="83"/>
      <c r="C509" s="91"/>
      <c r="D509" s="92"/>
      <c r="E509" s="92"/>
      <c r="F509" s="93"/>
      <c r="G509" s="91"/>
      <c r="H509" s="93"/>
      <c r="I509" s="26"/>
      <c r="J509" s="140" t="s">
        <v>233</v>
      </c>
      <c r="K509" s="140"/>
      <c r="L509" s="140"/>
      <c r="M509" s="140"/>
      <c r="N509" s="140"/>
      <c r="O509" s="140"/>
      <c r="P509" s="140"/>
      <c r="Q509" s="140"/>
    </row>
    <row r="510" spans="1:22" s="55" customFormat="1" x14ac:dyDescent="0.3">
      <c r="A510" s="84" t="s">
        <v>284</v>
      </c>
      <c r="B510" s="84"/>
      <c r="C510" s="84"/>
      <c r="D510" s="84"/>
      <c r="E510" s="84"/>
      <c r="F510" s="84"/>
      <c r="G510" s="84"/>
      <c r="H510" s="84"/>
      <c r="I510" s="26"/>
    </row>
    <row r="511" spans="1:22" s="55" customFormat="1" x14ac:dyDescent="0.3">
      <c r="A511" s="132">
        <v>1</v>
      </c>
      <c r="B511" s="133"/>
      <c r="C511" s="20" t="s">
        <v>150</v>
      </c>
      <c r="D511" s="20">
        <f>(51.06+2.025*1+1.775*1.075)*10.764</f>
        <v>591.94599749999998</v>
      </c>
      <c r="E511" s="20">
        <f>(3*3.4+3*2.2+2.5*1.3+2*3+1.2*4.2)*10.764</f>
        <v>334.65276</v>
      </c>
      <c r="F511" s="20">
        <f t="shared" ref="F511:F517" si="115">D511*(($F$296)+1)+E511</f>
        <v>1281.7663560000001</v>
      </c>
      <c r="G511" s="153" t="str">
        <f>A510</f>
        <v>8th Floor For Residential</v>
      </c>
      <c r="H511" s="154"/>
      <c r="I511" s="26"/>
    </row>
    <row r="512" spans="1:22" s="55" customFormat="1" x14ac:dyDescent="0.3">
      <c r="A512" s="132">
        <v>2</v>
      </c>
      <c r="B512" s="133"/>
      <c r="C512" s="20" t="s">
        <v>169</v>
      </c>
      <c r="D512" s="20">
        <f>(69+1.975*1+2.75*1.225)*10.764</f>
        <v>800.2361249999999</v>
      </c>
      <c r="E512" s="20">
        <f>(3.2*3.5+3*1.3+2.4*0.8+6*1.8)*10.764</f>
        <v>299.45448000000005</v>
      </c>
      <c r="F512" s="20">
        <f t="shared" si="115"/>
        <v>1579.8322800000001</v>
      </c>
      <c r="G512" s="155"/>
      <c r="H512" s="156"/>
      <c r="I512" s="26"/>
    </row>
    <row r="513" spans="1:11" s="55" customFormat="1" x14ac:dyDescent="0.3">
      <c r="A513" s="132">
        <v>3</v>
      </c>
      <c r="B513" s="133"/>
      <c r="C513" s="20" t="s">
        <v>150</v>
      </c>
      <c r="D513" s="20">
        <f>(50.87+1.775*1.075+2.025*1)*10.764</f>
        <v>589.90083749999985</v>
      </c>
      <c r="E513" s="20">
        <v>0</v>
      </c>
      <c r="F513" s="20">
        <f t="shared" si="115"/>
        <v>943.84133999999983</v>
      </c>
      <c r="G513" s="155"/>
      <c r="H513" s="156"/>
      <c r="I513" s="26"/>
    </row>
    <row r="514" spans="1:11" s="55" customFormat="1" x14ac:dyDescent="0.3">
      <c r="A514" s="132">
        <v>4</v>
      </c>
      <c r="B514" s="133"/>
      <c r="C514" s="20" t="s">
        <v>150</v>
      </c>
      <c r="D514" s="20">
        <f>(51.41+2.025*1+1.775*1.075)*10.764</f>
        <v>595.71339749999993</v>
      </c>
      <c r="E514" s="20">
        <v>0</v>
      </c>
      <c r="F514" s="20">
        <f t="shared" si="115"/>
        <v>953.14143599999989</v>
      </c>
      <c r="G514" s="155"/>
      <c r="H514" s="156"/>
      <c r="I514" s="26">
        <v>1</v>
      </c>
    </row>
    <row r="515" spans="1:11" s="55" customFormat="1" x14ac:dyDescent="0.3">
      <c r="A515" s="132">
        <v>5</v>
      </c>
      <c r="B515" s="133"/>
      <c r="C515" s="20" t="s">
        <v>151</v>
      </c>
      <c r="D515" s="20">
        <f>(37.27+1.6*1.075)*10.764</f>
        <v>419.68835999999999</v>
      </c>
      <c r="E515" s="20">
        <v>0</v>
      </c>
      <c r="F515" s="20">
        <f t="shared" si="115"/>
        <v>671.50137600000005</v>
      </c>
      <c r="G515" s="155"/>
      <c r="H515" s="156"/>
      <c r="I515" s="26"/>
      <c r="J515" s="55">
        <v>10</v>
      </c>
    </row>
    <row r="516" spans="1:11" s="55" customFormat="1" x14ac:dyDescent="0.3">
      <c r="A516" s="132">
        <v>6</v>
      </c>
      <c r="B516" s="133"/>
      <c r="C516" s="20" t="s">
        <v>151</v>
      </c>
      <c r="D516" s="20">
        <f>(37.27)*10.764</f>
        <v>401.17428000000001</v>
      </c>
      <c r="E516" s="20">
        <v>0</v>
      </c>
      <c r="F516" s="20">
        <f t="shared" si="115"/>
        <v>641.87884800000006</v>
      </c>
      <c r="G516" s="155"/>
      <c r="H516" s="156"/>
      <c r="I516" s="26"/>
    </row>
    <row r="517" spans="1:11" s="55" customFormat="1" x14ac:dyDescent="0.3">
      <c r="A517" s="132">
        <v>7</v>
      </c>
      <c r="B517" s="133"/>
      <c r="C517" s="20" t="s">
        <v>150</v>
      </c>
      <c r="D517" s="20">
        <f>(51.41)*10.764</f>
        <v>553.37723999999992</v>
      </c>
      <c r="E517" s="20">
        <v>0</v>
      </c>
      <c r="F517" s="20">
        <f t="shared" si="115"/>
        <v>885.40358399999991</v>
      </c>
      <c r="G517" s="155"/>
      <c r="H517" s="156"/>
      <c r="I517" s="26"/>
    </row>
    <row r="518" spans="1:11" s="55" customFormat="1" x14ac:dyDescent="0.3">
      <c r="A518" s="84" t="s">
        <v>288</v>
      </c>
      <c r="B518" s="84"/>
      <c r="C518" s="84"/>
      <c r="D518" s="84"/>
      <c r="E518" s="84"/>
      <c r="F518" s="84"/>
      <c r="G518" s="84"/>
      <c r="H518" s="84"/>
      <c r="I518" s="26"/>
    </row>
    <row r="519" spans="1:11" s="55" customFormat="1" x14ac:dyDescent="0.3">
      <c r="A519" s="82">
        <v>1</v>
      </c>
      <c r="B519" s="83"/>
      <c r="C519" s="32" t="s">
        <v>150</v>
      </c>
      <c r="D519" s="32">
        <f>(51.06+2.025*1+1.775*1.075)*10.764</f>
        <v>591.94599749999998</v>
      </c>
      <c r="E519" s="32">
        <v>0</v>
      </c>
      <c r="F519" s="32">
        <f t="shared" ref="F519:F524" si="116">D519*(($F$296)+1)+E519</f>
        <v>947.11359600000003</v>
      </c>
      <c r="G519" s="85" t="str">
        <f>A518</f>
        <v>21st Floor</v>
      </c>
      <c r="H519" s="87"/>
      <c r="I519" s="26"/>
    </row>
    <row r="520" spans="1:11" s="55" customFormat="1" x14ac:dyDescent="0.3">
      <c r="A520" s="82">
        <v>2</v>
      </c>
      <c r="B520" s="83"/>
      <c r="C520" s="32" t="s">
        <v>169</v>
      </c>
      <c r="D520" s="20">
        <f>(69+1.975*1+2.75*1.225)*10.764</f>
        <v>800.2361249999999</v>
      </c>
      <c r="E520" s="32">
        <v>0</v>
      </c>
      <c r="F520" s="32">
        <f t="shared" si="116"/>
        <v>1280.3778</v>
      </c>
      <c r="G520" s="88"/>
      <c r="H520" s="90"/>
      <c r="I520" s="26"/>
      <c r="K520" s="76">
        <f>I490+I498+I506+I521+I530+I537+I544+I514</f>
        <v>49</v>
      </c>
    </row>
    <row r="521" spans="1:11" x14ac:dyDescent="0.3">
      <c r="A521" s="82">
        <v>3</v>
      </c>
      <c r="B521" s="83"/>
      <c r="C521" s="32" t="s">
        <v>150</v>
      </c>
      <c r="D521" s="32">
        <f>(50.87+1.775*1.075+2.025*1)*10.764</f>
        <v>589.90083749999985</v>
      </c>
      <c r="E521" s="32">
        <v>0</v>
      </c>
      <c r="F521" s="32">
        <f t="shared" si="116"/>
        <v>943.84133999999983</v>
      </c>
      <c r="G521" s="88"/>
      <c r="H521" s="90"/>
      <c r="I521" s="75">
        <f>4+6+5+6+6+1</f>
        <v>28</v>
      </c>
    </row>
    <row r="522" spans="1:11" x14ac:dyDescent="0.3">
      <c r="A522" s="82">
        <v>4</v>
      </c>
      <c r="B522" s="83"/>
      <c r="C522" s="32" t="s">
        <v>205</v>
      </c>
      <c r="D522" s="32">
        <f>(5.3*3.365+2.625*1.125+2.125*2.9+1.925*2.9+2.85*3.25+1.5*1.2+1.5*1.2+1.35*1.2+2.225*2.425+2.025*3.2+2.75*3.15+0.85*0.05+2.75*3.145+1.275*2.2+0.7*0.05+0.95*1+2*1.1+2.2*1.225+(1.6*1.075+2.025*1+1.775*1.075))*10.764</f>
        <v>975.03137549999985</v>
      </c>
      <c r="E522" s="32">
        <v>0</v>
      </c>
      <c r="F522" s="32">
        <f t="shared" si="116"/>
        <v>1560.0502007999999</v>
      </c>
      <c r="G522" s="88"/>
      <c r="H522" s="90"/>
    </row>
    <row r="523" spans="1:11" ht="15.75" customHeight="1" x14ac:dyDescent="0.3">
      <c r="A523" s="82">
        <v>6</v>
      </c>
      <c r="B523" s="83"/>
      <c r="C523" s="32" t="s">
        <v>151</v>
      </c>
      <c r="D523" s="32">
        <f>(37.27)*10.764</f>
        <v>401.17428000000001</v>
      </c>
      <c r="E523" s="32">
        <v>0</v>
      </c>
      <c r="F523" s="32">
        <f t="shared" si="116"/>
        <v>641.87884800000006</v>
      </c>
      <c r="G523" s="88"/>
      <c r="H523" s="90"/>
    </row>
    <row r="524" spans="1:11" x14ac:dyDescent="0.3">
      <c r="A524" s="82">
        <v>7</v>
      </c>
      <c r="B524" s="83"/>
      <c r="C524" s="32" t="s">
        <v>150</v>
      </c>
      <c r="D524" s="32">
        <f>(51.41)*10.764</f>
        <v>553.37723999999992</v>
      </c>
      <c r="E524" s="32">
        <v>0</v>
      </c>
      <c r="F524" s="32">
        <f t="shared" si="116"/>
        <v>885.40358399999991</v>
      </c>
      <c r="G524" s="88"/>
      <c r="H524" s="90"/>
    </row>
    <row r="525" spans="1:11" x14ac:dyDescent="0.3">
      <c r="A525" s="84" t="s">
        <v>287</v>
      </c>
      <c r="B525" s="84"/>
      <c r="C525" s="84"/>
      <c r="D525" s="84"/>
      <c r="E525" s="84"/>
      <c r="F525" s="84"/>
      <c r="G525" s="84"/>
      <c r="H525" s="84"/>
    </row>
    <row r="526" spans="1:11" x14ac:dyDescent="0.3">
      <c r="A526" s="82">
        <v>1</v>
      </c>
      <c r="B526" s="83"/>
      <c r="C526" s="32" t="s">
        <v>150</v>
      </c>
      <c r="D526" s="32">
        <f>(51.06+2.025*1+1.775*1.075)*10.764</f>
        <v>591.94599749999998</v>
      </c>
      <c r="E526" s="32">
        <v>0</v>
      </c>
      <c r="F526" s="32">
        <f t="shared" ref="F526:F532" si="117">D526*(($F$296)+1)+E526</f>
        <v>947.11359600000003</v>
      </c>
      <c r="G526" s="85" t="str">
        <f>A525</f>
        <v>9th to 12th, 14th to 19th, 22nd to 26th, 28th to 33rd, 35th to 40th, 42nd Floor</v>
      </c>
      <c r="H526" s="87"/>
    </row>
    <row r="527" spans="1:11" x14ac:dyDescent="0.3">
      <c r="A527" s="82">
        <v>2</v>
      </c>
      <c r="B527" s="83"/>
      <c r="C527" s="32" t="s">
        <v>169</v>
      </c>
      <c r="D527" s="20">
        <f>(69+1.975*1+2.75*1.225)*10.764</f>
        <v>800.2361249999999</v>
      </c>
      <c r="E527" s="32">
        <v>0</v>
      </c>
      <c r="F527" s="32">
        <f t="shared" si="117"/>
        <v>1280.3778</v>
      </c>
      <c r="G527" s="88"/>
      <c r="H527" s="90"/>
    </row>
    <row r="528" spans="1:11" x14ac:dyDescent="0.3">
      <c r="A528" s="82">
        <v>3</v>
      </c>
      <c r="B528" s="83"/>
      <c r="C528" s="32" t="s">
        <v>150</v>
      </c>
      <c r="D528" s="32">
        <f>(50.87+1.775*1.075+2.025*1)*10.764</f>
        <v>589.90083749999985</v>
      </c>
      <c r="E528" s="32">
        <v>0</v>
      </c>
      <c r="F528" s="32">
        <f t="shared" si="117"/>
        <v>943.84133999999983</v>
      </c>
      <c r="G528" s="88"/>
      <c r="H528" s="90"/>
    </row>
    <row r="529" spans="1:9" x14ac:dyDescent="0.3">
      <c r="A529" s="82">
        <v>4</v>
      </c>
      <c r="B529" s="83"/>
      <c r="C529" s="32" t="s">
        <v>150</v>
      </c>
      <c r="D529" s="32">
        <f>(51.41+2.025*1+1.775*1.075)*10.764</f>
        <v>595.71339749999993</v>
      </c>
      <c r="E529" s="32">
        <v>0</v>
      </c>
      <c r="F529" s="32">
        <f t="shared" si="117"/>
        <v>953.14143599999989</v>
      </c>
      <c r="G529" s="88"/>
      <c r="H529" s="90"/>
    </row>
    <row r="530" spans="1:9" x14ac:dyDescent="0.3">
      <c r="A530" s="82">
        <v>5</v>
      </c>
      <c r="B530" s="83"/>
      <c r="C530" s="32" t="s">
        <v>151</v>
      </c>
      <c r="D530" s="32">
        <f>(37.27+1.6*1.075)*10.764</f>
        <v>419.68835999999999</v>
      </c>
      <c r="E530" s="32">
        <v>0</v>
      </c>
      <c r="F530" s="32">
        <f t="shared" si="117"/>
        <v>671.50137600000005</v>
      </c>
      <c r="G530" s="88"/>
      <c r="H530" s="90"/>
      <c r="I530" s="75">
        <v>5</v>
      </c>
    </row>
    <row r="531" spans="1:9" x14ac:dyDescent="0.3">
      <c r="A531" s="82">
        <v>6</v>
      </c>
      <c r="B531" s="83"/>
      <c r="C531" s="32" t="s">
        <v>151</v>
      </c>
      <c r="D531" s="32">
        <f>(37.27)*10.764</f>
        <v>401.17428000000001</v>
      </c>
      <c r="E531" s="32">
        <v>0</v>
      </c>
      <c r="F531" s="32">
        <f t="shared" si="117"/>
        <v>641.87884800000006</v>
      </c>
      <c r="G531" s="88"/>
      <c r="H531" s="90"/>
    </row>
    <row r="532" spans="1:9" x14ac:dyDescent="0.3">
      <c r="A532" s="82">
        <v>7</v>
      </c>
      <c r="B532" s="83"/>
      <c r="C532" s="32" t="s">
        <v>150</v>
      </c>
      <c r="D532" s="32">
        <f>(51.41)*10.764</f>
        <v>553.37723999999992</v>
      </c>
      <c r="E532" s="32">
        <v>0</v>
      </c>
      <c r="F532" s="32">
        <f t="shared" si="117"/>
        <v>885.40358399999991</v>
      </c>
      <c r="G532" s="88"/>
      <c r="H532" s="90"/>
    </row>
    <row r="533" spans="1:9" x14ac:dyDescent="0.3">
      <c r="A533" s="84" t="s">
        <v>192</v>
      </c>
      <c r="B533" s="84"/>
      <c r="C533" s="84"/>
      <c r="D533" s="84"/>
      <c r="E533" s="84"/>
      <c r="F533" s="84"/>
      <c r="G533" s="84"/>
      <c r="H533" s="84"/>
    </row>
    <row r="534" spans="1:9" x14ac:dyDescent="0.3">
      <c r="A534" s="84" t="s">
        <v>193</v>
      </c>
      <c r="B534" s="84"/>
      <c r="C534" s="84"/>
      <c r="D534" s="84"/>
      <c r="E534" s="84"/>
      <c r="F534" s="84"/>
      <c r="G534" s="84"/>
      <c r="H534" s="84"/>
    </row>
    <row r="535" spans="1:9" x14ac:dyDescent="0.3">
      <c r="A535" s="82">
        <v>1</v>
      </c>
      <c r="B535" s="83"/>
      <c r="C535" s="32" t="s">
        <v>150</v>
      </c>
      <c r="D535" s="32">
        <f>(51.06+2.025*1+1.775*1.075)*10.764</f>
        <v>591.94599749999998</v>
      </c>
      <c r="E535" s="32">
        <v>0</v>
      </c>
      <c r="F535" s="32">
        <f>D535*(($F$296)+1)+E535</f>
        <v>947.11359600000003</v>
      </c>
      <c r="G535" s="85" t="str">
        <f>A534</f>
        <v>13th, 20th, 27th, 34th &amp; 41st Floor (Part Refuge Area)</v>
      </c>
      <c r="H535" s="87"/>
    </row>
    <row r="536" spans="1:9" ht="15" customHeight="1" x14ac:dyDescent="0.3">
      <c r="A536" s="82">
        <v>2</v>
      </c>
      <c r="B536" s="83"/>
      <c r="C536" s="32" t="s">
        <v>169</v>
      </c>
      <c r="D536" s="20">
        <f>(69+1.975*1+2.75*1.225)*10.764</f>
        <v>800.2361249999999</v>
      </c>
      <c r="E536" s="32">
        <v>0</v>
      </c>
      <c r="F536" s="32">
        <f>D536*(($F$296)+1)+E536</f>
        <v>1280.3778</v>
      </c>
      <c r="G536" s="88"/>
      <c r="H536" s="90"/>
    </row>
    <row r="537" spans="1:9" x14ac:dyDescent="0.3">
      <c r="A537" s="82">
        <v>3</v>
      </c>
      <c r="B537" s="83"/>
      <c r="C537" s="32" t="s">
        <v>150</v>
      </c>
      <c r="D537" s="32">
        <f>(50.87+1.775*1.075+2.025*1)*10.764</f>
        <v>589.90083749999985</v>
      </c>
      <c r="E537" s="32">
        <v>0</v>
      </c>
      <c r="F537" s="32">
        <f>D537*(($F$296)+1)+E537</f>
        <v>943.84133999999983</v>
      </c>
      <c r="G537" s="88"/>
      <c r="H537" s="90"/>
      <c r="I537" s="75">
        <v>6</v>
      </c>
    </row>
    <row r="538" spans="1:9" x14ac:dyDescent="0.3">
      <c r="A538" s="82">
        <v>4</v>
      </c>
      <c r="B538" s="83"/>
      <c r="C538" s="32" t="s">
        <v>150</v>
      </c>
      <c r="D538" s="32">
        <f>(51.41+2.025*1+1.775*1.075)*10.764</f>
        <v>595.71339749999993</v>
      </c>
      <c r="E538" s="32">
        <v>0</v>
      </c>
      <c r="F538" s="32">
        <f>D538*(($F$296)+1)+E538</f>
        <v>953.14143599999989</v>
      </c>
      <c r="G538" s="88"/>
      <c r="H538" s="90"/>
    </row>
    <row r="539" spans="1:9" x14ac:dyDescent="0.3">
      <c r="A539" s="82">
        <v>5</v>
      </c>
      <c r="B539" s="83"/>
      <c r="C539" s="32" t="s">
        <v>151</v>
      </c>
      <c r="D539" s="32">
        <f>(37.27+1.6*1.075)*10.764</f>
        <v>419.68835999999999</v>
      </c>
      <c r="E539" s="32">
        <v>0</v>
      </c>
      <c r="F539" s="32">
        <f>D539*(($F$296)+1)+E539</f>
        <v>671.50137600000005</v>
      </c>
      <c r="G539" s="88"/>
      <c r="H539" s="90"/>
      <c r="I539" s="62">
        <f>(3*5.4+2.825*1.925+2.8*3.375+2.9*3+2.3*2.75+2.275*1.4+1.35*2.225+2.5*1.05+1.155*1.5+0.1*(1.625+0.475+1.05))*10.764</f>
        <v>613.2721724999999</v>
      </c>
    </row>
    <row r="540" spans="1:9" x14ac:dyDescent="0.3">
      <c r="A540" s="82">
        <v>6</v>
      </c>
      <c r="B540" s="83"/>
      <c r="C540" s="85" t="s">
        <v>152</v>
      </c>
      <c r="D540" s="86"/>
      <c r="E540" s="86"/>
      <c r="F540" s="87"/>
      <c r="G540" s="88"/>
      <c r="H540" s="90"/>
    </row>
    <row r="541" spans="1:9" x14ac:dyDescent="0.3">
      <c r="A541" s="82">
        <v>7</v>
      </c>
      <c r="B541" s="83"/>
      <c r="C541" s="88"/>
      <c r="D541" s="89"/>
      <c r="E541" s="89"/>
      <c r="F541" s="90"/>
      <c r="G541" s="88"/>
      <c r="H541" s="90"/>
    </row>
    <row r="542" spans="1:9" x14ac:dyDescent="0.3">
      <c r="A542" s="84" t="s">
        <v>289</v>
      </c>
      <c r="B542" s="84"/>
      <c r="C542" s="84"/>
      <c r="D542" s="84"/>
      <c r="E542" s="84"/>
      <c r="F542" s="84"/>
      <c r="G542" s="84"/>
      <c r="H542" s="84"/>
    </row>
    <row r="543" spans="1:9" x14ac:dyDescent="0.3">
      <c r="A543" s="82">
        <v>1</v>
      </c>
      <c r="B543" s="83"/>
      <c r="C543" s="32" t="s">
        <v>150</v>
      </c>
      <c r="D543" s="32">
        <f>(51.06+2.025*1+1.775*1.075)*10.764</f>
        <v>591.94599749999998</v>
      </c>
      <c r="E543" s="32">
        <v>0</v>
      </c>
      <c r="F543" s="32">
        <f>D543*(($F$296)+1)+E543</f>
        <v>947.11359600000003</v>
      </c>
      <c r="G543" s="85" t="str">
        <f>A542</f>
        <v>43rd to 47th &amp; 49th Floor</v>
      </c>
      <c r="H543" s="87"/>
    </row>
    <row r="544" spans="1:9" x14ac:dyDescent="0.3">
      <c r="A544" s="82">
        <v>2</v>
      </c>
      <c r="B544" s="83"/>
      <c r="C544" s="32" t="s">
        <v>169</v>
      </c>
      <c r="D544" s="20">
        <f>(69+1.975*1+2.75*1.225)*10.764</f>
        <v>800.2361249999999</v>
      </c>
      <c r="E544" s="32">
        <v>0</v>
      </c>
      <c r="F544" s="32">
        <f>D544*(($F$296)+1)+E544</f>
        <v>1280.3778</v>
      </c>
      <c r="G544" s="88"/>
      <c r="H544" s="90"/>
      <c r="I544" s="33">
        <v>1</v>
      </c>
    </row>
    <row r="545" spans="1:9" x14ac:dyDescent="0.3">
      <c r="A545" s="82">
        <v>3</v>
      </c>
      <c r="B545" s="83"/>
      <c r="C545" s="32" t="s">
        <v>150</v>
      </c>
      <c r="D545" s="32">
        <f>(50.87+1.775*1.075+2.025*1)*10.764</f>
        <v>589.90083749999985</v>
      </c>
      <c r="E545" s="32">
        <v>0</v>
      </c>
      <c r="F545" s="32">
        <f>D545*(($F$296)+1)+E545</f>
        <v>943.84133999999983</v>
      </c>
      <c r="G545" s="88"/>
      <c r="H545" s="90"/>
    </row>
    <row r="546" spans="1:9" x14ac:dyDescent="0.3">
      <c r="A546" s="82">
        <v>4</v>
      </c>
      <c r="B546" s="83"/>
      <c r="C546" s="32" t="s">
        <v>205</v>
      </c>
      <c r="D546" s="32">
        <f>(89.35+2.025*1+5.3*1.075)*10.764</f>
        <v>1044.8883900000001</v>
      </c>
      <c r="E546" s="32">
        <v>0</v>
      </c>
      <c r="F546" s="32">
        <f>D546*(($F$296)+1)+E546</f>
        <v>1671.8214240000002</v>
      </c>
      <c r="G546" s="88"/>
      <c r="H546" s="90"/>
    </row>
    <row r="547" spans="1:9" x14ac:dyDescent="0.3">
      <c r="A547" s="82">
        <v>7</v>
      </c>
      <c r="B547" s="83"/>
      <c r="C547" s="32" t="s">
        <v>205</v>
      </c>
      <c r="D547" s="32">
        <f>(89.35+2.025*1)*10.764</f>
        <v>983.56049999999993</v>
      </c>
      <c r="E547" s="32">
        <v>0</v>
      </c>
      <c r="F547" s="32">
        <f>D547*(($F$296)+1)+E547</f>
        <v>1573.6967999999999</v>
      </c>
      <c r="G547" s="88"/>
      <c r="H547" s="90"/>
    </row>
    <row r="548" spans="1:9" x14ac:dyDescent="0.3">
      <c r="A548" s="84" t="s">
        <v>286</v>
      </c>
      <c r="B548" s="84"/>
      <c r="C548" s="84"/>
      <c r="D548" s="84"/>
      <c r="E548" s="84"/>
      <c r="F548" s="84"/>
      <c r="G548" s="84"/>
      <c r="H548" s="84"/>
    </row>
    <row r="549" spans="1:9" x14ac:dyDescent="0.3">
      <c r="A549" s="82">
        <v>1</v>
      </c>
      <c r="B549" s="83"/>
      <c r="C549" s="32" t="s">
        <v>150</v>
      </c>
      <c r="D549" s="32">
        <f>(51.06+2.025*1+1.775*1.075)*10.764</f>
        <v>591.94599749999998</v>
      </c>
      <c r="E549" s="32">
        <v>0</v>
      </c>
      <c r="F549" s="32">
        <f>D549*(($F$296)+1)+E549</f>
        <v>947.11359600000003</v>
      </c>
      <c r="G549" s="85" t="str">
        <f>A548</f>
        <v>48th Floor (Part Refuge Area)</v>
      </c>
      <c r="H549" s="87"/>
    </row>
    <row r="550" spans="1:9" x14ac:dyDescent="0.3">
      <c r="A550" s="82">
        <v>2</v>
      </c>
      <c r="B550" s="83"/>
      <c r="C550" s="32" t="s">
        <v>169</v>
      </c>
      <c r="D550" s="20">
        <f>(69+1.975*1+2.75*1.225)*10.764</f>
        <v>800.2361249999999</v>
      </c>
      <c r="E550" s="32">
        <v>0</v>
      </c>
      <c r="F550" s="32">
        <f>D550*(($F$296)+1)+E550</f>
        <v>1280.3778</v>
      </c>
      <c r="G550" s="88"/>
      <c r="H550" s="90"/>
    </row>
    <row r="551" spans="1:9" x14ac:dyDescent="0.3">
      <c r="A551" s="82">
        <v>3</v>
      </c>
      <c r="B551" s="83"/>
      <c r="C551" s="32" t="s">
        <v>150</v>
      </c>
      <c r="D551" s="32">
        <f>(50.87+1.775*1.075+2.025*1)*10.764</f>
        <v>589.90083749999985</v>
      </c>
      <c r="E551" s="32">
        <v>0</v>
      </c>
      <c r="F551" s="32">
        <f>D551*(($F$296)+1)+E551</f>
        <v>943.84133999999983</v>
      </c>
      <c r="G551" s="88"/>
      <c r="H551" s="90"/>
    </row>
    <row r="552" spans="1:9" x14ac:dyDescent="0.3">
      <c r="A552" s="82">
        <v>4</v>
      </c>
      <c r="B552" s="83"/>
      <c r="C552" s="32" t="s">
        <v>205</v>
      </c>
      <c r="D552" s="32">
        <f>(89.35+2.025*1+5.3*1.075)*10.764</f>
        <v>1044.8883900000001</v>
      </c>
      <c r="E552" s="32">
        <v>0</v>
      </c>
      <c r="F552" s="32">
        <f>D552*(($F$296)+1)+E552</f>
        <v>1671.8214240000002</v>
      </c>
      <c r="G552" s="88"/>
      <c r="H552" s="90"/>
      <c r="I552" s="33">
        <v>6</v>
      </c>
    </row>
    <row r="553" spans="1:9" x14ac:dyDescent="0.3">
      <c r="A553" s="82" t="s">
        <v>249</v>
      </c>
      <c r="B553" s="83"/>
      <c r="C553" s="82" t="s">
        <v>251</v>
      </c>
      <c r="D553" s="94"/>
      <c r="E553" s="94"/>
      <c r="F553" s="83"/>
      <c r="G553" s="88"/>
      <c r="H553" s="90"/>
    </row>
    <row r="554" spans="1:9" x14ac:dyDescent="0.3">
      <c r="A554" s="82">
        <v>7</v>
      </c>
      <c r="B554" s="83"/>
      <c r="C554" s="32" t="s">
        <v>150</v>
      </c>
      <c r="D554" s="32">
        <f>(1.225*1.125+2.6*1.55+2.55*0.465+2.75*0.94+4.975*4.25+2.75*0.94+2.025*3.2+2.75*3.2+2.75*3.145+1.275*2.2+0.7*0.05+0.95*1.1+0.9*1.05+1.1*1.1+2.2*1.225+(2.025*1))*10.764</f>
        <v>727.60738049999986</v>
      </c>
      <c r="E554" s="32">
        <v>0</v>
      </c>
      <c r="F554" s="32">
        <f>D554*(($F$296)+1)+E554</f>
        <v>1164.1718087999998</v>
      </c>
      <c r="G554" s="88"/>
      <c r="H554" s="90"/>
    </row>
    <row r="555" spans="1:9" ht="15.75" customHeight="1" x14ac:dyDescent="0.3">
      <c r="A555" s="141" t="s">
        <v>196</v>
      </c>
      <c r="B555" s="141"/>
      <c r="C555" s="141"/>
      <c r="D555" s="141"/>
      <c r="E555" s="141"/>
      <c r="F555" s="141"/>
      <c r="G555" s="141"/>
      <c r="H555" s="141"/>
    </row>
    <row r="556" spans="1:9" x14ac:dyDescent="0.3">
      <c r="A556" s="84" t="s">
        <v>315</v>
      </c>
      <c r="B556" s="84"/>
      <c r="C556" s="84"/>
      <c r="D556" s="84"/>
      <c r="E556" s="84"/>
      <c r="F556" s="84"/>
      <c r="G556" s="84"/>
      <c r="H556" s="84"/>
    </row>
    <row r="557" spans="1:9" x14ac:dyDescent="0.3">
      <c r="A557" s="84" t="s">
        <v>275</v>
      </c>
      <c r="B557" s="84"/>
      <c r="C557" s="84"/>
      <c r="D557" s="84"/>
      <c r="E557" s="84"/>
      <c r="F557" s="84"/>
      <c r="G557" s="84"/>
      <c r="H557" s="84"/>
    </row>
    <row r="558" spans="1:9" x14ac:dyDescent="0.3">
      <c r="A558" s="82">
        <v>1</v>
      </c>
      <c r="B558" s="83"/>
      <c r="C558" s="85" t="s">
        <v>195</v>
      </c>
      <c r="D558" s="86"/>
      <c r="E558" s="86"/>
      <c r="F558" s="87"/>
      <c r="G558" s="85" t="str">
        <f>A557</f>
        <v>1st to 5th &amp; 7th Floor for Residential</v>
      </c>
      <c r="H558" s="87"/>
    </row>
    <row r="559" spans="1:9" x14ac:dyDescent="0.3">
      <c r="A559" s="82">
        <v>2</v>
      </c>
      <c r="B559" s="83"/>
      <c r="C559" s="88"/>
      <c r="D559" s="89"/>
      <c r="E559" s="89"/>
      <c r="F559" s="90"/>
      <c r="G559" s="88"/>
      <c r="H559" s="90"/>
    </row>
    <row r="560" spans="1:9" x14ac:dyDescent="0.3">
      <c r="A560" s="82">
        <v>3</v>
      </c>
      <c r="B560" s="83"/>
      <c r="C560" s="88"/>
      <c r="D560" s="89"/>
      <c r="E560" s="89"/>
      <c r="F560" s="90"/>
      <c r="G560" s="88"/>
      <c r="H560" s="90"/>
      <c r="I560" s="33">
        <v>1</v>
      </c>
    </row>
    <row r="561" spans="1:9" x14ac:dyDescent="0.3">
      <c r="A561" s="82">
        <v>4</v>
      </c>
      <c r="B561" s="83"/>
      <c r="C561" s="32" t="s">
        <v>199</v>
      </c>
      <c r="D561" s="62">
        <f>(43.16)*10.764</f>
        <v>464.57423999999992</v>
      </c>
      <c r="E561" s="32">
        <v>0</v>
      </c>
      <c r="F561" s="32">
        <f>D561*(($F$296)+1)+E561</f>
        <v>743.31878399999994</v>
      </c>
      <c r="G561" s="88"/>
      <c r="H561" s="90"/>
    </row>
    <row r="562" spans="1:9" x14ac:dyDescent="0.3">
      <c r="A562" s="82">
        <v>5</v>
      </c>
      <c r="B562" s="83"/>
      <c r="C562" s="32" t="s">
        <v>151</v>
      </c>
      <c r="D562" s="62">
        <f>(34.22)*10.764</f>
        <v>368.34407999999996</v>
      </c>
      <c r="E562" s="32">
        <v>0</v>
      </c>
      <c r="F562" s="32">
        <f>D562*(($F$296)+1)+E562</f>
        <v>589.35052799999994</v>
      </c>
      <c r="G562" s="88"/>
      <c r="H562" s="90"/>
    </row>
    <row r="563" spans="1:9" x14ac:dyDescent="0.3">
      <c r="A563" s="82">
        <v>6</v>
      </c>
      <c r="B563" s="83"/>
      <c r="C563" s="32" t="s">
        <v>151</v>
      </c>
      <c r="D563" s="62">
        <f>(34.22)*10.764</f>
        <v>368.34407999999996</v>
      </c>
      <c r="E563" s="32">
        <v>0</v>
      </c>
      <c r="F563" s="32">
        <f>D563*(($F$296)+1)+E563</f>
        <v>589.35052799999994</v>
      </c>
      <c r="G563" s="88"/>
      <c r="H563" s="90"/>
    </row>
    <row r="564" spans="1:9" x14ac:dyDescent="0.3">
      <c r="A564" s="82">
        <v>7</v>
      </c>
      <c r="B564" s="83"/>
      <c r="C564" s="32" t="s">
        <v>199</v>
      </c>
      <c r="D564" s="62">
        <f>(42.18)*10.764</f>
        <v>454.02551999999997</v>
      </c>
      <c r="E564" s="32">
        <v>0</v>
      </c>
      <c r="F564" s="32">
        <f>D564*(($F$296)+1)+E564</f>
        <v>726.440832</v>
      </c>
      <c r="G564" s="91"/>
      <c r="H564" s="93"/>
    </row>
    <row r="565" spans="1:9" x14ac:dyDescent="0.3">
      <c r="A565" s="84" t="s">
        <v>194</v>
      </c>
      <c r="B565" s="84"/>
      <c r="C565" s="84"/>
      <c r="D565" s="84"/>
      <c r="E565" s="84"/>
      <c r="F565" s="84"/>
      <c r="G565" s="84"/>
      <c r="H565" s="84"/>
    </row>
    <row r="566" spans="1:9" x14ac:dyDescent="0.3">
      <c r="A566" s="82">
        <v>1</v>
      </c>
      <c r="B566" s="83"/>
      <c r="C566" s="85" t="s">
        <v>195</v>
      </c>
      <c r="D566" s="86"/>
      <c r="E566" s="86"/>
      <c r="F566" s="87"/>
      <c r="G566" s="85" t="str">
        <f>A565</f>
        <v>6th Floor (Part Refuge Area)</v>
      </c>
      <c r="H566" s="87"/>
    </row>
    <row r="567" spans="1:9" x14ac:dyDescent="0.3">
      <c r="A567" s="82">
        <v>2</v>
      </c>
      <c r="B567" s="83"/>
      <c r="C567" s="88"/>
      <c r="D567" s="89"/>
      <c r="E567" s="89"/>
      <c r="F567" s="90"/>
      <c r="G567" s="88"/>
      <c r="H567" s="90"/>
    </row>
    <row r="568" spans="1:9" x14ac:dyDescent="0.3">
      <c r="A568" s="82">
        <v>3</v>
      </c>
      <c r="B568" s="83"/>
      <c r="C568" s="88"/>
      <c r="D568" s="89"/>
      <c r="E568" s="89"/>
      <c r="F568" s="90"/>
      <c r="G568" s="88"/>
      <c r="H568" s="90"/>
      <c r="I568" s="33">
        <v>1</v>
      </c>
    </row>
    <row r="569" spans="1:9" x14ac:dyDescent="0.3">
      <c r="A569" s="82">
        <v>4</v>
      </c>
      <c r="B569" s="83"/>
      <c r="C569" s="32" t="s">
        <v>199</v>
      </c>
      <c r="D569" s="62">
        <f>(43.16)*10.764</f>
        <v>464.57423999999992</v>
      </c>
      <c r="E569" s="32">
        <v>0</v>
      </c>
      <c r="F569" s="32">
        <f>D569*(($F$296)+1)+E569</f>
        <v>743.31878399999994</v>
      </c>
      <c r="G569" s="88"/>
      <c r="H569" s="90"/>
    </row>
    <row r="570" spans="1:9" x14ac:dyDescent="0.3">
      <c r="A570" s="82">
        <v>5</v>
      </c>
      <c r="B570" s="83"/>
      <c r="C570" s="32" t="s">
        <v>151</v>
      </c>
      <c r="D570" s="62">
        <f>(34.22)*10.764</f>
        <v>368.34407999999996</v>
      </c>
      <c r="E570" s="32">
        <v>0</v>
      </c>
      <c r="F570" s="32">
        <f>D570*(($F$296)+1)+E570</f>
        <v>589.35052799999994</v>
      </c>
      <c r="G570" s="88"/>
      <c r="H570" s="90"/>
    </row>
    <row r="571" spans="1:9" x14ac:dyDescent="0.3">
      <c r="A571" s="82">
        <v>6</v>
      </c>
      <c r="B571" s="83"/>
      <c r="C571" s="85" t="s">
        <v>152</v>
      </c>
      <c r="D571" s="86"/>
      <c r="E571" s="86"/>
      <c r="F571" s="87"/>
      <c r="G571" s="88"/>
      <c r="H571" s="90"/>
    </row>
    <row r="572" spans="1:9" x14ac:dyDescent="0.3">
      <c r="A572" s="82">
        <v>7</v>
      </c>
      <c r="B572" s="83"/>
      <c r="C572" s="91"/>
      <c r="D572" s="92"/>
      <c r="E572" s="92"/>
      <c r="F572" s="93"/>
      <c r="G572" s="91"/>
      <c r="H572" s="93"/>
    </row>
    <row r="573" spans="1:9" x14ac:dyDescent="0.3">
      <c r="A573" s="84" t="s">
        <v>284</v>
      </c>
      <c r="B573" s="84"/>
      <c r="C573" s="84"/>
      <c r="D573" s="84"/>
      <c r="E573" s="84"/>
      <c r="F573" s="84"/>
      <c r="G573" s="84"/>
      <c r="H573" s="84"/>
    </row>
    <row r="574" spans="1:9" x14ac:dyDescent="0.3">
      <c r="A574" s="82">
        <v>1</v>
      </c>
      <c r="B574" s="83"/>
      <c r="C574" s="32" t="s">
        <v>150</v>
      </c>
      <c r="D574" s="62">
        <f>(51.47)*10.764</f>
        <v>554.02307999999994</v>
      </c>
      <c r="E574" s="62">
        <f>(2.775*3.7+8.6*1.8)*10.764</f>
        <v>277.14609000000002</v>
      </c>
      <c r="F574" s="32">
        <f t="shared" ref="F574:F580" si="118">D574*(($F$296)+1)+E574</f>
        <v>1163.583018</v>
      </c>
      <c r="G574" s="85" t="str">
        <f>A573</f>
        <v>8th Floor For Residential</v>
      </c>
      <c r="H574" s="87"/>
      <c r="I574" s="33" t="s">
        <v>265</v>
      </c>
    </row>
    <row r="575" spans="1:9" x14ac:dyDescent="0.3">
      <c r="A575" s="82">
        <v>2</v>
      </c>
      <c r="B575" s="83"/>
      <c r="C575" s="32" t="s">
        <v>150</v>
      </c>
      <c r="D575" s="62">
        <f>(52.1)*10.764</f>
        <v>560.80439999999999</v>
      </c>
      <c r="E575" s="62">
        <f>(2.775*3.7+11*2.8)*10.764</f>
        <v>442.05056999999994</v>
      </c>
      <c r="F575" s="32">
        <f t="shared" si="118"/>
        <v>1339.33761</v>
      </c>
      <c r="G575" s="88"/>
      <c r="H575" s="90"/>
    </row>
    <row r="576" spans="1:9" x14ac:dyDescent="0.3">
      <c r="A576" s="82">
        <v>3</v>
      </c>
      <c r="B576" s="83"/>
      <c r="C576" s="32" t="s">
        <v>169</v>
      </c>
      <c r="D576" s="62">
        <f>(68.87+1.975*1)*10.764</f>
        <v>762.57557999999995</v>
      </c>
      <c r="E576" s="62">
        <f>(5.8*1.8+2.2*0.9)*10.764</f>
        <v>133.68887999999998</v>
      </c>
      <c r="F576" s="32">
        <f t="shared" si="118"/>
        <v>1353.809808</v>
      </c>
      <c r="G576" s="88"/>
      <c r="H576" s="90"/>
      <c r="I576" s="33">
        <f>4+6+6</f>
        <v>16</v>
      </c>
    </row>
    <row r="577" spans="1:12" ht="15" customHeight="1" x14ac:dyDescent="0.3">
      <c r="A577" s="82">
        <v>4</v>
      </c>
      <c r="B577" s="83"/>
      <c r="C577" s="32" t="s">
        <v>199</v>
      </c>
      <c r="D577" s="62">
        <f>(43.16)*10.764</f>
        <v>464.57423999999992</v>
      </c>
      <c r="E577" s="32">
        <v>0</v>
      </c>
      <c r="F577" s="32">
        <f t="shared" si="118"/>
        <v>743.31878399999994</v>
      </c>
      <c r="G577" s="88"/>
      <c r="H577" s="90"/>
    </row>
    <row r="578" spans="1:12" x14ac:dyDescent="0.3">
      <c r="A578" s="82">
        <v>5</v>
      </c>
      <c r="B578" s="83"/>
      <c r="C578" s="32" t="s">
        <v>151</v>
      </c>
      <c r="D578" s="62">
        <f>(34.22)*10.764</f>
        <v>368.34407999999996</v>
      </c>
      <c r="E578" s="32">
        <v>0</v>
      </c>
      <c r="F578" s="32">
        <f t="shared" si="118"/>
        <v>589.35052799999994</v>
      </c>
      <c r="G578" s="88"/>
      <c r="H578" s="90"/>
    </row>
    <row r="579" spans="1:12" x14ac:dyDescent="0.3">
      <c r="A579" s="82">
        <v>6</v>
      </c>
      <c r="B579" s="83"/>
      <c r="C579" s="32" t="s">
        <v>151</v>
      </c>
      <c r="D579" s="62">
        <f>(34.22)*10.764</f>
        <v>368.34407999999996</v>
      </c>
      <c r="E579" s="32">
        <v>0</v>
      </c>
      <c r="F579" s="32">
        <f t="shared" si="118"/>
        <v>589.35052799999994</v>
      </c>
      <c r="G579" s="88"/>
      <c r="H579" s="90"/>
    </row>
    <row r="580" spans="1:12" x14ac:dyDescent="0.3">
      <c r="A580" s="82">
        <v>7</v>
      </c>
      <c r="B580" s="83"/>
      <c r="C580" s="32" t="s">
        <v>199</v>
      </c>
      <c r="D580" s="62">
        <f>(42.18)*10.764</f>
        <v>454.02551999999997</v>
      </c>
      <c r="E580" s="32">
        <v>0</v>
      </c>
      <c r="F580" s="32">
        <f t="shared" si="118"/>
        <v>726.440832</v>
      </c>
      <c r="G580" s="88"/>
      <c r="H580" s="90"/>
    </row>
    <row r="581" spans="1:12" x14ac:dyDescent="0.3">
      <c r="A581" s="84" t="s">
        <v>290</v>
      </c>
      <c r="B581" s="84"/>
      <c r="C581" s="84"/>
      <c r="D581" s="84"/>
      <c r="E581" s="84"/>
      <c r="F581" s="84"/>
      <c r="G581" s="84"/>
      <c r="H581" s="84"/>
      <c r="L581" s="33">
        <f>I552+I560+I568+I576+I585+I593+I601+I609</f>
        <v>49</v>
      </c>
    </row>
    <row r="582" spans="1:12" x14ac:dyDescent="0.3">
      <c r="A582" s="82">
        <v>1</v>
      </c>
      <c r="B582" s="83"/>
      <c r="C582" s="32" t="s">
        <v>150</v>
      </c>
      <c r="D582" s="62">
        <f>(51.47)*10.764</f>
        <v>554.02307999999994</v>
      </c>
      <c r="E582" s="32">
        <v>0</v>
      </c>
      <c r="F582" s="32">
        <f t="shared" ref="F582:F588" si="119">D582*(($F$296)+1)+E582</f>
        <v>886.43692799999997</v>
      </c>
      <c r="G582" s="85" t="str">
        <f>A581</f>
        <v>9th to 12th, 14th to 19th, 21st to 26th Floor</v>
      </c>
      <c r="H582" s="87"/>
    </row>
    <row r="583" spans="1:12" x14ac:dyDescent="0.3">
      <c r="A583" s="82">
        <v>2</v>
      </c>
      <c r="B583" s="83"/>
      <c r="C583" s="32" t="s">
        <v>150</v>
      </c>
      <c r="D583" s="62">
        <f>(52.1)*10.764</f>
        <v>560.80439999999999</v>
      </c>
      <c r="E583" s="32">
        <v>0</v>
      </c>
      <c r="F583" s="32">
        <f t="shared" si="119"/>
        <v>897.28704000000005</v>
      </c>
      <c r="G583" s="88"/>
      <c r="H583" s="90"/>
    </row>
    <row r="584" spans="1:12" x14ac:dyDescent="0.3">
      <c r="A584" s="82">
        <v>3</v>
      </c>
      <c r="B584" s="83"/>
      <c r="C584" s="32" t="s">
        <v>169</v>
      </c>
      <c r="D584" s="62">
        <f>(68.87+1.975*1)*10.764</f>
        <v>762.57557999999995</v>
      </c>
      <c r="E584" s="32">
        <v>0</v>
      </c>
      <c r="F584" s="32">
        <f t="shared" si="119"/>
        <v>1220.120928</v>
      </c>
      <c r="G584" s="88"/>
      <c r="H584" s="90"/>
    </row>
    <row r="585" spans="1:12" x14ac:dyDescent="0.3">
      <c r="A585" s="82">
        <v>4</v>
      </c>
      <c r="B585" s="83"/>
      <c r="C585" s="32" t="s">
        <v>199</v>
      </c>
      <c r="D585" s="62">
        <f>(43.16)*10.764</f>
        <v>464.57423999999992</v>
      </c>
      <c r="E585" s="32">
        <v>0</v>
      </c>
      <c r="F585" s="32">
        <f t="shared" si="119"/>
        <v>743.31878399999994</v>
      </c>
      <c r="G585" s="88"/>
      <c r="H585" s="90"/>
      <c r="I585" s="33">
        <v>2</v>
      </c>
    </row>
    <row r="586" spans="1:12" x14ac:dyDescent="0.3">
      <c r="A586" s="82">
        <v>5</v>
      </c>
      <c r="B586" s="83"/>
      <c r="C586" s="32" t="s">
        <v>151</v>
      </c>
      <c r="D586" s="62">
        <f>(34.22)*10.764</f>
        <v>368.34407999999996</v>
      </c>
      <c r="E586" s="32">
        <v>0</v>
      </c>
      <c r="F586" s="32">
        <f t="shared" si="119"/>
        <v>589.35052799999994</v>
      </c>
      <c r="G586" s="88"/>
      <c r="H586" s="90"/>
    </row>
    <row r="587" spans="1:12" x14ac:dyDescent="0.3">
      <c r="A587" s="82">
        <v>6</v>
      </c>
      <c r="B587" s="83"/>
      <c r="C587" s="32" t="s">
        <v>151</v>
      </c>
      <c r="D587" s="62">
        <f>(34.22)*10.764</f>
        <v>368.34407999999996</v>
      </c>
      <c r="E587" s="32">
        <v>0</v>
      </c>
      <c r="F587" s="32">
        <f t="shared" si="119"/>
        <v>589.35052799999994</v>
      </c>
      <c r="G587" s="88"/>
      <c r="H587" s="90"/>
    </row>
    <row r="588" spans="1:12" x14ac:dyDescent="0.3">
      <c r="A588" s="82">
        <v>7</v>
      </c>
      <c r="B588" s="83"/>
      <c r="C588" s="32" t="s">
        <v>199</v>
      </c>
      <c r="D588" s="62">
        <f>(42.18)*10.764</f>
        <v>454.02551999999997</v>
      </c>
      <c r="E588" s="32">
        <v>0</v>
      </c>
      <c r="F588" s="32">
        <f t="shared" si="119"/>
        <v>726.440832</v>
      </c>
      <c r="G588" s="88"/>
      <c r="H588" s="90"/>
    </row>
    <row r="589" spans="1:12" x14ac:dyDescent="0.3">
      <c r="A589" s="84" t="s">
        <v>316</v>
      </c>
      <c r="B589" s="84"/>
      <c r="C589" s="84"/>
      <c r="D589" s="84"/>
      <c r="E589" s="84"/>
      <c r="F589" s="84"/>
      <c r="G589" s="84"/>
      <c r="H589" s="84"/>
    </row>
    <row r="590" spans="1:12" x14ac:dyDescent="0.3">
      <c r="A590" s="84" t="s">
        <v>197</v>
      </c>
      <c r="B590" s="84"/>
      <c r="C590" s="84"/>
      <c r="D590" s="84"/>
      <c r="E590" s="84"/>
      <c r="F590" s="84"/>
      <c r="G590" s="84"/>
      <c r="H590" s="84"/>
    </row>
    <row r="591" spans="1:12" x14ac:dyDescent="0.3">
      <c r="A591" s="82">
        <v>1</v>
      </c>
      <c r="B591" s="83"/>
      <c r="C591" s="32" t="s">
        <v>150</v>
      </c>
      <c r="D591" s="62">
        <f>(51.47)*10.764</f>
        <v>554.02307999999994</v>
      </c>
      <c r="E591" s="32">
        <v>0</v>
      </c>
      <c r="F591" s="32">
        <f>D591*(($F$296)+1)+E591</f>
        <v>886.43692799999997</v>
      </c>
      <c r="G591" s="85" t="str">
        <f>A590</f>
        <v>13th &amp; 20th Floor (Part Refuge Area)</v>
      </c>
      <c r="H591" s="87"/>
    </row>
    <row r="592" spans="1:12" x14ac:dyDescent="0.3">
      <c r="A592" s="82">
        <v>2</v>
      </c>
      <c r="B592" s="83"/>
      <c r="C592" s="32" t="s">
        <v>150</v>
      </c>
      <c r="D592" s="62">
        <f>(52.1)*10.764</f>
        <v>560.80439999999999</v>
      </c>
      <c r="E592" s="32">
        <v>0</v>
      </c>
      <c r="F592" s="32">
        <f t="shared" ref="F592" si="120">D592*(($F$296)+1)+E592</f>
        <v>897.28704000000005</v>
      </c>
      <c r="G592" s="88"/>
      <c r="H592" s="90"/>
    </row>
    <row r="593" spans="1:9" x14ac:dyDescent="0.3">
      <c r="A593" s="82">
        <v>3</v>
      </c>
      <c r="B593" s="83"/>
      <c r="C593" s="32" t="s">
        <v>169</v>
      </c>
      <c r="D593" s="62">
        <f>(68.87+1.975*1)*10.764</f>
        <v>762.57557999999995</v>
      </c>
      <c r="E593" s="32">
        <v>0</v>
      </c>
      <c r="F593" s="32">
        <f>D593*(($F$296)+1)+E593</f>
        <v>1220.120928</v>
      </c>
      <c r="G593" s="88"/>
      <c r="H593" s="90"/>
      <c r="I593" s="33">
        <f>6+6+6+1</f>
        <v>19</v>
      </c>
    </row>
    <row r="594" spans="1:9" x14ac:dyDescent="0.3">
      <c r="A594" s="82">
        <v>4</v>
      </c>
      <c r="B594" s="83"/>
      <c r="C594" s="32" t="s">
        <v>199</v>
      </c>
      <c r="D594" s="62">
        <f>(43.16)*10.764</f>
        <v>464.57423999999992</v>
      </c>
      <c r="E594" s="32">
        <v>0</v>
      </c>
      <c r="F594" s="32">
        <f>D594*(($F$296)+1)+E594</f>
        <v>743.31878399999994</v>
      </c>
      <c r="G594" s="88"/>
      <c r="H594" s="90"/>
    </row>
    <row r="595" spans="1:9" x14ac:dyDescent="0.3">
      <c r="A595" s="82">
        <v>5</v>
      </c>
      <c r="B595" s="83"/>
      <c r="C595" s="32" t="s">
        <v>151</v>
      </c>
      <c r="D595" s="62">
        <f>(34.22)*10.764</f>
        <v>368.34407999999996</v>
      </c>
      <c r="E595" s="32">
        <v>0</v>
      </c>
      <c r="F595" s="32">
        <f t="shared" ref="F595" si="121">D595*(($F$296)+1)+E595</f>
        <v>589.35052799999994</v>
      </c>
      <c r="G595" s="88"/>
      <c r="H595" s="90"/>
    </row>
    <row r="596" spans="1:9" x14ac:dyDescent="0.3">
      <c r="A596" s="82">
        <v>6</v>
      </c>
      <c r="B596" s="83"/>
      <c r="C596" s="85" t="s">
        <v>152</v>
      </c>
      <c r="D596" s="86"/>
      <c r="E596" s="86"/>
      <c r="F596" s="87"/>
      <c r="G596" s="88"/>
      <c r="H596" s="90"/>
    </row>
    <row r="597" spans="1:9" x14ac:dyDescent="0.3">
      <c r="A597" s="82">
        <v>7</v>
      </c>
      <c r="B597" s="83"/>
      <c r="C597" s="91"/>
      <c r="D597" s="92"/>
      <c r="E597" s="92"/>
      <c r="F597" s="93"/>
      <c r="G597" s="88"/>
      <c r="H597" s="90"/>
    </row>
    <row r="598" spans="1:9" x14ac:dyDescent="0.3">
      <c r="A598" s="84" t="s">
        <v>291</v>
      </c>
      <c r="B598" s="84"/>
      <c r="C598" s="84"/>
      <c r="D598" s="84"/>
      <c r="E598" s="84"/>
      <c r="F598" s="84"/>
      <c r="G598" s="84"/>
      <c r="H598" s="84"/>
    </row>
    <row r="599" spans="1:9" x14ac:dyDescent="0.3">
      <c r="A599" s="82">
        <v>1</v>
      </c>
      <c r="B599" s="83"/>
      <c r="C599" s="32" t="s">
        <v>150</v>
      </c>
      <c r="D599" s="62">
        <f>(51.47)*10.764</f>
        <v>554.02307999999994</v>
      </c>
      <c r="E599" s="32">
        <v>0</v>
      </c>
      <c r="F599" s="32">
        <f>D599*(($F$296)+1)+E599</f>
        <v>886.43692799999997</v>
      </c>
      <c r="G599" s="85" t="str">
        <f>A598</f>
        <v>28th to 33rd, 35th to 40th, 42nd to 47th &amp; 49th Floor</v>
      </c>
      <c r="H599" s="87"/>
    </row>
    <row r="600" spans="1:9" x14ac:dyDescent="0.3">
      <c r="A600" s="82">
        <v>2</v>
      </c>
      <c r="B600" s="83"/>
      <c r="C600" s="32" t="s">
        <v>150</v>
      </c>
      <c r="D600" s="62">
        <f>(52.1)*10.764</f>
        <v>560.80439999999999</v>
      </c>
      <c r="E600" s="32">
        <v>0</v>
      </c>
      <c r="F600" s="32">
        <f t="shared" ref="F600:F601" si="122">D600*(($F$296)+1)+E600</f>
        <v>897.28704000000005</v>
      </c>
      <c r="G600" s="88"/>
      <c r="H600" s="90"/>
    </row>
    <row r="601" spans="1:9" x14ac:dyDescent="0.3">
      <c r="A601" s="82">
        <v>3</v>
      </c>
      <c r="B601" s="83"/>
      <c r="C601" s="32" t="s">
        <v>169</v>
      </c>
      <c r="D601" s="62">
        <f>(69.31+1.975*1+2.8*1.05)*10.764</f>
        <v>798.95789999999988</v>
      </c>
      <c r="E601" s="32">
        <v>0</v>
      </c>
      <c r="F601" s="32">
        <f t="shared" si="122"/>
        <v>1278.3326399999999</v>
      </c>
      <c r="G601" s="88"/>
      <c r="H601" s="90"/>
      <c r="I601" s="33">
        <v>3</v>
      </c>
    </row>
    <row r="602" spans="1:9" x14ac:dyDescent="0.3">
      <c r="A602" s="82">
        <v>4</v>
      </c>
      <c r="B602" s="83"/>
      <c r="C602" s="32" t="s">
        <v>199</v>
      </c>
      <c r="D602" s="62">
        <f>(43.16)*10.764</f>
        <v>464.57423999999992</v>
      </c>
      <c r="E602" s="32">
        <v>0</v>
      </c>
      <c r="F602" s="32">
        <f>D602*(($F$296)+1)+E602</f>
        <v>743.31878399999994</v>
      </c>
      <c r="G602" s="88"/>
      <c r="H602" s="90"/>
    </row>
    <row r="603" spans="1:9" x14ac:dyDescent="0.3">
      <c r="A603" s="82">
        <v>5</v>
      </c>
      <c r="B603" s="83"/>
      <c r="C603" s="32" t="s">
        <v>151</v>
      </c>
      <c r="D603" s="62">
        <f>(34.22)*10.764</f>
        <v>368.34407999999996</v>
      </c>
      <c r="E603" s="32">
        <v>0</v>
      </c>
      <c r="F603" s="32">
        <f t="shared" ref="F603:F605" si="123">D603*(($F$296)+1)+E603</f>
        <v>589.35052799999994</v>
      </c>
      <c r="G603" s="88"/>
      <c r="H603" s="90"/>
    </row>
    <row r="604" spans="1:9" x14ac:dyDescent="0.3">
      <c r="A604" s="82">
        <v>6</v>
      </c>
      <c r="B604" s="83"/>
      <c r="C604" s="32" t="s">
        <v>151</v>
      </c>
      <c r="D604" s="62">
        <f>(34.22)*10.764</f>
        <v>368.34407999999996</v>
      </c>
      <c r="E604" s="32">
        <v>0</v>
      </c>
      <c r="F604" s="32">
        <f t="shared" si="123"/>
        <v>589.35052799999994</v>
      </c>
      <c r="G604" s="88"/>
      <c r="H604" s="90"/>
    </row>
    <row r="605" spans="1:9" x14ac:dyDescent="0.3">
      <c r="A605" s="82">
        <v>7</v>
      </c>
      <c r="B605" s="83"/>
      <c r="C605" s="32" t="s">
        <v>199</v>
      </c>
      <c r="D605" s="62">
        <f>(42.18)*10.764</f>
        <v>454.02551999999997</v>
      </c>
      <c r="E605" s="32">
        <v>0</v>
      </c>
      <c r="F605" s="32">
        <f t="shared" si="123"/>
        <v>726.440832</v>
      </c>
      <c r="G605" s="88"/>
      <c r="H605" s="90"/>
    </row>
    <row r="606" spans="1:9" x14ac:dyDescent="0.3">
      <c r="A606" s="84" t="s">
        <v>198</v>
      </c>
      <c r="B606" s="84"/>
      <c r="C606" s="84"/>
      <c r="D606" s="84"/>
      <c r="E606" s="84"/>
      <c r="F606" s="84"/>
      <c r="G606" s="84"/>
      <c r="H606" s="84"/>
    </row>
    <row r="607" spans="1:9" x14ac:dyDescent="0.3">
      <c r="A607" s="82">
        <v>1</v>
      </c>
      <c r="B607" s="83"/>
      <c r="C607" s="32" t="s">
        <v>150</v>
      </c>
      <c r="D607" s="62">
        <f>(51.47)*10.764</f>
        <v>554.02307999999994</v>
      </c>
      <c r="E607" s="32">
        <v>0</v>
      </c>
      <c r="F607" s="32">
        <f>D607*(($F$296)+1)+E607</f>
        <v>886.43692799999997</v>
      </c>
      <c r="G607" s="85" t="str">
        <f>A606</f>
        <v>27th, 34th &amp; 41st Floor (Part Refuge Area)</v>
      </c>
      <c r="H607" s="87"/>
    </row>
    <row r="608" spans="1:9" x14ac:dyDescent="0.3">
      <c r="A608" s="82">
        <v>2</v>
      </c>
      <c r="B608" s="83"/>
      <c r="C608" s="32" t="s">
        <v>150</v>
      </c>
      <c r="D608" s="62">
        <f>(52.1)*10.764</f>
        <v>560.80439999999999</v>
      </c>
      <c r="E608" s="32">
        <v>0</v>
      </c>
      <c r="F608" s="32">
        <f t="shared" ref="F608:F609" si="124">D608*(($F$296)+1)+E608</f>
        <v>897.28704000000005</v>
      </c>
      <c r="G608" s="88"/>
      <c r="H608" s="90"/>
    </row>
    <row r="609" spans="1:9" x14ac:dyDescent="0.3">
      <c r="A609" s="82">
        <v>3</v>
      </c>
      <c r="B609" s="83"/>
      <c r="C609" s="32" t="s">
        <v>169</v>
      </c>
      <c r="D609" s="62">
        <f>(69.31+1.975*1+2.8*1.05)*10.764</f>
        <v>798.95789999999988</v>
      </c>
      <c r="E609" s="32">
        <v>0</v>
      </c>
      <c r="F609" s="32">
        <f t="shared" si="124"/>
        <v>1278.3326399999999</v>
      </c>
      <c r="G609" s="88"/>
      <c r="H609" s="90"/>
      <c r="I609" s="33">
        <v>1</v>
      </c>
    </row>
    <row r="610" spans="1:9" x14ac:dyDescent="0.3">
      <c r="A610" s="82">
        <v>4</v>
      </c>
      <c r="B610" s="83"/>
      <c r="C610" s="32" t="s">
        <v>199</v>
      </c>
      <c r="D610" s="62">
        <f>(43.16)*10.764</f>
        <v>464.57423999999992</v>
      </c>
      <c r="E610" s="32">
        <v>0</v>
      </c>
      <c r="F610" s="32">
        <f>D610*(($F$296)+1)+E610</f>
        <v>743.31878399999994</v>
      </c>
      <c r="G610" s="88"/>
      <c r="H610" s="90"/>
    </row>
    <row r="611" spans="1:9" x14ac:dyDescent="0.3">
      <c r="A611" s="82">
        <v>5</v>
      </c>
      <c r="B611" s="83"/>
      <c r="C611" s="32" t="s">
        <v>151</v>
      </c>
      <c r="D611" s="62">
        <f>(34.22)*10.764</f>
        <v>368.34407999999996</v>
      </c>
      <c r="E611" s="32">
        <v>0</v>
      </c>
      <c r="F611" s="32">
        <f t="shared" ref="F611" si="125">D611*(($F$296)+1)+E611</f>
        <v>589.35052799999994</v>
      </c>
      <c r="G611" s="88"/>
      <c r="H611" s="90"/>
    </row>
    <row r="612" spans="1:9" x14ac:dyDescent="0.3">
      <c r="A612" s="82">
        <v>6</v>
      </c>
      <c r="B612" s="83"/>
      <c r="C612" s="85" t="s">
        <v>152</v>
      </c>
      <c r="D612" s="86"/>
      <c r="E612" s="86"/>
      <c r="F612" s="87"/>
      <c r="G612" s="88"/>
      <c r="H612" s="90"/>
    </row>
    <row r="613" spans="1:9" x14ac:dyDescent="0.3">
      <c r="A613" s="82">
        <v>7</v>
      </c>
      <c r="B613" s="83"/>
      <c r="C613" s="91"/>
      <c r="D613" s="92"/>
      <c r="E613" s="92"/>
      <c r="F613" s="93"/>
      <c r="G613" s="88"/>
      <c r="H613" s="90"/>
    </row>
    <row r="614" spans="1:9" x14ac:dyDescent="0.3">
      <c r="A614" s="84" t="s">
        <v>286</v>
      </c>
      <c r="B614" s="84"/>
      <c r="C614" s="84"/>
      <c r="D614" s="84"/>
      <c r="E614" s="84"/>
      <c r="F614" s="84"/>
      <c r="G614" s="84"/>
      <c r="H614" s="84"/>
    </row>
    <row r="615" spans="1:9" x14ac:dyDescent="0.3">
      <c r="A615" s="82">
        <v>1</v>
      </c>
      <c r="B615" s="83"/>
      <c r="C615" s="32" t="s">
        <v>150</v>
      </c>
      <c r="D615" s="62">
        <f>(51.47)*10.764</f>
        <v>554.02307999999994</v>
      </c>
      <c r="E615" s="32">
        <v>0</v>
      </c>
      <c r="F615" s="32">
        <f>D615*(($F$296)+1)+E615</f>
        <v>886.43692799999997</v>
      </c>
      <c r="G615" s="85" t="str">
        <f>A614</f>
        <v>48th Floor (Part Refuge Area)</v>
      </c>
      <c r="H615" s="87"/>
    </row>
    <row r="616" spans="1:9" x14ac:dyDescent="0.3">
      <c r="A616" s="82">
        <v>2</v>
      </c>
      <c r="B616" s="83"/>
      <c r="C616" s="32" t="s">
        <v>150</v>
      </c>
      <c r="D616" s="62">
        <f>(52.1)*10.764</f>
        <v>560.80439999999999</v>
      </c>
      <c r="E616" s="32">
        <v>0</v>
      </c>
      <c r="F616" s="32">
        <f t="shared" ref="F616:F617" si="126">D616*(($F$296)+1)+E616</f>
        <v>897.28704000000005</v>
      </c>
      <c r="G616" s="88"/>
      <c r="H616" s="90"/>
    </row>
    <row r="617" spans="1:9" x14ac:dyDescent="0.3">
      <c r="A617" s="82">
        <v>3</v>
      </c>
      <c r="B617" s="83"/>
      <c r="C617" s="32" t="s">
        <v>169</v>
      </c>
      <c r="D617" s="62">
        <f>(69.31+1.975*1+2.8*1.05)*10.764</f>
        <v>798.95789999999988</v>
      </c>
      <c r="E617" s="32">
        <v>0</v>
      </c>
      <c r="F617" s="32">
        <f t="shared" si="126"/>
        <v>1278.3326399999999</v>
      </c>
      <c r="G617" s="88"/>
      <c r="H617" s="90"/>
    </row>
    <row r="618" spans="1:9" x14ac:dyDescent="0.3">
      <c r="A618" s="82">
        <v>4</v>
      </c>
      <c r="B618" s="83"/>
      <c r="C618" s="32" t="s">
        <v>199</v>
      </c>
      <c r="D618" s="62">
        <f>(43.16)*10.764</f>
        <v>464.57423999999992</v>
      </c>
      <c r="E618" s="32">
        <v>0</v>
      </c>
      <c r="F618" s="32">
        <f>D618*(($F$296)+1)+E618</f>
        <v>743.31878399999994</v>
      </c>
      <c r="G618" s="88"/>
      <c r="H618" s="90"/>
    </row>
    <row r="619" spans="1:9" x14ac:dyDescent="0.3">
      <c r="A619" s="82">
        <v>5</v>
      </c>
      <c r="B619" s="83"/>
      <c r="C619" s="32" t="s">
        <v>151</v>
      </c>
      <c r="D619" s="62">
        <f>(34.22)*10.764</f>
        <v>368.34407999999996</v>
      </c>
      <c r="E619" s="32">
        <v>0</v>
      </c>
      <c r="F619" s="32">
        <f t="shared" ref="F619" si="127">D619*(($F$296)+1)+E619</f>
        <v>589.35052799999994</v>
      </c>
      <c r="G619" s="88"/>
      <c r="H619" s="90"/>
      <c r="I619" s="33">
        <v>5</v>
      </c>
    </row>
    <row r="620" spans="1:9" x14ac:dyDescent="0.3">
      <c r="A620" s="82">
        <v>6</v>
      </c>
      <c r="B620" s="83"/>
      <c r="C620" s="82" t="s">
        <v>152</v>
      </c>
      <c r="D620" s="94"/>
      <c r="E620" s="94"/>
      <c r="F620" s="83"/>
      <c r="G620" s="88"/>
      <c r="H620" s="90"/>
    </row>
    <row r="621" spans="1:9" x14ac:dyDescent="0.3">
      <c r="A621" s="82">
        <v>7</v>
      </c>
      <c r="B621" s="83"/>
      <c r="C621" s="32" t="s">
        <v>199</v>
      </c>
      <c r="D621" s="62">
        <f>(42.18)*10.764</f>
        <v>454.02551999999997</v>
      </c>
      <c r="E621" s="32">
        <v>0</v>
      </c>
      <c r="F621" s="32">
        <f t="shared" ref="F621" si="128">D621*(($F$296)+1)+E621</f>
        <v>726.440832</v>
      </c>
      <c r="G621" s="88"/>
      <c r="H621" s="90"/>
    </row>
    <row r="622" spans="1:9" x14ac:dyDescent="0.3">
      <c r="A622" s="141" t="s">
        <v>214</v>
      </c>
      <c r="B622" s="141"/>
      <c r="C622" s="141"/>
      <c r="D622" s="141"/>
      <c r="E622" s="141"/>
      <c r="F622" s="141"/>
      <c r="G622" s="141"/>
      <c r="H622" s="141"/>
    </row>
    <row r="623" spans="1:9" x14ac:dyDescent="0.3">
      <c r="A623" s="84" t="s">
        <v>292</v>
      </c>
      <c r="B623" s="84"/>
      <c r="C623" s="84"/>
      <c r="D623" s="84"/>
      <c r="E623" s="84"/>
      <c r="F623" s="84"/>
      <c r="G623" s="84"/>
      <c r="H623" s="84"/>
    </row>
    <row r="624" spans="1:9" x14ac:dyDescent="0.3">
      <c r="A624" s="84" t="s">
        <v>274</v>
      </c>
      <c r="B624" s="84"/>
      <c r="C624" s="84"/>
      <c r="D624" s="84"/>
      <c r="E624" s="84"/>
      <c r="F624" s="84"/>
      <c r="G624" s="84"/>
      <c r="H624" s="84"/>
    </row>
    <row r="625" spans="1:12" x14ac:dyDescent="0.3">
      <c r="A625" s="82">
        <v>1</v>
      </c>
      <c r="B625" s="83"/>
      <c r="C625" s="32" t="s">
        <v>215</v>
      </c>
      <c r="D625" s="62">
        <f>(3*5.4+2.825*1.925+2.8*3.375+2.9*3+2.3*2.75+2.275*1.4+1.35*2.225+2.5*1.05+1.155*1.5+0.1*(1.625+0.475+1.05))*10.764</f>
        <v>613.2721724999999</v>
      </c>
      <c r="E625" s="32">
        <v>0</v>
      </c>
      <c r="F625" s="32">
        <f>D625*(($F$296)+1)+E625</f>
        <v>981.23547599999984</v>
      </c>
      <c r="G625" s="131" t="str">
        <f>A624</f>
        <v>1st to 5th Floor For Residential &amp; Parking</v>
      </c>
      <c r="H625" s="131"/>
    </row>
    <row r="626" spans="1:12" x14ac:dyDescent="0.3">
      <c r="A626" s="82">
        <v>2</v>
      </c>
      <c r="B626" s="83"/>
      <c r="C626" s="32" t="s">
        <v>215</v>
      </c>
      <c r="D626" s="62">
        <f>(3*5.4+2.825*1.925+2.8*3.375+2.9*3+2.3*2.75+2.275*1.4+1.35*2.225+2.5*1.05+1.155*1.5+0.1*(1.625+0.475+1.05))*10.764</f>
        <v>613.2721724999999</v>
      </c>
      <c r="E626" s="32">
        <v>0</v>
      </c>
      <c r="F626" s="32">
        <f>D626*(($F$296)+1)+E626</f>
        <v>981.23547599999984</v>
      </c>
      <c r="G626" s="131"/>
      <c r="H626" s="131"/>
      <c r="I626" s="33">
        <v>1</v>
      </c>
    </row>
    <row r="627" spans="1:12" x14ac:dyDescent="0.3">
      <c r="A627" s="82">
        <v>3</v>
      </c>
      <c r="B627" s="83"/>
      <c r="C627" s="85" t="s">
        <v>195</v>
      </c>
      <c r="D627" s="86"/>
      <c r="E627" s="86"/>
      <c r="F627" s="87"/>
      <c r="G627" s="131"/>
      <c r="H627" s="131"/>
    </row>
    <row r="628" spans="1:12" x14ac:dyDescent="0.3">
      <c r="A628" s="82">
        <v>4</v>
      </c>
      <c r="B628" s="83"/>
      <c r="C628" s="88"/>
      <c r="D628" s="89"/>
      <c r="E628" s="89"/>
      <c r="F628" s="90"/>
      <c r="G628" s="131"/>
      <c r="H628" s="131"/>
    </row>
    <row r="629" spans="1:12" x14ac:dyDescent="0.3">
      <c r="A629" s="82">
        <v>5</v>
      </c>
      <c r="B629" s="83"/>
      <c r="C629" s="88"/>
      <c r="D629" s="89"/>
      <c r="E629" s="89"/>
      <c r="F629" s="90"/>
      <c r="G629" s="131"/>
      <c r="H629" s="131"/>
    </row>
    <row r="630" spans="1:12" x14ac:dyDescent="0.3">
      <c r="A630" s="82">
        <v>6</v>
      </c>
      <c r="B630" s="83"/>
      <c r="C630" s="91"/>
      <c r="D630" s="92"/>
      <c r="E630" s="92"/>
      <c r="F630" s="93"/>
      <c r="G630" s="131"/>
      <c r="H630" s="131"/>
    </row>
    <row r="631" spans="1:12" x14ac:dyDescent="0.3">
      <c r="A631" s="84" t="s">
        <v>194</v>
      </c>
      <c r="B631" s="84"/>
      <c r="C631" s="84"/>
      <c r="D631" s="84"/>
      <c r="E631" s="84"/>
      <c r="F631" s="84"/>
      <c r="G631" s="84"/>
      <c r="H631" s="84"/>
    </row>
    <row r="632" spans="1:12" x14ac:dyDescent="0.3">
      <c r="A632" s="82">
        <v>1</v>
      </c>
      <c r="B632" s="83"/>
      <c r="C632" s="82" t="s">
        <v>152</v>
      </c>
      <c r="D632" s="94"/>
      <c r="E632" s="94"/>
      <c r="F632" s="83"/>
      <c r="G632" s="131" t="str">
        <f>A631</f>
        <v>6th Floor (Part Refuge Area)</v>
      </c>
      <c r="H632" s="131"/>
    </row>
    <row r="633" spans="1:12" x14ac:dyDescent="0.3">
      <c r="A633" s="82">
        <v>2</v>
      </c>
      <c r="B633" s="83"/>
      <c r="C633" s="32" t="s">
        <v>215</v>
      </c>
      <c r="D633" s="62">
        <f>(3*5.4+2.825*1.925+2.8*3.375+2.9*3+2.3*2.75+2.275*1.4+1.35*2.225+2.5*1.05+1.155*1.5+0.1*(1.625+0.475+1.05))*10.764</f>
        <v>613.2721724999999</v>
      </c>
      <c r="E633" s="32">
        <v>0</v>
      </c>
      <c r="F633" s="32">
        <f>D633*(($F$296)+1)+E633</f>
        <v>981.23547599999984</v>
      </c>
      <c r="G633" s="131"/>
      <c r="H633" s="131"/>
      <c r="I633" s="33">
        <v>1</v>
      </c>
    </row>
    <row r="634" spans="1:12" x14ac:dyDescent="0.3">
      <c r="A634" s="82">
        <v>3</v>
      </c>
      <c r="B634" s="83"/>
      <c r="C634" s="85" t="s">
        <v>195</v>
      </c>
      <c r="D634" s="86"/>
      <c r="E634" s="86"/>
      <c r="F634" s="87"/>
      <c r="G634" s="131"/>
      <c r="H634" s="131"/>
    </row>
    <row r="635" spans="1:12" x14ac:dyDescent="0.3">
      <c r="A635" s="82">
        <v>4</v>
      </c>
      <c r="B635" s="83"/>
      <c r="C635" s="88"/>
      <c r="D635" s="89"/>
      <c r="E635" s="89"/>
      <c r="F635" s="90"/>
      <c r="G635" s="131"/>
      <c r="H635" s="131"/>
    </row>
    <row r="636" spans="1:12" x14ac:dyDescent="0.3">
      <c r="A636" s="82">
        <v>5</v>
      </c>
      <c r="B636" s="83"/>
      <c r="C636" s="88"/>
      <c r="D636" s="89"/>
      <c r="E636" s="89"/>
      <c r="F636" s="90"/>
      <c r="G636" s="131"/>
      <c r="H636" s="131"/>
    </row>
    <row r="637" spans="1:12" x14ac:dyDescent="0.3">
      <c r="A637" s="82">
        <v>6</v>
      </c>
      <c r="B637" s="83"/>
      <c r="C637" s="91"/>
      <c r="D637" s="92"/>
      <c r="E637" s="92"/>
      <c r="F637" s="93"/>
      <c r="G637" s="131"/>
      <c r="H637" s="131"/>
    </row>
    <row r="638" spans="1:12" x14ac:dyDescent="0.3">
      <c r="A638" s="84" t="s">
        <v>216</v>
      </c>
      <c r="B638" s="84"/>
      <c r="C638" s="84"/>
      <c r="D638" s="84"/>
      <c r="E638" s="84"/>
      <c r="F638" s="84"/>
      <c r="G638" s="84"/>
      <c r="H638" s="84"/>
    </row>
    <row r="639" spans="1:12" x14ac:dyDescent="0.3">
      <c r="A639" s="82">
        <v>1</v>
      </c>
      <c r="B639" s="83"/>
      <c r="C639" s="32" t="s">
        <v>215</v>
      </c>
      <c r="D639" s="62">
        <f>(3*5.4+2.825*1.925+2.8*3.375+2.9*3+2.3*2.75+2.275*1.4+1.35*2.225+2.5*1.05+1.155*1.5+0.1*(1.625+0.475+1.05))*10.764</f>
        <v>613.2721724999999</v>
      </c>
      <c r="E639" s="32">
        <v>0</v>
      </c>
      <c r="F639" s="32">
        <f>D639*(($F$296)+1)+E639</f>
        <v>981.23547599999984</v>
      </c>
      <c r="G639" s="131" t="str">
        <f>A638</f>
        <v>7th Floor For Residential, Gym &amp; Yoga</v>
      </c>
      <c r="H639" s="131"/>
    </row>
    <row r="640" spans="1:12" x14ac:dyDescent="0.3">
      <c r="A640" s="82">
        <v>2</v>
      </c>
      <c r="B640" s="83"/>
      <c r="C640" s="32" t="s">
        <v>215</v>
      </c>
      <c r="D640" s="62">
        <f>(3*5.4+2.825*1.925+2.8*3.375+2.9*3+2.3*2.75+2.275*1.4+1.35*2.225+2.5*1.05+1.155*1.5+0.1*(1.625+0.475+1.05))*10.764</f>
        <v>613.2721724999999</v>
      </c>
      <c r="E640" s="32">
        <v>0</v>
      </c>
      <c r="F640" s="32">
        <f t="shared" ref="F640" si="129">D640*(($F$296)+1)+E640</f>
        <v>981.23547599999984</v>
      </c>
      <c r="G640" s="131"/>
      <c r="H640" s="131"/>
      <c r="I640" s="33">
        <v>1</v>
      </c>
      <c r="L640" s="33">
        <f>I619+I626+I633+I640+I647+I654</f>
        <v>25</v>
      </c>
    </row>
    <row r="641" spans="1:9" x14ac:dyDescent="0.3">
      <c r="A641" s="82">
        <v>3</v>
      </c>
      <c r="B641" s="83"/>
      <c r="C641" s="82" t="s">
        <v>217</v>
      </c>
      <c r="D641" s="94"/>
      <c r="E641" s="94"/>
      <c r="F641" s="83"/>
      <c r="G641" s="131"/>
      <c r="H641" s="131"/>
    </row>
    <row r="642" spans="1:9" x14ac:dyDescent="0.3">
      <c r="A642" s="82">
        <v>4</v>
      </c>
      <c r="B642" s="83"/>
      <c r="C642" s="85" t="s">
        <v>218</v>
      </c>
      <c r="D642" s="86"/>
      <c r="E642" s="86"/>
      <c r="F642" s="87"/>
      <c r="G642" s="131"/>
      <c r="H642" s="131"/>
    </row>
    <row r="643" spans="1:9" x14ac:dyDescent="0.3">
      <c r="A643" s="82">
        <v>5</v>
      </c>
      <c r="B643" s="83"/>
      <c r="C643" s="88"/>
      <c r="D643" s="89"/>
      <c r="E643" s="89"/>
      <c r="F643" s="90"/>
      <c r="G643" s="131"/>
      <c r="H643" s="131"/>
    </row>
    <row r="644" spans="1:9" x14ac:dyDescent="0.3">
      <c r="A644" s="82">
        <v>6</v>
      </c>
      <c r="B644" s="83"/>
      <c r="C644" s="91"/>
      <c r="D644" s="92"/>
      <c r="E644" s="92"/>
      <c r="F644" s="93"/>
      <c r="G644" s="131"/>
      <c r="H644" s="131"/>
    </row>
    <row r="645" spans="1:9" x14ac:dyDescent="0.3">
      <c r="A645" s="84" t="s">
        <v>284</v>
      </c>
      <c r="B645" s="84"/>
      <c r="C645" s="84"/>
      <c r="D645" s="84"/>
      <c r="E645" s="84"/>
      <c r="F645" s="84"/>
      <c r="G645" s="84"/>
      <c r="H645" s="84"/>
    </row>
    <row r="646" spans="1:9" x14ac:dyDescent="0.3">
      <c r="A646" s="82">
        <v>1</v>
      </c>
      <c r="B646" s="83"/>
      <c r="C646" s="32" t="s">
        <v>215</v>
      </c>
      <c r="D646" s="62">
        <f>(3*5.4+2.825*1.925+2.8*3.375+2.9*3+2.3*2.75+2.275*1.4+1.35*2.225+2.5*1.05+1.155*1.5+0.1*(1.625+0.475+1.05))*10.764</f>
        <v>613.2721724999999</v>
      </c>
      <c r="E646" s="32">
        <v>0</v>
      </c>
      <c r="F646" s="32">
        <f>D646*(($F$296)+1)+E646</f>
        <v>981.23547599999984</v>
      </c>
      <c r="G646" s="85" t="str">
        <f>A645</f>
        <v>8th Floor For Residential</v>
      </c>
      <c r="H646" s="87"/>
    </row>
    <row r="647" spans="1:9" x14ac:dyDescent="0.3">
      <c r="A647" s="82">
        <v>2</v>
      </c>
      <c r="B647" s="83"/>
      <c r="C647" s="32" t="s">
        <v>215</v>
      </c>
      <c r="D647" s="62">
        <f>(3*5.4+2.825*1.925+2.8*3.375+2.9*3+2.3*2.75+2.275*1.4+1.35*2.225+2.5*1.05+1.155*1.5+0.1*(1.625+0.475+1.05))*10.764</f>
        <v>613.2721724999999</v>
      </c>
      <c r="E647" s="32">
        <v>0</v>
      </c>
      <c r="F647" s="32">
        <f t="shared" ref="F647:F648" si="130">D647*(($F$296)+1)+E647</f>
        <v>981.23547599999984</v>
      </c>
      <c r="G647" s="88"/>
      <c r="H647" s="90"/>
      <c r="I647" s="33">
        <f>4+6+5</f>
        <v>15</v>
      </c>
    </row>
    <row r="648" spans="1:9" x14ac:dyDescent="0.3">
      <c r="A648" s="82">
        <v>3</v>
      </c>
      <c r="B648" s="83"/>
      <c r="C648" s="32" t="s">
        <v>199</v>
      </c>
      <c r="D648" s="62">
        <f>(3.75*2.9+2.525*1.85+2.75*3.15+2.4*2.725+2.2*(1.275+1.225)+2.3*0.9+2.4*0.46+1.225*1.125+0.785*0.05+0.325*0.9)*10.764</f>
        <v>442.75157549999994</v>
      </c>
      <c r="E648" s="62">
        <f>(2.4*2.6+1.5*1.8+5.8*2.9)*10.764</f>
        <v>277.28064000000001</v>
      </c>
      <c r="F648" s="32">
        <f t="shared" si="130"/>
        <v>985.6831608</v>
      </c>
      <c r="G648" s="88"/>
      <c r="H648" s="90"/>
    </row>
    <row r="649" spans="1:9" x14ac:dyDescent="0.3">
      <c r="A649" s="82">
        <v>4</v>
      </c>
      <c r="B649" s="83"/>
      <c r="C649" s="32" t="s">
        <v>151</v>
      </c>
      <c r="D649" s="62">
        <f>(4.525*2.85+1.925*2.75+2.85*3.05+1.2*(1.5+1.35+1.5)+1.125*1.25+2.4*0.51)*10.764</f>
        <v>373.86332099999993</v>
      </c>
      <c r="E649" s="62">
        <f>(6*2.6)*10.764</f>
        <v>167.91839999999999</v>
      </c>
      <c r="F649" s="32">
        <f>D649*(($F$296)+1)+E649</f>
        <v>766.09971359999997</v>
      </c>
      <c r="G649" s="88"/>
      <c r="H649" s="90"/>
    </row>
    <row r="650" spans="1:9" x14ac:dyDescent="0.3">
      <c r="A650" s="82">
        <v>5</v>
      </c>
      <c r="B650" s="83"/>
      <c r="C650" s="32" t="s">
        <v>151</v>
      </c>
      <c r="D650" s="62">
        <f>(4.525*2.85+1.925*2.75+2.85*3.05+1.2*(1.5+1.35+1.5)+1.125*1.25+2.4*0.51)*10.764</f>
        <v>373.86332099999993</v>
      </c>
      <c r="E650" s="62">
        <f>(2.4*4.9+5.8*2.6)*10.764</f>
        <v>288.90575999999999</v>
      </c>
      <c r="F650" s="32">
        <f>D650*(($F$296)+1)+E650</f>
        <v>887.08707359999994</v>
      </c>
      <c r="G650" s="88"/>
      <c r="H650" s="90"/>
    </row>
    <row r="651" spans="1:9" x14ac:dyDescent="0.3">
      <c r="A651" s="132">
        <v>6</v>
      </c>
      <c r="B651" s="133"/>
      <c r="C651" s="32" t="s">
        <v>199</v>
      </c>
      <c r="D651" s="62">
        <f>(3.75*2.9+2.525*1.85+2.75*3.15+2.4*2.725+2.2*(1.275+1.225)+2.3*0.9+2.4*0.46+1.225*1.125+0.785*0.05+0.325*0.9)*10.764</f>
        <v>442.75157549999994</v>
      </c>
      <c r="E651" s="62">
        <f>(2.4*4.9+2.7*2.5+1.6*1.9+4.2*3)*10.764</f>
        <v>367.59059999999994</v>
      </c>
      <c r="F651" s="32">
        <f>D651*(($F$296)+1)+E651</f>
        <v>1075.9931207999998</v>
      </c>
      <c r="G651" s="88"/>
      <c r="H651" s="90"/>
    </row>
    <row r="652" spans="1:9" x14ac:dyDescent="0.3">
      <c r="A652" s="84" t="s">
        <v>293</v>
      </c>
      <c r="B652" s="84"/>
      <c r="C652" s="84"/>
      <c r="D652" s="84"/>
      <c r="E652" s="84"/>
      <c r="F652" s="84"/>
      <c r="G652" s="84"/>
      <c r="H652" s="84"/>
    </row>
    <row r="653" spans="1:9" x14ac:dyDescent="0.3">
      <c r="A653" s="82">
        <v>1</v>
      </c>
      <c r="B653" s="83"/>
      <c r="C653" s="32" t="s">
        <v>215</v>
      </c>
      <c r="D653" s="62">
        <f>(3*5.4+2.825*1.925+2.8*3.375+2.9*3+2.3*2.75+2.275*1.4+1.35*2.225+2.5*1.05+1.155*1.5+0.1*(1.625+0.475+1.05))*10.764</f>
        <v>613.2721724999999</v>
      </c>
      <c r="E653" s="32">
        <v>0</v>
      </c>
      <c r="F653" s="32">
        <f>D653*(($F$296)+1)+E653</f>
        <v>981.23547599999984</v>
      </c>
      <c r="G653" s="85" t="str">
        <f>A652</f>
        <v>9th to 12th, 14th to 19th &amp; 21st to 25th Floor</v>
      </c>
      <c r="H653" s="87"/>
    </row>
    <row r="654" spans="1:9" x14ac:dyDescent="0.3">
      <c r="A654" s="82">
        <v>2</v>
      </c>
      <c r="B654" s="83"/>
      <c r="C654" s="32" t="s">
        <v>215</v>
      </c>
      <c r="D654" s="62">
        <f>(3*5.4+2.825*1.925+2.8*3.375+2.9*3+2.3*2.75+2.275*1.4+1.35*2.225+2.5*1.05+1.155*1.5+0.1*(1.625+0.475+1.05))*10.764</f>
        <v>613.2721724999999</v>
      </c>
      <c r="E654" s="32">
        <v>0</v>
      </c>
      <c r="F654" s="32">
        <f t="shared" ref="F654:F655" si="131">D654*(($F$296)+1)+E654</f>
        <v>981.23547599999984</v>
      </c>
      <c r="G654" s="88"/>
      <c r="H654" s="90"/>
      <c r="I654" s="33">
        <v>2</v>
      </c>
    </row>
    <row r="655" spans="1:9" x14ac:dyDescent="0.3">
      <c r="A655" s="82">
        <v>3</v>
      </c>
      <c r="B655" s="83"/>
      <c r="C655" s="32" t="s">
        <v>199</v>
      </c>
      <c r="D655" s="62">
        <f>(3.75*2.9+2.525*1.85+2.75*3.15+2.4*2.725+2.2*(1.275+1.225)+2.3*0.9+2.4*0.46+1.225*1.125+0.785*0.05+0.325*0.9)*10.764</f>
        <v>442.75157549999994</v>
      </c>
      <c r="E655" s="32">
        <v>0</v>
      </c>
      <c r="F655" s="32">
        <f t="shared" si="131"/>
        <v>708.40252079999993</v>
      </c>
      <c r="G655" s="88"/>
      <c r="H655" s="90"/>
    </row>
    <row r="656" spans="1:9" x14ac:dyDescent="0.3">
      <c r="A656" s="82">
        <v>4</v>
      </c>
      <c r="B656" s="83"/>
      <c r="C656" s="32" t="s">
        <v>151</v>
      </c>
      <c r="D656" s="62">
        <f>(4.525*2.85+1.925*2.75+2.85*3.05+1.2*(1.5+1.35+1.5)+1.125*1.25+2.4*0.51)*10.764</f>
        <v>373.86332099999993</v>
      </c>
      <c r="E656" s="32">
        <v>0</v>
      </c>
      <c r="F656" s="32">
        <f>D656*(($F$296)+1)+E656</f>
        <v>598.18131359999995</v>
      </c>
      <c r="G656" s="88"/>
      <c r="H656" s="90"/>
    </row>
    <row r="657" spans="1:8" x14ac:dyDescent="0.3">
      <c r="A657" s="82">
        <v>5</v>
      </c>
      <c r="B657" s="83"/>
      <c r="C657" s="32" t="s">
        <v>151</v>
      </c>
      <c r="D657" s="62">
        <f>(4.525*2.85+1.925*2.75+2.85*3.05+1.2*(1.5+1.35+1.5)+1.125*1.25+2.4*0.51)*10.764</f>
        <v>373.86332099999993</v>
      </c>
      <c r="E657" s="32">
        <v>0</v>
      </c>
      <c r="F657" s="32">
        <f>D657*(($F$296)+1)+E657</f>
        <v>598.18131359999995</v>
      </c>
      <c r="G657" s="88"/>
      <c r="H657" s="90"/>
    </row>
    <row r="658" spans="1:8" x14ac:dyDescent="0.3">
      <c r="A658" s="132">
        <v>6</v>
      </c>
      <c r="B658" s="133"/>
      <c r="C658" s="32" t="s">
        <v>199</v>
      </c>
      <c r="D658" s="62">
        <f>(3.75*2.9+2.525*1.85+2.75*3.15+2.4*2.725+2.2*(1.275+1.225)+2.3*0.9+2.4*0.46+1.225*1.125+0.785*0.05+0.325*0.9)*10.764</f>
        <v>442.75157549999994</v>
      </c>
      <c r="E658" s="32">
        <v>0</v>
      </c>
      <c r="F658" s="32">
        <f>D658*(($F$296)+1)+E658</f>
        <v>708.40252079999993</v>
      </c>
      <c r="G658" s="88"/>
      <c r="H658" s="90"/>
    </row>
    <row r="659" spans="1:8" x14ac:dyDescent="0.3">
      <c r="A659" s="84" t="s">
        <v>197</v>
      </c>
      <c r="B659" s="84"/>
      <c r="C659" s="84"/>
      <c r="D659" s="84"/>
      <c r="E659" s="84"/>
      <c r="F659" s="84"/>
      <c r="G659" s="84"/>
      <c r="H659" s="84"/>
    </row>
    <row r="660" spans="1:8" x14ac:dyDescent="0.3">
      <c r="A660" s="82">
        <v>1</v>
      </c>
      <c r="B660" s="83"/>
      <c r="C660" s="82" t="s">
        <v>152</v>
      </c>
      <c r="D660" s="94"/>
      <c r="E660" s="94"/>
      <c r="F660" s="83"/>
      <c r="G660" s="131" t="str">
        <f>A659</f>
        <v>13th &amp; 20th Floor (Part Refuge Area)</v>
      </c>
      <c r="H660" s="131"/>
    </row>
    <row r="661" spans="1:8" x14ac:dyDescent="0.3">
      <c r="A661" s="82">
        <v>2</v>
      </c>
      <c r="B661" s="83"/>
      <c r="C661" s="32" t="s">
        <v>215</v>
      </c>
      <c r="D661" s="62">
        <f>(3*5.4+2.825*1.925+2.8*3.375+2.9*3+2.3*2.75+2.275*1.4+1.35*2.225+2.5*1.05+1.155*1.5+0.1*(1.625+0.475+1.05))*10.764</f>
        <v>613.2721724999999</v>
      </c>
      <c r="E661" s="32">
        <v>0</v>
      </c>
      <c r="F661" s="32">
        <f t="shared" ref="F661:F662" si="132">D661*(($F$296)+1)+E661</f>
        <v>981.23547599999984</v>
      </c>
      <c r="G661" s="131"/>
      <c r="H661" s="131"/>
    </row>
    <row r="662" spans="1:8" x14ac:dyDescent="0.3">
      <c r="A662" s="82">
        <v>3</v>
      </c>
      <c r="B662" s="83"/>
      <c r="C662" s="32" t="s">
        <v>199</v>
      </c>
      <c r="D662" s="62">
        <f>(3.75*2.9+2.525*1.85+2.75*3.15+2.4*2.725+2.2*(1.275+1.225)+2.3*0.9+2.4*0.46+1.225*1.125+0.785*0.05+0.325*0.9)*10.764</f>
        <v>442.75157549999994</v>
      </c>
      <c r="E662" s="32">
        <v>0</v>
      </c>
      <c r="F662" s="32">
        <f t="shared" si="132"/>
        <v>708.40252079999993</v>
      </c>
      <c r="G662" s="131"/>
      <c r="H662" s="131"/>
    </row>
    <row r="663" spans="1:8" x14ac:dyDescent="0.3">
      <c r="A663" s="82">
        <v>4</v>
      </c>
      <c r="B663" s="83"/>
      <c r="C663" s="32" t="s">
        <v>151</v>
      </c>
      <c r="D663" s="62">
        <f>(4.525*2.85+1.925*2.75+2.85*3.05+1.2*(1.5+1.35+1.5)+1.125*1.25+2.4*0.51)*10.764</f>
        <v>373.86332099999993</v>
      </c>
      <c r="E663" s="32">
        <v>0</v>
      </c>
      <c r="F663" s="32">
        <f>D663*(($F$296)+1)+E663</f>
        <v>598.18131359999995</v>
      </c>
      <c r="G663" s="131"/>
      <c r="H663" s="131"/>
    </row>
    <row r="664" spans="1:8" x14ac:dyDescent="0.3">
      <c r="A664" s="82">
        <v>5</v>
      </c>
      <c r="B664" s="83"/>
      <c r="C664" s="32" t="s">
        <v>151</v>
      </c>
      <c r="D664" s="62">
        <f>(4.525*2.85+1.925*2.75+2.85*3.05+1.2*(1.5+1.35+1.5)+1.125*1.25+2.4*0.51)*10.764</f>
        <v>373.86332099999993</v>
      </c>
      <c r="E664" s="32">
        <v>0</v>
      </c>
      <c r="F664" s="32">
        <f t="shared" ref="F664:F665" si="133">D664*(($F$296)+1)+E664</f>
        <v>598.18131359999995</v>
      </c>
      <c r="G664" s="131"/>
      <c r="H664" s="131"/>
    </row>
    <row r="665" spans="1:8" x14ac:dyDescent="0.3">
      <c r="A665" s="82">
        <v>6</v>
      </c>
      <c r="B665" s="83"/>
      <c r="C665" s="32" t="s">
        <v>199</v>
      </c>
      <c r="D665" s="62">
        <f>(3.75*2.9+2.525*1.85+2.75*3.15+2.4*2.725+2.2*(1.275+1.225)+2.3*0.9+2.4*0.46+1.225*1.125+0.785*0.05+0.325*0.9)*10.764</f>
        <v>442.75157549999994</v>
      </c>
      <c r="E665" s="32">
        <v>0</v>
      </c>
      <c r="F665" s="32">
        <f t="shared" si="133"/>
        <v>708.40252079999993</v>
      </c>
      <c r="G665" s="131"/>
      <c r="H665" s="131"/>
    </row>
    <row r="666" spans="1:8" x14ac:dyDescent="0.3">
      <c r="A666" s="171" t="s">
        <v>73</v>
      </c>
      <c r="B666" s="171"/>
      <c r="C666" s="171"/>
      <c r="D666" s="171"/>
      <c r="E666" s="171"/>
      <c r="F666" s="171"/>
      <c r="G666" s="171"/>
      <c r="H666" s="171"/>
    </row>
    <row r="667" spans="1:8" ht="70.2" customHeight="1" x14ac:dyDescent="0.3">
      <c r="A667" s="66">
        <v>1</v>
      </c>
      <c r="B667" s="105" t="s">
        <v>334</v>
      </c>
      <c r="C667" s="106"/>
      <c r="D667" s="106"/>
      <c r="E667" s="106"/>
      <c r="F667" s="106"/>
      <c r="G667" s="106"/>
      <c r="H667" s="107"/>
    </row>
    <row r="668" spans="1:8" x14ac:dyDescent="0.3">
      <c r="A668" s="66">
        <f>A667+1</f>
        <v>2</v>
      </c>
      <c r="B668" s="137" t="s">
        <v>224</v>
      </c>
      <c r="C668" s="138"/>
      <c r="D668" s="138"/>
      <c r="E668" s="138"/>
      <c r="F668" s="138"/>
      <c r="G668" s="138"/>
      <c r="H668" s="139"/>
    </row>
    <row r="669" spans="1:8" x14ac:dyDescent="0.3">
      <c r="A669" s="66">
        <f t="shared" ref="A669:A672" si="134">A668+1</f>
        <v>3</v>
      </c>
      <c r="B669" s="137" t="s">
        <v>225</v>
      </c>
      <c r="C669" s="138"/>
      <c r="D669" s="138"/>
      <c r="E669" s="138"/>
      <c r="F669" s="138"/>
      <c r="G669" s="138"/>
      <c r="H669" s="139"/>
    </row>
    <row r="670" spans="1:8" x14ac:dyDescent="0.3">
      <c r="A670" s="66">
        <f t="shared" si="134"/>
        <v>4</v>
      </c>
      <c r="B670" s="137" t="s">
        <v>226</v>
      </c>
      <c r="C670" s="138"/>
      <c r="D670" s="138"/>
      <c r="E670" s="138"/>
      <c r="F670" s="138"/>
      <c r="G670" s="138"/>
      <c r="H670" s="139"/>
    </row>
    <row r="671" spans="1:8" x14ac:dyDescent="0.3">
      <c r="A671" s="66">
        <f t="shared" si="134"/>
        <v>5</v>
      </c>
      <c r="B671" s="137" t="s">
        <v>227</v>
      </c>
      <c r="C671" s="138"/>
      <c r="D671" s="138"/>
      <c r="E671" s="138"/>
      <c r="F671" s="138"/>
      <c r="G671" s="138"/>
      <c r="H671" s="139"/>
    </row>
    <row r="672" spans="1:8" x14ac:dyDescent="0.3">
      <c r="A672" s="66">
        <f t="shared" si="134"/>
        <v>6</v>
      </c>
      <c r="B672" s="137" t="s">
        <v>228</v>
      </c>
      <c r="C672" s="138"/>
      <c r="D672" s="138"/>
      <c r="E672" s="138"/>
      <c r="F672" s="138"/>
      <c r="G672" s="138"/>
      <c r="H672" s="139"/>
    </row>
    <row r="673" spans="1:8" x14ac:dyDescent="0.3">
      <c r="A673" s="66">
        <f t="shared" ref="A673:A676" si="135">A672+1</f>
        <v>7</v>
      </c>
      <c r="B673" s="137" t="s">
        <v>229</v>
      </c>
      <c r="C673" s="138"/>
      <c r="D673" s="138"/>
      <c r="E673" s="138"/>
      <c r="F673" s="138"/>
      <c r="G673" s="138"/>
      <c r="H673" s="139"/>
    </row>
    <row r="674" spans="1:8" x14ac:dyDescent="0.3">
      <c r="A674" s="66">
        <f t="shared" si="135"/>
        <v>8</v>
      </c>
      <c r="B674" s="137" t="s">
        <v>230</v>
      </c>
      <c r="C674" s="138"/>
      <c r="D674" s="138"/>
      <c r="E674" s="138"/>
      <c r="F674" s="138"/>
      <c r="G674" s="138"/>
      <c r="H674" s="139"/>
    </row>
    <row r="675" spans="1:8" x14ac:dyDescent="0.3">
      <c r="A675" s="66">
        <f t="shared" si="135"/>
        <v>9</v>
      </c>
      <c r="B675" s="137" t="s">
        <v>231</v>
      </c>
      <c r="C675" s="138"/>
      <c r="D675" s="138"/>
      <c r="E675" s="138"/>
      <c r="F675" s="138"/>
      <c r="G675" s="138"/>
      <c r="H675" s="139"/>
    </row>
    <row r="676" spans="1:8" x14ac:dyDescent="0.3">
      <c r="A676" s="66">
        <f t="shared" si="135"/>
        <v>10</v>
      </c>
      <c r="B676" s="137" t="s">
        <v>232</v>
      </c>
      <c r="C676" s="138"/>
      <c r="D676" s="138"/>
      <c r="E676" s="138"/>
      <c r="F676" s="138"/>
      <c r="G676" s="138"/>
      <c r="H676" s="139"/>
    </row>
    <row r="677" spans="1:8" x14ac:dyDescent="0.3">
      <c r="A677" s="66">
        <f t="shared" ref="A677:A684" si="136">A676+1</f>
        <v>11</v>
      </c>
      <c r="B677" s="137" t="s">
        <v>234</v>
      </c>
      <c r="C677" s="138"/>
      <c r="D677" s="138"/>
      <c r="E677" s="138"/>
      <c r="F677" s="138"/>
      <c r="G677" s="138"/>
      <c r="H677" s="139"/>
    </row>
    <row r="678" spans="1:8" ht="33.6" customHeight="1" x14ac:dyDescent="0.3">
      <c r="A678" s="68">
        <f t="shared" si="136"/>
        <v>12</v>
      </c>
      <c r="B678" s="134" t="s">
        <v>261</v>
      </c>
      <c r="C678" s="135"/>
      <c r="D678" s="135"/>
      <c r="E678" s="135"/>
      <c r="F678" s="135"/>
      <c r="G678" s="135"/>
      <c r="H678" s="136"/>
    </row>
    <row r="679" spans="1:8" ht="15.75" customHeight="1" x14ac:dyDescent="0.3">
      <c r="A679" s="66">
        <f t="shared" si="136"/>
        <v>13</v>
      </c>
      <c r="B679" s="137" t="s">
        <v>235</v>
      </c>
      <c r="C679" s="138"/>
      <c r="D679" s="138"/>
      <c r="E679" s="138"/>
      <c r="F679" s="138"/>
      <c r="G679" s="138"/>
      <c r="H679" s="139"/>
    </row>
    <row r="680" spans="1:8" x14ac:dyDescent="0.3">
      <c r="A680" s="66">
        <f t="shared" si="136"/>
        <v>14</v>
      </c>
      <c r="B680" s="105" t="s">
        <v>240</v>
      </c>
      <c r="C680" s="106"/>
      <c r="D680" s="106"/>
      <c r="E680" s="106"/>
      <c r="F680" s="106"/>
      <c r="G680" s="106"/>
      <c r="H680" s="107"/>
    </row>
    <row r="681" spans="1:8" ht="33" customHeight="1" x14ac:dyDescent="0.3">
      <c r="A681" s="71">
        <f t="shared" si="136"/>
        <v>15</v>
      </c>
      <c r="B681" s="105" t="s">
        <v>260</v>
      </c>
      <c r="C681" s="106"/>
      <c r="D681" s="106"/>
      <c r="E681" s="106"/>
      <c r="F681" s="106"/>
      <c r="G681" s="106"/>
      <c r="H681" s="107"/>
    </row>
    <row r="682" spans="1:8" x14ac:dyDescent="0.3">
      <c r="A682" s="66">
        <f t="shared" si="136"/>
        <v>16</v>
      </c>
      <c r="B682" s="105" t="s">
        <v>269</v>
      </c>
      <c r="C682" s="106"/>
      <c r="D682" s="106"/>
      <c r="E682" s="106"/>
      <c r="F682" s="106"/>
      <c r="G682" s="106"/>
      <c r="H682" s="107"/>
    </row>
    <row r="683" spans="1:8" ht="31.2" customHeight="1" x14ac:dyDescent="0.3">
      <c r="A683" s="66">
        <f t="shared" si="136"/>
        <v>17</v>
      </c>
      <c r="B683" s="105" t="s">
        <v>319</v>
      </c>
      <c r="C683" s="106"/>
      <c r="D683" s="106"/>
      <c r="E683" s="106"/>
      <c r="F683" s="106"/>
      <c r="G683" s="106"/>
      <c r="H683" s="107"/>
    </row>
    <row r="684" spans="1:8" x14ac:dyDescent="0.3">
      <c r="A684" s="66">
        <f t="shared" si="136"/>
        <v>18</v>
      </c>
      <c r="B684" s="105" t="s">
        <v>321</v>
      </c>
      <c r="C684" s="106"/>
      <c r="D684" s="106"/>
      <c r="E684" s="106"/>
      <c r="F684" s="106"/>
      <c r="G684" s="106"/>
      <c r="H684" s="107"/>
    </row>
    <row r="685" spans="1:8" x14ac:dyDescent="0.3">
      <c r="A685" s="172" t="s">
        <v>64</v>
      </c>
      <c r="B685" s="173"/>
      <c r="C685" s="173"/>
      <c r="D685" s="173"/>
      <c r="E685" s="173"/>
      <c r="F685" s="173"/>
      <c r="G685" s="173"/>
      <c r="H685" s="174"/>
    </row>
    <row r="686" spans="1:8" x14ac:dyDescent="0.3">
      <c r="A686" s="147" t="s">
        <v>65</v>
      </c>
      <c r="B686" s="147"/>
      <c r="C686" s="147"/>
      <c r="D686" s="147"/>
      <c r="E686" s="147"/>
      <c r="F686" s="147"/>
      <c r="G686" s="147"/>
      <c r="H686" s="147"/>
    </row>
    <row r="687" spans="1:8" x14ac:dyDescent="0.3">
      <c r="A687" s="166" t="s">
        <v>66</v>
      </c>
      <c r="B687" s="166"/>
      <c r="C687" s="166"/>
      <c r="D687" s="166"/>
      <c r="E687" s="166"/>
      <c r="F687" s="166"/>
      <c r="G687" s="166"/>
      <c r="H687" s="166"/>
    </row>
    <row r="688" spans="1:8" x14ac:dyDescent="0.3">
      <c r="A688" s="147" t="s">
        <v>67</v>
      </c>
      <c r="B688" s="147"/>
      <c r="C688" s="147"/>
      <c r="D688" s="147"/>
      <c r="E688" s="147"/>
      <c r="F688" s="147"/>
      <c r="G688" s="147"/>
      <c r="H688" s="147"/>
    </row>
    <row r="689" spans="1:8" x14ac:dyDescent="0.3">
      <c r="A689" s="147" t="s">
        <v>68</v>
      </c>
      <c r="B689" s="147"/>
      <c r="C689" s="147"/>
      <c r="D689" s="147"/>
      <c r="E689" s="147"/>
      <c r="F689" s="147"/>
      <c r="G689" s="147"/>
      <c r="H689" s="147"/>
    </row>
    <row r="690" spans="1:8" x14ac:dyDescent="0.3">
      <c r="A690" s="147" t="s">
        <v>69</v>
      </c>
      <c r="B690" s="147"/>
      <c r="C690" s="147"/>
      <c r="D690" s="147"/>
      <c r="E690" s="147"/>
      <c r="F690" s="147"/>
      <c r="G690" s="147"/>
      <c r="H690" s="147"/>
    </row>
    <row r="691" spans="1:8" x14ac:dyDescent="0.3">
      <c r="A691" s="167" t="s">
        <v>70</v>
      </c>
      <c r="B691" s="167"/>
      <c r="C691" s="167"/>
      <c r="D691" s="167"/>
      <c r="E691" s="167"/>
      <c r="F691" s="167"/>
      <c r="G691" s="167"/>
      <c r="H691" s="167"/>
    </row>
    <row r="692" spans="1:8" x14ac:dyDescent="0.3">
      <c r="A692" s="162" t="s">
        <v>102</v>
      </c>
      <c r="B692" s="162"/>
      <c r="C692" s="162" t="s">
        <v>237</v>
      </c>
      <c r="D692" s="162"/>
      <c r="E692" s="162" t="s">
        <v>134</v>
      </c>
      <c r="F692" s="162"/>
      <c r="G692" s="162" t="s">
        <v>302</v>
      </c>
      <c r="H692" s="162"/>
    </row>
    <row r="693" spans="1:8" x14ac:dyDescent="0.3">
      <c r="A693" s="161" t="s">
        <v>104</v>
      </c>
      <c r="B693" s="161"/>
      <c r="C693" s="161"/>
      <c r="D693" s="161"/>
      <c r="E693" s="161"/>
      <c r="F693" s="161"/>
      <c r="G693" s="161"/>
      <c r="H693" s="161"/>
    </row>
    <row r="694" spans="1:8" x14ac:dyDescent="0.3">
      <c r="A694" s="161"/>
      <c r="B694" s="161"/>
      <c r="C694" s="161"/>
      <c r="D694" s="161"/>
      <c r="E694" s="161"/>
      <c r="F694" s="161"/>
      <c r="G694" s="161"/>
      <c r="H694" s="161"/>
    </row>
    <row r="695" spans="1:8" x14ac:dyDescent="0.3">
      <c r="A695" s="161"/>
      <c r="B695" s="161"/>
      <c r="C695" s="161"/>
      <c r="D695" s="161"/>
      <c r="E695" s="161"/>
      <c r="F695" s="161"/>
      <c r="G695" s="161"/>
      <c r="H695" s="161"/>
    </row>
    <row r="696" spans="1:8" x14ac:dyDescent="0.3">
      <c r="A696" s="161"/>
      <c r="B696" s="161"/>
      <c r="C696" s="161"/>
      <c r="D696" s="161"/>
      <c r="E696" s="161"/>
      <c r="F696" s="161"/>
      <c r="G696" s="161"/>
      <c r="H696" s="161"/>
    </row>
    <row r="697" spans="1:8" x14ac:dyDescent="0.3">
      <c r="A697" s="56" t="s">
        <v>71</v>
      </c>
      <c r="B697" s="57"/>
      <c r="C697" s="57"/>
      <c r="D697" s="56" t="str">
        <f>E8</f>
        <v>Runwal Avenue - Wing I, J, K, L, M &amp; N</v>
      </c>
      <c r="F697" s="57"/>
      <c r="G697" s="57"/>
      <c r="H697" s="57"/>
    </row>
    <row r="698" spans="1:8" x14ac:dyDescent="0.3">
      <c r="A698" s="57"/>
      <c r="B698" s="57"/>
      <c r="C698" s="57"/>
      <c r="D698" s="57"/>
      <c r="E698" s="57"/>
      <c r="F698" s="57"/>
      <c r="G698" s="57"/>
      <c r="H698" s="57"/>
    </row>
    <row r="699" spans="1:8" x14ac:dyDescent="0.3">
      <c r="A699" s="57"/>
      <c r="B699" s="57"/>
      <c r="C699" s="57"/>
      <c r="D699" s="57"/>
      <c r="E699" s="57"/>
      <c r="F699" s="57"/>
      <c r="G699" s="57"/>
      <c r="H699" s="57"/>
    </row>
    <row r="739" spans="1:8" x14ac:dyDescent="0.3">
      <c r="A739" s="56" t="s">
        <v>206</v>
      </c>
      <c r="B739" s="57"/>
      <c r="C739" s="57"/>
      <c r="D739" s="56"/>
      <c r="F739" s="57"/>
      <c r="G739" s="57"/>
      <c r="H739" s="57"/>
    </row>
    <row r="740" spans="1:8" x14ac:dyDescent="0.3">
      <c r="A740" s="57"/>
      <c r="B740" s="57"/>
      <c r="C740" s="57"/>
      <c r="D740" s="57"/>
      <c r="E740" s="57"/>
      <c r="F740" s="57"/>
      <c r="G740" s="57"/>
      <c r="H740" s="57"/>
    </row>
    <row r="741" spans="1:8" x14ac:dyDescent="0.3">
      <c r="A741" s="57"/>
      <c r="B741" s="57"/>
      <c r="C741" s="57"/>
      <c r="D741" s="57"/>
      <c r="E741" s="57"/>
      <c r="F741" s="57"/>
      <c r="G741" s="57"/>
      <c r="H741" s="57"/>
    </row>
    <row r="742" spans="1:8" x14ac:dyDescent="0.3">
      <c r="A742" s="57"/>
      <c r="B742" s="57"/>
      <c r="C742" s="57"/>
      <c r="D742" s="57"/>
      <c r="E742" s="57"/>
      <c r="F742" s="57"/>
      <c r="G742" s="57"/>
      <c r="H742" s="57"/>
    </row>
    <row r="781" spans="1:1" x14ac:dyDescent="0.3">
      <c r="A781" s="59" t="s">
        <v>72</v>
      </c>
    </row>
  </sheetData>
  <mergeCells count="1257">
    <mergeCell ref="I8:L8"/>
    <mergeCell ref="G11:H11"/>
    <mergeCell ref="A442:H442"/>
    <mergeCell ref="A493:H493"/>
    <mergeCell ref="A556:H556"/>
    <mergeCell ref="B684:H684"/>
    <mergeCell ref="A614:H614"/>
    <mergeCell ref="A615:B615"/>
    <mergeCell ref="G615:H621"/>
    <mergeCell ref="A616:B616"/>
    <mergeCell ref="A617:B617"/>
    <mergeCell ref="A618:B618"/>
    <mergeCell ref="A619:B619"/>
    <mergeCell ref="A620:B620"/>
    <mergeCell ref="A621:B621"/>
    <mergeCell ref="C620:F620"/>
    <mergeCell ref="A652:H652"/>
    <mergeCell ref="A653:B653"/>
    <mergeCell ref="G653:H658"/>
    <mergeCell ref="A654:B654"/>
    <mergeCell ref="A655:B655"/>
    <mergeCell ref="A656:B656"/>
    <mergeCell ref="A657:B657"/>
    <mergeCell ref="A658:B658"/>
    <mergeCell ref="A630:B630"/>
    <mergeCell ref="A642:B642"/>
    <mergeCell ref="A643:B643"/>
    <mergeCell ref="A644:B644"/>
    <mergeCell ref="C641:F641"/>
    <mergeCell ref="G639:H644"/>
    <mergeCell ref="C642:F644"/>
    <mergeCell ref="A631:H631"/>
    <mergeCell ref="A632:B632"/>
    <mergeCell ref="A548:H548"/>
    <mergeCell ref="A549:B549"/>
    <mergeCell ref="G549:H554"/>
    <mergeCell ref="A550:B550"/>
    <mergeCell ref="A551:B551"/>
    <mergeCell ref="A552:B552"/>
    <mergeCell ref="A554:B554"/>
    <mergeCell ref="A553:B553"/>
    <mergeCell ref="C553:F553"/>
    <mergeCell ref="A581:H581"/>
    <mergeCell ref="A582:B582"/>
    <mergeCell ref="G582:H588"/>
    <mergeCell ref="A583:B583"/>
    <mergeCell ref="A584:B584"/>
    <mergeCell ref="A585:B585"/>
    <mergeCell ref="A586:B586"/>
    <mergeCell ref="A587:B587"/>
    <mergeCell ref="A588:B588"/>
    <mergeCell ref="A570:B570"/>
    <mergeCell ref="A571:B571"/>
    <mergeCell ref="A562:B562"/>
    <mergeCell ref="A563:B563"/>
    <mergeCell ref="A561:B561"/>
    <mergeCell ref="A473:B473"/>
    <mergeCell ref="A474:B474"/>
    <mergeCell ref="A463:B463"/>
    <mergeCell ref="A466:B466"/>
    <mergeCell ref="A465:B465"/>
    <mergeCell ref="A526:B526"/>
    <mergeCell ref="G526:H532"/>
    <mergeCell ref="A527:B527"/>
    <mergeCell ref="A528:B528"/>
    <mergeCell ref="A529:B529"/>
    <mergeCell ref="A530:B530"/>
    <mergeCell ref="A531:B531"/>
    <mergeCell ref="A532:B532"/>
    <mergeCell ref="A518:H518"/>
    <mergeCell ref="A519:B519"/>
    <mergeCell ref="G519:H524"/>
    <mergeCell ref="A520:B520"/>
    <mergeCell ref="A521:B521"/>
    <mergeCell ref="A522:B522"/>
    <mergeCell ref="A523:B523"/>
    <mergeCell ref="A524:B524"/>
    <mergeCell ref="A508:B508"/>
    <mergeCell ref="A509:B509"/>
    <mergeCell ref="C508:F509"/>
    <mergeCell ref="A514:B514"/>
    <mergeCell ref="A572:B572"/>
    <mergeCell ref="S432:T432"/>
    <mergeCell ref="A590:H590"/>
    <mergeCell ref="S442:T442"/>
    <mergeCell ref="A555:H555"/>
    <mergeCell ref="S424:T424"/>
    <mergeCell ref="G558:H564"/>
    <mergeCell ref="C558:F560"/>
    <mergeCell ref="A565:H565"/>
    <mergeCell ref="S458:T458"/>
    <mergeCell ref="S459:T459"/>
    <mergeCell ref="S446:T446"/>
    <mergeCell ref="A566:B566"/>
    <mergeCell ref="C566:F568"/>
    <mergeCell ref="G566:H572"/>
    <mergeCell ref="S441:T441"/>
    <mergeCell ref="A481:B481"/>
    <mergeCell ref="A461:B461"/>
    <mergeCell ref="A579:B579"/>
    <mergeCell ref="S439:T439"/>
    <mergeCell ref="A580:B580"/>
    <mergeCell ref="A564:B564"/>
    <mergeCell ref="A568:B568"/>
    <mergeCell ref="S450:T450"/>
    <mergeCell ref="S471:T471"/>
    <mergeCell ref="S479:T479"/>
    <mergeCell ref="S480:T480"/>
    <mergeCell ref="A432:H432"/>
    <mergeCell ref="A462:B462"/>
    <mergeCell ref="A433:B433"/>
    <mergeCell ref="A445:B445"/>
    <mergeCell ref="G433:H440"/>
    <mergeCell ref="A46:B46"/>
    <mergeCell ref="C46:H46"/>
    <mergeCell ref="B681:H681"/>
    <mergeCell ref="C55:E55"/>
    <mergeCell ref="G55:H55"/>
    <mergeCell ref="A55:B56"/>
    <mergeCell ref="C56:H56"/>
    <mergeCell ref="S448:T448"/>
    <mergeCell ref="A597:B597"/>
    <mergeCell ref="S449:T449"/>
    <mergeCell ref="C596:F597"/>
    <mergeCell ref="S452:T452"/>
    <mergeCell ref="A601:B601"/>
    <mergeCell ref="S453:T453"/>
    <mergeCell ref="S451:T451"/>
    <mergeCell ref="A600:B600"/>
    <mergeCell ref="A162:E162"/>
    <mergeCell ref="F162:H162"/>
    <mergeCell ref="S427:T427"/>
    <mergeCell ref="A573:H573"/>
    <mergeCell ref="S433:T433"/>
    <mergeCell ref="A574:B574"/>
    <mergeCell ref="G574:H580"/>
    <mergeCell ref="S434:T434"/>
    <mergeCell ref="A575:B575"/>
    <mergeCell ref="S435:T435"/>
    <mergeCell ref="A576:B576"/>
    <mergeCell ref="S436:T436"/>
    <mergeCell ref="A577:B577"/>
    <mergeCell ref="S437:T437"/>
    <mergeCell ref="A578:B578"/>
    <mergeCell ref="S438:T438"/>
    <mergeCell ref="A558:B558"/>
    <mergeCell ref="S418:T418"/>
    <mergeCell ref="A559:B559"/>
    <mergeCell ref="S419:T419"/>
    <mergeCell ref="A560:B560"/>
    <mergeCell ref="S420:T420"/>
    <mergeCell ref="A182:B182"/>
    <mergeCell ref="C182:D182"/>
    <mergeCell ref="E182:F182"/>
    <mergeCell ref="A179:B179"/>
    <mergeCell ref="C179:D179"/>
    <mergeCell ref="G182:H182"/>
    <mergeCell ref="C181:D181"/>
    <mergeCell ref="S279:T279"/>
    <mergeCell ref="A288:B288"/>
    <mergeCell ref="S440:T440"/>
    <mergeCell ref="S284:T284"/>
    <mergeCell ref="A478:B478"/>
    <mergeCell ref="S429:T429"/>
    <mergeCell ref="A333:H333"/>
    <mergeCell ref="S430:T430"/>
    <mergeCell ref="G334:H340"/>
    <mergeCell ref="A335:B335"/>
    <mergeCell ref="A336:B336"/>
    <mergeCell ref="A337:B337"/>
    <mergeCell ref="A338:B338"/>
    <mergeCell ref="A339:B339"/>
    <mergeCell ref="A340:B340"/>
    <mergeCell ref="A413:H413"/>
    <mergeCell ref="A427:B427"/>
    <mergeCell ref="S431:T431"/>
    <mergeCell ref="A434:B434"/>
    <mergeCell ref="A293:B293"/>
    <mergeCell ref="A301:H301"/>
    <mergeCell ref="A406:B406"/>
    <mergeCell ref="A407:B407"/>
    <mergeCell ref="A408:B408"/>
    <mergeCell ref="S322:T322"/>
    <mergeCell ref="A412:B412"/>
    <mergeCell ref="S338:T338"/>
    <mergeCell ref="S339:T339"/>
    <mergeCell ref="A422:H422"/>
    <mergeCell ref="S280:T280"/>
    <mergeCell ref="S370:T370"/>
    <mergeCell ref="S384:T384"/>
    <mergeCell ref="S363:T363"/>
    <mergeCell ref="S373:T373"/>
    <mergeCell ref="S374:T374"/>
    <mergeCell ref="S364:T364"/>
    <mergeCell ref="S365:T365"/>
    <mergeCell ref="S375:T375"/>
    <mergeCell ref="S417:T417"/>
    <mergeCell ref="S403:T403"/>
    <mergeCell ref="A414:B414"/>
    <mergeCell ref="G414:H421"/>
    <mergeCell ref="A415:B415"/>
    <mergeCell ref="A416:B416"/>
    <mergeCell ref="A417:B417"/>
    <mergeCell ref="A418:B418"/>
    <mergeCell ref="A419:B419"/>
    <mergeCell ref="S282:T282"/>
    <mergeCell ref="S312:T312"/>
    <mergeCell ref="A389:B389"/>
    <mergeCell ref="A291:B291"/>
    <mergeCell ref="S283:T283"/>
    <mergeCell ref="A292:B292"/>
    <mergeCell ref="S348:T348"/>
    <mergeCell ref="C444:F446"/>
    <mergeCell ref="G424:H431"/>
    <mergeCell ref="S385:T385"/>
    <mergeCell ref="S360:T360"/>
    <mergeCell ref="S347:T347"/>
    <mergeCell ref="S354:T354"/>
    <mergeCell ref="S355:T355"/>
    <mergeCell ref="A377:H377"/>
    <mergeCell ref="A378:B378"/>
    <mergeCell ref="G378:H383"/>
    <mergeCell ref="S285:T285"/>
    <mergeCell ref="A384:H384"/>
    <mergeCell ref="S313:T313"/>
    <mergeCell ref="A388:B388"/>
    <mergeCell ref="S314:T314"/>
    <mergeCell ref="S315:T315"/>
    <mergeCell ref="S316:T316"/>
    <mergeCell ref="C387:F390"/>
    <mergeCell ref="C302:F304"/>
    <mergeCell ref="A300:H300"/>
    <mergeCell ref="S393:T393"/>
    <mergeCell ref="S334:T334"/>
    <mergeCell ref="G405:H412"/>
    <mergeCell ref="G396:H403"/>
    <mergeCell ref="S310:T310"/>
    <mergeCell ref="A441:H441"/>
    <mergeCell ref="S349:T349"/>
    <mergeCell ref="G250:H293"/>
    <mergeCell ref="S206:T206"/>
    <mergeCell ref="A203:B203"/>
    <mergeCell ref="S197:T197"/>
    <mergeCell ref="A204:B204"/>
    <mergeCell ref="S198:T198"/>
    <mergeCell ref="A205:B205"/>
    <mergeCell ref="S199:T199"/>
    <mergeCell ref="S203:T203"/>
    <mergeCell ref="A208:B208"/>
    <mergeCell ref="A202:B202"/>
    <mergeCell ref="A196:H196"/>
    <mergeCell ref="A209:B209"/>
    <mergeCell ref="A186:B186"/>
    <mergeCell ref="A219:B219"/>
    <mergeCell ref="A234:B234"/>
    <mergeCell ref="A189:B189"/>
    <mergeCell ref="C189:D189"/>
    <mergeCell ref="A222:B222"/>
    <mergeCell ref="A194:H194"/>
    <mergeCell ref="S221:T221"/>
    <mergeCell ref="A228:B228"/>
    <mergeCell ref="G198:H248"/>
    <mergeCell ref="A247:B247"/>
    <mergeCell ref="A248:B248"/>
    <mergeCell ref="A195:H195"/>
    <mergeCell ref="S191:T191"/>
    <mergeCell ref="S202:T202"/>
    <mergeCell ref="S196:T196"/>
    <mergeCell ref="S239:T239"/>
    <mergeCell ref="A246:B246"/>
    <mergeCell ref="S240:T240"/>
    <mergeCell ref="S222:T222"/>
    <mergeCell ref="A289:B289"/>
    <mergeCell ref="S281:T281"/>
    <mergeCell ref="S261:T261"/>
    <mergeCell ref="A290:B290"/>
    <mergeCell ref="A135:B135"/>
    <mergeCell ref="A136:B136"/>
    <mergeCell ref="C178:D178"/>
    <mergeCell ref="S237:T237"/>
    <mergeCell ref="A244:B244"/>
    <mergeCell ref="S238:T238"/>
    <mergeCell ref="A233:B233"/>
    <mergeCell ref="A157:H157"/>
    <mergeCell ref="A178:B178"/>
    <mergeCell ref="S188:T188"/>
    <mergeCell ref="S192:T192"/>
    <mergeCell ref="S193:T193"/>
    <mergeCell ref="S194:T194"/>
    <mergeCell ref="S195:T195"/>
    <mergeCell ref="S205:T205"/>
    <mergeCell ref="S208:T208"/>
    <mergeCell ref="S229:T229"/>
    <mergeCell ref="A236:B236"/>
    <mergeCell ref="S230:T230"/>
    <mergeCell ref="A237:B237"/>
    <mergeCell ref="G184:H184"/>
    <mergeCell ref="S241:T241"/>
    <mergeCell ref="S231:T231"/>
    <mergeCell ref="A238:B238"/>
    <mergeCell ref="S219:T219"/>
    <mergeCell ref="S200:T200"/>
    <mergeCell ref="S201:T201"/>
    <mergeCell ref="S210:T210"/>
    <mergeCell ref="A96:B96"/>
    <mergeCell ref="A99:B99"/>
    <mergeCell ref="D68:H68"/>
    <mergeCell ref="D70:H70"/>
    <mergeCell ref="D69:H69"/>
    <mergeCell ref="C102:H102"/>
    <mergeCell ref="A103:B103"/>
    <mergeCell ref="E103:F103"/>
    <mergeCell ref="G103:H103"/>
    <mergeCell ref="A104:B104"/>
    <mergeCell ref="E104:F113"/>
    <mergeCell ref="G104:H113"/>
    <mergeCell ref="A105:B105"/>
    <mergeCell ref="A106:B106"/>
    <mergeCell ref="A275:B275"/>
    <mergeCell ref="A256:B256"/>
    <mergeCell ref="C186:D186"/>
    <mergeCell ref="E186:F186"/>
    <mergeCell ref="G186:H186"/>
    <mergeCell ref="A163:E163"/>
    <mergeCell ref="C144:H144"/>
    <mergeCell ref="E179:F179"/>
    <mergeCell ref="A126:B126"/>
    <mergeCell ref="A127:B127"/>
    <mergeCell ref="A187:B187"/>
    <mergeCell ref="A239:B239"/>
    <mergeCell ref="A225:B225"/>
    <mergeCell ref="G89:H89"/>
    <mergeCell ref="A159:H159"/>
    <mergeCell ref="A160:E160"/>
    <mergeCell ref="A110:B110"/>
    <mergeCell ref="A111:B111"/>
    <mergeCell ref="A112:B112"/>
    <mergeCell ref="A113:B113"/>
    <mergeCell ref="A118:B118"/>
    <mergeCell ref="E118:F127"/>
    <mergeCell ref="G118:H127"/>
    <mergeCell ref="A119:B119"/>
    <mergeCell ref="A120:B120"/>
    <mergeCell ref="A91:B91"/>
    <mergeCell ref="A92:B92"/>
    <mergeCell ref="A93:B93"/>
    <mergeCell ref="A94:B94"/>
    <mergeCell ref="D65:H65"/>
    <mergeCell ref="A114:B114"/>
    <mergeCell ref="G90:H99"/>
    <mergeCell ref="C114:H114"/>
    <mergeCell ref="A116:B116"/>
    <mergeCell ref="C116:H116"/>
    <mergeCell ref="A117:B117"/>
    <mergeCell ref="E90:F99"/>
    <mergeCell ref="A97:B97"/>
    <mergeCell ref="A98:B98"/>
    <mergeCell ref="A100:B100"/>
    <mergeCell ref="C100:H100"/>
    <mergeCell ref="A89:B89"/>
    <mergeCell ref="E89:F89"/>
    <mergeCell ref="D66:H66"/>
    <mergeCell ref="A69:C69"/>
    <mergeCell ref="A121:B121"/>
    <mergeCell ref="A90:B90"/>
    <mergeCell ref="A95:B95"/>
    <mergeCell ref="S227:T227"/>
    <mergeCell ref="S223:T223"/>
    <mergeCell ref="S224:T224"/>
    <mergeCell ref="S225:T225"/>
    <mergeCell ref="S226:T226"/>
    <mergeCell ref="S232:T232"/>
    <mergeCell ref="G179:H179"/>
    <mergeCell ref="A226:B226"/>
    <mergeCell ref="S213:T213"/>
    <mergeCell ref="A220:B220"/>
    <mergeCell ref="S214:T214"/>
    <mergeCell ref="A221:B221"/>
    <mergeCell ref="A217:B217"/>
    <mergeCell ref="S211:T211"/>
    <mergeCell ref="S212:T212"/>
    <mergeCell ref="A122:B122"/>
    <mergeCell ref="A123:B123"/>
    <mergeCell ref="A124:B124"/>
    <mergeCell ref="A125:B125"/>
    <mergeCell ref="F156:H156"/>
    <mergeCell ref="F172:H172"/>
    <mergeCell ref="C192:C193"/>
    <mergeCell ref="D192:D193"/>
    <mergeCell ref="E178:F178"/>
    <mergeCell ref="G178:H178"/>
    <mergeCell ref="A188:B188"/>
    <mergeCell ref="G131:H131"/>
    <mergeCell ref="A132:B132"/>
    <mergeCell ref="E132:F141"/>
    <mergeCell ref="G132:H141"/>
    <mergeCell ref="A133:B133"/>
    <mergeCell ref="A134:B134"/>
    <mergeCell ref="A184:B184"/>
    <mergeCell ref="C184:D184"/>
    <mergeCell ref="E184:F184"/>
    <mergeCell ref="A42:D42"/>
    <mergeCell ref="S190:T190"/>
    <mergeCell ref="A158:B158"/>
    <mergeCell ref="C158:H158"/>
    <mergeCell ref="F163:H163"/>
    <mergeCell ref="A152:B152"/>
    <mergeCell ref="A153:B153"/>
    <mergeCell ref="A174:E174"/>
    <mergeCell ref="F174:H174"/>
    <mergeCell ref="A161:E161"/>
    <mergeCell ref="F161:H161"/>
    <mergeCell ref="A45:H45"/>
    <mergeCell ref="G47:H47"/>
    <mergeCell ref="G50:H50"/>
    <mergeCell ref="A169:E169"/>
    <mergeCell ref="A171:E171"/>
    <mergeCell ref="F171:H171"/>
    <mergeCell ref="F169:H169"/>
    <mergeCell ref="A170:E170"/>
    <mergeCell ref="G177:H177"/>
    <mergeCell ref="G185:H185"/>
    <mergeCell ref="G49:H49"/>
    <mergeCell ref="E117:F117"/>
    <mergeCell ref="G117:H117"/>
    <mergeCell ref="A86:B86"/>
    <mergeCell ref="A88:B88"/>
    <mergeCell ref="C88:H88"/>
    <mergeCell ref="D64:H64"/>
    <mergeCell ref="A109:B109"/>
    <mergeCell ref="E26:H26"/>
    <mergeCell ref="F30:H30"/>
    <mergeCell ref="A31:B31"/>
    <mergeCell ref="C31:E31"/>
    <mergeCell ref="A32:B32"/>
    <mergeCell ref="C32:E32"/>
    <mergeCell ref="A33:B33"/>
    <mergeCell ref="C33:E33"/>
    <mergeCell ref="C34:E34"/>
    <mergeCell ref="A30:B30"/>
    <mergeCell ref="A37:B37"/>
    <mergeCell ref="A41:D41"/>
    <mergeCell ref="E41:H41"/>
    <mergeCell ref="E42:H42"/>
    <mergeCell ref="E43:H43"/>
    <mergeCell ref="E44:H44"/>
    <mergeCell ref="A43:D43"/>
    <mergeCell ref="A44:D44"/>
    <mergeCell ref="C37:H37"/>
    <mergeCell ref="C36:H36"/>
    <mergeCell ref="A27:D27"/>
    <mergeCell ref="E27:H27"/>
    <mergeCell ref="A40:D40"/>
    <mergeCell ref="E40:H40"/>
    <mergeCell ref="A28:D28"/>
    <mergeCell ref="A38:H38"/>
    <mergeCell ref="A39:D39"/>
    <mergeCell ref="E39:H39"/>
    <mergeCell ref="A36:B36"/>
    <mergeCell ref="A35:H35"/>
    <mergeCell ref="E24:H24"/>
    <mergeCell ref="A15:B15"/>
    <mergeCell ref="A12:D12"/>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E12:H12"/>
    <mergeCell ref="A13:D13"/>
    <mergeCell ref="E13:H13"/>
    <mergeCell ref="A14:B14"/>
    <mergeCell ref="C14:H14"/>
    <mergeCell ref="C15:H15"/>
    <mergeCell ref="A16:B16"/>
    <mergeCell ref="C16:D16"/>
    <mergeCell ref="E16:F16"/>
    <mergeCell ref="G16:H16"/>
    <mergeCell ref="A24:D24"/>
    <mergeCell ref="A17:B17"/>
    <mergeCell ref="C17:D17"/>
    <mergeCell ref="A26:D26"/>
    <mergeCell ref="A34:B34"/>
    <mergeCell ref="A29:D29"/>
    <mergeCell ref="E29:H29"/>
    <mergeCell ref="A1:H1"/>
    <mergeCell ref="A2:H2"/>
    <mergeCell ref="A3:D3"/>
    <mergeCell ref="E3:H3"/>
    <mergeCell ref="A4:D4"/>
    <mergeCell ref="A8:D8"/>
    <mergeCell ref="E8:H8"/>
    <mergeCell ref="A9:D9"/>
    <mergeCell ref="E9:H9"/>
    <mergeCell ref="E4:H4"/>
    <mergeCell ref="A11:D11"/>
    <mergeCell ref="A5:D5"/>
    <mergeCell ref="E5:H5"/>
    <mergeCell ref="A6:D6"/>
    <mergeCell ref="E6:H6"/>
    <mergeCell ref="A7:D7"/>
    <mergeCell ref="E7:H7"/>
    <mergeCell ref="F31:H31"/>
    <mergeCell ref="F32:H32"/>
    <mergeCell ref="C30:E30"/>
    <mergeCell ref="F33:H33"/>
    <mergeCell ref="F34:H34"/>
    <mergeCell ref="E17:F17"/>
    <mergeCell ref="G17:H17"/>
    <mergeCell ref="A10:D10"/>
    <mergeCell ref="E10:H10"/>
    <mergeCell ref="A25:D25"/>
    <mergeCell ref="E25:H25"/>
    <mergeCell ref="E28:H28"/>
    <mergeCell ref="A510:H510"/>
    <mergeCell ref="A534:H534"/>
    <mergeCell ref="D61:H61"/>
    <mergeCell ref="A61:C61"/>
    <mergeCell ref="G57:H57"/>
    <mergeCell ref="A57:B57"/>
    <mergeCell ref="C57:E57"/>
    <mergeCell ref="A131:B131"/>
    <mergeCell ref="E131:F131"/>
    <mergeCell ref="A107:B107"/>
    <mergeCell ref="C86:H86"/>
    <mergeCell ref="A70:C70"/>
    <mergeCell ref="A48:B48"/>
    <mergeCell ref="C48:E48"/>
    <mergeCell ref="G48:H48"/>
    <mergeCell ref="A58:H58"/>
    <mergeCell ref="A59:C59"/>
    <mergeCell ref="D63:H63"/>
    <mergeCell ref="A60:C60"/>
    <mergeCell ref="D60:H60"/>
    <mergeCell ref="D59:H59"/>
    <mergeCell ref="A71:C71"/>
    <mergeCell ref="D71:H71"/>
    <mergeCell ref="A68:C68"/>
    <mergeCell ref="A108:B108"/>
    <mergeCell ref="A137:B137"/>
    <mergeCell ref="A138:B138"/>
    <mergeCell ref="A139:B139"/>
    <mergeCell ref="A130:B130"/>
    <mergeCell ref="A192:B193"/>
    <mergeCell ref="A177:B177"/>
    <mergeCell ref="C177:D177"/>
    <mergeCell ref="A281:B281"/>
    <mergeCell ref="A265:B265"/>
    <mergeCell ref="A267:B267"/>
    <mergeCell ref="A47:B47"/>
    <mergeCell ref="C47:E47"/>
    <mergeCell ref="D67:H67"/>
    <mergeCell ref="A102:B102"/>
    <mergeCell ref="A689:H689"/>
    <mergeCell ref="E181:F181"/>
    <mergeCell ref="G181:H181"/>
    <mergeCell ref="A666:H666"/>
    <mergeCell ref="A685:H685"/>
    <mergeCell ref="A686:H686"/>
    <mergeCell ref="A191:H191"/>
    <mergeCell ref="A181:B181"/>
    <mergeCell ref="A190:H190"/>
    <mergeCell ref="G295:H296"/>
    <mergeCell ref="A404:H404"/>
    <mergeCell ref="E192:E193"/>
    <mergeCell ref="G192:H193"/>
    <mergeCell ref="A197:H197"/>
    <mergeCell ref="A294:H294"/>
    <mergeCell ref="A214:B214"/>
    <mergeCell ref="A140:B140"/>
    <mergeCell ref="A141:B141"/>
    <mergeCell ref="A172:E172"/>
    <mergeCell ref="A142:B142"/>
    <mergeCell ref="C142:H142"/>
    <mergeCell ref="A144:B144"/>
    <mergeCell ref="C130:H130"/>
    <mergeCell ref="A128:B128"/>
    <mergeCell ref="C128:H128"/>
    <mergeCell ref="A693:H696"/>
    <mergeCell ref="A692:B692"/>
    <mergeCell ref="E692:F692"/>
    <mergeCell ref="C692:D692"/>
    <mergeCell ref="G692:H692"/>
    <mergeCell ref="A173:E173"/>
    <mergeCell ref="F173:H173"/>
    <mergeCell ref="A175:E175"/>
    <mergeCell ref="F175:H175"/>
    <mergeCell ref="A183:B183"/>
    <mergeCell ref="A688:H688"/>
    <mergeCell ref="A180:H180"/>
    <mergeCell ref="C183:D183"/>
    <mergeCell ref="E183:F183"/>
    <mergeCell ref="A687:H687"/>
    <mergeCell ref="A423:H423"/>
    <mergeCell ref="A690:H690"/>
    <mergeCell ref="A691:H691"/>
    <mergeCell ref="A218:B218"/>
    <mergeCell ref="A223:B223"/>
    <mergeCell ref="A185:B185"/>
    <mergeCell ref="C185:D185"/>
    <mergeCell ref="E185:F185"/>
    <mergeCell ref="G183:H183"/>
    <mergeCell ref="C188:D188"/>
    <mergeCell ref="A201:B201"/>
    <mergeCell ref="A212:B212"/>
    <mergeCell ref="A206:B206"/>
    <mergeCell ref="A207:B207"/>
    <mergeCell ref="A512:B512"/>
    <mergeCell ref="C540:F541"/>
    <mergeCell ref="A513:B513"/>
    <mergeCell ref="S189:T189"/>
    <mergeCell ref="A213:B213"/>
    <mergeCell ref="S207:T207"/>
    <mergeCell ref="S204:T204"/>
    <mergeCell ref="S215:T215"/>
    <mergeCell ref="S216:T216"/>
    <mergeCell ref="S217:T217"/>
    <mergeCell ref="S218:T218"/>
    <mergeCell ref="A274:B274"/>
    <mergeCell ref="S266:T266"/>
    <mergeCell ref="S269:T269"/>
    <mergeCell ref="A145:B145"/>
    <mergeCell ref="E145:F145"/>
    <mergeCell ref="G145:H145"/>
    <mergeCell ref="A146:B146"/>
    <mergeCell ref="E146:F155"/>
    <mergeCell ref="G146:H155"/>
    <mergeCell ref="A147:B147"/>
    <mergeCell ref="A148:B148"/>
    <mergeCell ref="A149:B149"/>
    <mergeCell ref="A150:B150"/>
    <mergeCell ref="A151:B151"/>
    <mergeCell ref="S233:T233"/>
    <mergeCell ref="A240:B240"/>
    <mergeCell ref="S234:T234"/>
    <mergeCell ref="A241:B241"/>
    <mergeCell ref="S235:T235"/>
    <mergeCell ref="G189:H189"/>
    <mergeCell ref="E188:F188"/>
    <mergeCell ref="G188:H188"/>
    <mergeCell ref="A215:B215"/>
    <mergeCell ref="A200:B200"/>
    <mergeCell ref="S220:T220"/>
    <mergeCell ref="S369:T369"/>
    <mergeCell ref="A386:H386"/>
    <mergeCell ref="S389:T389"/>
    <mergeCell ref="S357:T357"/>
    <mergeCell ref="S359:T359"/>
    <mergeCell ref="A299:H299"/>
    <mergeCell ref="S291:T291"/>
    <mergeCell ref="S277:T277"/>
    <mergeCell ref="A286:B286"/>
    <mergeCell ref="S278:T278"/>
    <mergeCell ref="A287:B287"/>
    <mergeCell ref="S275:T275"/>
    <mergeCell ref="S273:T273"/>
    <mergeCell ref="A282:B282"/>
    <mergeCell ref="A273:B273"/>
    <mergeCell ref="A263:B263"/>
    <mergeCell ref="A264:B264"/>
    <mergeCell ref="S276:T276"/>
    <mergeCell ref="A268:B268"/>
    <mergeCell ref="C295:C296"/>
    <mergeCell ref="D295:D296"/>
    <mergeCell ref="E295:E296"/>
    <mergeCell ref="A280:B280"/>
    <mergeCell ref="A278:B278"/>
    <mergeCell ref="A279:B279"/>
    <mergeCell ref="A269:B269"/>
    <mergeCell ref="S267:T267"/>
    <mergeCell ref="A297:H297"/>
    <mergeCell ref="S289:T289"/>
    <mergeCell ref="A298:H298"/>
    <mergeCell ref="S290:T290"/>
    <mergeCell ref="S272:T272"/>
    <mergeCell ref="S274:T274"/>
    <mergeCell ref="S294:T294"/>
    <mergeCell ref="S394:T394"/>
    <mergeCell ref="S426:T426"/>
    <mergeCell ref="A448:B448"/>
    <mergeCell ref="A449:B449"/>
    <mergeCell ref="S408:T408"/>
    <mergeCell ref="S409:T409"/>
    <mergeCell ref="S321:T321"/>
    <mergeCell ref="S325:T325"/>
    <mergeCell ref="S326:T326"/>
    <mergeCell ref="A401:B401"/>
    <mergeCell ref="S327:T327"/>
    <mergeCell ref="A402:B402"/>
    <mergeCell ref="S328:T328"/>
    <mergeCell ref="A403:B403"/>
    <mergeCell ref="S336:T336"/>
    <mergeCell ref="A405:B405"/>
    <mergeCell ref="S331:T331"/>
    <mergeCell ref="S332:T332"/>
    <mergeCell ref="C396:F399"/>
    <mergeCell ref="S333:T333"/>
    <mergeCell ref="S335:T335"/>
    <mergeCell ref="S330:T330"/>
    <mergeCell ref="A411:B411"/>
    <mergeCell ref="S337:T337"/>
    <mergeCell ref="S329:T329"/>
    <mergeCell ref="C400:F401"/>
    <mergeCell ref="A396:B396"/>
    <mergeCell ref="A410:B410"/>
    <mergeCell ref="S405:T405"/>
    <mergeCell ref="A503:B503"/>
    <mergeCell ref="C503:F505"/>
    <mergeCell ref="S386:T386"/>
    <mergeCell ref="A504:B504"/>
    <mergeCell ref="S387:T387"/>
    <mergeCell ref="A505:B505"/>
    <mergeCell ref="S388:T388"/>
    <mergeCell ref="G503:H509"/>
    <mergeCell ref="A476:H476"/>
    <mergeCell ref="A447:B447"/>
    <mergeCell ref="A459:H459"/>
    <mergeCell ref="A460:B460"/>
    <mergeCell ref="G460:H466"/>
    <mergeCell ref="A431:B431"/>
    <mergeCell ref="A496:B496"/>
    <mergeCell ref="S469:T469"/>
    <mergeCell ref="S478:T478"/>
    <mergeCell ref="A456:B456"/>
    <mergeCell ref="G444:H450"/>
    <mergeCell ref="S428:T428"/>
    <mergeCell ref="S395:T395"/>
    <mergeCell ref="S396:T396"/>
    <mergeCell ref="A477:B477"/>
    <mergeCell ref="A502:H502"/>
    <mergeCell ref="A390:B390"/>
    <mergeCell ref="A435:B435"/>
    <mergeCell ref="A436:B436"/>
    <mergeCell ref="A437:B437"/>
    <mergeCell ref="A438:B438"/>
    <mergeCell ref="A439:B439"/>
    <mergeCell ref="A440:B440"/>
    <mergeCell ref="C438:F438"/>
    <mergeCell ref="A424:B424"/>
    <mergeCell ref="A453:B453"/>
    <mergeCell ref="S404:T404"/>
    <mergeCell ref="S422:T422"/>
    <mergeCell ref="S423:T423"/>
    <mergeCell ref="S454:T454"/>
    <mergeCell ref="S445:T445"/>
    <mergeCell ref="A482:B482"/>
    <mergeCell ref="A483:B483"/>
    <mergeCell ref="A464:B464"/>
    <mergeCell ref="A443:H443"/>
    <mergeCell ref="A444:B444"/>
    <mergeCell ref="S457:T457"/>
    <mergeCell ref="S443:T443"/>
    <mergeCell ref="S444:T444"/>
    <mergeCell ref="S447:T447"/>
    <mergeCell ref="S487:T487"/>
    <mergeCell ref="A455:B455"/>
    <mergeCell ref="C455:F456"/>
    <mergeCell ref="A430:B430"/>
    <mergeCell ref="S406:T406"/>
    <mergeCell ref="S407:T407"/>
    <mergeCell ref="S425:T425"/>
    <mergeCell ref="S421:T421"/>
    <mergeCell ref="S416:T416"/>
    <mergeCell ref="A467:H467"/>
    <mergeCell ref="A468:B468"/>
    <mergeCell ref="G468:H474"/>
    <mergeCell ref="A469:B469"/>
    <mergeCell ref="A470:B470"/>
    <mergeCell ref="A471:B471"/>
    <mergeCell ref="A472:B472"/>
    <mergeCell ref="S474:T474"/>
    <mergeCell ref="A450:B450"/>
    <mergeCell ref="A458:B458"/>
    <mergeCell ref="A457:B457"/>
    <mergeCell ref="S473:T473"/>
    <mergeCell ref="A533:H533"/>
    <mergeCell ref="C452:F454"/>
    <mergeCell ref="G511:H517"/>
    <mergeCell ref="A506:B506"/>
    <mergeCell ref="G495:H501"/>
    <mergeCell ref="A484:H484"/>
    <mergeCell ref="A485:B485"/>
    <mergeCell ref="G485:H491"/>
    <mergeCell ref="A486:B486"/>
    <mergeCell ref="A479:B479"/>
    <mergeCell ref="A501:B501"/>
    <mergeCell ref="C495:F497"/>
    <mergeCell ref="C480:F481"/>
    <mergeCell ref="A490:B490"/>
    <mergeCell ref="A491:B491"/>
    <mergeCell ref="C489:F489"/>
    <mergeCell ref="A525:H525"/>
    <mergeCell ref="S496:T496"/>
    <mergeCell ref="S497:T497"/>
    <mergeCell ref="S498:T498"/>
    <mergeCell ref="S501:T501"/>
    <mergeCell ref="A515:B515"/>
    <mergeCell ref="A516:B516"/>
    <mergeCell ref="A517:B517"/>
    <mergeCell ref="S488:T488"/>
    <mergeCell ref="S489:T489"/>
    <mergeCell ref="A507:B507"/>
    <mergeCell ref="A379:B379"/>
    <mergeCell ref="S402:T402"/>
    <mergeCell ref="S368:T368"/>
    <mergeCell ref="S362:T362"/>
    <mergeCell ref="S361:T361"/>
    <mergeCell ref="A380:B380"/>
    <mergeCell ref="A381:B381"/>
    <mergeCell ref="A383:B383"/>
    <mergeCell ref="A382:B382"/>
    <mergeCell ref="C382:F382"/>
    <mergeCell ref="A387:B387"/>
    <mergeCell ref="A395:H395"/>
    <mergeCell ref="S367:T367"/>
    <mergeCell ref="S352:T352"/>
    <mergeCell ref="S350:T350"/>
    <mergeCell ref="A420:B420"/>
    <mergeCell ref="A421:B421"/>
    <mergeCell ref="A409:B409"/>
    <mergeCell ref="A394:B394"/>
    <mergeCell ref="G387:H394"/>
    <mergeCell ref="S397:T397"/>
    <mergeCell ref="S398:T398"/>
    <mergeCell ref="S399:T399"/>
    <mergeCell ref="S400:T400"/>
    <mergeCell ref="A391:B391"/>
    <mergeCell ref="S390:T390"/>
    <mergeCell ref="S391:T391"/>
    <mergeCell ref="S392:T392"/>
    <mergeCell ref="S371:T371"/>
    <mergeCell ref="S372:T372"/>
    <mergeCell ref="A245:B245"/>
    <mergeCell ref="A235:B235"/>
    <mergeCell ref="A210:B210"/>
    <mergeCell ref="A211:B211"/>
    <mergeCell ref="F160:H160"/>
    <mergeCell ref="A229:B229"/>
    <mergeCell ref="A176:H176"/>
    <mergeCell ref="A198:B198"/>
    <mergeCell ref="A199:B199"/>
    <mergeCell ref="A154:B154"/>
    <mergeCell ref="A155:B155"/>
    <mergeCell ref="E187:F187"/>
    <mergeCell ref="G187:H187"/>
    <mergeCell ref="A243:B243"/>
    <mergeCell ref="A230:B230"/>
    <mergeCell ref="A231:B231"/>
    <mergeCell ref="F170:H170"/>
    <mergeCell ref="A166:E166"/>
    <mergeCell ref="F166:H166"/>
    <mergeCell ref="A167:E167"/>
    <mergeCell ref="F167:H167"/>
    <mergeCell ref="A168:E168"/>
    <mergeCell ref="F168:H168"/>
    <mergeCell ref="A164:E164"/>
    <mergeCell ref="F164:H164"/>
    <mergeCell ref="A165:E165"/>
    <mergeCell ref="F165:H165"/>
    <mergeCell ref="A242:B242"/>
    <mergeCell ref="E177:F177"/>
    <mergeCell ref="E189:F189"/>
    <mergeCell ref="A156:E156"/>
    <mergeCell ref="A224:B224"/>
    <mergeCell ref="A227:B227"/>
    <mergeCell ref="A308:B308"/>
    <mergeCell ref="S296:T296"/>
    <mergeCell ref="S228:T228"/>
    <mergeCell ref="S301:T301"/>
    <mergeCell ref="S251:T251"/>
    <mergeCell ref="A260:B260"/>
    <mergeCell ref="S252:T252"/>
    <mergeCell ref="A261:B261"/>
    <mergeCell ref="A285:B285"/>
    <mergeCell ref="A250:B250"/>
    <mergeCell ref="S293:T293"/>
    <mergeCell ref="S242:T242"/>
    <mergeCell ref="A270:B270"/>
    <mergeCell ref="S262:T262"/>
    <mergeCell ref="A251:B251"/>
    <mergeCell ref="S243:T243"/>
    <mergeCell ref="A252:B252"/>
    <mergeCell ref="S244:T244"/>
    <mergeCell ref="S263:T263"/>
    <mergeCell ref="A272:B272"/>
    <mergeCell ref="S265:T265"/>
    <mergeCell ref="A249:H249"/>
    <mergeCell ref="S257:T257"/>
    <mergeCell ref="S258:T258"/>
    <mergeCell ref="S270:T270"/>
    <mergeCell ref="S271:T271"/>
    <mergeCell ref="A266:B266"/>
    <mergeCell ref="A271:B271"/>
    <mergeCell ref="A259:B259"/>
    <mergeCell ref="S255:T255"/>
    <mergeCell ref="S245:T245"/>
    <mergeCell ref="A254:B254"/>
    <mergeCell ref="S295:T295"/>
    <mergeCell ref="A304:B304"/>
    <mergeCell ref="A302:B302"/>
    <mergeCell ref="S378:T378"/>
    <mergeCell ref="A310:B310"/>
    <mergeCell ref="C310:F312"/>
    <mergeCell ref="S297:T297"/>
    <mergeCell ref="A295:B296"/>
    <mergeCell ref="A284:B284"/>
    <mergeCell ref="A306:B306"/>
    <mergeCell ref="C187:D187"/>
    <mergeCell ref="S209:T209"/>
    <mergeCell ref="A216:B216"/>
    <mergeCell ref="S292:T292"/>
    <mergeCell ref="A232:B232"/>
    <mergeCell ref="S259:T259"/>
    <mergeCell ref="S260:T260"/>
    <mergeCell ref="S236:T236"/>
    <mergeCell ref="A257:B257"/>
    <mergeCell ref="S249:T249"/>
    <mergeCell ref="A258:B258"/>
    <mergeCell ref="S250:T250"/>
    <mergeCell ref="A253:B253"/>
    <mergeCell ref="S246:T246"/>
    <mergeCell ref="S253:T253"/>
    <mergeCell ref="A262:B262"/>
    <mergeCell ref="S254:T254"/>
    <mergeCell ref="S256:T256"/>
    <mergeCell ref="I239:J239"/>
    <mergeCell ref="I240:J240"/>
    <mergeCell ref="A255:B255"/>
    <mergeCell ref="S248:T248"/>
    <mergeCell ref="A397:B397"/>
    <mergeCell ref="A398:B398"/>
    <mergeCell ref="A399:B399"/>
    <mergeCell ref="A452:B452"/>
    <mergeCell ref="S468:T468"/>
    <mergeCell ref="A480:B480"/>
    <mergeCell ref="A363:B363"/>
    <mergeCell ref="A364:B364"/>
    <mergeCell ref="S466:T466"/>
    <mergeCell ref="S358:T358"/>
    <mergeCell ref="S467:T467"/>
    <mergeCell ref="S306:T306"/>
    <mergeCell ref="S247:T247"/>
    <mergeCell ref="A325:H325"/>
    <mergeCell ref="A342:B342"/>
    <mergeCell ref="G342:H348"/>
    <mergeCell ref="A343:B343"/>
    <mergeCell ref="A344:B344"/>
    <mergeCell ref="A347:B347"/>
    <mergeCell ref="A348:B348"/>
    <mergeCell ref="C345:F346"/>
    <mergeCell ref="A341:H341"/>
    <mergeCell ref="A283:B283"/>
    <mergeCell ref="A276:B276"/>
    <mergeCell ref="S268:T268"/>
    <mergeCell ref="A277:B277"/>
    <mergeCell ref="A329:B329"/>
    <mergeCell ref="A330:B330"/>
    <mergeCell ref="S264:T264"/>
    <mergeCell ref="A326:B326"/>
    <mergeCell ref="G326:H332"/>
    <mergeCell ref="S377:T377"/>
    <mergeCell ref="A495:B495"/>
    <mergeCell ref="A356:B356"/>
    <mergeCell ref="A357:B357"/>
    <mergeCell ref="C354:F355"/>
    <mergeCell ref="S379:T379"/>
    <mergeCell ref="A497:B497"/>
    <mergeCell ref="S380:T380"/>
    <mergeCell ref="A499:B499"/>
    <mergeCell ref="A626:B626"/>
    <mergeCell ref="S470:T470"/>
    <mergeCell ref="S476:T476"/>
    <mergeCell ref="A628:B628"/>
    <mergeCell ref="S472:T472"/>
    <mergeCell ref="S477:T477"/>
    <mergeCell ref="A542:H542"/>
    <mergeCell ref="S410:T410"/>
    <mergeCell ref="A543:B543"/>
    <mergeCell ref="G543:H547"/>
    <mergeCell ref="S411:T411"/>
    <mergeCell ref="A544:B544"/>
    <mergeCell ref="S412:T412"/>
    <mergeCell ref="A545:B545"/>
    <mergeCell ref="S413:T413"/>
    <mergeCell ref="A546:B546"/>
    <mergeCell ref="S475:T475"/>
    <mergeCell ref="A392:B392"/>
    <mergeCell ref="A393:B393"/>
    <mergeCell ref="A425:B425"/>
    <mergeCell ref="A426:B426"/>
    <mergeCell ref="A366:H366"/>
    <mergeCell ref="A367:B367"/>
    <mergeCell ref="S320:T320"/>
    <mergeCell ref="S323:T323"/>
    <mergeCell ref="S324:T324"/>
    <mergeCell ref="A317:H317"/>
    <mergeCell ref="A318:B318"/>
    <mergeCell ref="C318:F320"/>
    <mergeCell ref="G318:H324"/>
    <mergeCell ref="A371:B371"/>
    <mergeCell ref="S307:T307"/>
    <mergeCell ref="S308:T308"/>
    <mergeCell ref="S309:T309"/>
    <mergeCell ref="A351:B351"/>
    <mergeCell ref="A350:H350"/>
    <mergeCell ref="S311:T311"/>
    <mergeCell ref="S356:T356"/>
    <mergeCell ref="S353:T353"/>
    <mergeCell ref="G351:H357"/>
    <mergeCell ref="A352:B352"/>
    <mergeCell ref="A353:B353"/>
    <mergeCell ref="A328:B328"/>
    <mergeCell ref="A331:B331"/>
    <mergeCell ref="A362:B362"/>
    <mergeCell ref="S340:T340"/>
    <mergeCell ref="A334:B334"/>
    <mergeCell ref="A327:B327"/>
    <mergeCell ref="A345:B345"/>
    <mergeCell ref="A346:B346"/>
    <mergeCell ref="S341:T341"/>
    <mergeCell ref="S342:T342"/>
    <mergeCell ref="S343:T343"/>
    <mergeCell ref="A354:B354"/>
    <mergeCell ref="A355:B355"/>
    <mergeCell ref="A332:B332"/>
    <mergeCell ref="A349:H349"/>
    <mergeCell ref="A373:B373"/>
    <mergeCell ref="A385:H385"/>
    <mergeCell ref="S414:T414"/>
    <mergeCell ref="A547:B547"/>
    <mergeCell ref="S382:T382"/>
    <mergeCell ref="A500:B500"/>
    <mergeCell ref="S383:T383"/>
    <mergeCell ref="A446:B446"/>
    <mergeCell ref="C428:F429"/>
    <mergeCell ref="S415:T415"/>
    <mergeCell ref="A498:B498"/>
    <mergeCell ref="S381:T381"/>
    <mergeCell ref="A492:H492"/>
    <mergeCell ref="S376:T376"/>
    <mergeCell ref="S351:T351"/>
    <mergeCell ref="A400:B400"/>
    <mergeCell ref="S401:T401"/>
    <mergeCell ref="A487:B487"/>
    <mergeCell ref="A488:B488"/>
    <mergeCell ref="A489:B489"/>
    <mergeCell ref="A451:H451"/>
    <mergeCell ref="S344:T344"/>
    <mergeCell ref="A428:B428"/>
    <mergeCell ref="S345:T345"/>
    <mergeCell ref="A429:B429"/>
    <mergeCell ref="S346:T346"/>
    <mergeCell ref="A360:B360"/>
    <mergeCell ref="A361:B361"/>
    <mergeCell ref="S493:T493"/>
    <mergeCell ref="S495:T495"/>
    <mergeCell ref="C634:F637"/>
    <mergeCell ref="A627:B627"/>
    <mergeCell ref="A557:H557"/>
    <mergeCell ref="A596:B596"/>
    <mergeCell ref="S484:T484"/>
    <mergeCell ref="G625:H630"/>
    <mergeCell ref="A622:H622"/>
    <mergeCell ref="A629:B629"/>
    <mergeCell ref="A567:B567"/>
    <mergeCell ref="A608:B608"/>
    <mergeCell ref="A609:B609"/>
    <mergeCell ref="S504:T504"/>
    <mergeCell ref="S503:T503"/>
    <mergeCell ref="A599:B599"/>
    <mergeCell ref="G599:H605"/>
    <mergeCell ref="A625:B625"/>
    <mergeCell ref="A591:B591"/>
    <mergeCell ref="A589:H589"/>
    <mergeCell ref="A607:B607"/>
    <mergeCell ref="A610:B610"/>
    <mergeCell ref="A611:B611"/>
    <mergeCell ref="A612:B612"/>
    <mergeCell ref="C612:F613"/>
    <mergeCell ref="A613:B613"/>
    <mergeCell ref="A603:B603"/>
    <mergeCell ref="A602:B602"/>
    <mergeCell ref="S485:T485"/>
    <mergeCell ref="A623:H623"/>
    <mergeCell ref="S486:T486"/>
    <mergeCell ref="C571:F572"/>
    <mergeCell ref="S499:T499"/>
    <mergeCell ref="A569:B569"/>
    <mergeCell ref="A638:H638"/>
    <mergeCell ref="A646:B646"/>
    <mergeCell ref="A647:B647"/>
    <mergeCell ref="A648:B648"/>
    <mergeCell ref="B680:H680"/>
    <mergeCell ref="B678:H678"/>
    <mergeCell ref="B679:H679"/>
    <mergeCell ref="J509:Q509"/>
    <mergeCell ref="B667:H667"/>
    <mergeCell ref="B668:H668"/>
    <mergeCell ref="B669:H669"/>
    <mergeCell ref="B670:H670"/>
    <mergeCell ref="B671:H671"/>
    <mergeCell ref="B672:H672"/>
    <mergeCell ref="B673:H673"/>
    <mergeCell ref="B674:H674"/>
    <mergeCell ref="B675:H675"/>
    <mergeCell ref="B676:H676"/>
    <mergeCell ref="B677:H677"/>
    <mergeCell ref="A659:H659"/>
    <mergeCell ref="A595:B595"/>
    <mergeCell ref="A598:H598"/>
    <mergeCell ref="A594:B594"/>
    <mergeCell ref="A606:H606"/>
    <mergeCell ref="A633:B633"/>
    <mergeCell ref="A593:B593"/>
    <mergeCell ref="A661:B661"/>
    <mergeCell ref="A635:B635"/>
    <mergeCell ref="A636:B636"/>
    <mergeCell ref="A637:B637"/>
    <mergeCell ref="G632:H637"/>
    <mergeCell ref="C632:F632"/>
    <mergeCell ref="G607:H613"/>
    <mergeCell ref="A537:B537"/>
    <mergeCell ref="A538:B538"/>
    <mergeCell ref="A539:B539"/>
    <mergeCell ref="A540:B540"/>
    <mergeCell ref="A541:B541"/>
    <mergeCell ref="S490:T490"/>
    <mergeCell ref="S505:T505"/>
    <mergeCell ref="S506:T506"/>
    <mergeCell ref="S481:T481"/>
    <mergeCell ref="S482:T482"/>
    <mergeCell ref="S483:T483"/>
    <mergeCell ref="S502:T502"/>
    <mergeCell ref="S465:T465"/>
    <mergeCell ref="S455:T455"/>
    <mergeCell ref="A511:B511"/>
    <mergeCell ref="A475:H475"/>
    <mergeCell ref="G477:H483"/>
    <mergeCell ref="A535:B535"/>
    <mergeCell ref="G535:H541"/>
    <mergeCell ref="S456:T456"/>
    <mergeCell ref="S491:T491"/>
    <mergeCell ref="S492:T492"/>
    <mergeCell ref="S500:T500"/>
    <mergeCell ref="S494:T494"/>
    <mergeCell ref="A494:H494"/>
    <mergeCell ref="A536:B536"/>
    <mergeCell ref="S460:T460"/>
    <mergeCell ref="S461:T461"/>
    <mergeCell ref="S462:T462"/>
    <mergeCell ref="S463:T463"/>
    <mergeCell ref="S464:T464"/>
    <mergeCell ref="S298:T298"/>
    <mergeCell ref="A307:B307"/>
    <mergeCell ref="S299:T299"/>
    <mergeCell ref="G302:H308"/>
    <mergeCell ref="S302:T302"/>
    <mergeCell ref="S303:T303"/>
    <mergeCell ref="S304:T304"/>
    <mergeCell ref="S305:T305"/>
    <mergeCell ref="A303:B303"/>
    <mergeCell ref="S300:T300"/>
    <mergeCell ref="A305:B305"/>
    <mergeCell ref="G310:H316"/>
    <mergeCell ref="A319:B319"/>
    <mergeCell ref="A320:B320"/>
    <mergeCell ref="A321:B321"/>
    <mergeCell ref="A322:B322"/>
    <mergeCell ref="C49:E50"/>
    <mergeCell ref="C51:H51"/>
    <mergeCell ref="C52:E53"/>
    <mergeCell ref="G52:H52"/>
    <mergeCell ref="G53:H53"/>
    <mergeCell ref="C54:H54"/>
    <mergeCell ref="A49:B54"/>
    <mergeCell ref="A316:B316"/>
    <mergeCell ref="A311:B311"/>
    <mergeCell ref="A312:B312"/>
    <mergeCell ref="A313:B313"/>
    <mergeCell ref="A314:B314"/>
    <mergeCell ref="A315:B315"/>
    <mergeCell ref="S317:T317"/>
    <mergeCell ref="S318:T318"/>
    <mergeCell ref="S319:T319"/>
    <mergeCell ref="B683:H683"/>
    <mergeCell ref="A72:B72"/>
    <mergeCell ref="C72:H72"/>
    <mergeCell ref="A74:B74"/>
    <mergeCell ref="C74:H74"/>
    <mergeCell ref="A75:B75"/>
    <mergeCell ref="E75:F75"/>
    <mergeCell ref="G75:H75"/>
    <mergeCell ref="A76:B76"/>
    <mergeCell ref="E76:F85"/>
    <mergeCell ref="G76:H85"/>
    <mergeCell ref="A77:B77"/>
    <mergeCell ref="A78:B78"/>
    <mergeCell ref="A79:B79"/>
    <mergeCell ref="A80:B80"/>
    <mergeCell ref="A81:B81"/>
    <mergeCell ref="A82:B82"/>
    <mergeCell ref="A83:B83"/>
    <mergeCell ref="A84:B84"/>
    <mergeCell ref="A85:B85"/>
    <mergeCell ref="B682:H682"/>
    <mergeCell ref="A634:B634"/>
    <mergeCell ref="A309:H309"/>
    <mergeCell ref="A358:H358"/>
    <mergeCell ref="A359:B359"/>
    <mergeCell ref="G367:H371"/>
    <mergeCell ref="A368:B368"/>
    <mergeCell ref="A369:B369"/>
    <mergeCell ref="A370:B370"/>
    <mergeCell ref="G359:H365"/>
    <mergeCell ref="G646:H651"/>
    <mergeCell ref="A660:B660"/>
    <mergeCell ref="A664:B664"/>
    <mergeCell ref="A624:H624"/>
    <mergeCell ref="C627:F630"/>
    <mergeCell ref="A665:B665"/>
    <mergeCell ref="C660:F660"/>
    <mergeCell ref="A645:H645"/>
    <mergeCell ref="A649:B649"/>
    <mergeCell ref="A650:B650"/>
    <mergeCell ref="A323:B323"/>
    <mergeCell ref="A324:B324"/>
    <mergeCell ref="C321:F322"/>
    <mergeCell ref="A372:H372"/>
    <mergeCell ref="G373:H376"/>
    <mergeCell ref="A374:B374"/>
    <mergeCell ref="A375:B375"/>
    <mergeCell ref="A376:B376"/>
    <mergeCell ref="A62:C67"/>
    <mergeCell ref="D62:H62"/>
    <mergeCell ref="G660:H665"/>
    <mergeCell ref="A365:B365"/>
    <mergeCell ref="A663:B663"/>
    <mergeCell ref="A651:B651"/>
    <mergeCell ref="A454:B454"/>
    <mergeCell ref="G452:H458"/>
    <mergeCell ref="A662:B662"/>
    <mergeCell ref="A640:B640"/>
    <mergeCell ref="A604:B604"/>
    <mergeCell ref="A605:B605"/>
    <mergeCell ref="G591:H597"/>
    <mergeCell ref="A592:B592"/>
    <mergeCell ref="A639:B639"/>
    <mergeCell ref="A641:B641"/>
  </mergeCells>
  <hyperlinks>
    <hyperlink ref="C37" r:id="rId1" xr:uid="{00000000-0004-0000-0000-000000000000}"/>
  </hyperlinks>
  <printOptions horizontalCentered="1"/>
  <pageMargins left="0.39370078740157483" right="0.39370078740157483" top="0.86614173228346458" bottom="0.78740157480314965" header="0.19685039370078741" footer="0.19685039370078741"/>
  <pageSetup scale="92" fitToHeight="0" orientation="portrait" r:id="rId2"/>
  <headerFooter>
    <oddHeader>&amp;C&amp;G</oddHeader>
    <oddFooter>&amp;L&amp;"Times New Roman,Bold"&amp;12Ref No: &amp;F&amp;C&amp;G&amp;R&amp;"Times New Roman,Bold"&amp;12                                                &amp;P</oddFooter>
  </headerFooter>
  <rowBreaks count="8" manualBreakCount="8">
    <brk id="54" max="7" man="1"/>
    <brk id="85" max="7" man="1"/>
    <brk id="158" max="7" man="1"/>
    <brk id="248" max="7" man="1"/>
    <brk id="294" max="7" man="1"/>
    <brk id="696" max="7" man="1"/>
    <brk id="738" max="7" man="1"/>
    <brk id="780"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L36"/>
  <sheetViews>
    <sheetView topLeftCell="A16" workbookViewId="0">
      <selection activeCell="D28" sqref="D28"/>
    </sheetView>
  </sheetViews>
  <sheetFormatPr defaultRowHeight="14.4" x14ac:dyDescent="0.3"/>
  <cols>
    <col min="2" max="2" width="12.33203125" customWidth="1"/>
  </cols>
  <sheetData>
    <row r="2" spans="1:12" x14ac:dyDescent="0.3">
      <c r="B2" s="1" t="s">
        <v>74</v>
      </c>
      <c r="C2" s="237"/>
      <c r="D2" s="237"/>
    </row>
    <row r="3" spans="1:12" x14ac:dyDescent="0.3">
      <c r="D3" s="2"/>
      <c r="E3" s="2"/>
      <c r="F3" s="2"/>
      <c r="G3" s="2"/>
      <c r="H3" s="2"/>
      <c r="I3" s="2"/>
    </row>
    <row r="4" spans="1:12" x14ac:dyDescent="0.3">
      <c r="A4" s="1" t="s">
        <v>75</v>
      </c>
      <c r="B4" s="3" t="s">
        <v>76</v>
      </c>
      <c r="C4" s="238" t="s">
        <v>77</v>
      </c>
      <c r="D4" s="238"/>
      <c r="E4" s="238"/>
      <c r="F4" s="4"/>
      <c r="G4" s="238" t="s">
        <v>78</v>
      </c>
      <c r="H4" s="238"/>
      <c r="I4" s="238"/>
      <c r="J4" s="238" t="s">
        <v>79</v>
      </c>
      <c r="K4" s="238"/>
      <c r="L4" s="238"/>
    </row>
    <row r="5" spans="1:12" x14ac:dyDescent="0.3">
      <c r="A5" s="1">
        <v>202</v>
      </c>
      <c r="B5" s="3"/>
      <c r="C5" s="3" t="s">
        <v>80</v>
      </c>
      <c r="D5" s="3" t="s">
        <v>81</v>
      </c>
      <c r="E5" s="3" t="s">
        <v>58</v>
      </c>
      <c r="F5" s="3"/>
      <c r="G5" s="3" t="s">
        <v>80</v>
      </c>
      <c r="H5" s="3" t="s">
        <v>81</v>
      </c>
      <c r="I5" s="3" t="s">
        <v>58</v>
      </c>
      <c r="J5" s="3" t="s">
        <v>80</v>
      </c>
      <c r="K5" s="3" t="s">
        <v>81</v>
      </c>
      <c r="L5" s="3" t="s">
        <v>58</v>
      </c>
    </row>
    <row r="6" spans="1:12" x14ac:dyDescent="0.3">
      <c r="B6" s="5" t="s">
        <v>82</v>
      </c>
      <c r="C6" s="5">
        <v>4.5250000000000004</v>
      </c>
      <c r="D6" s="5">
        <v>2.9</v>
      </c>
      <c r="E6" s="5">
        <f>C6*D6</f>
        <v>13.1225</v>
      </c>
      <c r="F6" s="5" t="s">
        <v>83</v>
      </c>
      <c r="G6" s="5"/>
      <c r="H6" s="5"/>
      <c r="I6" s="5">
        <f>G6*H6</f>
        <v>0</v>
      </c>
      <c r="J6" s="5"/>
      <c r="K6" s="5"/>
      <c r="L6" s="5">
        <f>J6*K6</f>
        <v>0</v>
      </c>
    </row>
    <row r="7" spans="1:12" x14ac:dyDescent="0.3">
      <c r="B7" s="5"/>
      <c r="C7" s="5"/>
      <c r="D7" s="5"/>
      <c r="E7" s="5">
        <f t="shared" ref="E7:E33" si="0">C7*D7</f>
        <v>0</v>
      </c>
      <c r="F7" s="5" t="s">
        <v>84</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85</v>
      </c>
      <c r="C9" s="5">
        <v>1.925</v>
      </c>
      <c r="D9" s="5">
        <v>2.7</v>
      </c>
      <c r="E9" s="5">
        <f t="shared" si="0"/>
        <v>5.1975000000000007</v>
      </c>
      <c r="F9" s="5" t="s">
        <v>83</v>
      </c>
      <c r="G9" s="5"/>
      <c r="H9" s="5"/>
      <c r="I9" s="5">
        <f t="shared" si="1"/>
        <v>0</v>
      </c>
      <c r="J9" s="5"/>
      <c r="K9" s="5"/>
      <c r="L9" s="5">
        <f t="shared" si="2"/>
        <v>0</v>
      </c>
    </row>
    <row r="10" spans="1:12" x14ac:dyDescent="0.3">
      <c r="B10" s="5"/>
      <c r="C10" s="5"/>
      <c r="D10" s="5"/>
      <c r="E10" s="5">
        <f t="shared" si="0"/>
        <v>0</v>
      </c>
      <c r="F10" s="5" t="s">
        <v>84</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86</v>
      </c>
      <c r="C13" s="5">
        <v>2.85</v>
      </c>
      <c r="D13" s="5">
        <v>2.75</v>
      </c>
      <c r="E13" s="5">
        <f t="shared" si="0"/>
        <v>7.8375000000000004</v>
      </c>
      <c r="F13" s="5" t="s">
        <v>83</v>
      </c>
      <c r="G13" s="5"/>
      <c r="H13" s="5"/>
      <c r="I13" s="5">
        <f t="shared" si="1"/>
        <v>0</v>
      </c>
      <c r="J13" s="5"/>
      <c r="K13" s="5"/>
      <c r="L13" s="5">
        <f t="shared" si="2"/>
        <v>0</v>
      </c>
    </row>
    <row r="14" spans="1:12" x14ac:dyDescent="0.3">
      <c r="B14" s="5"/>
      <c r="C14" s="5"/>
      <c r="D14" s="5"/>
      <c r="E14" s="5">
        <f t="shared" si="0"/>
        <v>0</v>
      </c>
      <c r="F14" s="5" t="s">
        <v>84</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87</v>
      </c>
      <c r="C17" s="5"/>
      <c r="D17" s="5"/>
      <c r="E17" s="5">
        <f t="shared" si="0"/>
        <v>0</v>
      </c>
      <c r="F17" s="5" t="s">
        <v>83</v>
      </c>
      <c r="G17" s="5"/>
      <c r="H17" s="5"/>
      <c r="I17" s="5">
        <f t="shared" si="1"/>
        <v>0</v>
      </c>
      <c r="J17" s="5"/>
      <c r="K17" s="5"/>
      <c r="L17" s="5">
        <f t="shared" si="2"/>
        <v>0</v>
      </c>
    </row>
    <row r="18" spans="2:12" x14ac:dyDescent="0.3">
      <c r="B18" s="5"/>
      <c r="C18" s="5"/>
      <c r="D18" s="5"/>
      <c r="E18" s="5">
        <f t="shared" si="0"/>
        <v>0</v>
      </c>
      <c r="F18" s="5" t="s">
        <v>84</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87</v>
      </c>
      <c r="C20" s="5"/>
      <c r="D20" s="5"/>
      <c r="E20" s="5">
        <f t="shared" si="0"/>
        <v>0</v>
      </c>
      <c r="F20" s="5" t="s">
        <v>83</v>
      </c>
      <c r="G20" s="5"/>
      <c r="H20" s="5"/>
      <c r="I20" s="5">
        <f t="shared" si="1"/>
        <v>0</v>
      </c>
      <c r="J20" s="5"/>
      <c r="K20" s="5"/>
      <c r="L20" s="5">
        <f t="shared" si="2"/>
        <v>0</v>
      </c>
    </row>
    <row r="21" spans="2:12" x14ac:dyDescent="0.3">
      <c r="B21" s="5"/>
      <c r="C21" s="5"/>
      <c r="D21" s="5"/>
      <c r="E21" s="5">
        <f t="shared" si="0"/>
        <v>0</v>
      </c>
      <c r="F21" s="5" t="s">
        <v>84</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88</v>
      </c>
      <c r="C23" s="5">
        <v>1.35</v>
      </c>
      <c r="D23" s="5">
        <v>1.2</v>
      </c>
      <c r="E23" s="5">
        <f t="shared" si="0"/>
        <v>1.62</v>
      </c>
      <c r="F23" s="5" t="s">
        <v>89</v>
      </c>
      <c r="G23" s="5"/>
      <c r="H23" s="5"/>
      <c r="I23" s="5">
        <f t="shared" si="1"/>
        <v>0</v>
      </c>
      <c r="J23" s="5"/>
      <c r="K23" s="5"/>
      <c r="L23" s="5">
        <f t="shared" si="2"/>
        <v>0</v>
      </c>
    </row>
    <row r="24" spans="2:12" x14ac:dyDescent="0.3">
      <c r="B24" s="5" t="s">
        <v>90</v>
      </c>
      <c r="C24" s="5">
        <v>1.2250000000000001</v>
      </c>
      <c r="D24" s="5">
        <v>1.5</v>
      </c>
      <c r="E24" s="5">
        <f t="shared" si="0"/>
        <v>1.8375000000000001</v>
      </c>
      <c r="F24" s="5" t="s">
        <v>89</v>
      </c>
      <c r="G24" s="5"/>
      <c r="H24" s="5"/>
      <c r="I24" s="5">
        <f t="shared" si="1"/>
        <v>0</v>
      </c>
      <c r="J24" s="5"/>
      <c r="K24" s="5"/>
      <c r="L24" s="5">
        <f t="shared" si="2"/>
        <v>0</v>
      </c>
    </row>
    <row r="25" spans="2:12" x14ac:dyDescent="0.3">
      <c r="B25" s="5" t="s">
        <v>91</v>
      </c>
      <c r="C25" s="5"/>
      <c r="D25" s="5"/>
      <c r="E25" s="5">
        <f t="shared" si="0"/>
        <v>0</v>
      </c>
      <c r="F25" s="5" t="s">
        <v>89</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92</v>
      </c>
      <c r="C27" s="5">
        <v>1.5</v>
      </c>
      <c r="D27" s="5">
        <v>1.2</v>
      </c>
      <c r="E27" s="5">
        <f t="shared" si="0"/>
        <v>1.7999999999999998</v>
      </c>
      <c r="F27" s="5"/>
      <c r="G27" s="5"/>
      <c r="H27" s="5"/>
      <c r="I27" s="5">
        <f t="shared" si="1"/>
        <v>0</v>
      </c>
      <c r="J27" s="5"/>
      <c r="K27" s="5"/>
      <c r="L27" s="5">
        <f t="shared" si="2"/>
        <v>0</v>
      </c>
    </row>
    <row r="28" spans="2:12" x14ac:dyDescent="0.3">
      <c r="B28" s="5" t="s">
        <v>93</v>
      </c>
      <c r="C28" s="5"/>
      <c r="D28" s="5"/>
      <c r="E28" s="5">
        <f t="shared" si="0"/>
        <v>0</v>
      </c>
      <c r="F28" s="5"/>
      <c r="G28" s="5"/>
      <c r="H28" s="5"/>
      <c r="I28" s="5">
        <f t="shared" si="1"/>
        <v>0</v>
      </c>
      <c r="J28" s="5"/>
      <c r="K28" s="5"/>
      <c r="L28" s="5">
        <f t="shared" si="2"/>
        <v>0</v>
      </c>
    </row>
    <row r="29" spans="2:12" x14ac:dyDescent="0.3">
      <c r="B29" s="5" t="s">
        <v>94</v>
      </c>
      <c r="C29" s="5"/>
      <c r="D29" s="5"/>
      <c r="E29" s="5">
        <f t="shared" si="0"/>
        <v>0</v>
      </c>
      <c r="F29" s="5"/>
      <c r="G29" s="5"/>
      <c r="H29" s="5"/>
      <c r="I29" s="5">
        <f t="shared" si="1"/>
        <v>0</v>
      </c>
      <c r="J29" s="5"/>
      <c r="K29" s="5"/>
      <c r="L29" s="5">
        <f t="shared" si="2"/>
        <v>0</v>
      </c>
    </row>
    <row r="30" spans="2:12" x14ac:dyDescent="0.3">
      <c r="B30" s="5" t="s">
        <v>95</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59</v>
      </c>
      <c r="C34" s="5"/>
      <c r="D34" s="5">
        <f>E34*10.764</f>
        <v>338.15105999999997</v>
      </c>
      <c r="E34" s="5">
        <f>SUM(E6:E33)</f>
        <v>31.414999999999999</v>
      </c>
      <c r="F34" s="5"/>
      <c r="G34" s="5"/>
      <c r="H34" s="5">
        <f>I34*10.764</f>
        <v>0</v>
      </c>
      <c r="I34" s="5">
        <f>SUM(I6:I33)</f>
        <v>0</v>
      </c>
      <c r="J34" s="5"/>
      <c r="K34" s="5">
        <f>L34*10.764</f>
        <v>0</v>
      </c>
      <c r="L34" s="5">
        <f>SUM(L6:L33)</f>
        <v>0</v>
      </c>
    </row>
    <row r="36" spans="2:12" x14ac:dyDescent="0.3">
      <c r="D36">
        <f>D34+H34</f>
        <v>338.15105999999997</v>
      </c>
      <c r="E36">
        <f>E34+I34</f>
        <v>31.414999999999999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H9" sqref="H9"/>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7"/>
  <sheetViews>
    <sheetView topLeftCell="A58" zoomScale="115" zoomScaleNormal="115" workbookViewId="0">
      <selection activeCell="H11" sqref="H11"/>
    </sheetView>
  </sheetViews>
  <sheetFormatPr defaultColWidth="8.6640625" defaultRowHeight="14.4" x14ac:dyDescent="0.3"/>
  <cols>
    <col min="1" max="1" width="8.6640625" style="6"/>
    <col min="2" max="2" width="22.109375" style="6" customWidth="1"/>
    <col min="3" max="3" width="37" style="6" customWidth="1"/>
    <col min="4" max="5" width="11.44140625" style="6" customWidth="1"/>
    <col min="6" max="6" width="14" style="6" customWidth="1"/>
    <col min="7" max="7" width="20" style="6" customWidth="1"/>
    <col min="8" max="8" width="16.44140625" style="6" customWidth="1"/>
    <col min="9" max="16384" width="8.6640625" style="6"/>
  </cols>
  <sheetData>
    <row r="1" spans="1:9" ht="15" customHeight="1" x14ac:dyDescent="0.3"/>
    <row r="2" spans="1:9" ht="15" customHeight="1" x14ac:dyDescent="0.3">
      <c r="A2" s="7"/>
      <c r="B2" s="7"/>
      <c r="C2" s="7"/>
      <c r="D2" s="7"/>
      <c r="E2" s="7"/>
      <c r="F2" s="7"/>
      <c r="G2" s="7"/>
      <c r="H2" s="7"/>
    </row>
    <row r="3" spans="1:9" ht="15.75" customHeight="1" x14ac:dyDescent="0.3">
      <c r="A3" s="7"/>
      <c r="B3" s="239" t="s">
        <v>135</v>
      </c>
      <c r="C3" s="239"/>
      <c r="D3" s="239"/>
      <c r="E3" s="239"/>
      <c r="F3" s="239"/>
      <c r="G3" s="239"/>
      <c r="H3" s="239"/>
    </row>
    <row r="4" spans="1:9" x14ac:dyDescent="0.3">
      <c r="A4" s="7"/>
      <c r="B4" s="8" t="s">
        <v>136</v>
      </c>
      <c r="C4" s="8" t="s">
        <v>137</v>
      </c>
      <c r="D4" s="8" t="s">
        <v>75</v>
      </c>
      <c r="E4" s="8" t="s">
        <v>138</v>
      </c>
      <c r="F4" s="8" t="s">
        <v>143</v>
      </c>
      <c r="G4" s="8" t="s">
        <v>144</v>
      </c>
      <c r="H4" s="8" t="s">
        <v>139</v>
      </c>
    </row>
    <row r="5" spans="1:9" ht="15" customHeight="1" x14ac:dyDescent="0.3">
      <c r="A5" s="7"/>
      <c r="B5" s="10" t="s">
        <v>140</v>
      </c>
      <c r="C5" s="18" t="s">
        <v>149</v>
      </c>
      <c r="D5" s="19" t="s">
        <v>150</v>
      </c>
      <c r="E5" s="10">
        <v>475</v>
      </c>
      <c r="F5" s="11">
        <f>E5*1.6</f>
        <v>760</v>
      </c>
      <c r="G5" s="11">
        <f>H5/F5</f>
        <v>15394.736842105263</v>
      </c>
      <c r="H5" s="12">
        <v>11700000</v>
      </c>
    </row>
    <row r="6" spans="1:9" x14ac:dyDescent="0.3">
      <c r="A6" s="7"/>
      <c r="B6" s="10" t="s">
        <v>140</v>
      </c>
      <c r="C6" s="18" t="s">
        <v>149</v>
      </c>
      <c r="D6" s="19" t="s">
        <v>150</v>
      </c>
      <c r="E6" s="10">
        <v>571</v>
      </c>
      <c r="F6" s="11">
        <f t="shared" ref="F6:F10" si="0">E6*1.6</f>
        <v>913.6</v>
      </c>
      <c r="G6" s="11">
        <f t="shared" ref="G6:G10" si="1">H6/F6</f>
        <v>15323.992994746059</v>
      </c>
      <c r="H6" s="12">
        <v>14000000</v>
      </c>
    </row>
    <row r="7" spans="1:9" ht="15" customHeight="1" x14ac:dyDescent="0.3">
      <c r="A7" s="7"/>
      <c r="B7" s="10" t="s">
        <v>140</v>
      </c>
      <c r="C7" s="18" t="s">
        <v>149</v>
      </c>
      <c r="D7" s="19" t="s">
        <v>151</v>
      </c>
      <c r="E7" s="10">
        <v>400</v>
      </c>
      <c r="F7" s="11">
        <f t="shared" si="0"/>
        <v>640</v>
      </c>
      <c r="G7" s="11">
        <f t="shared" si="1"/>
        <v>15468.75</v>
      </c>
      <c r="H7" s="12">
        <v>9900000</v>
      </c>
    </row>
    <row r="8" spans="1:9" x14ac:dyDescent="0.3">
      <c r="A8" s="7"/>
      <c r="B8" s="10" t="s">
        <v>140</v>
      </c>
      <c r="C8" s="18" t="s">
        <v>149</v>
      </c>
      <c r="D8" s="19" t="s">
        <v>151</v>
      </c>
      <c r="E8" s="10">
        <v>353</v>
      </c>
      <c r="F8" s="11">
        <f t="shared" si="0"/>
        <v>564.80000000000007</v>
      </c>
      <c r="G8" s="11">
        <f t="shared" si="1"/>
        <v>15757.790368271953</v>
      </c>
      <c r="H8" s="12">
        <v>8900000</v>
      </c>
    </row>
    <row r="9" spans="1:9" ht="15" customHeight="1" x14ac:dyDescent="0.3">
      <c r="A9" s="7"/>
      <c r="B9" s="10" t="s">
        <v>140</v>
      </c>
      <c r="C9" s="18" t="s">
        <v>149</v>
      </c>
      <c r="D9" s="19" t="s">
        <v>150</v>
      </c>
      <c r="E9" s="10">
        <v>900</v>
      </c>
      <c r="F9" s="11">
        <f t="shared" si="0"/>
        <v>1440</v>
      </c>
      <c r="G9" s="11">
        <f t="shared" si="1"/>
        <v>9027.7777777777774</v>
      </c>
      <c r="H9" s="12">
        <v>13000000</v>
      </c>
    </row>
    <row r="10" spans="1:9" ht="15" customHeight="1" x14ac:dyDescent="0.3">
      <c r="A10" s="7"/>
      <c r="B10" s="10" t="s">
        <v>140</v>
      </c>
      <c r="C10" s="18" t="s">
        <v>149</v>
      </c>
      <c r="D10" s="19" t="s">
        <v>151</v>
      </c>
      <c r="E10" s="10">
        <v>368</v>
      </c>
      <c r="F10" s="11">
        <f t="shared" si="0"/>
        <v>588.80000000000007</v>
      </c>
      <c r="G10" s="11">
        <f t="shared" si="1"/>
        <v>11888.586956521738</v>
      </c>
      <c r="H10" s="12">
        <v>7000000</v>
      </c>
    </row>
    <row r="11" spans="1:9" ht="15" customHeight="1" x14ac:dyDescent="0.3">
      <c r="A11" s="7"/>
      <c r="B11" s="19" t="s">
        <v>162</v>
      </c>
      <c r="C11" s="18" t="s">
        <v>149</v>
      </c>
      <c r="D11" s="19" t="s">
        <v>151</v>
      </c>
      <c r="E11" s="10">
        <v>353</v>
      </c>
      <c r="F11" s="11">
        <f>E11*1.6</f>
        <v>564.80000000000007</v>
      </c>
      <c r="G11" s="11">
        <f>H11/F11</f>
        <v>14164.305949008496</v>
      </c>
      <c r="H11" s="12">
        <v>8000000</v>
      </c>
    </row>
    <row r="12" spans="1:9" x14ac:dyDescent="0.3">
      <c r="A12" s="7"/>
      <c r="B12" s="19" t="s">
        <v>162</v>
      </c>
      <c r="C12" s="18" t="s">
        <v>149</v>
      </c>
      <c r="D12" s="19" t="s">
        <v>151</v>
      </c>
      <c r="E12" s="10">
        <v>359</v>
      </c>
      <c r="F12" s="11">
        <v>610</v>
      </c>
      <c r="G12" s="11">
        <f t="shared" ref="G12" si="2">H12/F12</f>
        <v>13508.196721311475</v>
      </c>
      <c r="H12" s="12">
        <v>8240000</v>
      </c>
    </row>
    <row r="13" spans="1:9" ht="15" customHeight="1" x14ac:dyDescent="0.3">
      <c r="A13" s="7"/>
      <c r="B13" s="13" t="s">
        <v>141</v>
      </c>
      <c r="C13" s="10"/>
      <c r="D13" s="10"/>
      <c r="E13" s="10"/>
      <c r="F13" s="10"/>
      <c r="G13" s="14">
        <f>AVERAGE(G5:G12)</f>
        <v>13816.767201217846</v>
      </c>
      <c r="H13" s="10"/>
    </row>
    <row r="14" spans="1:9" ht="15" customHeight="1" x14ac:dyDescent="0.3">
      <c r="B14" s="13" t="s">
        <v>142</v>
      </c>
      <c r="C14" s="10"/>
      <c r="D14" s="10"/>
      <c r="E14" s="10"/>
      <c r="F14" s="15"/>
      <c r="G14" s="13">
        <v>13800</v>
      </c>
      <c r="H14" s="13"/>
      <c r="I14" s="9"/>
    </row>
    <row r="15" spans="1:9" ht="15" customHeight="1" x14ac:dyDescent="0.3"/>
    <row r="16" spans="1:9" ht="15" customHeight="1" x14ac:dyDescent="0.3"/>
    <row r="17"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2025-08-21T20:08:33Z</cp:lastPrinted>
  <dcterms:created xsi:type="dcterms:W3CDTF">2019-07-16T09:29:46Z</dcterms:created>
  <dcterms:modified xsi:type="dcterms:W3CDTF">2025-08-21T20:09:49Z</dcterms:modified>
</cp:coreProperties>
</file>